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0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5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4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naldAirey\source\Repos\quadratically-expanding-space\Models\"/>
    </mc:Choice>
  </mc:AlternateContent>
  <xr:revisionPtr revIDLastSave="0" documentId="13_ncr:1_{A130688A-CA08-418C-B2FE-D7650C8D2E92}" xr6:coauthVersionLast="47" xr6:coauthVersionMax="47" xr10:uidLastSave="{00000000-0000-0000-0000-000000000000}"/>
  <bookViews>
    <workbookView xWindow="300" yWindow="45" windowWidth="27465" windowHeight="17325" xr2:uid="{00000000-000D-0000-FFFF-FFFF00000000}"/>
  </bookViews>
  <sheets>
    <sheet name="Constants" sheetId="1" r:id="rId1"/>
    <sheet name="SNe Ia Data" sheetId="3" r:id="rId2"/>
    <sheet name="SNe Ia Model" sheetId="14" r:id="rId3"/>
    <sheet name="Tau" sheetId="226" r:id="rId4"/>
    <sheet name="Recombination" sheetId="224" r:id="rId5"/>
    <sheet name="Geometry" sheetId="111" r:id="rId6"/>
    <sheet name="BTFR Data" sheetId="115" r:id="rId7"/>
    <sheet name="NGC 0224" sheetId="220" r:id="rId8"/>
    <sheet name="NGC 0253" sheetId="202" r:id="rId9"/>
    <sheet name="NGC 0266" sheetId="203" r:id="rId10"/>
    <sheet name="NGC 0342" sheetId="19" r:id="rId11"/>
    <sheet name="NGC 0598" sheetId="176" r:id="rId12"/>
    <sheet name="NGC 0660" sheetId="222" r:id="rId13"/>
    <sheet name="NGC 0891" sheetId="177" r:id="rId14"/>
    <sheet name="NGC 1365" sheetId="179" r:id="rId15"/>
    <sheet name="NGC 1642" sheetId="213" r:id="rId16"/>
    <sheet name="NGC 1808" sheetId="180" r:id="rId17"/>
    <sheet name="NGC 2403" sheetId="181" r:id="rId18"/>
    <sheet name="NGC 2543" sheetId="204" r:id="rId19"/>
    <sheet name="NGC 2599" sheetId="221" r:id="rId20"/>
    <sheet name="NGC 2649" sheetId="214" r:id="rId21"/>
    <sheet name="NGC 2654" sheetId="207" r:id="rId22"/>
    <sheet name="NGC 2903" sheetId="183" r:id="rId23"/>
    <sheet name="NGC 2985" sheetId="208" r:id="rId24"/>
    <sheet name="NGC 3079" sheetId="184" r:id="rId25"/>
    <sheet name="NGC 3198" sheetId="185" r:id="rId26"/>
    <sheet name="NGC 3521" sheetId="199" r:id="rId27"/>
    <sheet name="NGC 3628" sheetId="186" r:id="rId28"/>
    <sheet name="NGC 3900" sheetId="209" r:id="rId29"/>
    <sheet name="NGC 3982" sheetId="175" r:id="rId30"/>
    <sheet name="NGC 4258" sheetId="187" r:id="rId31"/>
    <sheet name="NGC 4303" sheetId="200" r:id="rId32"/>
    <sheet name="NGC 4321" sheetId="188" r:id="rId33"/>
    <sheet name="NGC 4527" sheetId="189" r:id="rId34"/>
    <sheet name="NGC 4565" sheetId="190" r:id="rId35"/>
    <sheet name="NGC 4569" sheetId="201" r:id="rId36"/>
    <sheet name="NGC 4736" sheetId="191" r:id="rId37"/>
    <sheet name="NGC 4945" sheetId="192" r:id="rId38"/>
    <sheet name="NGC 5033" sheetId="193" r:id="rId39"/>
    <sheet name="NGC 5055" sheetId="194" r:id="rId40"/>
    <sheet name="NGC 5236" sheetId="195" r:id="rId41"/>
    <sheet name="NGC 5457" sheetId="196" r:id="rId42"/>
    <sheet name="NGC 5907" sheetId="197" r:id="rId43"/>
    <sheet name="NGC 6946" sheetId="198" r:id="rId44"/>
    <sheet name="NGC 7013" sheetId="211" r:id="rId45"/>
    <sheet name="UGC 03993" sheetId="205" r:id="rId46"/>
    <sheet name="De Vaucouleurs Deprojection" sheetId="30" r:id="rId47"/>
  </sheets>
  <definedNames>
    <definedName name="accel">Tau!$B$1</definedName>
    <definedName name="Age">Constants!$B$28</definedName>
    <definedName name="AgeOfCMB" localSheetId="5">Geometry!$B$8</definedName>
    <definedName name="AngularScale" localSheetId="5">Geometry!$B$9</definedName>
    <definedName name="BaryonDensity">Geometry!$B$5</definedName>
    <definedName name="BoltzmannConstant">Constants!$B$15</definedName>
    <definedName name="BulgeMass" localSheetId="7">'NGC 0224'!$E:$E</definedName>
    <definedName name="BulgeMass" localSheetId="8">'NGC 0253'!$E:$E</definedName>
    <definedName name="BulgeMass" localSheetId="9">'NGC 0266'!$E:$E</definedName>
    <definedName name="BulgeMass" localSheetId="10">'NGC 0342'!$E:$E</definedName>
    <definedName name="BulgeMass" localSheetId="11">'NGC 0598'!$E:$E</definedName>
    <definedName name="BulgeMass" localSheetId="12">'NGC 0660'!$E:$E</definedName>
    <definedName name="BulgeMass" localSheetId="13">'NGC 0891'!$E:$E</definedName>
    <definedName name="BulgeMass" localSheetId="14">'NGC 1365'!$E:$E</definedName>
    <definedName name="BulgeMass" localSheetId="15">'NGC 1642'!$E:$E</definedName>
    <definedName name="BulgeMass" localSheetId="16">'NGC 1808'!$E:$E</definedName>
    <definedName name="BulgeMass" localSheetId="17">'NGC 2403'!$E:$E</definedName>
    <definedName name="BulgeMass" localSheetId="18">'NGC 2543'!$E:$E</definedName>
    <definedName name="BulgeMass" localSheetId="19">'NGC 2599'!$E:$E</definedName>
    <definedName name="BulgeMass" localSheetId="20">'NGC 2649'!$E:$E</definedName>
    <definedName name="BulgeMass" localSheetId="21">'NGC 2654'!$E:$E</definedName>
    <definedName name="BulgeMass" localSheetId="22">'NGC 2903'!$E:$E</definedName>
    <definedName name="BulgeMass" localSheetId="23">'NGC 2985'!$E:$E</definedName>
    <definedName name="BulgeMass" localSheetId="24">'NGC 3079'!$E:$E</definedName>
    <definedName name="BulgeMass" localSheetId="25">'NGC 3198'!$E:$E</definedName>
    <definedName name="BulgeMass" localSheetId="26">'NGC 3521'!$E:$E</definedName>
    <definedName name="BulgeMass" localSheetId="27">'NGC 3628'!$E:$E</definedName>
    <definedName name="BulgeMass" localSheetId="28">'NGC 3900'!$E:$E</definedName>
    <definedName name="BulgeMass" localSheetId="29">'NGC 3982'!$E:$E</definedName>
    <definedName name="BulgeMass" localSheetId="30">'NGC 4258'!$E:$E</definedName>
    <definedName name="BulgeMass" localSheetId="31">'NGC 4303'!$E:$E</definedName>
    <definedName name="BulgeMass" localSheetId="32">'NGC 4321'!$E:$E</definedName>
    <definedName name="BulgeMass" localSheetId="33">'NGC 4527'!$E:$E</definedName>
    <definedName name="BulgeMass" localSheetId="34">'NGC 4565'!$E:$E</definedName>
    <definedName name="BulgeMass" localSheetId="35">'NGC 4569'!$E:$E</definedName>
    <definedName name="BulgeMass" localSheetId="36">'NGC 4736'!$E:$E</definedName>
    <definedName name="BulgeMass" localSheetId="37">'NGC 4945'!$E:$E</definedName>
    <definedName name="BulgeMass" localSheetId="38">'NGC 5033'!$E:$E</definedName>
    <definedName name="BulgeMass" localSheetId="39">'NGC 5055'!$E:$E</definedName>
    <definedName name="BulgeMass" localSheetId="40">'NGC 5236'!$E:$E</definedName>
    <definedName name="BulgeMass" localSheetId="41">'NGC 5457'!$E:$E</definedName>
    <definedName name="BulgeMass" localSheetId="42">'NGC 5907'!$E:$E</definedName>
    <definedName name="BulgeMass" localSheetId="43">'NGC 6946'!$E:$E</definedName>
    <definedName name="BulgeMass" localSheetId="44">'NGC 7013'!$E:$E</definedName>
    <definedName name="BulgeMass" localSheetId="45">'UGC 03993'!$E:$E</definedName>
    <definedName name="CMBTemperature">Constants!$B$13</definedName>
    <definedName name="Color" localSheetId="1">'SNe Ia Data'!$H:$H</definedName>
    <definedName name="ColorError" localSheetId="1">'SNe Ia Data'!$I:$I</definedName>
    <definedName name="ConversionFactor">Constants!$B$29</definedName>
    <definedName name="CriticalDensity">Constants!$B$31</definedName>
    <definedName name="Curvature" localSheetId="5">Geometry!$B$4</definedName>
    <definedName name="Deprojection">'De Vaucouleurs Deprojection'!$A$3:$K$126</definedName>
    <definedName name="DiskMass" localSheetId="7">'NGC 0224'!$F:$F</definedName>
    <definedName name="DiskMass" localSheetId="8">'NGC 0253'!$F:$F</definedName>
    <definedName name="DiskMass" localSheetId="9">'NGC 0266'!$F:$F</definedName>
    <definedName name="DiskMass" localSheetId="10">'NGC 0342'!$F:$F</definedName>
    <definedName name="DiskMass" localSheetId="11">'NGC 0598'!$F:$F</definedName>
    <definedName name="DiskMass" localSheetId="12">'NGC 0660'!$F:$F</definedName>
    <definedName name="DiskMass" localSheetId="13">'NGC 0891'!$F:$F</definedName>
    <definedName name="DiskMass" localSheetId="14">'NGC 1365'!$F:$F</definedName>
    <definedName name="DiskMass" localSheetId="15">'NGC 1642'!$F:$F</definedName>
    <definedName name="DiskMass" localSheetId="16">'NGC 1808'!$F:$F</definedName>
    <definedName name="DiskMass" localSheetId="17">'NGC 2403'!$F:$F</definedName>
    <definedName name="DiskMass" localSheetId="18">'NGC 2543'!$F:$F</definedName>
    <definedName name="DiskMass" localSheetId="19">'NGC 2599'!$F:$F</definedName>
    <definedName name="DiskMass" localSheetId="20">'NGC 2649'!$F:$F</definedName>
    <definedName name="DiskMass" localSheetId="21">'NGC 2654'!$F:$F</definedName>
    <definedName name="DiskMass" localSheetId="22">'NGC 2903'!$F:$F</definedName>
    <definedName name="DiskMass" localSheetId="23">'NGC 2985'!$F:$F</definedName>
    <definedName name="DiskMass" localSheetId="24">'NGC 3079'!$F:$F</definedName>
    <definedName name="DiskMass" localSheetId="25">'NGC 3198'!$F:$F</definedName>
    <definedName name="DiskMass" localSheetId="26">'NGC 3521'!$F:$F</definedName>
    <definedName name="DiskMass" localSheetId="27">'NGC 3628'!$F:$F</definedName>
    <definedName name="DiskMass" localSheetId="28">'NGC 3900'!$F:$F</definedName>
    <definedName name="DiskMass" localSheetId="29">'NGC 3982'!$F:$F</definedName>
    <definedName name="DiskMass" localSheetId="30">'NGC 4258'!$F:$F</definedName>
    <definedName name="DiskMass" localSheetId="31">'NGC 4303'!$F:$F</definedName>
    <definedName name="DiskMass" localSheetId="32">'NGC 4321'!$F:$F</definedName>
    <definedName name="DiskMass" localSheetId="33">'NGC 4527'!$F:$F</definedName>
    <definedName name="DiskMass" localSheetId="34">'NGC 4565'!$F:$F</definedName>
    <definedName name="DiskMass" localSheetId="35">'NGC 4569'!$F:$F</definedName>
    <definedName name="DiskMass" localSheetId="36">'NGC 4736'!$F:$F</definedName>
    <definedName name="DiskMass" localSheetId="37">'NGC 4945'!$F:$F</definedName>
    <definedName name="DiskMass" localSheetId="38">'NGC 5033'!$F:$F</definedName>
    <definedName name="DiskMass" localSheetId="39">'NGC 5055'!$F:$F</definedName>
    <definedName name="DiskMass" localSheetId="40">'NGC 5236'!$F:$F</definedName>
    <definedName name="DiskMass" localSheetId="41">'NGC 5457'!$F:$F</definedName>
    <definedName name="DiskMass" localSheetId="42">'NGC 5907'!$F:$F</definedName>
    <definedName name="DiskMass" localSheetId="43">'NGC 6946'!$F:$F</definedName>
    <definedName name="DiskMass" localSheetId="44">'NGC 7013'!$F:$F</definedName>
    <definedName name="DiskMass" localSheetId="45">'UGC 03993'!$F:$F</definedName>
    <definedName name="DiskScaleLengthPc" localSheetId="7">'NGC 0224'!$E$111</definedName>
    <definedName name="DiskScaleLengthPc" localSheetId="8">'NGC 0253'!$E$42</definedName>
    <definedName name="DiskScaleLengthPc" localSheetId="9">'NGC 0266'!$E$31</definedName>
    <definedName name="DiskScaleLengthPc" localSheetId="10">'NGC 0342'!$E$45</definedName>
    <definedName name="DiskScaleLengthPc" localSheetId="11">'NGC 0598'!$E$43</definedName>
    <definedName name="DiskScaleLengthPc" localSheetId="12">'NGC 0660'!$E$479</definedName>
    <definedName name="DiskScaleLengthPc" localSheetId="13">'NGC 0891'!$E$48</definedName>
    <definedName name="DiskScaleLengthPc" localSheetId="14">'NGC 1365'!$E$50</definedName>
    <definedName name="DiskScaleLengthPc" localSheetId="15">'NGC 1642'!$E$29</definedName>
    <definedName name="DiskScaleLengthPc" localSheetId="16">'NGC 1808'!$E$43</definedName>
    <definedName name="DiskScaleLengthPc" localSheetId="17">'NGC 2403'!$E$45</definedName>
    <definedName name="DiskScaleLengthPc" localSheetId="18">'NGC 2543'!$E$28</definedName>
    <definedName name="DiskScaleLengthPc" localSheetId="19">'NGC 2599'!$E$47</definedName>
    <definedName name="DiskScaleLengthPc" localSheetId="20">'NGC 2649'!$E$25</definedName>
    <definedName name="DiskScaleLengthPc" localSheetId="21">'NGC 2654'!$E$51</definedName>
    <definedName name="DiskScaleLengthPc" localSheetId="22">'NGC 2903'!$E$47</definedName>
    <definedName name="DiskScaleLengthPc" localSheetId="23">'NGC 2985'!$E$46</definedName>
    <definedName name="DiskScaleLengthPc" localSheetId="24">'NGC 3079'!$E$46</definedName>
    <definedName name="DiskScaleLengthPc" localSheetId="25">'NGC 3198'!$E$50</definedName>
    <definedName name="DiskScaleLengthPc" localSheetId="26">'NGC 3521'!$E$47</definedName>
    <definedName name="DiskScaleLengthPc" localSheetId="27">'NGC 3628'!$E$42</definedName>
    <definedName name="DiskScaleLengthPc" localSheetId="28">'NGC 3900'!$E$50</definedName>
    <definedName name="DiskScaleLengthPc" localSheetId="29">'NGC 3982'!$E$32</definedName>
    <definedName name="DiskScaleLengthPc" localSheetId="30">'NGC 4258'!$E$49</definedName>
    <definedName name="DiskScaleLengthPc" localSheetId="31">'NGC 4303'!$E$48</definedName>
    <definedName name="DiskScaleLengthPc" localSheetId="32">'NGC 4321'!$E$48</definedName>
    <definedName name="DiskScaleLengthPc" localSheetId="33">'NGC 4527'!$E$41</definedName>
    <definedName name="DiskScaleLengthPc" localSheetId="34">'NGC 4565'!$E$51</definedName>
    <definedName name="DiskScaleLengthPc" localSheetId="35">'NGC 4569'!$E$42</definedName>
    <definedName name="DiskScaleLengthPc" localSheetId="36">'NGC 4736'!$E$39</definedName>
    <definedName name="DiskScaleLengthPc" localSheetId="37">'NGC 4945'!$E$45</definedName>
    <definedName name="DiskScaleLengthPc" localSheetId="38">'NGC 5033'!$E$51</definedName>
    <definedName name="DiskScaleLengthPc" localSheetId="39">'NGC 5055'!$E$52</definedName>
    <definedName name="DiskScaleLengthPc" localSheetId="40">'NGC 5236'!$E$52</definedName>
    <definedName name="DiskScaleLengthPc" localSheetId="41">'NGC 5457'!$E$41</definedName>
    <definedName name="DiskScaleLengthPc" localSheetId="42">'NGC 5907'!$E$49</definedName>
    <definedName name="DiskScaleLengthPc" localSheetId="43">'NGC 6946'!$E$44</definedName>
    <definedName name="DiskScaleLengthPc" localSheetId="44">'NGC 7013'!$E$47</definedName>
    <definedName name="DiskScaleLengthPc" localSheetId="45">'UGC 03993'!$E$43</definedName>
    <definedName name="DistanceSurfaceLastScattering" localSheetId="5">Geometry!$B$7</definedName>
    <definedName name="ElectronMass">Constants!$B$35</definedName>
    <definedName name="errorMass">'BTFR Data'!$M:$M</definedName>
    <definedName name="Gpc">Constants!$B$5</definedName>
    <definedName name="GravitationalConstant">Constants!$B$14</definedName>
    <definedName name="Gyr">Constants!$B$9</definedName>
    <definedName name="HaloMass" localSheetId="7">'NGC 0224'!$G:$G</definedName>
    <definedName name="HaloMass" localSheetId="8">'NGC 0253'!$G:$G</definedName>
    <definedName name="HaloMass" localSheetId="9">'NGC 0266'!$G:$G</definedName>
    <definedName name="HaloMass" localSheetId="10">'NGC 0342'!$G:$G</definedName>
    <definedName name="HaloMass" localSheetId="11">'NGC 0598'!$G:$G</definedName>
    <definedName name="HaloMass" localSheetId="12">'NGC 0660'!$G:$G</definedName>
    <definedName name="HaloMass" localSheetId="13">'NGC 0891'!$G:$G</definedName>
    <definedName name="HaloMass" localSheetId="14">'NGC 1365'!$G:$G</definedName>
    <definedName name="HaloMass" localSheetId="15">'NGC 1642'!$G:$G</definedName>
    <definedName name="HaloMass" localSheetId="16">'NGC 1808'!$G:$G</definedName>
    <definedName name="HaloMass" localSheetId="17">'NGC 2403'!$G:$G</definedName>
    <definedName name="HaloMass" localSheetId="18">'NGC 2543'!$G:$G</definedName>
    <definedName name="HaloMass" localSheetId="19">'NGC 2599'!$G:$G</definedName>
    <definedName name="HaloMass" localSheetId="20">'NGC 2649'!$G:$G</definedName>
    <definedName name="HaloMass" localSheetId="21">'NGC 2654'!$G:$G</definedName>
    <definedName name="HaloMass" localSheetId="22">'NGC 2903'!$G:$G</definedName>
    <definedName name="HaloMass" localSheetId="23">'NGC 2985'!$G:$G</definedName>
    <definedName name="HaloMass" localSheetId="24">'NGC 3079'!$G:$G</definedName>
    <definedName name="HaloMass" localSheetId="25">'NGC 3198'!$G:$G</definedName>
    <definedName name="HaloMass" localSheetId="26">'NGC 3521'!$G:$G</definedName>
    <definedName name="HaloMass" localSheetId="27">'NGC 3628'!$G:$G</definedName>
    <definedName name="HaloMass" localSheetId="28">'NGC 3900'!$G:$G</definedName>
    <definedName name="HaloMass" localSheetId="29">'NGC 3982'!$G:$G</definedName>
    <definedName name="HaloMass" localSheetId="30">'NGC 4258'!$G:$G</definedName>
    <definedName name="HaloMass" localSheetId="31">'NGC 4303'!$G:$G</definedName>
    <definedName name="HaloMass" localSheetId="32">'NGC 4321'!$G:$G</definedName>
    <definedName name="HaloMass" localSheetId="33">'NGC 4527'!$G:$G</definedName>
    <definedName name="HaloMass" localSheetId="34">'NGC 4565'!$G:$G</definedName>
    <definedName name="HaloMass" localSheetId="35">'NGC 4569'!$G:$G</definedName>
    <definedName name="HaloMass" localSheetId="36">'NGC 4736'!$G:$G</definedName>
    <definedName name="HaloMass" localSheetId="37">'NGC 4945'!$G:$G</definedName>
    <definedName name="HaloMass" localSheetId="38">'NGC 5033'!$G:$G</definedName>
    <definedName name="HaloMass" localSheetId="39">'NGC 5055'!$G:$G</definedName>
    <definedName name="HaloMass" localSheetId="40">'NGC 5236'!$G:$G</definedName>
    <definedName name="HaloMass" localSheetId="41">'NGC 5457'!$G:$G</definedName>
    <definedName name="HaloMass" localSheetId="42">'NGC 5907'!$G:$G</definedName>
    <definedName name="HaloMass" localSheetId="43">'NGC 6946'!$G:$G</definedName>
    <definedName name="HaloMass" localSheetId="44">'NGC 7013'!$G:$G</definedName>
    <definedName name="HaloMass" localSheetId="45">'UGC 03993'!$G:$G</definedName>
    <definedName name="HeliumAbundance">Constants!$B$40</definedName>
    <definedName name="HeliumMass">Constants!$B$38</definedName>
    <definedName name="HubbleConstant">Constants!$B$22</definedName>
    <definedName name="HubbleConstantCMB">Constants!$B$20</definedName>
    <definedName name="HubbleConstantSNe">Constants!$B$21</definedName>
    <definedName name="HydrogenAbundance">Constants!$B$39</definedName>
    <definedName name="HydrogenMass">Constants!$B$37</definedName>
    <definedName name="InitialTangentVelocity">Constants!$B$27</definedName>
    <definedName name="km">Constants!$B$1</definedName>
    <definedName name="kpc">Constants!$B$3</definedName>
    <definedName name="kyr">Constants!$B$7</definedName>
    <definedName name="LCDMAge">Constants!$B$25</definedName>
    <definedName name="LCDMBulgeEffectiveRadius" localSheetId="7">'NGC 0224'!$E$109</definedName>
    <definedName name="LCDMBulgeEffectiveRadius" localSheetId="8">'NGC 0253'!$E$40</definedName>
    <definedName name="LCDMBulgeEffectiveRadius" localSheetId="9">'NGC 0266'!$E$29</definedName>
    <definedName name="LCDMBulgeEffectiveRadius" localSheetId="10">'NGC 0342'!$E$43</definedName>
    <definedName name="LCDMBulgeEffectiveRadius" localSheetId="11">'NGC 0598'!$E$41</definedName>
    <definedName name="LCDMBulgeEffectiveRadius" localSheetId="12">'NGC 0660'!$E$477</definedName>
    <definedName name="LCDMBulgeEffectiveRadius" localSheetId="13">'NGC 0891'!$E$46</definedName>
    <definedName name="LCDMBulgeEffectiveRadius" localSheetId="14">'NGC 1365'!$E$48</definedName>
    <definedName name="LCDMBulgeEffectiveRadius" localSheetId="15">'NGC 1642'!$E$27</definedName>
    <definedName name="LCDMBulgeEffectiveRadius" localSheetId="16">'NGC 1808'!$E$41</definedName>
    <definedName name="LCDMBulgeEffectiveRadius" localSheetId="17">'NGC 2403'!$E$43</definedName>
    <definedName name="LCDMBulgeEffectiveRadius" localSheetId="18">'NGC 2543'!$E$26</definedName>
    <definedName name="LCDMBulgeEffectiveRadius" localSheetId="19">'NGC 2599'!$E$45</definedName>
    <definedName name="LCDMBulgeEffectiveRadius" localSheetId="20">'NGC 2649'!$E$23</definedName>
    <definedName name="LCDMBulgeEffectiveRadius" localSheetId="21">'NGC 2654'!$E$49</definedName>
    <definedName name="LCDMBulgeEffectiveRadius" localSheetId="22">'NGC 2903'!$E$45</definedName>
    <definedName name="LCDMBulgeEffectiveRadius" localSheetId="23">'NGC 2985'!$E$44</definedName>
    <definedName name="LCDMBulgeEffectiveRadius" localSheetId="24">'NGC 3079'!$E$44</definedName>
    <definedName name="LCDMBulgeEffectiveRadius" localSheetId="25">'NGC 3198'!$E$48</definedName>
    <definedName name="LCDMBulgeEffectiveRadius" localSheetId="26">'NGC 3521'!$E$45</definedName>
    <definedName name="LCDMBulgeEffectiveRadius" localSheetId="27">'NGC 3628'!$E$40</definedName>
    <definedName name="LCDMBulgeEffectiveRadius" localSheetId="28">'NGC 3900'!$E$48</definedName>
    <definedName name="LCDMBulgeEffectiveRadius" localSheetId="29">'NGC 3982'!$E$30</definedName>
    <definedName name="LCDMBulgeEffectiveRadius" localSheetId="30">'NGC 4258'!$E$47</definedName>
    <definedName name="LCDMBulgeEffectiveRadius" localSheetId="31">'NGC 4303'!$E$46</definedName>
    <definedName name="LCDMBulgeEffectiveRadius" localSheetId="32">'NGC 4321'!$E$46</definedName>
    <definedName name="LCDMBulgeEffectiveRadius" localSheetId="33">'NGC 4527'!$E$39</definedName>
    <definedName name="LCDMBulgeEffectiveRadius" localSheetId="34">'NGC 4565'!$E$49</definedName>
    <definedName name="LCDMBulgeEffectiveRadius" localSheetId="35">'NGC 4569'!$E$40</definedName>
    <definedName name="LCDMBulgeEffectiveRadius" localSheetId="36">'NGC 4736'!$E$37</definedName>
    <definedName name="LCDMBulgeEffectiveRadius" localSheetId="37">'NGC 4945'!$E$43</definedName>
    <definedName name="LCDMBulgeEffectiveRadius" localSheetId="38">'NGC 5033'!$E$49</definedName>
    <definedName name="LCDMBulgeEffectiveRadius" localSheetId="39">'NGC 5055'!$E$50</definedName>
    <definedName name="LCDMBulgeEffectiveRadius" localSheetId="40">'NGC 5236'!$E$50</definedName>
    <definedName name="LCDMBulgeEffectiveRadius" localSheetId="41">'NGC 5457'!$E$39</definedName>
    <definedName name="LCDMBulgeEffectiveRadius" localSheetId="42">'NGC 5907'!$E$47</definedName>
    <definedName name="LCDMBulgeEffectiveRadius" localSheetId="43">'NGC 6946'!$E$42</definedName>
    <definedName name="LCDMBulgeEffectiveRadius" localSheetId="44">'NGC 7013'!$E$45</definedName>
    <definedName name="LCDMBulgeEffectiveRadius" localSheetId="45">'UGC 03993'!$E$41</definedName>
    <definedName name="LCDMDiskSurfaceDensity" localSheetId="7">'NGC 0224'!$D$116</definedName>
    <definedName name="LCDMDiskSurfaceDensity" localSheetId="8">'NGC 0253'!$D$47</definedName>
    <definedName name="LCDMDiskSurfaceDensity" localSheetId="9">'NGC 0266'!$D$36</definedName>
    <definedName name="LCDMDiskSurfaceDensity" localSheetId="10">'NGC 0342'!$D$50</definedName>
    <definedName name="LCDMDiskSurfaceDensity" localSheetId="11">'NGC 0598'!$D$48</definedName>
    <definedName name="LCDMDiskSurfaceDensity" localSheetId="12">'NGC 0660'!$D$484</definedName>
    <definedName name="LCDMDiskSurfaceDensity" localSheetId="13">'NGC 0891'!$D$53</definedName>
    <definedName name="LCDMDiskSurfaceDensity" localSheetId="14">'NGC 1365'!$D$55</definedName>
    <definedName name="LCDMDiskSurfaceDensity" localSheetId="15">'NGC 1642'!$D$34</definedName>
    <definedName name="LCDMDiskSurfaceDensity" localSheetId="16">'NGC 1808'!$D$48</definedName>
    <definedName name="LCDMDiskSurfaceDensity" localSheetId="17">'NGC 2403'!$D$50</definedName>
    <definedName name="LCDMDiskSurfaceDensity" localSheetId="18">'NGC 2543'!$D$33</definedName>
    <definedName name="LCDMDiskSurfaceDensity" localSheetId="19">'NGC 2599'!$D$52</definedName>
    <definedName name="LCDMDiskSurfaceDensity" localSheetId="20">'NGC 2649'!$D$30</definedName>
    <definedName name="LCDMDiskSurfaceDensity" localSheetId="21">'NGC 2654'!$D$56</definedName>
    <definedName name="LCDMDiskSurfaceDensity" localSheetId="22">'NGC 2903'!$D$52</definedName>
    <definedName name="LCDMDiskSurfaceDensity" localSheetId="23">'NGC 2985'!$D$51</definedName>
    <definedName name="LCDMDiskSurfaceDensity" localSheetId="24">'NGC 3079'!$D$51</definedName>
    <definedName name="LCDMDiskSurfaceDensity" localSheetId="25">'NGC 3198'!$D$55</definedName>
    <definedName name="LCDMDiskSurfaceDensity" localSheetId="26">'NGC 3521'!$D$52</definedName>
    <definedName name="LCDMDiskSurfaceDensity" localSheetId="27">'NGC 3628'!$D$47</definedName>
    <definedName name="LCDMDiskSurfaceDensity" localSheetId="28">'NGC 3900'!$D$55</definedName>
    <definedName name="LCDMDiskSurfaceDensity" localSheetId="29">'NGC 3982'!$D$37</definedName>
    <definedName name="LCDMDiskSurfaceDensity" localSheetId="30">'NGC 4258'!$D$54</definedName>
    <definedName name="LCDMDiskSurfaceDensity" localSheetId="31">'NGC 4303'!$D$53</definedName>
    <definedName name="LCDMDiskSurfaceDensity" localSheetId="32">'NGC 4321'!$D$53</definedName>
    <definedName name="LCDMDiskSurfaceDensity" localSheetId="33">'NGC 4527'!$D$46</definedName>
    <definedName name="LCDMDiskSurfaceDensity" localSheetId="34">'NGC 4565'!$D$56</definedName>
    <definedName name="LCDMDiskSurfaceDensity" localSheetId="35">'NGC 4569'!$D$47</definedName>
    <definedName name="LCDMDiskSurfaceDensity" localSheetId="36">'NGC 4736'!$D$44</definedName>
    <definedName name="LCDMDiskSurfaceDensity" localSheetId="37">'NGC 4945'!$D$50</definedName>
    <definedName name="LCDMDiskSurfaceDensity" localSheetId="38">'NGC 5033'!$D$56</definedName>
    <definedName name="LCDMDiskSurfaceDensity" localSheetId="39">'NGC 5055'!$D$57</definedName>
    <definedName name="LCDMDiskSurfaceDensity" localSheetId="40">'NGC 5236'!$D$57</definedName>
    <definedName name="LCDMDiskSurfaceDensity" localSheetId="41">'NGC 5457'!$D$46</definedName>
    <definedName name="LCDMDiskSurfaceDensity" localSheetId="42">'NGC 5907'!$D$54</definedName>
    <definedName name="LCDMDiskSurfaceDensity" localSheetId="43">'NGC 6946'!$D$49</definedName>
    <definedName name="LCDMDiskSurfaceDensity" localSheetId="44">'NGC 7013'!$D$52</definedName>
    <definedName name="LCDMDiskSurfaceDensity" localSheetId="45">'UGC 03993'!$D$48</definedName>
    <definedName name="LCDMHaloRepresentativeDensity" localSheetId="7">'NGC 0224'!$D$117</definedName>
    <definedName name="LCDMHaloRepresentativeDensity" localSheetId="8">'NGC 0253'!$D$48</definedName>
    <definedName name="LCDMHaloRepresentativeDensity" localSheetId="9">'NGC 0266'!$D$37</definedName>
    <definedName name="LCDMHaloRepresentativeDensity" localSheetId="10">'NGC 0342'!$D$51</definedName>
    <definedName name="LCDMHaloRepresentativeDensity" localSheetId="11">'NGC 0598'!$D$49</definedName>
    <definedName name="LCDMHaloRepresentativeDensity" localSheetId="12">'NGC 0660'!$D$485</definedName>
    <definedName name="LCDMHaloRepresentativeDensity" localSheetId="13">'NGC 0891'!$D$54</definedName>
    <definedName name="LCDMHaloRepresentativeDensity" localSheetId="14">'NGC 1365'!$D$56</definedName>
    <definedName name="LCDMHaloRepresentativeDensity" localSheetId="15">'NGC 1642'!$D$35</definedName>
    <definedName name="LCDMHaloRepresentativeDensity" localSheetId="16">'NGC 1808'!$D$49</definedName>
    <definedName name="LCDMHaloRepresentativeDensity" localSheetId="17">'NGC 2403'!$D$51</definedName>
    <definedName name="LCDMHaloRepresentativeDensity" localSheetId="18">'NGC 2543'!$D$34</definedName>
    <definedName name="LCDMHaloRepresentativeDensity" localSheetId="19">'NGC 2599'!$D$53</definedName>
    <definedName name="LCDMHaloRepresentativeDensity" localSheetId="20">'NGC 2649'!$D$31</definedName>
    <definedName name="LCDMHaloRepresentativeDensity" localSheetId="21">'NGC 2654'!$D$57</definedName>
    <definedName name="LCDMHaloRepresentativeDensity" localSheetId="22">'NGC 2903'!$D$53</definedName>
    <definedName name="LCDMHaloRepresentativeDensity" localSheetId="23">'NGC 2985'!$D$52</definedName>
    <definedName name="LCDMHaloRepresentativeDensity" localSheetId="24">'NGC 3079'!$D$52</definedName>
    <definedName name="LCDMHaloRepresentativeDensity" localSheetId="25">'NGC 3198'!$D$56</definedName>
    <definedName name="LCDMHaloRepresentativeDensity" localSheetId="26">'NGC 3521'!$D$53</definedName>
    <definedName name="LCDMHaloRepresentativeDensity" localSheetId="27">'NGC 3628'!$D$48</definedName>
    <definedName name="LCDMHaloRepresentativeDensity" localSheetId="28">'NGC 3900'!$D$56</definedName>
    <definedName name="LCDMHaloRepresentativeDensity" localSheetId="29">'NGC 3982'!$D$38</definedName>
    <definedName name="LCDMHaloRepresentativeDensity" localSheetId="30">'NGC 4258'!$D$55</definedName>
    <definedName name="LCDMHaloRepresentativeDensity" localSheetId="31">'NGC 4303'!$D$54</definedName>
    <definedName name="LCDMHaloRepresentativeDensity" localSheetId="32">'NGC 4321'!$D$54</definedName>
    <definedName name="LCDMHaloRepresentativeDensity" localSheetId="33">'NGC 4527'!$D$47</definedName>
    <definedName name="LCDMHaloRepresentativeDensity" localSheetId="34">'NGC 4565'!$D$57</definedName>
    <definedName name="LCDMHaloRepresentativeDensity" localSheetId="35">'NGC 4569'!$D$48</definedName>
    <definedName name="LCDMHaloRepresentativeDensity" localSheetId="36">'NGC 4736'!$D$45</definedName>
    <definedName name="LCDMHaloRepresentativeDensity" localSheetId="37">'NGC 4945'!$D$51</definedName>
    <definedName name="LCDMHaloRepresentativeDensity" localSheetId="38">'NGC 5033'!$D$57</definedName>
    <definedName name="LCDMHaloRepresentativeDensity" localSheetId="39">'NGC 5055'!$D$58</definedName>
    <definedName name="LCDMHaloRepresentativeDensity" localSheetId="40">'NGC 5236'!$D$58</definedName>
    <definedName name="LCDMHaloRepresentativeDensity" localSheetId="41">'NGC 5457'!$D$47</definedName>
    <definedName name="LCDMHaloRepresentativeDensity" localSheetId="42">'NGC 5907'!$D$55</definedName>
    <definedName name="LCDMHaloRepresentativeDensity" localSheetId="43">'NGC 6946'!$D$50</definedName>
    <definedName name="LCDMHaloRepresentativeDensity" localSheetId="44">'NGC 7013'!$D$53</definedName>
    <definedName name="LCDMHaloRepresentativeDensity" localSheetId="45">'UGC 03993'!$D$49</definedName>
    <definedName name="LCDMHaloScaleLengthPc" localSheetId="7">'NGC 0224'!$E$113</definedName>
    <definedName name="LCDMHaloScaleLengthPc" localSheetId="8">'NGC 0253'!$E$44</definedName>
    <definedName name="LCDMHaloScaleLengthPc" localSheetId="9">'NGC 0266'!$E$33</definedName>
    <definedName name="LCDMHaloScaleLengthPc" localSheetId="10">'NGC 0342'!$E$47</definedName>
    <definedName name="LCDMHaloScaleLengthPc" localSheetId="11">'NGC 0598'!$E$45</definedName>
    <definedName name="LCDMHaloScaleLengthPc" localSheetId="12">'NGC 0660'!$E$481</definedName>
    <definedName name="LCDMHaloScaleLengthPc" localSheetId="13">'NGC 0891'!$E$50</definedName>
    <definedName name="LCDMHaloScaleLengthPc" localSheetId="14">'NGC 1365'!$E$52</definedName>
    <definedName name="LCDMHaloScaleLengthPc" localSheetId="15">'NGC 1642'!$E$31</definedName>
    <definedName name="LCDMHaloScaleLengthPc" localSheetId="16">'NGC 1808'!$E$45</definedName>
    <definedName name="LCDMHaloScaleLengthPc" localSheetId="17">'NGC 2403'!$E$47</definedName>
    <definedName name="LCDMHaloScaleLengthPc" localSheetId="18">'NGC 2543'!$E$30</definedName>
    <definedName name="LCDMHaloScaleLengthPc" localSheetId="19">'NGC 2599'!$E$49</definedName>
    <definedName name="LCDMHaloScaleLengthPc" localSheetId="20">'NGC 2649'!$E$27</definedName>
    <definedName name="LCDMHaloScaleLengthPc" localSheetId="21">'NGC 2654'!$E$53</definedName>
    <definedName name="LCDMHaloScaleLengthPc" localSheetId="22">'NGC 2903'!$E$49</definedName>
    <definedName name="LCDMHaloScaleLengthPc" localSheetId="23">'NGC 2985'!$E$48</definedName>
    <definedName name="LCDMHaloScaleLengthPc" localSheetId="24">'NGC 3079'!$E$48</definedName>
    <definedName name="LCDMHaloScaleLengthPc" localSheetId="25">'NGC 3198'!$E$52</definedName>
    <definedName name="LCDMHaloScaleLengthPc" localSheetId="26">'NGC 3521'!$E$49</definedName>
    <definedName name="LCDMHaloScaleLengthPc" localSheetId="27">'NGC 3628'!$E$44</definedName>
    <definedName name="LCDMHaloScaleLengthPc" localSheetId="28">'NGC 3900'!$E$52</definedName>
    <definedName name="LCDMHaloScaleLengthPc" localSheetId="29">'NGC 3982'!$E$34</definedName>
    <definedName name="LCDMHaloScaleLengthPc" localSheetId="30">'NGC 4258'!$E$51</definedName>
    <definedName name="LCDMHaloScaleLengthPc" localSheetId="31">'NGC 4303'!$E$50</definedName>
    <definedName name="LCDMHaloScaleLengthPc" localSheetId="32">'NGC 4321'!$E$50</definedName>
    <definedName name="LCDMHaloScaleLengthPc" localSheetId="33">'NGC 4527'!$E$43</definedName>
    <definedName name="LCDMHaloScaleLengthPc" localSheetId="34">'NGC 4565'!$E$53</definedName>
    <definedName name="LCDMHaloScaleLengthPc" localSheetId="35">'NGC 4569'!$E$44</definedName>
    <definedName name="LCDMHaloScaleLengthPc" localSheetId="36">'NGC 4736'!$E$41</definedName>
    <definedName name="LCDMHaloScaleLengthPc" localSheetId="37">'NGC 4945'!$E$47</definedName>
    <definedName name="LCDMHaloScaleLengthPc" localSheetId="38">'NGC 5033'!$E$53</definedName>
    <definedName name="LCDMHaloScaleLengthPc" localSheetId="39">'NGC 5055'!$E$54</definedName>
    <definedName name="LCDMHaloScaleLengthPc" localSheetId="40">'NGC 5236'!$E$54</definedName>
    <definedName name="LCDMHaloScaleLengthPc" localSheetId="41">'NGC 5457'!$E$43</definedName>
    <definedName name="LCDMHaloScaleLengthPc" localSheetId="42">'NGC 5907'!$E$51</definedName>
    <definedName name="LCDMHaloScaleLengthPc" localSheetId="43">'NGC 6946'!$E$46</definedName>
    <definedName name="LCDMHaloScaleLengthPc" localSheetId="44">'NGC 7013'!$E$49</definedName>
    <definedName name="LCDMHaloScaleLengthPc" localSheetId="45">'UGC 03993'!$E$45</definedName>
    <definedName name="LCDMModelBER" localSheetId="7">'NGC 0224'!$D$109</definedName>
    <definedName name="LCDMModelBER" localSheetId="8">'NGC 0253'!$D$40</definedName>
    <definedName name="LCDMModelBER" localSheetId="9">'NGC 0266'!$D$29</definedName>
    <definedName name="LCDMModelBER" localSheetId="10">'NGC 0342'!$D$43</definedName>
    <definedName name="LCDMModelBER" localSheetId="11">'NGC 0598'!$D$41</definedName>
    <definedName name="LCDMModelBER" localSheetId="12">'NGC 0660'!$D$477</definedName>
    <definedName name="LCDMModelBER" localSheetId="13">'NGC 0891'!$D$46</definedName>
    <definedName name="LCDMModelBER" localSheetId="14">'NGC 1365'!$D$48</definedName>
    <definedName name="LCDMModelBER" localSheetId="15">'NGC 1642'!$D$27</definedName>
    <definedName name="LCDMModelBER" localSheetId="16">'NGC 1808'!$D$41</definedName>
    <definedName name="LCDMModelBER" localSheetId="17">'NGC 2403'!$D$43</definedName>
    <definedName name="LCDMModelBER" localSheetId="18">'NGC 2543'!$D$26</definedName>
    <definedName name="LCDMModelBER" localSheetId="19">'NGC 2599'!$D$45</definedName>
    <definedName name="LCDMModelBER" localSheetId="20">'NGC 2649'!$D$23</definedName>
    <definedName name="LCDMModelBER" localSheetId="21">'NGC 2654'!$D$49</definedName>
    <definedName name="LCDMModelBER" localSheetId="22">'NGC 2903'!$D$45</definedName>
    <definedName name="LCDMModelBER" localSheetId="23">'NGC 2985'!$D$44</definedName>
    <definedName name="LCDMModelBER" localSheetId="24">'NGC 3079'!$D$44</definedName>
    <definedName name="LCDMModelBER" localSheetId="25">'NGC 3198'!$D$48</definedName>
    <definedName name="LCDMModelBER" localSheetId="26">'NGC 3521'!$D$45</definedName>
    <definedName name="LCDMModelBER" localSheetId="27">'NGC 3628'!$D$40</definedName>
    <definedName name="LCDMModelBER" localSheetId="28">'NGC 3900'!$D$48</definedName>
    <definedName name="LCDMModelBER" localSheetId="29">'NGC 3982'!$D$30</definedName>
    <definedName name="LCDMModelBER" localSheetId="30">'NGC 4258'!$D$47</definedName>
    <definedName name="LCDMModelBER" localSheetId="31">'NGC 4303'!$D$46</definedName>
    <definedName name="LCDMModelBER" localSheetId="32">'NGC 4321'!$D$46</definedName>
    <definedName name="LCDMModelBER" localSheetId="33">'NGC 4527'!$D$39</definedName>
    <definedName name="LCDMModelBER" localSheetId="34">'NGC 4565'!$D$49</definedName>
    <definedName name="LCDMModelBER" localSheetId="35">'NGC 4569'!$D$40</definedName>
    <definedName name="LCDMModelBER" localSheetId="36">'NGC 4736'!$D$37</definedName>
    <definedName name="LCDMModelBER" localSheetId="37">'NGC 4945'!$D$43</definedName>
    <definedName name="LCDMModelBER" localSheetId="38">'NGC 5033'!$D$49</definedName>
    <definedName name="LCDMModelBER" localSheetId="39">'NGC 5055'!$D$50</definedName>
    <definedName name="LCDMModelBER" localSheetId="40">'NGC 5236'!$D$50</definedName>
    <definedName name="LCDMModelBER" localSheetId="41">'NGC 5457'!$D$39</definedName>
    <definedName name="LCDMModelBER" localSheetId="42">'NGC 5907'!$D$47</definedName>
    <definedName name="LCDMModelBER" localSheetId="43">'NGC 6946'!$D$42</definedName>
    <definedName name="LCDMModelBER" localSheetId="44">'NGC 7013'!$D$45</definedName>
    <definedName name="LCDMModelBER" localSheetId="45">'UGC 03993'!$D$41</definedName>
    <definedName name="LCDMModelBTM" localSheetId="7">'NGC 0224'!$D$110</definedName>
    <definedName name="LCDMModelBTM" localSheetId="8">'NGC 0253'!$D$41</definedName>
    <definedName name="LCDMModelBTM" localSheetId="9">'NGC 0266'!$D$30</definedName>
    <definedName name="LCDMModelBTM" localSheetId="10">'NGC 0342'!$D$44</definedName>
    <definedName name="LCDMModelBTM" localSheetId="11">'NGC 0598'!$D$42</definedName>
    <definedName name="LCDMModelBTM" localSheetId="12">'NGC 0660'!$D$478</definedName>
    <definedName name="LCDMModelBTM" localSheetId="13">'NGC 0891'!$D$47</definedName>
    <definedName name="LCDMModelBTM" localSheetId="14">'NGC 1365'!$D$49</definedName>
    <definedName name="LCDMModelBTM" localSheetId="15">'NGC 1642'!$D$28</definedName>
    <definedName name="LCDMModelBTM" localSheetId="16">'NGC 1808'!$D$42</definedName>
    <definedName name="LCDMModelBTM" localSheetId="17">'NGC 2403'!$D$44</definedName>
    <definedName name="LCDMModelBTM" localSheetId="18">'NGC 2543'!$D$27</definedName>
    <definedName name="LCDMModelBTM" localSheetId="19">'NGC 2599'!$D$46</definedName>
    <definedName name="LCDMModelBTM" localSheetId="20">'NGC 2649'!$D$24</definedName>
    <definedName name="LCDMModelBTM" localSheetId="21">'NGC 2654'!$D$50</definedName>
    <definedName name="LCDMModelBTM" localSheetId="22">'NGC 2903'!$D$46</definedName>
    <definedName name="LCDMModelBTM" localSheetId="23">'NGC 2985'!$D$45</definedName>
    <definedName name="LCDMModelBTM" localSheetId="24">'NGC 3079'!$D$45</definedName>
    <definedName name="LCDMModelBTM" localSheetId="25">'NGC 3198'!$D$49</definedName>
    <definedName name="LCDMModelBTM" localSheetId="26">'NGC 3521'!$D$46</definedName>
    <definedName name="LCDMModelBTM" localSheetId="27">'NGC 3628'!$D$41</definedName>
    <definedName name="LCDMModelBTM" localSheetId="28">'NGC 3900'!$D$49</definedName>
    <definedName name="LCDMModelBTM" localSheetId="29">'NGC 3982'!$D$31</definedName>
    <definedName name="LCDMModelBTM" localSheetId="30">'NGC 4258'!$D$48</definedName>
    <definedName name="LCDMModelBTM" localSheetId="31">'NGC 4303'!$D$47</definedName>
    <definedName name="LCDMModelBTM" localSheetId="32">'NGC 4321'!$D$47</definedName>
    <definedName name="LCDMModelBTM" localSheetId="33">'NGC 4527'!$D$40</definedName>
    <definedName name="LCDMModelBTM" localSheetId="34">'NGC 4565'!$D$50</definedName>
    <definedName name="LCDMModelBTM" localSheetId="35">'NGC 4569'!$D$41</definedName>
    <definedName name="LCDMModelBTM" localSheetId="36">'NGC 4736'!$D$38</definedName>
    <definedName name="LCDMModelBTM" localSheetId="37">'NGC 4945'!$D$44</definedName>
    <definedName name="LCDMModelBTM" localSheetId="38">'NGC 5033'!$D$50</definedName>
    <definedName name="LCDMModelBTM" localSheetId="39">'NGC 5055'!$D$51</definedName>
    <definedName name="LCDMModelBTM" localSheetId="40">'NGC 5236'!$D$51</definedName>
    <definedName name="LCDMModelBTM" localSheetId="41">'NGC 5457'!$D$40</definedName>
    <definedName name="LCDMModelBTM" localSheetId="42">'NGC 5907'!$D$48</definedName>
    <definedName name="LCDMModelBTM" localSheetId="43">'NGC 6946'!$D$43</definedName>
    <definedName name="LCDMModelBTM" localSheetId="44">'NGC 7013'!$D$46</definedName>
    <definedName name="LCDMModelBTM" localSheetId="45">'UGC 03993'!$D$42</definedName>
    <definedName name="LCDMModelChiSquare" localSheetId="7">'NGC 0224'!$L$218</definedName>
    <definedName name="LCDMModelChiSquare" localSheetId="8">'NGC 0253'!$M$80</definedName>
    <definedName name="LCDMModelChiSquare" localSheetId="9">'NGC 0266'!$L$58</definedName>
    <definedName name="LCDMModelChiSquare" localSheetId="10">'NGC 0342'!$L$86</definedName>
    <definedName name="LCDMModelChiSquare" localSheetId="11">'NGC 0598'!$L$82</definedName>
    <definedName name="LCDMModelChiSquare" localSheetId="12">'NGC 0660'!$L$954</definedName>
    <definedName name="LCDMModelChiSquare" localSheetId="13">'NGC 0891'!$L$92</definedName>
    <definedName name="LCDMModelChiSquare" localSheetId="14">'NGC 1365'!$L$96</definedName>
    <definedName name="LCDMModelChiSquare" localSheetId="15">'NGC 1642'!$L$54</definedName>
    <definedName name="LCDMModelChiSquare" localSheetId="16">'NGC 1808'!$L$82</definedName>
    <definedName name="LCDMModelChiSquare" localSheetId="17">'NGC 2403'!$L$86</definedName>
    <definedName name="LCDMModelChiSquare" localSheetId="18">'NGC 2543'!$L$52</definedName>
    <definedName name="LCDMModelChiSquare" localSheetId="19">'NGC 2599'!$L$90</definedName>
    <definedName name="LCDMModelChiSquare" localSheetId="20">'NGC 2649'!$L$46</definedName>
    <definedName name="LCDMModelChiSquare" localSheetId="21">'NGC 2654'!$L$98</definedName>
    <definedName name="LCDMModelChiSquare" localSheetId="22">'NGC 2903'!$L$90</definedName>
    <definedName name="LCDMModelChiSquare" localSheetId="23">'NGC 2985'!$L$88</definedName>
    <definedName name="LCDMModelChiSquare" localSheetId="24">'NGC 3079'!$L$88</definedName>
    <definedName name="LCDMModelChiSquare" localSheetId="25">'NGC 3198'!$L$96</definedName>
    <definedName name="LCDMModelChiSquare" localSheetId="26">'NGC 3521'!$L$90</definedName>
    <definedName name="LCDMModelChiSquare" localSheetId="27">'NGC 3628'!$L$80</definedName>
    <definedName name="LCDMModelChiSquare" localSheetId="28">'NGC 3900'!$L$96</definedName>
    <definedName name="LCDMModelChiSquare" localSheetId="29">'NGC 3982'!$L$60</definedName>
    <definedName name="LCDMModelChiSquare" localSheetId="30">'NGC 4258'!$L$94</definedName>
    <definedName name="LCDMModelChiSquare" localSheetId="31">'NGC 4303'!$L$92</definedName>
    <definedName name="LCDMModelChiSquare" localSheetId="32">'NGC 4321'!$L$92</definedName>
    <definedName name="LCDMModelChiSquare" localSheetId="33">'NGC 4527'!$L$78</definedName>
    <definedName name="LCDMModelChiSquare" localSheetId="34">'NGC 4565'!$L$98</definedName>
    <definedName name="LCDMModelChiSquare" localSheetId="35">'NGC 4569'!$L$80</definedName>
    <definedName name="LCDMModelChiSquare" localSheetId="36">'NGC 4736'!$L$74</definedName>
    <definedName name="LCDMModelChiSquare" localSheetId="37">'NGC 4945'!$L$86</definedName>
    <definedName name="LCDMModelChiSquare" localSheetId="38">'NGC 5033'!$L$98</definedName>
    <definedName name="LCDMModelChiSquare" localSheetId="39">'NGC 5055'!$L$100</definedName>
    <definedName name="LCDMModelChiSquare" localSheetId="40">'NGC 5236'!$L$100</definedName>
    <definedName name="LCDMModelChiSquare" localSheetId="41">'NGC 5457'!$L$78</definedName>
    <definedName name="LCDMModelChiSquare" localSheetId="42">'NGC 5907'!$L$94</definedName>
    <definedName name="LCDMModelChiSquare" localSheetId="43">'NGC 6946'!$L$94</definedName>
    <definedName name="LCDMModelChiSquare" localSheetId="44">'NGC 7013'!$L$90</definedName>
    <definedName name="LCDMModelChiSquare" localSheetId="45">'UGC 03993'!$L$82</definedName>
    <definedName name="LCDMModelDSR" localSheetId="7">'NGC 0224'!$D$111</definedName>
    <definedName name="LCDMModelDSR" localSheetId="8">'NGC 0253'!$D$42</definedName>
    <definedName name="LCDMModelDSR" localSheetId="9">'NGC 0266'!$D$31</definedName>
    <definedName name="LCDMModelDSR" localSheetId="10">'NGC 0342'!$D$45</definedName>
    <definedName name="LCDMModelDSR" localSheetId="11">'NGC 0598'!$D$43</definedName>
    <definedName name="LCDMModelDSR" localSheetId="12">'NGC 0660'!$D$479</definedName>
    <definedName name="LCDMModelDSR" localSheetId="13">'NGC 0891'!$D$48</definedName>
    <definedName name="LCDMModelDSR" localSheetId="14">'NGC 1365'!$D$50</definedName>
    <definedName name="LCDMModelDSR" localSheetId="15">'NGC 1642'!$D$29</definedName>
    <definedName name="LCDMModelDSR" localSheetId="16">'NGC 1808'!$D$43</definedName>
    <definedName name="LCDMModelDSR" localSheetId="17">'NGC 2403'!$D$45</definedName>
    <definedName name="LCDMModelDSR" localSheetId="18">'NGC 2543'!$D$28</definedName>
    <definedName name="LCDMModelDSR" localSheetId="19">'NGC 2599'!$D$47</definedName>
    <definedName name="LCDMModelDSR" localSheetId="20">'NGC 2649'!$D$25</definedName>
    <definedName name="LCDMModelDSR" localSheetId="21">'NGC 2654'!$D$51</definedName>
    <definedName name="LCDMModelDSR" localSheetId="22">'NGC 2903'!$D$47</definedName>
    <definedName name="LCDMModelDSR" localSheetId="23">'NGC 2985'!$D$46</definedName>
    <definedName name="LCDMModelDSR" localSheetId="24">'NGC 3079'!$D$46</definedName>
    <definedName name="LCDMModelDSR" localSheetId="25">'NGC 3198'!$D$50</definedName>
    <definedName name="LCDMModelDSR" localSheetId="26">'NGC 3521'!$D$47</definedName>
    <definedName name="LCDMModelDSR" localSheetId="27">'NGC 3628'!$D$42</definedName>
    <definedName name="LCDMModelDSR" localSheetId="28">'NGC 3900'!$D$50</definedName>
    <definedName name="LCDMModelDSR" localSheetId="29">'NGC 3982'!$D$32</definedName>
    <definedName name="LCDMModelDSR" localSheetId="30">'NGC 4258'!$D$49</definedName>
    <definedName name="LCDMModelDSR" localSheetId="31">'NGC 4303'!$D$48</definedName>
    <definedName name="LCDMModelDSR" localSheetId="32">'NGC 4321'!$D$48</definedName>
    <definedName name="LCDMModelDSR" localSheetId="33">'NGC 4527'!$D$41</definedName>
    <definedName name="LCDMModelDSR" localSheetId="34">'NGC 4565'!$D$51</definedName>
    <definedName name="LCDMModelDSR" localSheetId="35">'NGC 4569'!$D$42</definedName>
    <definedName name="LCDMModelDSR" localSheetId="36">'NGC 4736'!$D$39</definedName>
    <definedName name="LCDMModelDSR" localSheetId="37">'NGC 4945'!$D$45</definedName>
    <definedName name="LCDMModelDSR" localSheetId="38">'NGC 5033'!$D$51</definedName>
    <definedName name="LCDMModelDSR" localSheetId="39">'NGC 5055'!$D$52</definedName>
    <definedName name="LCDMModelDSR" localSheetId="40">'NGC 5236'!$D$52</definedName>
    <definedName name="LCDMModelDSR" localSheetId="41">'NGC 5457'!$D$41</definedName>
    <definedName name="LCDMModelDSR" localSheetId="42">'NGC 5907'!$D$49</definedName>
    <definedName name="LCDMModelDSR" localSheetId="43">'NGC 6946'!$D$44</definedName>
    <definedName name="LCDMModelDSR" localSheetId="44">'NGC 7013'!$D$47</definedName>
    <definedName name="LCDMModelDSR" localSheetId="45">'UGC 03993'!$D$43</definedName>
    <definedName name="LCDMModelDTM" localSheetId="7">'NGC 0224'!$D$112</definedName>
    <definedName name="LCDMModelDTM" localSheetId="8">'NGC 0253'!$D$43</definedName>
    <definedName name="LCDMModelDTM" localSheetId="9">'NGC 0266'!$D$32</definedName>
    <definedName name="LCDMModelDTM" localSheetId="10">'NGC 0342'!$D$46</definedName>
    <definedName name="LCDMModelDTM" localSheetId="11">'NGC 0598'!$D$44</definedName>
    <definedName name="LCDMModelDTM" localSheetId="12">'NGC 0660'!$D$480</definedName>
    <definedName name="LCDMModelDTM" localSheetId="13">'NGC 0891'!$D$49</definedName>
    <definedName name="LCDMModelDTM" localSheetId="14">'NGC 1365'!$D$51</definedName>
    <definedName name="LCDMModelDTM" localSheetId="15">'NGC 1642'!$D$30</definedName>
    <definedName name="LCDMModelDTM" localSheetId="16">'NGC 1808'!$D$44</definedName>
    <definedName name="LCDMModelDTM" localSheetId="17">'NGC 2403'!$D$46</definedName>
    <definedName name="LCDMModelDTM" localSheetId="18">'NGC 2543'!$D$29</definedName>
    <definedName name="LCDMModelDTM" localSheetId="19">'NGC 2599'!$D$48</definedName>
    <definedName name="LCDMModelDTM" localSheetId="20">'NGC 2649'!$D$26</definedName>
    <definedName name="LCDMModelDTM" localSheetId="21">'NGC 2654'!$D$52</definedName>
    <definedName name="LCDMModelDTM" localSheetId="22">'NGC 2903'!$D$48</definedName>
    <definedName name="LCDMModelDTM" localSheetId="23">'NGC 2985'!$D$47</definedName>
    <definedName name="LCDMModelDTM" localSheetId="24">'NGC 3079'!$D$47</definedName>
    <definedName name="LCDMModelDTM" localSheetId="25">'NGC 3198'!$D$51</definedName>
    <definedName name="LCDMModelDTM" localSheetId="26">'NGC 3521'!$D$48</definedName>
    <definedName name="LCDMModelDTM" localSheetId="27">'NGC 3628'!$D$43</definedName>
    <definedName name="LCDMModelDTM" localSheetId="28">'NGC 3900'!$D$51</definedName>
    <definedName name="LCDMModelDTM" localSheetId="29">'NGC 3982'!$D$33</definedName>
    <definedName name="LCDMModelDTM" localSheetId="30">'NGC 4258'!$D$50</definedName>
    <definedName name="LCDMModelDTM" localSheetId="31">'NGC 4303'!$D$49</definedName>
    <definedName name="LCDMModelDTM" localSheetId="32">'NGC 4321'!$D$49</definedName>
    <definedName name="LCDMModelDTM" localSheetId="33">'NGC 4527'!$D$42</definedName>
    <definedName name="LCDMModelDTM" localSheetId="34">'NGC 4565'!$D$52</definedName>
    <definedName name="LCDMModelDTM" localSheetId="35">'NGC 4569'!$D$43</definedName>
    <definedName name="LCDMModelDTM" localSheetId="36">'NGC 4736'!$D$40</definedName>
    <definedName name="LCDMModelDTM" localSheetId="37">'NGC 4945'!$D$46</definedName>
    <definedName name="LCDMModelDTM" localSheetId="38">'NGC 5033'!$D$52</definedName>
    <definedName name="LCDMModelDTM" localSheetId="39">'NGC 5055'!$D$53</definedName>
    <definedName name="LCDMModelDTM" localSheetId="40">'NGC 5236'!$D$53</definedName>
    <definedName name="LCDMModelDTM" localSheetId="41">'NGC 5457'!$D$42</definedName>
    <definedName name="LCDMModelDTM" localSheetId="42">'NGC 5907'!$D$50</definedName>
    <definedName name="LCDMModelDTM" localSheetId="43">'NGC 6946'!$D$45</definedName>
    <definedName name="LCDMModelDTM" localSheetId="44">'NGC 7013'!$D$48</definedName>
    <definedName name="LCDMModelDTM" localSheetId="45">'UGC 03993'!$D$44</definedName>
    <definedName name="LCDMModelHSR" localSheetId="7">'NGC 0224'!$D$113</definedName>
    <definedName name="LCDMModelHSR" localSheetId="8">'NGC 0253'!$D$44</definedName>
    <definedName name="LCDMModelHSR" localSheetId="9">'NGC 0266'!$D$33</definedName>
    <definedName name="LCDMModelHSR" localSheetId="10">'NGC 0342'!$D$47</definedName>
    <definedName name="LCDMModelHSR" localSheetId="11">'NGC 0598'!$D$45</definedName>
    <definedName name="LCDMModelHSR" localSheetId="12">'NGC 0660'!$D$481</definedName>
    <definedName name="LCDMModelHSR" localSheetId="13">'NGC 0891'!$D$50</definedName>
    <definedName name="LCDMModelHSR" localSheetId="14">'NGC 1365'!$D$52</definedName>
    <definedName name="LCDMModelHSR" localSheetId="15">'NGC 1642'!$D$31</definedName>
    <definedName name="LCDMModelHSR" localSheetId="16">'NGC 1808'!$D$45</definedName>
    <definedName name="LCDMModelHSR" localSheetId="17">'NGC 2403'!$D$47</definedName>
    <definedName name="LCDMModelHSR" localSheetId="18">'NGC 2543'!$D$30</definedName>
    <definedName name="LCDMModelHSR" localSheetId="19">'NGC 2599'!$D$49</definedName>
    <definedName name="LCDMModelHSR" localSheetId="20">'NGC 2649'!$D$27</definedName>
    <definedName name="LCDMModelHSR" localSheetId="21">'NGC 2654'!$D$53</definedName>
    <definedName name="LCDMModelHSR" localSheetId="22">'NGC 2903'!$D$49</definedName>
    <definedName name="LCDMModelHSR" localSheetId="23">'NGC 2985'!$D$48</definedName>
    <definedName name="LCDMModelHSR" localSheetId="24">'NGC 3079'!$D$48</definedName>
    <definedName name="LCDMModelHSR" localSheetId="25">'NGC 3198'!$D$52</definedName>
    <definedName name="LCDMModelHSR" localSheetId="26">'NGC 3521'!$D$49</definedName>
    <definedName name="LCDMModelHSR" localSheetId="27">'NGC 3628'!$D$44</definedName>
    <definedName name="LCDMModelHSR" localSheetId="28">'NGC 3900'!$D$52</definedName>
    <definedName name="LCDMModelHSR" localSheetId="29">'NGC 3982'!$D$34</definedName>
    <definedName name="LCDMModelHSR" localSheetId="30">'NGC 4258'!$D$51</definedName>
    <definedName name="LCDMModelHSR" localSheetId="31">'NGC 4303'!$D$50</definedName>
    <definedName name="LCDMModelHSR" localSheetId="32">'NGC 4321'!$D$50</definedName>
    <definedName name="LCDMModelHSR" localSheetId="33">'NGC 4527'!$D$43</definedName>
    <definedName name="LCDMModelHSR" localSheetId="34">'NGC 4565'!$D$53</definedName>
    <definedName name="LCDMModelHSR" localSheetId="35">'NGC 4569'!$D$44</definedName>
    <definedName name="LCDMModelHSR" localSheetId="36">'NGC 4736'!$D$41</definedName>
    <definedName name="LCDMModelHSR" localSheetId="37">'NGC 4945'!$D$47</definedName>
    <definedName name="LCDMModelHSR" localSheetId="38">'NGC 5033'!$D$53</definedName>
    <definedName name="LCDMModelHSR" localSheetId="39">'NGC 5055'!$D$54</definedName>
    <definedName name="LCDMModelHSR" localSheetId="40">'NGC 5236'!$D$54</definedName>
    <definedName name="LCDMModelHSR" localSheetId="41">'NGC 5457'!$D$43</definedName>
    <definedName name="LCDMModelHSR" localSheetId="42">'NGC 5907'!$D$51</definedName>
    <definedName name="LCDMModelHSR" localSheetId="43">'NGC 6946'!$D$46</definedName>
    <definedName name="LCDMModelHSR" localSheetId="44">'NGC 7013'!$D$49</definedName>
    <definedName name="LCDMModelHSR" localSheetId="45">'UGC 03993'!$D$45</definedName>
    <definedName name="LCDMModelHTM" localSheetId="7">'NGC 0224'!$D$114</definedName>
    <definedName name="LCDMModelHTM" localSheetId="8">'NGC 0253'!$D$45</definedName>
    <definedName name="LCDMModelHTM" localSheetId="9">'NGC 0266'!$D$34</definedName>
    <definedName name="LCDMModelHTM" localSheetId="10">'NGC 0342'!$D$48</definedName>
    <definedName name="LCDMModelHTM" localSheetId="11">'NGC 0598'!$D$46</definedName>
    <definedName name="LCDMModelHTM" localSheetId="12">'NGC 0660'!$D$482</definedName>
    <definedName name="LCDMModelHTM" localSheetId="13">'NGC 0891'!$D$51</definedName>
    <definedName name="LCDMModelHTM" localSheetId="14">'NGC 1365'!$D$53</definedName>
    <definedName name="LCDMModelHTM" localSheetId="15">'NGC 1642'!$D$32</definedName>
    <definedName name="LCDMModelHTM" localSheetId="16">'NGC 1808'!$D$46</definedName>
    <definedName name="LCDMModelHTM" localSheetId="17">'NGC 2403'!$D$48</definedName>
    <definedName name="LCDMModelHTM" localSheetId="18">'NGC 2543'!$D$31</definedName>
    <definedName name="LCDMModelHTM" localSheetId="19">'NGC 2599'!$D$50</definedName>
    <definedName name="LCDMModelHTM" localSheetId="20">'NGC 2649'!$D$28</definedName>
    <definedName name="LCDMModelHTM" localSheetId="21">'NGC 2654'!$D$54</definedName>
    <definedName name="LCDMModelHTM" localSheetId="22">'NGC 2903'!$D$50</definedName>
    <definedName name="LCDMModelHTM" localSheetId="23">'NGC 2985'!$D$49</definedName>
    <definedName name="LCDMModelHTM" localSheetId="24">'NGC 3079'!$D$49</definedName>
    <definedName name="LCDMModelHTM" localSheetId="25">'NGC 3198'!$D$53</definedName>
    <definedName name="LCDMModelHTM" localSheetId="26">'NGC 3521'!$D$50</definedName>
    <definedName name="LCDMModelHTM" localSheetId="27">'NGC 3628'!$D$45</definedName>
    <definedName name="LCDMModelHTM" localSheetId="28">'NGC 3900'!$D$53</definedName>
    <definedName name="LCDMModelHTM" localSheetId="29">'NGC 3982'!$D$35</definedName>
    <definedName name="LCDMModelHTM" localSheetId="30">'NGC 4258'!$D$52</definedName>
    <definedName name="LCDMModelHTM" localSheetId="31">'NGC 4303'!$D$51</definedName>
    <definedName name="LCDMModelHTM" localSheetId="32">'NGC 4321'!$D$51</definedName>
    <definedName name="LCDMModelHTM" localSheetId="33">'NGC 4527'!$D$44</definedName>
    <definedName name="LCDMModelHTM" localSheetId="34">'NGC 4565'!$D$54</definedName>
    <definedName name="LCDMModelHTM" localSheetId="35">'NGC 4569'!$D$45</definedName>
    <definedName name="LCDMModelHTM" localSheetId="36">'NGC 4736'!$D$42</definedName>
    <definedName name="LCDMModelHTM" localSheetId="37">'NGC 4945'!$D$48</definedName>
    <definedName name="LCDMModelHTM" localSheetId="38">'NGC 5033'!$D$54</definedName>
    <definedName name="LCDMModelHTM" localSheetId="39">'NGC 5055'!$D$55</definedName>
    <definedName name="LCDMModelHTM" localSheetId="40">'NGC 5236'!$D$55</definedName>
    <definedName name="LCDMModelHTM" localSheetId="41">'NGC 5457'!$D$44</definedName>
    <definedName name="LCDMModelHTM" localSheetId="42">'NGC 5907'!$D$52</definedName>
    <definedName name="LCDMModelHTM" localSheetId="43">'NGC 6946'!$D$47</definedName>
    <definedName name="LCDMModelHTM" localSheetId="44">'NGC 7013'!$D$50</definedName>
    <definedName name="LCDMModelHTM" localSheetId="45">'UGC 03993'!$D$46</definedName>
    <definedName name="LCDMRedshift">Constants!$B$24</definedName>
    <definedName name="LCDMScaleLength" localSheetId="7">'NGC 0224'!$E$111</definedName>
    <definedName name="LCDMScaleLength" localSheetId="8">'NGC 0253'!$E$42</definedName>
    <definedName name="LCDMScaleLength" localSheetId="9">'NGC 0266'!$E$31</definedName>
    <definedName name="LCDMScaleLength" localSheetId="10">'NGC 0342'!$E$45</definedName>
    <definedName name="LCDMScaleLength" localSheetId="11">'NGC 0598'!$E$43</definedName>
    <definedName name="LCDMScaleLength" localSheetId="12">'NGC 0660'!$E$479</definedName>
    <definedName name="LCDMScaleLength" localSheetId="13">'NGC 0891'!$E$48</definedName>
    <definedName name="LCDMScaleLength" localSheetId="14">'NGC 1365'!$E$50</definedName>
    <definedName name="LCDMScaleLength" localSheetId="15">'NGC 1642'!$E$29</definedName>
    <definedName name="LCDMScaleLength" localSheetId="16">'NGC 1808'!$E$43</definedName>
    <definedName name="LCDMScaleLength" localSheetId="17">'NGC 2403'!$E$45</definedName>
    <definedName name="LCDMScaleLength" localSheetId="18">'NGC 2543'!$E$28</definedName>
    <definedName name="LCDMScaleLength" localSheetId="19">'NGC 2599'!$E$47</definedName>
    <definedName name="LCDMScaleLength" localSheetId="20">'NGC 2649'!$E$25</definedName>
    <definedName name="LCDMScaleLength" localSheetId="21">'NGC 2654'!$E$51</definedName>
    <definedName name="LCDMScaleLength" localSheetId="22">'NGC 2903'!$E$47</definedName>
    <definedName name="LCDMScaleLength" localSheetId="23">'NGC 2985'!$E$46</definedName>
    <definedName name="LCDMScaleLength" localSheetId="24">'NGC 3079'!$E$46</definedName>
    <definedName name="LCDMScaleLength" localSheetId="25">'NGC 3198'!$E$50</definedName>
    <definedName name="LCDMScaleLength" localSheetId="26">'NGC 3521'!$E$47</definedName>
    <definedName name="LCDMScaleLength" localSheetId="27">'NGC 3628'!$E$42</definedName>
    <definedName name="LCDMScaleLength" localSheetId="28">'NGC 3900'!$E$50</definedName>
    <definedName name="LCDMScaleLength" localSheetId="29">'NGC 3982'!$E$32</definedName>
    <definedName name="LCDMScaleLength" localSheetId="30">'NGC 4258'!$E$49</definedName>
    <definedName name="LCDMScaleLength" localSheetId="31">'NGC 4303'!$E$48</definedName>
    <definedName name="LCDMScaleLength" localSheetId="32">'NGC 4321'!$E$48</definedName>
    <definedName name="LCDMScaleLength" localSheetId="33">'NGC 4527'!$E$41</definedName>
    <definedName name="LCDMScaleLength" localSheetId="34">'NGC 4565'!$E$51</definedName>
    <definedName name="LCDMScaleLength" localSheetId="35">'NGC 4569'!$E$42</definedName>
    <definedName name="LCDMScaleLength" localSheetId="36">'NGC 4736'!$E$39</definedName>
    <definedName name="LCDMScaleLength" localSheetId="37">'NGC 4945'!$E$45</definedName>
    <definedName name="LCDMScaleLength" localSheetId="38">'NGC 5033'!$E$51</definedName>
    <definedName name="LCDMScaleLength" localSheetId="39">'NGC 5055'!$E$52</definedName>
    <definedName name="LCDMScaleLength" localSheetId="40">'NGC 5236'!$E$52</definedName>
    <definedName name="LCDMScaleLength" localSheetId="41">'NGC 5457'!$E$41</definedName>
    <definedName name="LCDMScaleLength" localSheetId="42">'NGC 5907'!$E$49</definedName>
    <definedName name="LCDMScaleLength" localSheetId="43">'NGC 6946'!$E$44</definedName>
    <definedName name="LCDMScaleLength" localSheetId="44">'NGC 7013'!$E$47</definedName>
    <definedName name="LCDMScaleLength" localSheetId="45">'UGC 03993'!$E$43</definedName>
    <definedName name="LCDMTotalBulgeMass" localSheetId="7">'NGC 0224'!$E$110</definedName>
    <definedName name="LCDMTotalBulgeMass" localSheetId="8">'NGC 0253'!$E$41</definedName>
    <definedName name="LCDMTotalBulgeMass" localSheetId="9">'NGC 0266'!$E$30</definedName>
    <definedName name="LCDMTotalBulgeMass" localSheetId="10">'NGC 0342'!$E$44</definedName>
    <definedName name="LCDMTotalBulgeMass" localSheetId="11">'NGC 0598'!$E$42</definedName>
    <definedName name="LCDMTotalBulgeMass" localSheetId="12">'NGC 0660'!$E$478</definedName>
    <definedName name="LCDMTotalBulgeMass" localSheetId="13">'NGC 0891'!$E$47</definedName>
    <definedName name="LCDMTotalBulgeMass" localSheetId="14">'NGC 1365'!$E$49</definedName>
    <definedName name="LCDMTotalBulgeMass" localSheetId="15">'NGC 1642'!$E$28</definedName>
    <definedName name="LCDMTotalBulgeMass" localSheetId="16">'NGC 1808'!$E$42</definedName>
    <definedName name="LCDMTotalBulgeMass" localSheetId="17">'NGC 2403'!$E$44</definedName>
    <definedName name="LCDMTotalBulgeMass" localSheetId="18">'NGC 2543'!$E$27</definedName>
    <definedName name="LCDMTotalBulgeMass" localSheetId="19">'NGC 2599'!$E$46</definedName>
    <definedName name="LCDMTotalBulgeMass" localSheetId="20">'NGC 2649'!$E$24</definedName>
    <definedName name="LCDMTotalBulgeMass" localSheetId="21">'NGC 2654'!$E$50</definedName>
    <definedName name="LCDMTotalBulgeMass" localSheetId="22">'NGC 2903'!$E$46</definedName>
    <definedName name="LCDMTotalBulgeMass" localSheetId="23">'NGC 2985'!$E$45</definedName>
    <definedName name="LCDMTotalBulgeMass" localSheetId="24">'NGC 3079'!$E$45</definedName>
    <definedName name="LCDMTotalBulgeMass" localSheetId="25">'NGC 3198'!$E$49</definedName>
    <definedName name="LCDMTotalBulgeMass" localSheetId="26">'NGC 3521'!$E$46</definedName>
    <definedName name="LCDMTotalBulgeMass" localSheetId="27">'NGC 3628'!$E$41</definedName>
    <definedName name="LCDMTotalBulgeMass" localSheetId="28">'NGC 3900'!$E$49</definedName>
    <definedName name="LCDMTotalBulgeMass" localSheetId="29">'NGC 3982'!$E$31</definedName>
    <definedName name="LCDMTotalBulgeMass" localSheetId="30">'NGC 4258'!$E$48</definedName>
    <definedName name="LCDMTotalBulgeMass" localSheetId="31">'NGC 4303'!$E$47</definedName>
    <definedName name="LCDMTotalBulgeMass" localSheetId="32">'NGC 4321'!$E$47</definedName>
    <definedName name="LCDMTotalBulgeMass" localSheetId="33">'NGC 4527'!$E$40</definedName>
    <definedName name="LCDMTotalBulgeMass" localSheetId="34">'NGC 4565'!$E$50</definedName>
    <definedName name="LCDMTotalBulgeMass" localSheetId="35">'NGC 4569'!$E$41</definedName>
    <definedName name="LCDMTotalBulgeMass" localSheetId="36">'NGC 4736'!$E$38</definedName>
    <definedName name="LCDMTotalBulgeMass" localSheetId="37">'NGC 4945'!$E$44</definedName>
    <definedName name="LCDMTotalBulgeMass" localSheetId="38">'NGC 5033'!$E$50</definedName>
    <definedName name="LCDMTotalBulgeMass" localSheetId="39">'NGC 5055'!$E$51</definedName>
    <definedName name="LCDMTotalBulgeMass" localSheetId="40">'NGC 5236'!$E$51</definedName>
    <definedName name="LCDMTotalBulgeMass" localSheetId="41">'NGC 5457'!$E$40</definedName>
    <definedName name="LCDMTotalBulgeMass" localSheetId="42">'NGC 5907'!$E$48</definedName>
    <definedName name="LCDMTotalBulgeMass" localSheetId="43">'NGC 6946'!$E$43</definedName>
    <definedName name="LCDMTotalBulgeMass" localSheetId="44">'NGC 7013'!$E$46</definedName>
    <definedName name="LCDMTotalBulgeMass" localSheetId="45">'UGC 03993'!$E$42</definedName>
    <definedName name="LightTravelDistance" localSheetId="5">Geometry!$B:$B</definedName>
    <definedName name="LightYear">Constants!$B$12</definedName>
    <definedName name="Mag">'SNe Ia Data'!$A$8</definedName>
    <definedName name="MassToLuminosity" localSheetId="7">'NGC 0224'!$G$4</definedName>
    <definedName name="MassToLuminosity" localSheetId="8">'NGC 0253'!$G$4</definedName>
    <definedName name="MassToLuminosity" localSheetId="9">'NGC 0266'!$G$4</definedName>
    <definedName name="MassToLuminosity" localSheetId="10">'NGC 0342'!$G$4</definedName>
    <definedName name="MassToLuminosity" localSheetId="11">'NGC 0598'!$G$4</definedName>
    <definedName name="MassToLuminosity" localSheetId="12">'NGC 0660'!$G$4</definedName>
    <definedName name="MassToLuminosity" localSheetId="13">'NGC 0891'!$G$4</definedName>
    <definedName name="MassToLuminosity" localSheetId="14">'NGC 1365'!$G$4</definedName>
    <definedName name="MassToLuminosity" localSheetId="15">'NGC 1642'!$G$4</definedName>
    <definedName name="MassToLuminosity" localSheetId="16">'NGC 1808'!$G$4</definedName>
    <definedName name="MassToLuminosity" localSheetId="17">'NGC 2403'!$G$4</definedName>
    <definedName name="MassToLuminosity" localSheetId="18">'NGC 2543'!$G$4</definedName>
    <definedName name="MassToLuminosity" localSheetId="19">'NGC 2599'!$G$4</definedName>
    <definedName name="MassToLuminosity" localSheetId="20">'NGC 2649'!$G$4</definedName>
    <definedName name="MassToLuminosity" localSheetId="21">'NGC 2654'!$G$4</definedName>
    <definedName name="MassToLuminosity" localSheetId="22">'NGC 2903'!$G$4</definedName>
    <definedName name="MassToLuminosity" localSheetId="23">'NGC 2985'!$G$4</definedName>
    <definedName name="MassToLuminosity" localSheetId="24">'NGC 3079'!$G$4</definedName>
    <definedName name="MassToLuminosity" localSheetId="25">'NGC 3198'!$G$4</definedName>
    <definedName name="MassToLuminosity" localSheetId="26">'NGC 3521'!$G$4</definedName>
    <definedName name="MassToLuminosity" localSheetId="27">'NGC 3628'!$G$4</definedName>
    <definedName name="MassToLuminosity" localSheetId="28">'NGC 3900'!$G$4</definedName>
    <definedName name="MassToLuminosity" localSheetId="29">'NGC 3982'!$G$4</definedName>
    <definedName name="MassToLuminosity" localSheetId="30">'NGC 4258'!$G$4</definedName>
    <definedName name="MassToLuminosity" localSheetId="31">'NGC 4303'!$G$4</definedName>
    <definedName name="MassToLuminosity" localSheetId="32">'NGC 4321'!$G$4</definedName>
    <definedName name="MassToLuminosity" localSheetId="33">'NGC 4527'!$G$4</definedName>
    <definedName name="MassToLuminosity" localSheetId="34">'NGC 4565'!$G$4</definedName>
    <definedName name="MassToLuminosity" localSheetId="35">'NGC 4569'!$G$4</definedName>
    <definedName name="MassToLuminosity" localSheetId="36">'NGC 4736'!$G$4</definedName>
    <definedName name="MassToLuminosity" localSheetId="37">'NGC 4945'!$G$4</definedName>
    <definedName name="MassToLuminosity" localSheetId="38">'NGC 5033'!$G$4</definedName>
    <definedName name="MassToLuminosity" localSheetId="39">'NGC 5055'!$G$4</definedName>
    <definedName name="MassToLuminosity" localSheetId="40">'NGC 5236'!$G$4</definedName>
    <definedName name="MassToLuminosity" localSheetId="41">'NGC 5457'!$G$4</definedName>
    <definedName name="MassToLuminosity" localSheetId="42">'NGC 5907'!$G$4</definedName>
    <definedName name="MassToLuminosity" localSheetId="43">'NGC 6946'!$G$4</definedName>
    <definedName name="MassToLuminosity" localSheetId="44">'NGC 7013'!$G$4</definedName>
    <definedName name="MassToLuminosity" localSheetId="45">'UGC 03993'!$G$4</definedName>
    <definedName name="Mb" localSheetId="1">'SNe Ia Data'!$B$4</definedName>
    <definedName name="MeanObservedDistanceModuli" localSheetId="1">'SNe Ia Data'!$L$483</definedName>
    <definedName name="MeanObservedLuminousDistance">'SNe Ia Data'!$M$483</definedName>
    <definedName name="ModelVelocity" localSheetId="7">'NGC 0224'!$K:$K</definedName>
    <definedName name="ModelVelocity" localSheetId="8">'NGC 0253'!$L:$L</definedName>
    <definedName name="ModelVelocity" localSheetId="9">'NGC 0266'!$K:$K</definedName>
    <definedName name="ModelVelocity" localSheetId="10">'NGC 0342'!$K:$K</definedName>
    <definedName name="ModelVelocity" localSheetId="11">'NGC 0598'!$K:$K</definedName>
    <definedName name="ModelVelocity" localSheetId="12">'NGC 0660'!$K:$K</definedName>
    <definedName name="ModelVelocity" localSheetId="13">'NGC 0891'!$K:$K</definedName>
    <definedName name="ModelVelocity" localSheetId="14">'NGC 1365'!$K:$K</definedName>
    <definedName name="ModelVelocity" localSheetId="15">'NGC 1642'!$K:$K</definedName>
    <definedName name="ModelVelocity" localSheetId="16">'NGC 1808'!$K:$K</definedName>
    <definedName name="ModelVelocity" localSheetId="17">'NGC 2403'!$K:$K</definedName>
    <definedName name="ModelVelocity" localSheetId="18">'NGC 2543'!$K:$K</definedName>
    <definedName name="ModelVelocity" localSheetId="19">'NGC 2599'!$K:$K</definedName>
    <definedName name="ModelVelocity" localSheetId="20">'NGC 2649'!$K:$K</definedName>
    <definedName name="ModelVelocity" localSheetId="21">'NGC 2654'!$K:$K</definedName>
    <definedName name="ModelVelocity" localSheetId="22">'NGC 2903'!$K:$K</definedName>
    <definedName name="ModelVelocity" localSheetId="23">'NGC 2985'!$K:$K</definedName>
    <definedName name="ModelVelocity" localSheetId="24">'NGC 3079'!$K:$K</definedName>
    <definedName name="ModelVelocity" localSheetId="25">'NGC 3198'!$K:$K</definedName>
    <definedName name="ModelVelocity" localSheetId="26">'NGC 3521'!$K:$K</definedName>
    <definedName name="ModelVelocity" localSheetId="27">'NGC 3628'!$K:$K</definedName>
    <definedName name="ModelVelocity" localSheetId="28">'NGC 3900'!$K:$K</definedName>
    <definedName name="ModelVelocity" localSheetId="29">'NGC 3982'!$K:$K</definedName>
    <definedName name="ModelVelocity" localSheetId="30">'NGC 4258'!$K:$K</definedName>
    <definedName name="ModelVelocity" localSheetId="31">'NGC 4303'!$K:$K</definedName>
    <definedName name="ModelVelocity" localSheetId="32">'NGC 4321'!$K:$K</definedName>
    <definedName name="ModelVelocity" localSheetId="33">'NGC 4527'!$K:$K</definedName>
    <definedName name="ModelVelocity" localSheetId="34">'NGC 4565'!$K:$K</definedName>
    <definedName name="ModelVelocity" localSheetId="35">'NGC 4569'!$K:$K</definedName>
    <definedName name="ModelVelocity" localSheetId="36">'NGC 4736'!$K:$K</definedName>
    <definedName name="ModelVelocity" localSheetId="37">'NGC 4945'!$K:$K</definedName>
    <definedName name="ModelVelocity" localSheetId="38">'NGC 5033'!$K:$K</definedName>
    <definedName name="ModelVelocity" localSheetId="39">'NGC 5055'!$K:$K</definedName>
    <definedName name="ModelVelocity" localSheetId="40">'NGC 5236'!$K:$K</definedName>
    <definedName name="ModelVelocity" localSheetId="41">'NGC 5457'!$K:$K</definedName>
    <definedName name="ModelVelocity" localSheetId="42">'NGC 5907'!$K:$K</definedName>
    <definedName name="ModelVelocity" localSheetId="43">'NGC 6946'!$K:$K</definedName>
    <definedName name="ModelVelocity" localSheetId="44">'NGC 7013'!$K:$K</definedName>
    <definedName name="ModelVelocity" localSheetId="45">'UGC 03993'!$K:$K</definedName>
    <definedName name="Mpc">Constants!$B$4</definedName>
    <definedName name="Myr">Constants!$B$8</definedName>
    <definedName name="ObservedDistanceModuli">'SNe Ia Data'!$L:$L</definedName>
    <definedName name="ObservedLuminousDistance">'SNe Ia Data'!$M:$M</definedName>
    <definedName name="observedMass">'BTFR Data'!$K:$K</definedName>
    <definedName name="ObservedVelocity" localSheetId="7">'NGC 0224'!$I:$I</definedName>
    <definedName name="ObservedVelocity" localSheetId="9">'NGC 0266'!$I:$I</definedName>
    <definedName name="ObservedVelocity" localSheetId="10">'NGC 0342'!$I:$I</definedName>
    <definedName name="ObservedVelocity" localSheetId="11">'NGC 0598'!$I:$I</definedName>
    <definedName name="ObservedVelocity" localSheetId="12">'NGC 0660'!$I:$I</definedName>
    <definedName name="ObservedVelocity" localSheetId="13">'NGC 0891'!$I:$I</definedName>
    <definedName name="ObservedVelocity" localSheetId="14">'NGC 1365'!$I:$I</definedName>
    <definedName name="ObservedVelocity" localSheetId="15">'NGC 1642'!$I:$I</definedName>
    <definedName name="ObservedVelocity" localSheetId="16">'NGC 1808'!$I:$I</definedName>
    <definedName name="ObservedVelocity" localSheetId="17">'NGC 2403'!$I:$I</definedName>
    <definedName name="ObservedVelocity" localSheetId="18">'NGC 2543'!$I:$I</definedName>
    <definedName name="ObservedVelocity" localSheetId="19">'NGC 2599'!$I:$I</definedName>
    <definedName name="ObservedVelocity" localSheetId="20">'NGC 2649'!$I:$I</definedName>
    <definedName name="ObservedVelocity" localSheetId="21">'NGC 2654'!$I:$I</definedName>
    <definedName name="ObservedVelocity" localSheetId="22">'NGC 2903'!$I:$I</definedName>
    <definedName name="ObservedVelocity" localSheetId="23">'NGC 2985'!$I:$I</definedName>
    <definedName name="ObservedVelocity" localSheetId="24">'NGC 3079'!$I:$I</definedName>
    <definedName name="ObservedVelocity" localSheetId="25">'NGC 3198'!$I:$I</definedName>
    <definedName name="ObservedVelocity" localSheetId="26">'NGC 3521'!$I:$I</definedName>
    <definedName name="ObservedVelocity" localSheetId="27">'NGC 3628'!$I:$I</definedName>
    <definedName name="ObservedVelocity" localSheetId="28">'NGC 3900'!$I:$I</definedName>
    <definedName name="ObservedVelocity" localSheetId="29">'NGC 3982'!$I:$I</definedName>
    <definedName name="ObservedVelocity" localSheetId="30">'NGC 4258'!$I:$I</definedName>
    <definedName name="ObservedVelocity" localSheetId="31">'NGC 4303'!$I:$I</definedName>
    <definedName name="ObservedVelocity" localSheetId="32">'NGC 4321'!$I:$I</definedName>
    <definedName name="ObservedVelocity" localSheetId="33">'NGC 4527'!$I:$I</definedName>
    <definedName name="ObservedVelocity" localSheetId="34">'NGC 4565'!$I:$I</definedName>
    <definedName name="ObservedVelocity" localSheetId="35">'NGC 4569'!$I:$I</definedName>
    <definedName name="ObservedVelocity" localSheetId="36">'NGC 4736'!$I:$I</definedName>
    <definedName name="ObservedVelocity" localSheetId="37">'NGC 4945'!$I:$I</definedName>
    <definedName name="ObservedVelocity" localSheetId="38">'NGC 5033'!$I:$I</definedName>
    <definedName name="ObservedVelocity" localSheetId="39">'NGC 5055'!$I:$I</definedName>
    <definedName name="ObservedVelocity" localSheetId="40">'NGC 5236'!$I:$I</definedName>
    <definedName name="ObservedVelocity" localSheetId="41">'NGC 5457'!$I:$I</definedName>
    <definedName name="ObservedVelocity" localSheetId="42">'NGC 5907'!$I:$I</definedName>
    <definedName name="ObservedVelocity" localSheetId="43">'NGC 6946'!$I:$I</definedName>
    <definedName name="ObservedVelocity" localSheetId="44">'NGC 7013'!$I:$I</definedName>
    <definedName name="ObservedVelocity" localSheetId="45">'UGC 03993'!$I:$I</definedName>
    <definedName name="ObservedVelocityKm" localSheetId="8">'NGC 0253'!$I:$I</definedName>
    <definedName name="ObservedVelocityM">'NGC 0253'!$J:$J</definedName>
    <definedName name="pc">Constants!$B$2</definedName>
    <definedName name="PeakMagnitude" localSheetId="1">'SNe Ia Data'!$D:$D</definedName>
    <definedName name="PeakMagnitudeError" localSheetId="1">'SNe Ia Data'!$E:$E</definedName>
    <definedName name="PlanckAngularScale">Constants!$B$23</definedName>
    <definedName name="PlanckConstant">Constants!$B$16</definedName>
    <definedName name="predictedMass">'BTFR Data'!$L:$L</definedName>
    <definedName name="ProtonMass">Constants!$B$36</definedName>
    <definedName name="QEHModelChiSquare" localSheetId="7">'NGC 0224'!$L$106</definedName>
    <definedName name="QEHModelChiSquare" localSheetId="8">'NGC 0253'!$M$37</definedName>
    <definedName name="QEHModelChiSquare" localSheetId="9">'NGC 0266'!$L$26</definedName>
    <definedName name="QEHModelChiSquare" localSheetId="10">'NGC 0342'!$L$40</definedName>
    <definedName name="QEHModelChiSquare" localSheetId="11">'NGC 0598'!$L$38</definedName>
    <definedName name="QEHModelChiSquare" localSheetId="12">'NGC 0660'!$L$474</definedName>
    <definedName name="QEHModelChiSquare" localSheetId="13">'NGC 0891'!$L$43</definedName>
    <definedName name="QEHModelChiSquare" localSheetId="14">'NGC 1365'!$L$45</definedName>
    <definedName name="QEHModelChiSquare" localSheetId="15">'NGC 1642'!$L$24</definedName>
    <definedName name="QEHModelChiSquare" localSheetId="16">'NGC 1808'!$L$38</definedName>
    <definedName name="QEHModelChiSquare" localSheetId="17">'NGC 2403'!$L$40</definedName>
    <definedName name="QEHModelChiSquare" localSheetId="18">'NGC 2543'!$L$23</definedName>
    <definedName name="QEHModelChiSquare" localSheetId="19">'NGC 2599'!$L$42</definedName>
    <definedName name="QEHModelChiSquare" localSheetId="20">'NGC 2649'!$L$20</definedName>
    <definedName name="QEHModelChiSquare" localSheetId="21">'NGC 2654'!$L$46</definedName>
    <definedName name="QEHModelChiSquare" localSheetId="22">'NGC 2903'!$L$42</definedName>
    <definedName name="QEHModelChiSquare" localSheetId="23">'NGC 2985'!$L$41</definedName>
    <definedName name="QEHModelChiSquare" localSheetId="24">'NGC 3079'!$L$41</definedName>
    <definedName name="QEHModelChiSquare" localSheetId="25">'NGC 3198'!$L$45</definedName>
    <definedName name="QEHModelChiSquare" localSheetId="26">'NGC 3521'!$L$42</definedName>
    <definedName name="QEHModelChiSquare" localSheetId="27">'NGC 3628'!$L$37</definedName>
    <definedName name="QEHModelChiSquare" localSheetId="28">'NGC 3900'!$L$45</definedName>
    <definedName name="QEHModelChiSquare" localSheetId="29">'NGC 3982'!$L$27</definedName>
    <definedName name="QEHModelChiSquare" localSheetId="30">'NGC 4258'!$L$44</definedName>
    <definedName name="QEHModelChiSquare" localSheetId="31">'NGC 4303'!$L$43</definedName>
    <definedName name="QEHModelChiSquare" localSheetId="32">'NGC 4321'!$L$43</definedName>
    <definedName name="QEHModelChiSquare" localSheetId="33">'NGC 4527'!$L$36</definedName>
    <definedName name="QEHModelChiSquare" localSheetId="34">'NGC 4565'!$L$46</definedName>
    <definedName name="QEHModelChiSquare" localSheetId="35">'NGC 4569'!$L$37</definedName>
    <definedName name="QEHModelChiSquare" localSheetId="36">'NGC 4736'!$L$34</definedName>
    <definedName name="QEHModelChiSquare" localSheetId="37">'NGC 4945'!$L$40</definedName>
    <definedName name="QEHModelChiSquare" localSheetId="38">'NGC 5033'!$L$46</definedName>
    <definedName name="QEHModelChiSquare" localSheetId="39">'NGC 5055'!$L$47</definedName>
    <definedName name="QEHModelChiSquare" localSheetId="40">'NGC 5236'!$L$47</definedName>
    <definedName name="QEHModelChiSquare" localSheetId="41">'NGC 5457'!$L$36</definedName>
    <definedName name="QEHModelChiSquare" localSheetId="42">'NGC 5907'!$L$44</definedName>
    <definedName name="QEHModelChiSquare" localSheetId="43">'NGC 6946'!$L$39</definedName>
    <definedName name="QEHModelChiSquare" localSheetId="44">'NGC 7013'!$L$42</definedName>
    <definedName name="QEHModelChiSquare" localSheetId="45">'UGC 03993'!$L$38</definedName>
    <definedName name="QESBulgeEffectiveRadius" localSheetId="7">'NGC 0224'!$D$2</definedName>
    <definedName name="QESBulgeEffectiveRadius" localSheetId="8">'NGC 0253'!$D$2</definedName>
    <definedName name="QESBulgeEffectiveRadius" localSheetId="9">'NGC 0266'!$D$2</definedName>
    <definedName name="QESBulgeEffectiveRadius" localSheetId="10">'NGC 0342'!$D$2</definedName>
    <definedName name="QESBulgeEffectiveRadius" localSheetId="11">'NGC 0598'!$D$2</definedName>
    <definedName name="QESBulgeEffectiveRadius" localSheetId="12">'NGC 0660'!$D$2</definedName>
    <definedName name="QESBulgeEffectiveRadius" localSheetId="13">'NGC 0891'!$D$2</definedName>
    <definedName name="QESBulgeEffectiveRadius" localSheetId="14">'NGC 1365'!$D$2</definedName>
    <definedName name="QESBulgeEffectiveRadius" localSheetId="15">'NGC 1642'!$D$2</definedName>
    <definedName name="QESBulgeEffectiveRadius" localSheetId="16">'NGC 1808'!$D$2</definedName>
    <definedName name="QESBulgeEffectiveRadius" localSheetId="17">'NGC 2403'!$D$2</definedName>
    <definedName name="QESBulgeEffectiveRadius" localSheetId="18">'NGC 2543'!$D$2</definedName>
    <definedName name="QESBulgeEffectiveRadius" localSheetId="19">'NGC 2599'!$D$2</definedName>
    <definedName name="QESBulgeEffectiveRadius" localSheetId="20">'NGC 2649'!$D$2</definedName>
    <definedName name="QESBulgeEffectiveRadius" localSheetId="21">'NGC 2654'!$D$2</definedName>
    <definedName name="QESBulgeEffectiveRadius" localSheetId="22">'NGC 2903'!$D$2</definedName>
    <definedName name="QESBulgeEffectiveRadius" localSheetId="23">'NGC 2985'!$D$2</definedName>
    <definedName name="QESBulgeEffectiveRadius" localSheetId="24">'NGC 3079'!$D$2</definedName>
    <definedName name="QESBulgeEffectiveRadius" localSheetId="25">'NGC 3198'!$D$2</definedName>
    <definedName name="QESBulgeEffectiveRadius" localSheetId="26">'NGC 3521'!$D$2</definedName>
    <definedName name="QESBulgeEffectiveRadius" localSheetId="27">'NGC 3628'!$D$2</definedName>
    <definedName name="QESBulgeEffectiveRadius" localSheetId="28">'NGC 3900'!$D$2</definedName>
    <definedName name="QESBulgeEffectiveRadius" localSheetId="29">'NGC 3982'!$D$2</definedName>
    <definedName name="QESBulgeEffectiveRadius" localSheetId="30">'NGC 4258'!$D$2</definedName>
    <definedName name="QESBulgeEffectiveRadius" localSheetId="31">'NGC 4303'!$D$2</definedName>
    <definedName name="QESBulgeEffectiveRadius" localSheetId="32">'NGC 4321'!$D$2</definedName>
    <definedName name="QESBulgeEffectiveRadius" localSheetId="33">'NGC 4527'!$D$2</definedName>
    <definedName name="QESBulgeEffectiveRadius" localSheetId="34">'NGC 4565'!$D$2</definedName>
    <definedName name="QESBulgeEffectiveRadius" localSheetId="35">'NGC 4569'!$D$2</definedName>
    <definedName name="QESBulgeEffectiveRadius" localSheetId="36">'NGC 4736'!$D$2</definedName>
    <definedName name="QESBulgeEffectiveRadius" localSheetId="37">'NGC 4945'!$D$2</definedName>
    <definedName name="QESBulgeEffectiveRadius" localSheetId="38">'NGC 5033'!$D$2</definedName>
    <definedName name="QESBulgeEffectiveRadius" localSheetId="39">'NGC 5055'!$D$2</definedName>
    <definedName name="QESBulgeEffectiveRadius" localSheetId="40">'NGC 5236'!$D$2</definedName>
    <definedName name="QESBulgeEffectiveRadius" localSheetId="41">'NGC 5457'!$D$2</definedName>
    <definedName name="QESBulgeEffectiveRadius" localSheetId="42">'NGC 5907'!$D$2</definedName>
    <definedName name="QESBulgeEffectiveRadius" localSheetId="43">'NGC 6946'!$D$2</definedName>
    <definedName name="QESBulgeEffectiveRadius" localSheetId="44">'NGC 7013'!$D$2</definedName>
    <definedName name="QESBulgeEffectiveRadius" localSheetId="45">'UGC 03993'!$D$2</definedName>
    <definedName name="QESDiskScaleLength" localSheetId="7">'NGC 0224'!$D$4</definedName>
    <definedName name="QESDiskScaleLength" localSheetId="8">'NGC 0253'!$D$4</definedName>
    <definedName name="QESDiskScaleLength" localSheetId="9">'NGC 0266'!$D$4</definedName>
    <definedName name="QESDiskScaleLength" localSheetId="10">'NGC 0342'!$D$4</definedName>
    <definedName name="QESDiskScaleLength" localSheetId="11">'NGC 0598'!$D$4</definedName>
    <definedName name="QESDiskScaleLength" localSheetId="12">'NGC 0660'!$D$4</definedName>
    <definedName name="QESDiskScaleLength" localSheetId="13">'NGC 0891'!$D$4</definedName>
    <definedName name="QESDiskScaleLength" localSheetId="14">'NGC 1365'!$D$4</definedName>
    <definedName name="QESDiskScaleLength" localSheetId="15">'NGC 1642'!$D$4</definedName>
    <definedName name="QESDiskScaleLength" localSheetId="16">'NGC 1808'!$D$4</definedName>
    <definedName name="QESDiskScaleLength" localSheetId="17">'NGC 2403'!$D$4</definedName>
    <definedName name="QESDiskScaleLength" localSheetId="18">'NGC 2543'!$D$4</definedName>
    <definedName name="QESDiskScaleLength" localSheetId="19">'NGC 2599'!$D$4</definedName>
    <definedName name="QESDiskScaleLength" localSheetId="20">'NGC 2649'!$D$4</definedName>
    <definedName name="QESDiskScaleLength" localSheetId="21">'NGC 2654'!$D$4</definedName>
    <definedName name="QESDiskScaleLength" localSheetId="22">'NGC 2903'!$D$4</definedName>
    <definedName name="QESDiskScaleLength" localSheetId="23">'NGC 2985'!$D$4</definedName>
    <definedName name="QESDiskScaleLength" localSheetId="24">'NGC 3079'!$D$4</definedName>
    <definedName name="QESDiskScaleLength" localSheetId="25">'NGC 3198'!$D$4</definedName>
    <definedName name="QESDiskScaleLength" localSheetId="26">'NGC 3521'!$D$4</definedName>
    <definedName name="QESDiskScaleLength" localSheetId="27">'NGC 3628'!$D$4</definedName>
    <definedName name="QESDiskScaleLength" localSheetId="28">'NGC 3900'!$D$4</definedName>
    <definedName name="QESDiskScaleLength" localSheetId="29">'NGC 3982'!$D$4</definedName>
    <definedName name="QESDiskScaleLength" localSheetId="30">'NGC 4258'!$D$4</definedName>
    <definedName name="QESDiskScaleLength" localSheetId="31">'NGC 4303'!$D$4</definedName>
    <definedName name="QESDiskScaleLength" localSheetId="32">'NGC 4321'!$D$4</definedName>
    <definedName name="QESDiskScaleLength" localSheetId="33">'NGC 4527'!$D$4</definedName>
    <definedName name="QESDiskScaleLength" localSheetId="34">'NGC 4565'!$D$4</definedName>
    <definedName name="QESDiskScaleLength" localSheetId="35">'NGC 4569'!$D$4</definedName>
    <definedName name="QESDiskScaleLength" localSheetId="36">'NGC 4736'!$D$4</definedName>
    <definedName name="QESDiskScaleLength" localSheetId="37">'NGC 4945'!$D$4</definedName>
    <definedName name="QESDiskScaleLength" localSheetId="38">'NGC 5033'!$D$4</definedName>
    <definedName name="QESDiskScaleLength" localSheetId="39">'NGC 5055'!$D$4</definedName>
    <definedName name="QESDiskScaleLength" localSheetId="40">'NGC 5236'!$D$4</definedName>
    <definedName name="QESDiskScaleLength" localSheetId="41">'NGC 5457'!$D$4</definedName>
    <definedName name="QESDiskScaleLength" localSheetId="42">'NGC 5907'!$D$4</definedName>
    <definedName name="QESDiskScaleLength" localSheetId="43">'NGC 6946'!$D$4</definedName>
    <definedName name="QESDiskScaleLength" localSheetId="44">'NGC 7013'!$D$4</definedName>
    <definedName name="QESDiskScaleLength" localSheetId="45">'UGC 03993'!$D$4</definedName>
    <definedName name="QESDiskSurfaceDensity" localSheetId="7">'NGC 0224'!$D$5</definedName>
    <definedName name="QESDiskSurfaceDensity" localSheetId="8">'NGC 0253'!$D$5</definedName>
    <definedName name="QESDiskSurfaceDensity" localSheetId="9">'NGC 0266'!$D$5</definedName>
    <definedName name="QESDiskSurfaceDensity" localSheetId="10">'NGC 0342'!$D$5</definedName>
    <definedName name="QESDiskSurfaceDensity" localSheetId="11">'NGC 0598'!$D$5</definedName>
    <definedName name="QESDiskSurfaceDensity" localSheetId="12">'NGC 0660'!$D$5</definedName>
    <definedName name="QESDiskSurfaceDensity" localSheetId="13">'NGC 0891'!$D$5</definedName>
    <definedName name="QESDiskSurfaceDensity" localSheetId="14">'NGC 1365'!$D$5</definedName>
    <definedName name="QESDiskSurfaceDensity" localSheetId="15">'NGC 1642'!$D$5</definedName>
    <definedName name="QESDiskSurfaceDensity" localSheetId="16">'NGC 1808'!$D$5</definedName>
    <definedName name="QESDiskSurfaceDensity" localSheetId="17">'NGC 2403'!$D$5</definedName>
    <definedName name="QESDiskSurfaceDensity" localSheetId="18">'NGC 2543'!$D$5</definedName>
    <definedName name="QESDiskSurfaceDensity" localSheetId="19">'NGC 2599'!$D$5</definedName>
    <definedName name="QESDiskSurfaceDensity" localSheetId="20">'NGC 2649'!$D$5</definedName>
    <definedName name="QESDiskSurfaceDensity" localSheetId="21">'NGC 2654'!$D$5</definedName>
    <definedName name="QESDiskSurfaceDensity" localSheetId="22">'NGC 2903'!$D$5</definedName>
    <definedName name="QESDiskSurfaceDensity" localSheetId="23">'NGC 2985'!$D$5</definedName>
    <definedName name="QESDiskSurfaceDensity" localSheetId="24">'NGC 3079'!$D$5</definedName>
    <definedName name="QESDiskSurfaceDensity" localSheetId="25">'NGC 3198'!$D$5</definedName>
    <definedName name="QESDiskSurfaceDensity" localSheetId="26">'NGC 3521'!$D$5</definedName>
    <definedName name="QESDiskSurfaceDensity" localSheetId="27">'NGC 3628'!$D$5</definedName>
    <definedName name="QESDiskSurfaceDensity" localSheetId="28">'NGC 3900'!$D$5</definedName>
    <definedName name="QESDiskSurfaceDensity" localSheetId="29">'NGC 3982'!$D$5</definedName>
    <definedName name="QESDiskSurfaceDensity" localSheetId="30">'NGC 4258'!$D$5</definedName>
    <definedName name="QESDiskSurfaceDensity" localSheetId="31">'NGC 4303'!$D$5</definedName>
    <definedName name="QESDiskSurfaceDensity" localSheetId="32">'NGC 4321'!$D$5</definedName>
    <definedName name="QESDiskSurfaceDensity" localSheetId="33">'NGC 4527'!$D$5</definedName>
    <definedName name="QESDiskSurfaceDensity" localSheetId="34">'NGC 4565'!$D$5</definedName>
    <definedName name="QESDiskSurfaceDensity" localSheetId="35">'NGC 4569'!$D$5</definedName>
    <definedName name="QESDiskSurfaceDensity" localSheetId="36">'NGC 4736'!$D$5</definedName>
    <definedName name="QESDiskSurfaceDensity" localSheetId="37">'NGC 4945'!$D$5</definedName>
    <definedName name="QESDiskSurfaceDensity" localSheetId="38">'NGC 5033'!$D$5</definedName>
    <definedName name="QESDiskSurfaceDensity" localSheetId="39">'NGC 5055'!$D$5</definedName>
    <definedName name="QESDiskSurfaceDensity" localSheetId="40">'NGC 5236'!$D$5</definedName>
    <definedName name="QESDiskSurfaceDensity" localSheetId="41">'NGC 5457'!$D$5</definedName>
    <definedName name="QESDiskSurfaceDensity" localSheetId="42">'NGC 5907'!$D$5</definedName>
    <definedName name="QESDiskSurfaceDensity" localSheetId="43">'NGC 6946'!$D$5</definedName>
    <definedName name="QESDiskSurfaceDensity" localSheetId="44">'NGC 7013'!$D$5</definedName>
    <definedName name="QESDiskSurfaceDensity" localSheetId="45">'UGC 03993'!$D$5</definedName>
    <definedName name="QESLuminousDistance">'SNe Ia Data'!$N:$N</definedName>
    <definedName name="QESRedShift" localSheetId="5">Geometry!$B$3</definedName>
    <definedName name="QESTotalBulgeMass" localSheetId="7">'NGC 0224'!$D$3</definedName>
    <definedName name="QESTotalBulgeMass" localSheetId="8">'NGC 0253'!$D$3</definedName>
    <definedName name="QESTotalBulgeMass" localSheetId="9">'NGC 0266'!$D$3</definedName>
    <definedName name="QESTotalBulgeMass" localSheetId="10">'NGC 0342'!$D$3</definedName>
    <definedName name="QESTotalBulgeMass" localSheetId="11">'NGC 0598'!$D$3</definedName>
    <definedName name="QESTotalBulgeMass" localSheetId="12">'NGC 0660'!$D$3</definedName>
    <definedName name="QESTotalBulgeMass" localSheetId="13">'NGC 0891'!$D$3</definedName>
    <definedName name="QESTotalBulgeMass" localSheetId="14">'NGC 1365'!$D$3</definedName>
    <definedName name="QESTotalBulgeMass" localSheetId="15">'NGC 1642'!$D$3</definedName>
    <definedName name="QESTotalBulgeMass" localSheetId="16">'NGC 1808'!$D$3</definedName>
    <definedName name="QESTotalBulgeMass" localSheetId="17">'NGC 2403'!$D$3</definedName>
    <definedName name="QESTotalBulgeMass" localSheetId="18">'NGC 2543'!$D$3</definedName>
    <definedName name="QESTotalBulgeMass" localSheetId="19">'NGC 2599'!$D$3</definedName>
    <definedName name="QESTotalBulgeMass" localSheetId="20">'NGC 2649'!$D$3</definedName>
    <definedName name="QESTotalBulgeMass" localSheetId="21">'NGC 2654'!$D$3</definedName>
    <definedName name="QESTotalBulgeMass" localSheetId="22">'NGC 2903'!$D$3</definedName>
    <definedName name="QESTotalBulgeMass" localSheetId="23">'NGC 2985'!$D$3</definedName>
    <definedName name="QESTotalBulgeMass" localSheetId="24">'NGC 3079'!$D$3</definedName>
    <definedName name="QESTotalBulgeMass" localSheetId="25">'NGC 3198'!$D$3</definedName>
    <definedName name="QESTotalBulgeMass" localSheetId="26">'NGC 3521'!$D$3</definedName>
    <definedName name="QESTotalBulgeMass" localSheetId="27">'NGC 3628'!$D$3</definedName>
    <definedName name="QESTotalBulgeMass" localSheetId="28">'NGC 3900'!$D$3</definedName>
    <definedName name="QESTotalBulgeMass" localSheetId="29">'NGC 3982'!$D$3</definedName>
    <definedName name="QESTotalBulgeMass" localSheetId="30">'NGC 4258'!$D$3</definedName>
    <definedName name="QESTotalBulgeMass" localSheetId="31">'NGC 4303'!$D$3</definedName>
    <definedName name="QESTotalBulgeMass" localSheetId="32">'NGC 4321'!$D$3</definedName>
    <definedName name="QESTotalBulgeMass" localSheetId="33">'NGC 4527'!$D$3</definedName>
    <definedName name="QESTotalBulgeMass" localSheetId="34">'NGC 4565'!$D$3</definedName>
    <definedName name="QESTotalBulgeMass" localSheetId="35">'NGC 4569'!$D$3</definedName>
    <definedName name="QESTotalBulgeMass" localSheetId="36">'NGC 4736'!$D$3</definedName>
    <definedName name="QESTotalBulgeMass" localSheetId="37">'NGC 4945'!$D$3</definedName>
    <definedName name="QESTotalBulgeMass" localSheetId="38">'NGC 5033'!$D$3</definedName>
    <definedName name="QESTotalBulgeMass" localSheetId="39">'NGC 5055'!$D$3</definedName>
    <definedName name="QESTotalBulgeMass" localSheetId="40">'NGC 5236'!$D$3</definedName>
    <definedName name="QESTotalBulgeMass" localSheetId="41">'NGC 5457'!$D$3</definedName>
    <definedName name="QESTotalBulgeMass" localSheetId="42">'NGC 5907'!$D$3</definedName>
    <definedName name="QESTotalBulgeMass" localSheetId="43">'NGC 6946'!$D$3</definedName>
    <definedName name="QESTotalBulgeMass" localSheetId="44">'NGC 7013'!$D$3</definedName>
    <definedName name="QESTotalBulgeMass" localSheetId="45">'UGC 03993'!$D$3</definedName>
    <definedName name="RadiationDensityConstant">Constants!$B$19</definedName>
    <definedName name="RadiusKm" localSheetId="7">'NGC 0224'!$D:$D</definedName>
    <definedName name="RadiusKm" localSheetId="9">'NGC 0266'!$D:$D</definedName>
    <definedName name="RadiusKm" localSheetId="10">'NGC 0342'!$D:$D</definedName>
    <definedName name="RadiusKm" localSheetId="11">'NGC 0598'!$D:$D</definedName>
    <definedName name="RadiusKm" localSheetId="12">'NGC 0660'!$D:$D</definedName>
    <definedName name="RadiusKm" localSheetId="13">'NGC 0891'!$D:$D</definedName>
    <definedName name="RadiusKm" localSheetId="14">'NGC 1365'!$D:$D</definedName>
    <definedName name="RadiusKm" localSheetId="15">'NGC 1642'!$D:$D</definedName>
    <definedName name="RadiusKm" localSheetId="16">'NGC 1808'!$D:$D</definedName>
    <definedName name="RadiusKm" localSheetId="17">'NGC 2403'!$D:$D</definedName>
    <definedName name="RadiusKm" localSheetId="18">'NGC 2543'!$D:$D</definedName>
    <definedName name="RadiusKm" localSheetId="19">'NGC 2599'!$D:$D</definedName>
    <definedName name="RadiusKm" localSheetId="20">'NGC 2649'!$D:$D</definedName>
    <definedName name="RadiusKm" localSheetId="21">'NGC 2654'!$D:$D</definedName>
    <definedName name="RadiusKm" localSheetId="22">'NGC 2903'!$D:$D</definedName>
    <definedName name="RadiusKm" localSheetId="23">'NGC 2985'!$D:$D</definedName>
    <definedName name="RadiusKm" localSheetId="24">'NGC 3079'!$D:$D</definedName>
    <definedName name="RadiusKm" localSheetId="25">'NGC 3198'!$D:$D</definedName>
    <definedName name="RadiusKm" localSheetId="26">'NGC 3521'!$D:$D</definedName>
    <definedName name="RadiusKm" localSheetId="27">'NGC 3628'!$D:$D</definedName>
    <definedName name="RadiusKm" localSheetId="28">'NGC 3900'!$D:$D</definedName>
    <definedName name="RadiusKm" localSheetId="29">'NGC 3982'!$D:$D</definedName>
    <definedName name="RadiusKm" localSheetId="30">'NGC 4258'!$D:$D</definedName>
    <definedName name="RadiusKm" localSheetId="31">'NGC 4303'!$D:$D</definedName>
    <definedName name="RadiusKm" localSheetId="32">'NGC 4321'!$D:$D</definedName>
    <definedName name="RadiusKm" localSheetId="33">'NGC 4527'!$D:$D</definedName>
    <definedName name="RadiusKm" localSheetId="34">'NGC 4565'!$D:$D</definedName>
    <definedName name="RadiusKm" localSheetId="35">'NGC 4569'!$D:$D</definedName>
    <definedName name="RadiusKm" localSheetId="36">'NGC 4736'!$D:$D</definedName>
    <definedName name="RadiusKm" localSheetId="37">'NGC 4945'!$D:$D</definedName>
    <definedName name="RadiusKm" localSheetId="38">'NGC 5033'!$D:$D</definedName>
    <definedName name="RadiusKm" localSheetId="39">'NGC 5055'!$D:$D</definedName>
    <definedName name="RadiusKm" localSheetId="40">'NGC 5236'!$D:$D</definedName>
    <definedName name="RadiusKm" localSheetId="41">'NGC 5457'!$D:$D</definedName>
    <definedName name="RadiusKm" localSheetId="42">'NGC 5907'!$D:$D</definedName>
    <definedName name="RadiusKm" localSheetId="43">'NGC 6946'!$D:$D</definedName>
    <definedName name="RadiusKm" localSheetId="44">'NGC 7013'!$D:$D</definedName>
    <definedName name="RadiusKm" localSheetId="45">'UGC 03993'!$D:$D</definedName>
    <definedName name="RadiusKpc" localSheetId="7">'NGC 0224'!$A:$A</definedName>
    <definedName name="RadiusKpc" localSheetId="8">'NGC 0253'!$A:$A</definedName>
    <definedName name="RadiusKpc" localSheetId="9">'NGC 0266'!$A:$A</definedName>
    <definedName name="RadiusKpc" localSheetId="10">'NGC 0342'!$A:$A</definedName>
    <definedName name="RadiusKpc" localSheetId="11">'NGC 0598'!$A:$A</definedName>
    <definedName name="RadiusKpc" localSheetId="12">'NGC 0660'!$A:$A</definedName>
    <definedName name="RadiusKpc" localSheetId="13">'NGC 0891'!$A:$A</definedName>
    <definedName name="RadiusKpc" localSheetId="14">'NGC 1365'!$A:$A</definedName>
    <definedName name="RadiusKpc" localSheetId="15">'NGC 1642'!$A:$A</definedName>
    <definedName name="RadiusKpc" localSheetId="16">'NGC 1808'!$A:$A</definedName>
    <definedName name="RadiusKpc" localSheetId="17">'NGC 2403'!$A:$A</definedName>
    <definedName name="RadiusKpc" localSheetId="18">'NGC 2543'!$A:$A</definedName>
    <definedName name="RadiusKpc" localSheetId="19">'NGC 2599'!$A:$A</definedName>
    <definedName name="RadiusKpc" localSheetId="20">'NGC 2649'!$A:$A</definedName>
    <definedName name="RadiusKpc" localSheetId="21">'NGC 2654'!$A:$A</definedName>
    <definedName name="RadiusKpc" localSheetId="22">'NGC 2903'!$A:$A</definedName>
    <definedName name="RadiusKpc" localSheetId="23">'NGC 2985'!$A:$A</definedName>
    <definedName name="RadiusKpc" localSheetId="24">'NGC 3079'!$A:$A</definedName>
    <definedName name="RadiusKpc" localSheetId="25">'NGC 3198'!$A:$A</definedName>
    <definedName name="RadiusKpc" localSheetId="26">'NGC 3521'!$A:$A</definedName>
    <definedName name="RadiusKpc" localSheetId="27">'NGC 3628'!$A:$A</definedName>
    <definedName name="RadiusKpc" localSheetId="28">'NGC 3900'!$A:$A</definedName>
    <definedName name="RadiusKpc" localSheetId="29">'NGC 3982'!$A:$A</definedName>
    <definedName name="RadiusKpc" localSheetId="30">'NGC 4258'!$A:$A</definedName>
    <definedName name="RadiusKpc" localSheetId="31">'NGC 4303'!$A:$A</definedName>
    <definedName name="RadiusKpc" localSheetId="32">'NGC 4321'!$A:$A</definedName>
    <definedName name="RadiusKpc" localSheetId="33">'NGC 4527'!$A:$A</definedName>
    <definedName name="RadiusKpc" localSheetId="34">'NGC 4565'!$A:$A</definedName>
    <definedName name="RadiusKpc" localSheetId="35">'NGC 4569'!$A:$A</definedName>
    <definedName name="RadiusKpc" localSheetId="36">'NGC 4736'!$A:$A</definedName>
    <definedName name="RadiusKpc" localSheetId="37">'NGC 4945'!$A:$A</definedName>
    <definedName name="RadiusKpc" localSheetId="38">'NGC 5033'!$A:$A</definedName>
    <definedName name="RadiusKpc" localSheetId="39">'NGC 5055'!$A:$A</definedName>
    <definedName name="RadiusKpc" localSheetId="40">'NGC 5236'!$A:$A</definedName>
    <definedName name="RadiusKpc" localSheetId="41">'NGC 5457'!$A:$A</definedName>
    <definedName name="RadiusKpc" localSheetId="42">'NGC 5907'!$A:$A</definedName>
    <definedName name="RadiusKpc" localSheetId="43">'NGC 6946'!$A:$A</definedName>
    <definedName name="RadiusKpc" localSheetId="44">'NGC 7013'!$A:$A</definedName>
    <definedName name="RadiusKpc" localSheetId="45">'UGC 03993'!$A:$A</definedName>
    <definedName name="RadiusM" localSheetId="8">'NGC 0253'!$D:$D</definedName>
    <definedName name="RadiusOfCurvature" localSheetId="5">Geometry!$B$10</definedName>
    <definedName name="RadiusPc" localSheetId="7">'NGC 0224'!$B:$B</definedName>
    <definedName name="RadiusPc" localSheetId="8">'NGC 0253'!$B:$B</definedName>
    <definedName name="RadiusPc" localSheetId="9">'NGC 0266'!$B:$B</definedName>
    <definedName name="RadiusPc" localSheetId="10">'NGC 0342'!$B:$B</definedName>
    <definedName name="RadiusPc" localSheetId="11">'NGC 0598'!$B:$B</definedName>
    <definedName name="RadiusPc" localSheetId="12">'NGC 0660'!$B:$B</definedName>
    <definedName name="RadiusPc" localSheetId="13">'NGC 0891'!$B:$B</definedName>
    <definedName name="RadiusPc" localSheetId="14">'NGC 1365'!$B:$B</definedName>
    <definedName name="RadiusPc" localSheetId="15">'NGC 1642'!$B:$B</definedName>
    <definedName name="RadiusPc" localSheetId="16">'NGC 1808'!$B:$B</definedName>
    <definedName name="RadiusPc" localSheetId="17">'NGC 2403'!$B:$B</definedName>
    <definedName name="RadiusPc" localSheetId="18">'NGC 2543'!$B:$B</definedName>
    <definedName name="RadiusPc" localSheetId="19">'NGC 2599'!$B:$B</definedName>
    <definedName name="RadiusPc" localSheetId="20">'NGC 2649'!$B:$B</definedName>
    <definedName name="RadiusPc" localSheetId="21">'NGC 2654'!$B:$B</definedName>
    <definedName name="RadiusPc" localSheetId="22">'NGC 2903'!$B:$B</definedName>
    <definedName name="RadiusPc" localSheetId="23">'NGC 2985'!$B:$B</definedName>
    <definedName name="RadiusPc" localSheetId="24">'NGC 3079'!$B:$B</definedName>
    <definedName name="RadiusPc" localSheetId="25">'NGC 3198'!$B:$B</definedName>
    <definedName name="RadiusPc" localSheetId="26">'NGC 3521'!$B:$B</definedName>
    <definedName name="RadiusPc" localSheetId="27">'NGC 3628'!$B:$B</definedName>
    <definedName name="RadiusPc" localSheetId="28">'NGC 3900'!$B:$B</definedName>
    <definedName name="RadiusPc" localSheetId="29">'NGC 3982'!$B:$B</definedName>
    <definedName name="RadiusPc" localSheetId="30">'NGC 4258'!$B:$B</definedName>
    <definedName name="RadiusPc" localSheetId="31">'NGC 4303'!$B:$B</definedName>
    <definedName name="RadiusPc" localSheetId="32">'NGC 4321'!$B:$B</definedName>
    <definedName name="RadiusPc" localSheetId="33">'NGC 4527'!$B:$B</definedName>
    <definedName name="RadiusPc" localSheetId="34">'NGC 4565'!$B:$B</definedName>
    <definedName name="RadiusPc" localSheetId="35">'NGC 4569'!$B:$B</definedName>
    <definedName name="RadiusPc" localSheetId="36">'NGC 4736'!$B:$B</definedName>
    <definedName name="RadiusPc" localSheetId="37">'NGC 4945'!$B:$B</definedName>
    <definedName name="RadiusPc" localSheetId="38">'NGC 5033'!$B:$B</definedName>
    <definedName name="RadiusPc" localSheetId="39">'NGC 5055'!$B:$B</definedName>
    <definedName name="RadiusPc" localSheetId="40">'NGC 5236'!$B:$B</definedName>
    <definedName name="RadiusPc" localSheetId="41">'NGC 5457'!$B:$B</definedName>
    <definedName name="RadiusPc" localSheetId="42">'NGC 5907'!$B:$B</definedName>
    <definedName name="RadiusPc" localSheetId="43">'NGC 6946'!$B:$B</definedName>
    <definedName name="RadiusPc" localSheetId="44">'NGC 7013'!$B:$B</definedName>
    <definedName name="RadiusPc" localSheetId="45">'UGC 03993'!$B:$B</definedName>
    <definedName name="RedShift" localSheetId="1">'SNe Ia Data'!$B:$B</definedName>
    <definedName name="ReducedPlanckConstant">Constants!$B$17</definedName>
    <definedName name="ScatterError" localSheetId="1">'SNe Ia Data'!$J:$J</definedName>
    <definedName name="second">Tau!$B:$B</definedName>
    <definedName name="SecondsPerYear">Constants!$B$6</definedName>
    <definedName name="SolarLuminosity">Constants!$B$34</definedName>
    <definedName name="SolarMass">Constants!$B$33</definedName>
    <definedName name="SoundHorizon">Geometry!$B$6</definedName>
    <definedName name="StefanBoltzmannConstant">Constants!$B$18</definedName>
    <definedName name="Stretch" localSheetId="1">'SNe Ia Data'!$F:$F</definedName>
    <definedName name="StretchError" localSheetId="1">'SNe Ia Data'!$G:$G</definedName>
    <definedName name="StretchParameter">'SNe Ia Data'!$M:$M</definedName>
    <definedName name="T2DistanceModuli" localSheetId="1">'SNe Ia Data'!$P:$P</definedName>
    <definedName name="T2LuminousDistance">'SNe Ia Data'!$O:$O</definedName>
    <definedName name="tau">Tau!$F:$F</definedName>
    <definedName name="time">Tau!$A:$A</definedName>
    <definedName name="TotalError" localSheetId="1">'SNe Ia Data'!$K:$K</definedName>
    <definedName name="TotalMass" localSheetId="7">'NGC 0224'!$H:$H</definedName>
    <definedName name="TotalMass" localSheetId="8">'NGC 0253'!$H:$H</definedName>
    <definedName name="TotalMass" localSheetId="9">'NGC 0266'!$H:$H</definedName>
    <definedName name="TotalMass" localSheetId="10">'NGC 0342'!$H:$H</definedName>
    <definedName name="TotalMass" localSheetId="11">'NGC 0598'!$H:$H</definedName>
    <definedName name="TotalMass" localSheetId="12">'NGC 0660'!$H:$H</definedName>
    <definedName name="TotalMass" localSheetId="13">'NGC 0891'!$H:$H</definedName>
    <definedName name="TotalMass" localSheetId="14">'NGC 1365'!$H:$H</definedName>
    <definedName name="TotalMass" localSheetId="15">'NGC 1642'!$H:$H</definedName>
    <definedName name="TotalMass" localSheetId="16">'NGC 1808'!$H:$H</definedName>
    <definedName name="TotalMass" localSheetId="17">'NGC 2403'!$H:$H</definedName>
    <definedName name="TotalMass" localSheetId="18">'NGC 2543'!$H:$H</definedName>
    <definedName name="TotalMass" localSheetId="19">'NGC 2599'!$H:$H</definedName>
    <definedName name="TotalMass" localSheetId="20">'NGC 2649'!$H:$H</definedName>
    <definedName name="TotalMass" localSheetId="21">'NGC 2654'!$H:$H</definedName>
    <definedName name="TotalMass" localSheetId="22">'NGC 2903'!$H:$H</definedName>
    <definedName name="TotalMass" localSheetId="23">'NGC 2985'!$H:$H</definedName>
    <definedName name="TotalMass" localSheetId="24">'NGC 3079'!$H:$H</definedName>
    <definedName name="TotalMass" localSheetId="25">'NGC 3198'!$H:$H</definedName>
    <definedName name="TotalMass" localSheetId="26">'NGC 3521'!$H:$H</definedName>
    <definedName name="TotalMass" localSheetId="27">'NGC 3628'!$H:$H</definedName>
    <definedName name="TotalMass" localSheetId="28">'NGC 3900'!$H:$H</definedName>
    <definedName name="TotalMass" localSheetId="29">'NGC 3982'!$H:$H</definedName>
    <definedName name="TotalMass" localSheetId="30">'NGC 4258'!$H:$H</definedName>
    <definedName name="TotalMass" localSheetId="31">'NGC 4303'!$H:$H</definedName>
    <definedName name="TotalMass" localSheetId="32">'NGC 4321'!$H:$H</definedName>
    <definedName name="TotalMass" localSheetId="33">'NGC 4527'!$H:$H</definedName>
    <definedName name="TotalMass" localSheetId="34">'NGC 4565'!$H:$H</definedName>
    <definedName name="TotalMass" localSheetId="35">'NGC 4569'!$H:$H</definedName>
    <definedName name="TotalMass" localSheetId="36">'NGC 4736'!$H:$H</definedName>
    <definedName name="TotalMass" localSheetId="37">'NGC 4945'!$H:$H</definedName>
    <definedName name="TotalMass" localSheetId="38">'NGC 5033'!$H:$H</definedName>
    <definedName name="TotalMass" localSheetId="39">'NGC 5055'!$H:$H</definedName>
    <definedName name="TotalMass" localSheetId="40">'NGC 5236'!$H:$H</definedName>
    <definedName name="TotalMass" localSheetId="41">'NGC 5457'!$H:$H</definedName>
    <definedName name="TotalMass" localSheetId="42">'NGC 5907'!$H:$H</definedName>
    <definedName name="TotalMass" localSheetId="43">'NGC 6946'!$H:$H</definedName>
    <definedName name="TotalMass" localSheetId="44">'NGC 7013'!$H:$H</definedName>
    <definedName name="TotalMass" localSheetId="45">'UGC 03993'!$H:$H</definedName>
    <definedName name="UniverseAcceleration">Constants!$B$26</definedName>
    <definedName name="UniverseSize">Constants!$B$30</definedName>
    <definedName name="veloc">Tau!$B$2</definedName>
    <definedName name="velocity">'BTFR Data'!$C:$C</definedName>
    <definedName name="VelocityError" localSheetId="7">'NGC 0224'!$J:$J</definedName>
    <definedName name="VelocityError" localSheetId="8">'NGC 0253'!$K:$K</definedName>
    <definedName name="VelocityError" localSheetId="9">'NGC 0266'!$J:$J</definedName>
    <definedName name="VelocityError" localSheetId="10">'NGC 0342'!$J:$J</definedName>
    <definedName name="VelocityError" localSheetId="11">'NGC 0598'!$J:$J</definedName>
    <definedName name="VelocityError" localSheetId="12">'NGC 0660'!$J:$J</definedName>
    <definedName name="VelocityError" localSheetId="13">'NGC 0891'!$J:$J</definedName>
    <definedName name="VelocityError" localSheetId="14">'NGC 1365'!$J:$J</definedName>
    <definedName name="VelocityError" localSheetId="15">'NGC 1642'!$J:$J</definedName>
    <definedName name="VelocityError" localSheetId="16">'NGC 1808'!$J:$J</definedName>
    <definedName name="VelocityError" localSheetId="17">'NGC 2403'!$J:$J</definedName>
    <definedName name="VelocityError" localSheetId="18">'NGC 2543'!$J:$J</definedName>
    <definedName name="VelocityError" localSheetId="19">'NGC 2599'!$J:$J</definedName>
    <definedName name="VelocityError" localSheetId="20">'NGC 2649'!$J:$J</definedName>
    <definedName name="VelocityError" localSheetId="21">'NGC 2654'!$J:$J</definedName>
    <definedName name="VelocityError" localSheetId="22">'NGC 2903'!$J:$J</definedName>
    <definedName name="VelocityError" localSheetId="23">'NGC 2985'!$J:$J</definedName>
    <definedName name="VelocityError" localSheetId="24">'NGC 3079'!$J:$J</definedName>
    <definedName name="VelocityError" localSheetId="25">'NGC 3198'!$J:$J</definedName>
    <definedName name="VelocityError" localSheetId="26">'NGC 3521'!$J:$J</definedName>
    <definedName name="VelocityError" localSheetId="27">'NGC 3628'!$J:$J</definedName>
    <definedName name="VelocityError" localSheetId="28">'NGC 3900'!$J:$J</definedName>
    <definedName name="VelocityError" localSheetId="29">'NGC 3982'!$J:$J</definedName>
    <definedName name="VelocityError" localSheetId="30">'NGC 4258'!$J:$J</definedName>
    <definedName name="VelocityError" localSheetId="31">'NGC 4303'!$J:$J</definedName>
    <definedName name="VelocityError" localSheetId="32">'NGC 4321'!$J:$J</definedName>
    <definedName name="VelocityError" localSheetId="33">'NGC 4527'!$J:$J</definedName>
    <definedName name="VelocityError" localSheetId="34">'NGC 4565'!$J:$J</definedName>
    <definedName name="VelocityError" localSheetId="35">'NGC 4569'!$J:$J</definedName>
    <definedName name="VelocityError" localSheetId="36">'NGC 4736'!$J:$J</definedName>
    <definedName name="VelocityError" localSheetId="37">'NGC 4945'!$J:$J</definedName>
    <definedName name="VelocityError" localSheetId="38">'NGC 5033'!$J:$J</definedName>
    <definedName name="VelocityError" localSheetId="39">'NGC 5055'!$J:$J</definedName>
    <definedName name="VelocityError" localSheetId="40">'NGC 5236'!$J:$J</definedName>
    <definedName name="VelocityError" localSheetId="41">'NGC 5457'!$J:$J</definedName>
    <definedName name="VelocityError" localSheetId="42">'NGC 5907'!$J:$J</definedName>
    <definedName name="VelocityError" localSheetId="43">'NGC 6946'!$J:$J</definedName>
    <definedName name="VelocityError" localSheetId="44">'NGC 7013'!$J:$J</definedName>
    <definedName name="VelocityError" localSheetId="45">'UGC 03993'!$J:$J</definedName>
    <definedName name="VelocityOfLight">Constants!$B$10</definedName>
    <definedName name="ZError">'SNe Ia Data'!$C:$C</definedName>
    <definedName name="Zeta3">Constants!$B$41</definedName>
    <definedName name="α" localSheetId="1">'SNe Ia Data'!$B$2</definedName>
    <definedName name="β" localSheetId="1">'SNe Ia Data'!$B$3</definedName>
    <definedName name="ΛCDMDistanceModuli" localSheetId="1">'SNe Ia Data'!$S:$S</definedName>
    <definedName name="ΛCDMLuminousDistance" localSheetId="1">'SNe Ia Data'!$R:$R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01" i="3" l="1"/>
  <c r="E6" i="226"/>
  <c r="E7" i="226"/>
  <c r="E8" i="226"/>
  <c r="E9" i="226"/>
  <c r="E10" i="226"/>
  <c r="E11" i="226"/>
  <c r="E12" i="226"/>
  <c r="E13" i="226"/>
  <c r="E14" i="226"/>
  <c r="E15" i="226"/>
  <c r="E16" i="226"/>
  <c r="E17" i="226"/>
  <c r="E18" i="226"/>
  <c r="E19" i="226"/>
  <c r="E20" i="226"/>
  <c r="E21" i="226"/>
  <c r="E22" i="226"/>
  <c r="E23" i="226"/>
  <c r="E24" i="226"/>
  <c r="E25" i="226"/>
  <c r="E26" i="226"/>
  <c r="E27" i="226"/>
  <c r="E28" i="226"/>
  <c r="E29" i="226"/>
  <c r="E30" i="226"/>
  <c r="E31" i="226"/>
  <c r="E32" i="226"/>
  <c r="E33" i="226"/>
  <c r="E34" i="226"/>
  <c r="E35" i="226"/>
  <c r="E36" i="226"/>
  <c r="E37" i="226"/>
  <c r="E38" i="226"/>
  <c r="E39" i="226"/>
  <c r="E40" i="226"/>
  <c r="E41" i="226"/>
  <c r="E42" i="226"/>
  <c r="E43" i="226"/>
  <c r="E44" i="226"/>
  <c r="E45" i="226"/>
  <c r="E46" i="226"/>
  <c r="E47" i="226"/>
  <c r="E48" i="226"/>
  <c r="E49" i="226"/>
  <c r="E50" i="226"/>
  <c r="E51" i="226"/>
  <c r="E52" i="226"/>
  <c r="E53" i="226"/>
  <c r="E54" i="226"/>
  <c r="E55" i="226"/>
  <c r="E56" i="226"/>
  <c r="E57" i="226"/>
  <c r="E58" i="226"/>
  <c r="E59" i="226"/>
  <c r="E60" i="226"/>
  <c r="E61" i="226"/>
  <c r="E62" i="226"/>
  <c r="E63" i="226"/>
  <c r="E64" i="226"/>
  <c r="E65" i="226"/>
  <c r="E66" i="226"/>
  <c r="E67" i="226"/>
  <c r="E68" i="226"/>
  <c r="E69" i="226"/>
  <c r="E70" i="226"/>
  <c r="E71" i="226"/>
  <c r="E72" i="226"/>
  <c r="E73" i="226"/>
  <c r="E74" i="226"/>
  <c r="E75" i="226"/>
  <c r="E76" i="226"/>
  <c r="E77" i="226"/>
  <c r="E78" i="226"/>
  <c r="E79" i="226"/>
  <c r="E80" i="226"/>
  <c r="E81" i="226"/>
  <c r="E82" i="226"/>
  <c r="E83" i="226"/>
  <c r="E84" i="226"/>
  <c r="E85" i="226"/>
  <c r="E86" i="226"/>
  <c r="E87" i="226"/>
  <c r="E88" i="226"/>
  <c r="E89" i="226"/>
  <c r="E90" i="226"/>
  <c r="E91" i="226"/>
  <c r="E92" i="226"/>
  <c r="E93" i="226"/>
  <c r="E94" i="226"/>
  <c r="E95" i="226"/>
  <c r="E96" i="226"/>
  <c r="E97" i="226"/>
  <c r="E98" i="226"/>
  <c r="E99" i="226"/>
  <c r="E100" i="226"/>
  <c r="E101" i="226"/>
  <c r="E5" i="226"/>
  <c r="D6" i="226"/>
  <c r="D7" i="226" s="1"/>
  <c r="D8" i="226" s="1"/>
  <c r="D9" i="226" s="1"/>
  <c r="D10" i="226" s="1"/>
  <c r="D11" i="226" s="1"/>
  <c r="D12" i="226" s="1"/>
  <c r="D13" i="226" s="1"/>
  <c r="D14" i="226" s="1"/>
  <c r="D15" i="226" s="1"/>
  <c r="D16" i="226" s="1"/>
  <c r="D17" i="226" s="1"/>
  <c r="D18" i="226" s="1"/>
  <c r="D19" i="226" s="1"/>
  <c r="D20" i="226" s="1"/>
  <c r="D21" i="226" s="1"/>
  <c r="D22" i="226" s="1"/>
  <c r="D23" i="226" s="1"/>
  <c r="D24" i="226" s="1"/>
  <c r="D25" i="226" s="1"/>
  <c r="D26" i="226" s="1"/>
  <c r="D27" i="226" s="1"/>
  <c r="D28" i="226" s="1"/>
  <c r="D29" i="226" s="1"/>
  <c r="D30" i="226" s="1"/>
  <c r="D31" i="226" s="1"/>
  <c r="D32" i="226" s="1"/>
  <c r="D33" i="226" s="1"/>
  <c r="D34" i="226" s="1"/>
  <c r="D35" i="226" s="1"/>
  <c r="D36" i="226" s="1"/>
  <c r="D37" i="226" s="1"/>
  <c r="D38" i="226" s="1"/>
  <c r="D39" i="226" s="1"/>
  <c r="D40" i="226" s="1"/>
  <c r="D41" i="226" s="1"/>
  <c r="D42" i="226" s="1"/>
  <c r="D43" i="226" s="1"/>
  <c r="D44" i="226" s="1"/>
  <c r="D45" i="226" s="1"/>
  <c r="D46" i="226" s="1"/>
  <c r="D47" i="226" s="1"/>
  <c r="D48" i="226" s="1"/>
  <c r="D49" i="226" s="1"/>
  <c r="D50" i="226" s="1"/>
  <c r="D51" i="226" s="1"/>
  <c r="D52" i="226" s="1"/>
  <c r="D53" i="226" s="1"/>
  <c r="D54" i="226" s="1"/>
  <c r="D55" i="226" s="1"/>
  <c r="D56" i="226" s="1"/>
  <c r="D57" i="226" s="1"/>
  <c r="D58" i="226" s="1"/>
  <c r="D59" i="226" s="1"/>
  <c r="D60" i="226" s="1"/>
  <c r="D61" i="226" s="1"/>
  <c r="D62" i="226" s="1"/>
  <c r="D63" i="226" s="1"/>
  <c r="D64" i="226" s="1"/>
  <c r="D65" i="226" s="1"/>
  <c r="D66" i="226" s="1"/>
  <c r="D67" i="226" s="1"/>
  <c r="D68" i="226" s="1"/>
  <c r="D69" i="226" s="1"/>
  <c r="D70" i="226" s="1"/>
  <c r="D71" i="226" s="1"/>
  <c r="D72" i="226" s="1"/>
  <c r="D73" i="226" s="1"/>
  <c r="D74" i="226" s="1"/>
  <c r="D75" i="226" s="1"/>
  <c r="D76" i="226" s="1"/>
  <c r="D77" i="226" s="1"/>
  <c r="D78" i="226" s="1"/>
  <c r="D79" i="226" s="1"/>
  <c r="D80" i="226" s="1"/>
  <c r="D81" i="226" s="1"/>
  <c r="D82" i="226" s="1"/>
  <c r="D83" i="226" s="1"/>
  <c r="D84" i="226" s="1"/>
  <c r="D85" i="226" s="1"/>
  <c r="D86" i="226" s="1"/>
  <c r="D87" i="226" s="1"/>
  <c r="D88" i="226" s="1"/>
  <c r="D89" i="226" s="1"/>
  <c r="D90" i="226" s="1"/>
  <c r="D91" i="226" s="1"/>
  <c r="D92" i="226" s="1"/>
  <c r="D93" i="226" s="1"/>
  <c r="D94" i="226" s="1"/>
  <c r="D95" i="226" s="1"/>
  <c r="D96" i="226" s="1"/>
  <c r="D97" i="226" s="1"/>
  <c r="D98" i="226" s="1"/>
  <c r="D99" i="226" s="1"/>
  <c r="D100" i="226" s="1"/>
  <c r="D101" i="226" s="1"/>
  <c r="D5" i="226"/>
  <c r="Q16" i="115"/>
  <c r="Q20" i="115"/>
  <c r="Q34" i="115"/>
  <c r="Q38" i="115"/>
  <c r="M4" i="115"/>
  <c r="M5" i="115"/>
  <c r="M6" i="115"/>
  <c r="M7" i="115"/>
  <c r="M8" i="115"/>
  <c r="M9" i="115"/>
  <c r="M10" i="115"/>
  <c r="M11" i="115"/>
  <c r="M12" i="115"/>
  <c r="M13" i="115"/>
  <c r="M14" i="115"/>
  <c r="M15" i="115"/>
  <c r="M16" i="115"/>
  <c r="M17" i="115"/>
  <c r="M18" i="115"/>
  <c r="M19" i="115"/>
  <c r="M20" i="115"/>
  <c r="M21" i="115"/>
  <c r="M22" i="115"/>
  <c r="M23" i="115"/>
  <c r="M24" i="115"/>
  <c r="M25" i="115"/>
  <c r="M26" i="115"/>
  <c r="M27" i="115"/>
  <c r="M28" i="115"/>
  <c r="M29" i="115"/>
  <c r="M30" i="115"/>
  <c r="M31" i="115"/>
  <c r="M32" i="115"/>
  <c r="M33" i="115"/>
  <c r="M34" i="115"/>
  <c r="M35" i="115"/>
  <c r="M36" i="115"/>
  <c r="M37" i="115"/>
  <c r="M38" i="115"/>
  <c r="M39" i="115"/>
  <c r="M40" i="115"/>
  <c r="M41" i="115"/>
  <c r="M42" i="115"/>
  <c r="M43" i="115"/>
  <c r="M44" i="115"/>
  <c r="M45" i="115"/>
  <c r="M46" i="115"/>
  <c r="M47" i="115"/>
  <c r="M48" i="115"/>
  <c r="M49" i="115"/>
  <c r="M3" i="115"/>
  <c r="K4" i="115"/>
  <c r="Q4" i="115" s="1"/>
  <c r="L4" i="115"/>
  <c r="N4" i="115" s="1"/>
  <c r="K5" i="115"/>
  <c r="Q5" i="115" s="1"/>
  <c r="L5" i="115"/>
  <c r="K6" i="115"/>
  <c r="Q6" i="115" s="1"/>
  <c r="L6" i="115"/>
  <c r="R6" i="115" s="1"/>
  <c r="K7" i="115"/>
  <c r="Q7" i="115" s="1"/>
  <c r="L7" i="115"/>
  <c r="R7" i="115" s="1"/>
  <c r="K8" i="115"/>
  <c r="Q8" i="115" s="1"/>
  <c r="L8" i="115"/>
  <c r="R8" i="115" s="1"/>
  <c r="K9" i="115"/>
  <c r="Q9" i="115" s="1"/>
  <c r="L9" i="115"/>
  <c r="R9" i="115" s="1"/>
  <c r="K10" i="115"/>
  <c r="Q10" i="115" s="1"/>
  <c r="L10" i="115"/>
  <c r="N10" i="115" s="1"/>
  <c r="K11" i="115"/>
  <c r="Q11" i="115" s="1"/>
  <c r="L11" i="115"/>
  <c r="N11" i="115" s="1"/>
  <c r="K12" i="115"/>
  <c r="Q12" i="115" s="1"/>
  <c r="L12" i="115"/>
  <c r="R12" i="115" s="1"/>
  <c r="K13" i="115"/>
  <c r="Q13" i="115" s="1"/>
  <c r="L13" i="115"/>
  <c r="R13" i="115" s="1"/>
  <c r="K14" i="115"/>
  <c r="Q14" i="115" s="1"/>
  <c r="L14" i="115"/>
  <c r="R14" i="115" s="1"/>
  <c r="K15" i="115"/>
  <c r="Q15" i="115" s="1"/>
  <c r="L15" i="115"/>
  <c r="R15" i="115" s="1"/>
  <c r="K16" i="115"/>
  <c r="L16" i="115"/>
  <c r="N16" i="115" s="1"/>
  <c r="K17" i="115"/>
  <c r="Q17" i="115" s="1"/>
  <c r="L17" i="115"/>
  <c r="N17" i="115" s="1"/>
  <c r="K18" i="115"/>
  <c r="Q18" i="115" s="1"/>
  <c r="L18" i="115"/>
  <c r="R18" i="115" s="1"/>
  <c r="K19" i="115"/>
  <c r="Q19" i="115" s="1"/>
  <c r="L19" i="115"/>
  <c r="O19" i="115" s="1"/>
  <c r="K20" i="115"/>
  <c r="L20" i="115"/>
  <c r="R20" i="115" s="1"/>
  <c r="K21" i="115"/>
  <c r="Q21" i="115" s="1"/>
  <c r="L21" i="115"/>
  <c r="R21" i="115" s="1"/>
  <c r="K22" i="115"/>
  <c r="Q22" i="115" s="1"/>
  <c r="L22" i="115"/>
  <c r="N22" i="115" s="1"/>
  <c r="K23" i="115"/>
  <c r="Q23" i="115" s="1"/>
  <c r="L23" i="115"/>
  <c r="N23" i="115" s="1"/>
  <c r="K24" i="115"/>
  <c r="Q24" i="115" s="1"/>
  <c r="L24" i="115"/>
  <c r="R24" i="115" s="1"/>
  <c r="K25" i="115"/>
  <c r="Q25" i="115" s="1"/>
  <c r="L25" i="115"/>
  <c r="R25" i="115" s="1"/>
  <c r="K26" i="115"/>
  <c r="Q26" i="115" s="1"/>
  <c r="L26" i="115"/>
  <c r="R26" i="115" s="1"/>
  <c r="K27" i="115"/>
  <c r="Q27" i="115" s="1"/>
  <c r="L27" i="115"/>
  <c r="N27" i="115" s="1"/>
  <c r="K28" i="115"/>
  <c r="Q28" i="115" s="1"/>
  <c r="L28" i="115"/>
  <c r="N28" i="115" s="1"/>
  <c r="K29" i="115"/>
  <c r="Q29" i="115" s="1"/>
  <c r="L29" i="115"/>
  <c r="N29" i="115" s="1"/>
  <c r="K30" i="115"/>
  <c r="Q30" i="115" s="1"/>
  <c r="L30" i="115"/>
  <c r="R30" i="115" s="1"/>
  <c r="K31" i="115"/>
  <c r="Q31" i="115" s="1"/>
  <c r="L31" i="115"/>
  <c r="R31" i="115" s="1"/>
  <c r="K32" i="115"/>
  <c r="Q32" i="115" s="1"/>
  <c r="L32" i="115"/>
  <c r="R32" i="115" s="1"/>
  <c r="K33" i="115"/>
  <c r="Q33" i="115" s="1"/>
  <c r="L33" i="115"/>
  <c r="N33" i="115" s="1"/>
  <c r="K34" i="115"/>
  <c r="L34" i="115"/>
  <c r="N34" i="115" s="1"/>
  <c r="K35" i="115"/>
  <c r="Q35" i="115" s="1"/>
  <c r="L35" i="115"/>
  <c r="N35" i="115" s="1"/>
  <c r="K36" i="115"/>
  <c r="Q36" i="115" s="1"/>
  <c r="L36" i="115"/>
  <c r="R36" i="115" s="1"/>
  <c r="K37" i="115"/>
  <c r="Q37" i="115" s="1"/>
  <c r="L37" i="115"/>
  <c r="R37" i="115" s="1"/>
  <c r="K38" i="115"/>
  <c r="L38" i="115"/>
  <c r="N38" i="115" s="1"/>
  <c r="K39" i="115"/>
  <c r="Q39" i="115" s="1"/>
  <c r="L39" i="115"/>
  <c r="N39" i="115" s="1"/>
  <c r="K40" i="115"/>
  <c r="Q40" i="115" s="1"/>
  <c r="L40" i="115"/>
  <c r="N40" i="115" s="1"/>
  <c r="K41" i="115"/>
  <c r="Q41" i="115" s="1"/>
  <c r="L41" i="115"/>
  <c r="N41" i="115" s="1"/>
  <c r="K42" i="115"/>
  <c r="Q42" i="115" s="1"/>
  <c r="L42" i="115"/>
  <c r="R42" i="115" s="1"/>
  <c r="K43" i="115"/>
  <c r="Q43" i="115" s="1"/>
  <c r="L43" i="115"/>
  <c r="R43" i="115" s="1"/>
  <c r="K44" i="115"/>
  <c r="Q44" i="115" s="1"/>
  <c r="L44" i="115"/>
  <c r="R44" i="115" s="1"/>
  <c r="K45" i="115"/>
  <c r="Q45" i="115" s="1"/>
  <c r="L45" i="115"/>
  <c r="N45" i="115" s="1"/>
  <c r="K46" i="115"/>
  <c r="Q46" i="115" s="1"/>
  <c r="L46" i="115"/>
  <c r="N46" i="115" s="1"/>
  <c r="K47" i="115"/>
  <c r="Q47" i="115" s="1"/>
  <c r="L47" i="115"/>
  <c r="N47" i="115" s="1"/>
  <c r="K48" i="115"/>
  <c r="Q48" i="115" s="1"/>
  <c r="L48" i="115"/>
  <c r="R48" i="115" s="1"/>
  <c r="K49" i="115"/>
  <c r="Q49" i="115" s="1"/>
  <c r="L49" i="115"/>
  <c r="R49" i="115" s="1"/>
  <c r="L3" i="115"/>
  <c r="K3" i="115"/>
  <c r="Q3" i="115" s="1"/>
  <c r="B27" i="1"/>
  <c r="N482" i="3" s="1"/>
  <c r="F9" i="111"/>
  <c r="B5" i="226"/>
  <c r="C31" i="1"/>
  <c r="C1" i="224"/>
  <c r="C2" i="224"/>
  <c r="C3" i="224"/>
  <c r="C4" i="224"/>
  <c r="C5" i="224"/>
  <c r="C6" i="224"/>
  <c r="C7" i="224"/>
  <c r="C8" i="224"/>
  <c r="C9" i="224"/>
  <c r="C10" i="224"/>
  <c r="C11" i="224"/>
  <c r="C12" i="224"/>
  <c r="C13" i="224"/>
  <c r="C14" i="224"/>
  <c r="C15" i="224"/>
  <c r="C16" i="224"/>
  <c r="C17" i="224"/>
  <c r="C18" i="224"/>
  <c r="C19" i="224"/>
  <c r="C20" i="224"/>
  <c r="C21" i="224"/>
  <c r="C22" i="224"/>
  <c r="C23" i="224"/>
  <c r="C24" i="224"/>
  <c r="C25" i="224"/>
  <c r="C26" i="224"/>
  <c r="C27" i="224"/>
  <c r="C28" i="224"/>
  <c r="C29" i="224"/>
  <c r="C30" i="224"/>
  <c r="C31" i="224"/>
  <c r="C32" i="224"/>
  <c r="C33" i="224"/>
  <c r="C34" i="224"/>
  <c r="C35" i="224"/>
  <c r="C36" i="224"/>
  <c r="C37" i="224"/>
  <c r="C38" i="224"/>
  <c r="C39" i="224"/>
  <c r="C40" i="224"/>
  <c r="C41" i="224"/>
  <c r="C42" i="224"/>
  <c r="C43" i="224"/>
  <c r="C44" i="224"/>
  <c r="C45" i="224"/>
  <c r="C46" i="224"/>
  <c r="C47" i="224"/>
  <c r="C48" i="224"/>
  <c r="C49" i="224"/>
  <c r="C50" i="224"/>
  <c r="C51" i="224"/>
  <c r="C52" i="224"/>
  <c r="C53" i="224"/>
  <c r="C54" i="224"/>
  <c r="C55" i="224"/>
  <c r="C56" i="224"/>
  <c r="C57" i="224"/>
  <c r="C58" i="224"/>
  <c r="C59" i="224"/>
  <c r="C60" i="224"/>
  <c r="C61" i="224"/>
  <c r="C62" i="224"/>
  <c r="C63" i="224"/>
  <c r="C64" i="224"/>
  <c r="C65" i="224"/>
  <c r="C66" i="224"/>
  <c r="C67" i="224"/>
  <c r="C68" i="224"/>
  <c r="C69" i="224"/>
  <c r="C70" i="224"/>
  <c r="C71" i="224"/>
  <c r="C72" i="224"/>
  <c r="C73" i="224"/>
  <c r="C74" i="224"/>
  <c r="C75" i="224"/>
  <c r="C76" i="224"/>
  <c r="C77" i="224"/>
  <c r="C78" i="224"/>
  <c r="C79" i="224"/>
  <c r="C80" i="224"/>
  <c r="C81" i="224"/>
  <c r="C82" i="224"/>
  <c r="C83" i="224"/>
  <c r="C84" i="224"/>
  <c r="C85" i="224"/>
  <c r="C86" i="224"/>
  <c r="C87" i="224"/>
  <c r="C88" i="224"/>
  <c r="C89" i="224"/>
  <c r="C90" i="224"/>
  <c r="C91" i="224"/>
  <c r="C92" i="224"/>
  <c r="C93" i="224"/>
  <c r="C94" i="224"/>
  <c r="C95" i="224"/>
  <c r="C96" i="224"/>
  <c r="C97" i="224"/>
  <c r="C98" i="224"/>
  <c r="C99" i="224"/>
  <c r="C100" i="224"/>
  <c r="C101" i="224"/>
  <c r="C102" i="224"/>
  <c r="C103" i="224"/>
  <c r="C104" i="224"/>
  <c r="C105" i="224"/>
  <c r="C106" i="224"/>
  <c r="C107" i="224"/>
  <c r="C108" i="224"/>
  <c r="C109" i="224"/>
  <c r="C110" i="224"/>
  <c r="C111" i="224"/>
  <c r="C112" i="224"/>
  <c r="C113" i="224"/>
  <c r="C114" i="224"/>
  <c r="C115" i="224"/>
  <c r="C116" i="224"/>
  <c r="C117" i="224"/>
  <c r="C118" i="224"/>
  <c r="C119" i="224"/>
  <c r="C120" i="224"/>
  <c r="C121" i="224"/>
  <c r="C122" i="224"/>
  <c r="C123" i="224"/>
  <c r="C124" i="224"/>
  <c r="C125" i="224"/>
  <c r="C126" i="224"/>
  <c r="C127" i="224"/>
  <c r="C128" i="224"/>
  <c r="C129" i="224"/>
  <c r="C130" i="224"/>
  <c r="C131" i="224"/>
  <c r="C132" i="224"/>
  <c r="C133" i="224"/>
  <c r="C134" i="224"/>
  <c r="C135" i="224"/>
  <c r="C136" i="224"/>
  <c r="C137" i="224"/>
  <c r="C138" i="224"/>
  <c r="C139" i="224"/>
  <c r="C140" i="224"/>
  <c r="C141" i="224"/>
  <c r="C142" i="224"/>
  <c r="C143" i="224"/>
  <c r="C144" i="224"/>
  <c r="C145" i="224"/>
  <c r="C146" i="224"/>
  <c r="C147" i="224"/>
  <c r="C148" i="224"/>
  <c r="C149" i="224"/>
  <c r="C150" i="224"/>
  <c r="C151" i="224"/>
  <c r="C152" i="224"/>
  <c r="C153" i="224"/>
  <c r="C154" i="224"/>
  <c r="C155" i="224"/>
  <c r="C156" i="224"/>
  <c r="C157" i="224"/>
  <c r="C158" i="224"/>
  <c r="C159" i="224"/>
  <c r="C160" i="224"/>
  <c r="C161" i="224"/>
  <c r="C162" i="224"/>
  <c r="C163" i="224"/>
  <c r="C164" i="224"/>
  <c r="C165" i="224"/>
  <c r="C166" i="224"/>
  <c r="C167" i="224"/>
  <c r="C168" i="224"/>
  <c r="C169" i="224"/>
  <c r="C170" i="224"/>
  <c r="C171" i="224"/>
  <c r="C172" i="224"/>
  <c r="C173" i="224"/>
  <c r="C174" i="224"/>
  <c r="C175" i="224"/>
  <c r="C176" i="224"/>
  <c r="C177" i="224"/>
  <c r="C178" i="224"/>
  <c r="C179" i="224"/>
  <c r="C180" i="224"/>
  <c r="C181" i="224"/>
  <c r="C182" i="224"/>
  <c r="C183" i="224"/>
  <c r="C184" i="224"/>
  <c r="C185" i="224"/>
  <c r="C186" i="224"/>
  <c r="C187" i="224"/>
  <c r="C188" i="224"/>
  <c r="C189" i="224"/>
  <c r="C190" i="224"/>
  <c r="C191" i="224"/>
  <c r="C192" i="224"/>
  <c r="C193" i="224"/>
  <c r="C194" i="224"/>
  <c r="C195" i="224"/>
  <c r="C196" i="224"/>
  <c r="C197" i="224"/>
  <c r="C198" i="224"/>
  <c r="C199" i="224"/>
  <c r="C200" i="224"/>
  <c r="C201" i="224"/>
  <c r="C202" i="224"/>
  <c r="C203" i="224"/>
  <c r="C204" i="224"/>
  <c r="C205" i="224"/>
  <c r="C206" i="224"/>
  <c r="C207" i="224"/>
  <c r="C208" i="224"/>
  <c r="C209" i="224"/>
  <c r="C210" i="224"/>
  <c r="C211" i="224"/>
  <c r="C212" i="224"/>
  <c r="C213" i="224"/>
  <c r="C214" i="224"/>
  <c r="C215" i="224"/>
  <c r="C216" i="224"/>
  <c r="C217" i="224"/>
  <c r="C218" i="224"/>
  <c r="C219" i="224"/>
  <c r="C220" i="224"/>
  <c r="C221" i="224"/>
  <c r="C222" i="224"/>
  <c r="C223" i="224"/>
  <c r="C224" i="224"/>
  <c r="C225" i="224"/>
  <c r="C226" i="224"/>
  <c r="C227" i="224"/>
  <c r="C228" i="224"/>
  <c r="C229" i="224"/>
  <c r="C230" i="224"/>
  <c r="C231" i="224"/>
  <c r="C232" i="224"/>
  <c r="C233" i="224"/>
  <c r="C234" i="224"/>
  <c r="C235" i="224"/>
  <c r="C236" i="224"/>
  <c r="C237" i="224"/>
  <c r="C238" i="224"/>
  <c r="C239" i="224"/>
  <c r="C240" i="224"/>
  <c r="C241" i="224"/>
  <c r="C242" i="224"/>
  <c r="C243" i="224"/>
  <c r="C244" i="224"/>
  <c r="C245" i="224"/>
  <c r="C246" i="224"/>
  <c r="C247" i="224"/>
  <c r="C248" i="224"/>
  <c r="C249" i="224"/>
  <c r="C250" i="224"/>
  <c r="A6" i="226"/>
  <c r="B6" i="226" s="1"/>
  <c r="C6" i="226" s="1"/>
  <c r="P36" i="202"/>
  <c r="P35" i="202"/>
  <c r="P34" i="202"/>
  <c r="P33" i="202"/>
  <c r="P32" i="202"/>
  <c r="P31" i="202"/>
  <c r="P30" i="202"/>
  <c r="P29" i="202"/>
  <c r="P28" i="202"/>
  <c r="P27" i="202"/>
  <c r="P26" i="202"/>
  <c r="P25" i="202"/>
  <c r="P24" i="202"/>
  <c r="P23" i="202"/>
  <c r="P22" i="202"/>
  <c r="P21" i="202"/>
  <c r="P20" i="202"/>
  <c r="P19" i="202"/>
  <c r="P18" i="202"/>
  <c r="P17" i="202"/>
  <c r="P16" i="202"/>
  <c r="P15" i="202"/>
  <c r="P14" i="202"/>
  <c r="P13" i="202"/>
  <c r="P12" i="202"/>
  <c r="P11" i="202"/>
  <c r="P10" i="202"/>
  <c r="P9" i="202"/>
  <c r="P8" i="202"/>
  <c r="J9" i="202"/>
  <c r="J10" i="202"/>
  <c r="J11" i="202"/>
  <c r="J12" i="202"/>
  <c r="J13" i="202"/>
  <c r="J14" i="202"/>
  <c r="J15" i="202"/>
  <c r="J16" i="202"/>
  <c r="J17" i="202"/>
  <c r="J18" i="202"/>
  <c r="J19" i="202"/>
  <c r="J20" i="202"/>
  <c r="J21" i="202"/>
  <c r="J22" i="202"/>
  <c r="J23" i="202"/>
  <c r="J24" i="202"/>
  <c r="J25" i="202"/>
  <c r="J26" i="202"/>
  <c r="J27" i="202"/>
  <c r="J28" i="202"/>
  <c r="J29" i="202"/>
  <c r="J30" i="202"/>
  <c r="J31" i="202"/>
  <c r="J32" i="202"/>
  <c r="J33" i="202"/>
  <c r="J34" i="202"/>
  <c r="J35" i="202"/>
  <c r="J36" i="202"/>
  <c r="J8" i="202"/>
  <c r="B10" i="111"/>
  <c r="C10" i="111" s="1"/>
  <c r="B12" i="1"/>
  <c r="B29" i="1"/>
  <c r="G63" i="224"/>
  <c r="G64" i="224"/>
  <c r="G65" i="224"/>
  <c r="G66" i="224"/>
  <c r="G67" i="224"/>
  <c r="G68" i="224"/>
  <c r="G69" i="224"/>
  <c r="G70" i="224"/>
  <c r="G71" i="224"/>
  <c r="G72" i="224"/>
  <c r="G73" i="224"/>
  <c r="G74" i="224"/>
  <c r="G75" i="224"/>
  <c r="G76" i="224"/>
  <c r="G77" i="224"/>
  <c r="G78" i="224"/>
  <c r="G79" i="224"/>
  <c r="G80" i="224"/>
  <c r="G81" i="224"/>
  <c r="G82" i="224"/>
  <c r="G83" i="224"/>
  <c r="G84" i="224"/>
  <c r="G85" i="224"/>
  <c r="G86" i="224"/>
  <c r="G87" i="224"/>
  <c r="G88" i="224"/>
  <c r="G89" i="224"/>
  <c r="G90" i="224"/>
  <c r="G91" i="224"/>
  <c r="G92" i="224"/>
  <c r="G93" i="224"/>
  <c r="G94" i="224"/>
  <c r="G95" i="224"/>
  <c r="G96" i="224"/>
  <c r="G97" i="224"/>
  <c r="G98" i="224"/>
  <c r="G99" i="224"/>
  <c r="G100" i="224"/>
  <c r="G101" i="224"/>
  <c r="G102" i="224"/>
  <c r="G103" i="224"/>
  <c r="G104" i="224"/>
  <c r="G105" i="224"/>
  <c r="G106" i="224"/>
  <c r="G107" i="224"/>
  <c r="G108" i="224"/>
  <c r="G109" i="224"/>
  <c r="G110" i="224"/>
  <c r="G111" i="224"/>
  <c r="G112" i="224"/>
  <c r="G113" i="224"/>
  <c r="G114" i="224"/>
  <c r="G115" i="224"/>
  <c r="G116" i="224"/>
  <c r="G117" i="224"/>
  <c r="G118" i="224"/>
  <c r="G119" i="224"/>
  <c r="G120" i="224"/>
  <c r="G121" i="224"/>
  <c r="G122" i="224"/>
  <c r="G123" i="224"/>
  <c r="G124" i="224"/>
  <c r="G125" i="224"/>
  <c r="G126" i="224"/>
  <c r="G127" i="224"/>
  <c r="G128" i="224"/>
  <c r="G129" i="224"/>
  <c r="G130" i="224"/>
  <c r="G131" i="224"/>
  <c r="G132" i="224"/>
  <c r="G133" i="224"/>
  <c r="G134" i="224"/>
  <c r="G135" i="224"/>
  <c r="G136" i="224"/>
  <c r="G137" i="224"/>
  <c r="G138" i="224"/>
  <c r="G139" i="224"/>
  <c r="G140" i="224"/>
  <c r="G141" i="224"/>
  <c r="G142" i="224"/>
  <c r="G143" i="224"/>
  <c r="G144" i="224"/>
  <c r="G145" i="224"/>
  <c r="G146" i="224"/>
  <c r="G147" i="224"/>
  <c r="G148" i="224"/>
  <c r="G149" i="224"/>
  <c r="G150" i="224"/>
  <c r="G151" i="224"/>
  <c r="G152" i="224"/>
  <c r="G153" i="224"/>
  <c r="G154" i="224"/>
  <c r="G155" i="224"/>
  <c r="G156" i="224"/>
  <c r="G157" i="224"/>
  <c r="G158" i="224"/>
  <c r="G159" i="224"/>
  <c r="G160" i="224"/>
  <c r="G161" i="224"/>
  <c r="G162" i="224"/>
  <c r="G163" i="224"/>
  <c r="G164" i="224"/>
  <c r="G165" i="224"/>
  <c r="G166" i="224"/>
  <c r="G167" i="224"/>
  <c r="G168" i="224"/>
  <c r="G169" i="224"/>
  <c r="G170" i="224"/>
  <c r="G171" i="224"/>
  <c r="G172" i="224"/>
  <c r="G173" i="224"/>
  <c r="G174" i="224"/>
  <c r="G175" i="224"/>
  <c r="G176" i="224"/>
  <c r="G177" i="224"/>
  <c r="G178" i="224"/>
  <c r="G179" i="224"/>
  <c r="G180" i="224"/>
  <c r="G181" i="224"/>
  <c r="G182" i="224"/>
  <c r="G183" i="224"/>
  <c r="G184" i="224"/>
  <c r="G185" i="224"/>
  <c r="G186" i="224"/>
  <c r="G187" i="224"/>
  <c r="G188" i="224"/>
  <c r="G189" i="224"/>
  <c r="G190" i="224"/>
  <c r="G191" i="224"/>
  <c r="G192" i="224"/>
  <c r="G193" i="224"/>
  <c r="G194" i="224"/>
  <c r="G195" i="224"/>
  <c r="G196" i="224"/>
  <c r="G197" i="224"/>
  <c r="G198" i="224"/>
  <c r="G199" i="224"/>
  <c r="G200" i="224"/>
  <c r="G201" i="224"/>
  <c r="G202" i="224"/>
  <c r="G203" i="224"/>
  <c r="G204" i="224"/>
  <c r="G205" i="224"/>
  <c r="G206" i="224"/>
  <c r="G207" i="224"/>
  <c r="G208" i="224"/>
  <c r="G209" i="224"/>
  <c r="G210" i="224"/>
  <c r="G211" i="224"/>
  <c r="G212" i="224"/>
  <c r="G213" i="224"/>
  <c r="G214" i="224"/>
  <c r="G215" i="224"/>
  <c r="G216" i="224"/>
  <c r="G217" i="224"/>
  <c r="G218" i="224"/>
  <c r="G219" i="224"/>
  <c r="G220" i="224"/>
  <c r="G221" i="224"/>
  <c r="G222" i="224"/>
  <c r="G223" i="224"/>
  <c r="G224" i="224"/>
  <c r="G225" i="224"/>
  <c r="G226" i="224"/>
  <c r="G227" i="224"/>
  <c r="G228" i="224"/>
  <c r="G229" i="224"/>
  <c r="G230" i="224"/>
  <c r="G231" i="224"/>
  <c r="G232" i="224"/>
  <c r="G233" i="224"/>
  <c r="G234" i="224"/>
  <c r="G235" i="224"/>
  <c r="G236" i="224"/>
  <c r="G237" i="224"/>
  <c r="G238" i="224"/>
  <c r="G239" i="224"/>
  <c r="G240" i="224"/>
  <c r="G241" i="224"/>
  <c r="G242" i="224"/>
  <c r="G243" i="224"/>
  <c r="G244" i="224"/>
  <c r="G245" i="224"/>
  <c r="G246" i="224"/>
  <c r="G247" i="224"/>
  <c r="G248" i="224"/>
  <c r="G249" i="224"/>
  <c r="G250" i="224"/>
  <c r="G62" i="224"/>
  <c r="G61" i="224"/>
  <c r="G60" i="224"/>
  <c r="G59" i="224"/>
  <c r="G58" i="224"/>
  <c r="G57" i="224"/>
  <c r="G56" i="224"/>
  <c r="G55" i="224"/>
  <c r="G54" i="224"/>
  <c r="G53" i="224"/>
  <c r="G52" i="224"/>
  <c r="G51" i="224"/>
  <c r="G50" i="224"/>
  <c r="G49" i="224"/>
  <c r="G48" i="224"/>
  <c r="G46" i="224"/>
  <c r="G47" i="224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7" i="3"/>
  <c r="N100" i="3" l="1"/>
  <c r="N388" i="3"/>
  <c r="N389" i="3"/>
  <c r="N196" i="3"/>
  <c r="N197" i="3"/>
  <c r="N244" i="3"/>
  <c r="N245" i="3"/>
  <c r="N51" i="3"/>
  <c r="N292" i="3"/>
  <c r="N52" i="3"/>
  <c r="N293" i="3"/>
  <c r="O293" i="3" s="1"/>
  <c r="P293" i="3" s="1"/>
  <c r="N53" i="3"/>
  <c r="O53" i="3" s="1"/>
  <c r="P53" i="3" s="1"/>
  <c r="N340" i="3"/>
  <c r="N99" i="3"/>
  <c r="O99" i="3" s="1"/>
  <c r="P99" i="3" s="1"/>
  <c r="N341" i="3"/>
  <c r="N148" i="3"/>
  <c r="N436" i="3"/>
  <c r="N149" i="3"/>
  <c r="N437" i="3"/>
  <c r="N147" i="3"/>
  <c r="N195" i="3"/>
  <c r="N243" i="3"/>
  <c r="N291" i="3"/>
  <c r="O291" i="3" s="1"/>
  <c r="P291" i="3" s="1"/>
  <c r="N339" i="3"/>
  <c r="O339" i="3" s="1"/>
  <c r="P339" i="3" s="1"/>
  <c r="N387" i="3"/>
  <c r="N435" i="3"/>
  <c r="O435" i="3" s="1"/>
  <c r="P435" i="3" s="1"/>
  <c r="N15" i="3"/>
  <c r="N63" i="3"/>
  <c r="N111" i="3"/>
  <c r="N159" i="3"/>
  <c r="N207" i="3"/>
  <c r="O207" i="3" s="1"/>
  <c r="P207" i="3" s="1"/>
  <c r="N255" i="3"/>
  <c r="N303" i="3"/>
  <c r="N351" i="3"/>
  <c r="N399" i="3"/>
  <c r="N447" i="3"/>
  <c r="O447" i="3" s="1"/>
  <c r="P447" i="3" s="1"/>
  <c r="N16" i="3"/>
  <c r="N64" i="3"/>
  <c r="O64" i="3" s="1"/>
  <c r="P64" i="3" s="1"/>
  <c r="N112" i="3"/>
  <c r="N160" i="3"/>
  <c r="N208" i="3"/>
  <c r="N256" i="3"/>
  <c r="N304" i="3"/>
  <c r="O304" i="3" s="1"/>
  <c r="P304" i="3" s="1"/>
  <c r="N352" i="3"/>
  <c r="N400" i="3"/>
  <c r="N448" i="3"/>
  <c r="N17" i="3"/>
  <c r="N65" i="3"/>
  <c r="N113" i="3"/>
  <c r="N161" i="3"/>
  <c r="O161" i="3" s="1"/>
  <c r="P161" i="3" s="1"/>
  <c r="N209" i="3"/>
  <c r="N257" i="3"/>
  <c r="N305" i="3"/>
  <c r="N353" i="3"/>
  <c r="N401" i="3"/>
  <c r="O401" i="3" s="1"/>
  <c r="P401" i="3" s="1"/>
  <c r="N449" i="3"/>
  <c r="N27" i="3"/>
  <c r="N75" i="3"/>
  <c r="N123" i="3"/>
  <c r="O123" i="3" s="1"/>
  <c r="P123" i="3" s="1"/>
  <c r="N171" i="3"/>
  <c r="O171" i="3" s="1"/>
  <c r="P171" i="3" s="1"/>
  <c r="N219" i="3"/>
  <c r="N267" i="3"/>
  <c r="O267" i="3" s="1"/>
  <c r="P267" i="3" s="1"/>
  <c r="N315" i="3"/>
  <c r="N363" i="3"/>
  <c r="N411" i="3"/>
  <c r="N459" i="3"/>
  <c r="N28" i="3"/>
  <c r="O28" i="3" s="1"/>
  <c r="P28" i="3" s="1"/>
  <c r="N76" i="3"/>
  <c r="N124" i="3"/>
  <c r="N172" i="3"/>
  <c r="N220" i="3"/>
  <c r="O220" i="3" s="1"/>
  <c r="P220" i="3" s="1"/>
  <c r="N268" i="3"/>
  <c r="O268" i="3" s="1"/>
  <c r="P268" i="3" s="1"/>
  <c r="N316" i="3"/>
  <c r="N364" i="3"/>
  <c r="O364" i="3" s="1"/>
  <c r="P364" i="3" s="1"/>
  <c r="N412" i="3"/>
  <c r="N460" i="3"/>
  <c r="N29" i="3"/>
  <c r="N77" i="3"/>
  <c r="N125" i="3"/>
  <c r="O125" i="3" s="1"/>
  <c r="P125" i="3" s="1"/>
  <c r="N173" i="3"/>
  <c r="N221" i="3"/>
  <c r="N269" i="3"/>
  <c r="N317" i="3"/>
  <c r="N365" i="3"/>
  <c r="O365" i="3" s="1"/>
  <c r="P365" i="3" s="1"/>
  <c r="N413" i="3"/>
  <c r="N461" i="3"/>
  <c r="O461" i="3" s="1"/>
  <c r="P461" i="3" s="1"/>
  <c r="N39" i="3"/>
  <c r="N87" i="3"/>
  <c r="N135" i="3"/>
  <c r="N183" i="3"/>
  <c r="N231" i="3"/>
  <c r="N279" i="3"/>
  <c r="N327" i="3"/>
  <c r="N375" i="3"/>
  <c r="N423" i="3"/>
  <c r="O423" i="3" s="1"/>
  <c r="P423" i="3" s="1"/>
  <c r="N471" i="3"/>
  <c r="O471" i="3" s="1"/>
  <c r="P471" i="3" s="1"/>
  <c r="N40" i="3"/>
  <c r="N88" i="3"/>
  <c r="O88" i="3" s="1"/>
  <c r="P88" i="3" s="1"/>
  <c r="N136" i="3"/>
  <c r="N184" i="3"/>
  <c r="N232" i="3"/>
  <c r="N280" i="3"/>
  <c r="N328" i="3"/>
  <c r="O328" i="3" s="1"/>
  <c r="P328" i="3" s="1"/>
  <c r="N376" i="3"/>
  <c r="N424" i="3"/>
  <c r="N472" i="3"/>
  <c r="N41" i="3"/>
  <c r="O41" i="3" s="1"/>
  <c r="P41" i="3" s="1"/>
  <c r="N89" i="3"/>
  <c r="O89" i="3" s="1"/>
  <c r="P89" i="3" s="1"/>
  <c r="N137" i="3"/>
  <c r="N185" i="3"/>
  <c r="O185" i="3" s="1"/>
  <c r="P185" i="3" s="1"/>
  <c r="N233" i="3"/>
  <c r="N281" i="3"/>
  <c r="N329" i="3"/>
  <c r="N377" i="3"/>
  <c r="N425" i="3"/>
  <c r="N473" i="3"/>
  <c r="N18" i="3"/>
  <c r="N30" i="3"/>
  <c r="O30" i="3" s="1"/>
  <c r="P30" i="3" s="1"/>
  <c r="N42" i="3"/>
  <c r="O42" i="3" s="1"/>
  <c r="P42" i="3" s="1"/>
  <c r="N54" i="3"/>
  <c r="O54" i="3" s="1"/>
  <c r="P54" i="3" s="1"/>
  <c r="N66" i="3"/>
  <c r="N78" i="3"/>
  <c r="O78" i="3" s="1"/>
  <c r="P78" i="3" s="1"/>
  <c r="N90" i="3"/>
  <c r="N102" i="3"/>
  <c r="N114" i="3"/>
  <c r="N126" i="3"/>
  <c r="O126" i="3" s="1"/>
  <c r="P126" i="3" s="1"/>
  <c r="N138" i="3"/>
  <c r="N150" i="3"/>
  <c r="O150" i="3" s="1"/>
  <c r="P150" i="3" s="1"/>
  <c r="N162" i="3"/>
  <c r="N174" i="3"/>
  <c r="N186" i="3"/>
  <c r="O186" i="3" s="1"/>
  <c r="P186" i="3" s="1"/>
  <c r="N198" i="3"/>
  <c r="N210" i="3"/>
  <c r="N222" i="3"/>
  <c r="O222" i="3" s="1"/>
  <c r="P222" i="3" s="1"/>
  <c r="N234" i="3"/>
  <c r="O234" i="3" s="1"/>
  <c r="P234" i="3" s="1"/>
  <c r="N246" i="3"/>
  <c r="O246" i="3" s="1"/>
  <c r="P246" i="3" s="1"/>
  <c r="N258" i="3"/>
  <c r="N270" i="3"/>
  <c r="O270" i="3" s="1"/>
  <c r="P270" i="3" s="1"/>
  <c r="N282" i="3"/>
  <c r="O282" i="3" s="1"/>
  <c r="P282" i="3" s="1"/>
  <c r="N294" i="3"/>
  <c r="O294" i="3" s="1"/>
  <c r="P294" i="3" s="1"/>
  <c r="N306" i="3"/>
  <c r="N318" i="3"/>
  <c r="N330" i="3"/>
  <c r="O330" i="3" s="1"/>
  <c r="P330" i="3" s="1"/>
  <c r="N342" i="3"/>
  <c r="O342" i="3" s="1"/>
  <c r="P342" i="3" s="1"/>
  <c r="N354" i="3"/>
  <c r="N366" i="3"/>
  <c r="O366" i="3" s="1"/>
  <c r="P366" i="3" s="1"/>
  <c r="N378" i="3"/>
  <c r="N390" i="3"/>
  <c r="O390" i="3" s="1"/>
  <c r="P390" i="3" s="1"/>
  <c r="N402" i="3"/>
  <c r="N414" i="3"/>
  <c r="O414" i="3" s="1"/>
  <c r="P414" i="3" s="1"/>
  <c r="N426" i="3"/>
  <c r="O426" i="3" s="1"/>
  <c r="P426" i="3" s="1"/>
  <c r="N438" i="3"/>
  <c r="O438" i="3" s="1"/>
  <c r="P438" i="3" s="1"/>
  <c r="N450" i="3"/>
  <c r="N462" i="3"/>
  <c r="O462" i="3" s="1"/>
  <c r="P462" i="3" s="1"/>
  <c r="N474" i="3"/>
  <c r="N19" i="3"/>
  <c r="O19" i="3" s="1"/>
  <c r="P19" i="3" s="1"/>
  <c r="N31" i="3"/>
  <c r="N43" i="3"/>
  <c r="O43" i="3" s="1"/>
  <c r="P43" i="3" s="1"/>
  <c r="N55" i="3"/>
  <c r="O55" i="3" s="1"/>
  <c r="P55" i="3" s="1"/>
  <c r="N67" i="3"/>
  <c r="O67" i="3" s="1"/>
  <c r="P67" i="3" s="1"/>
  <c r="N79" i="3"/>
  <c r="N91" i="3"/>
  <c r="O91" i="3" s="1"/>
  <c r="P91" i="3" s="1"/>
  <c r="N103" i="3"/>
  <c r="O103" i="3" s="1"/>
  <c r="P103" i="3" s="1"/>
  <c r="N115" i="3"/>
  <c r="O115" i="3" s="1"/>
  <c r="P115" i="3" s="1"/>
  <c r="N127" i="3"/>
  <c r="N139" i="3"/>
  <c r="N151" i="3"/>
  <c r="O151" i="3" s="1"/>
  <c r="P151" i="3" s="1"/>
  <c r="N163" i="3"/>
  <c r="O163" i="3" s="1"/>
  <c r="P163" i="3" s="1"/>
  <c r="N175" i="3"/>
  <c r="N187" i="3"/>
  <c r="O187" i="3" s="1"/>
  <c r="P187" i="3" s="1"/>
  <c r="N199" i="3"/>
  <c r="N211" i="3"/>
  <c r="O211" i="3" s="1"/>
  <c r="P211" i="3" s="1"/>
  <c r="N223" i="3"/>
  <c r="N235" i="3"/>
  <c r="O235" i="3" s="1"/>
  <c r="P235" i="3" s="1"/>
  <c r="N247" i="3"/>
  <c r="O247" i="3" s="1"/>
  <c r="P247" i="3" s="1"/>
  <c r="N259" i="3"/>
  <c r="O259" i="3" s="1"/>
  <c r="P259" i="3" s="1"/>
  <c r="N271" i="3"/>
  <c r="N283" i="3"/>
  <c r="O283" i="3" s="1"/>
  <c r="P283" i="3" s="1"/>
  <c r="N295" i="3"/>
  <c r="O295" i="3" s="1"/>
  <c r="P295" i="3" s="1"/>
  <c r="N307" i="3"/>
  <c r="O307" i="3" s="1"/>
  <c r="P307" i="3" s="1"/>
  <c r="N319" i="3"/>
  <c r="N331" i="3"/>
  <c r="O331" i="3" s="1"/>
  <c r="P331" i="3" s="1"/>
  <c r="N343" i="3"/>
  <c r="O343" i="3" s="1"/>
  <c r="P343" i="3" s="1"/>
  <c r="N355" i="3"/>
  <c r="O355" i="3" s="1"/>
  <c r="P355" i="3" s="1"/>
  <c r="N367" i="3"/>
  <c r="N379" i="3"/>
  <c r="O379" i="3" s="1"/>
  <c r="P379" i="3" s="1"/>
  <c r="N391" i="3"/>
  <c r="O391" i="3" s="1"/>
  <c r="P391" i="3" s="1"/>
  <c r="N403" i="3"/>
  <c r="O403" i="3" s="1"/>
  <c r="P403" i="3" s="1"/>
  <c r="N415" i="3"/>
  <c r="N427" i="3"/>
  <c r="O427" i="3" s="1"/>
  <c r="P427" i="3" s="1"/>
  <c r="N439" i="3"/>
  <c r="O439" i="3" s="1"/>
  <c r="P439" i="3" s="1"/>
  <c r="N451" i="3"/>
  <c r="O451" i="3" s="1"/>
  <c r="P451" i="3" s="1"/>
  <c r="N463" i="3"/>
  <c r="N475" i="3"/>
  <c r="O475" i="3" s="1"/>
  <c r="P475" i="3" s="1"/>
  <c r="N8" i="3"/>
  <c r="O8" i="3" s="1"/>
  <c r="P8" i="3" s="1"/>
  <c r="N20" i="3"/>
  <c r="N32" i="3"/>
  <c r="N44" i="3"/>
  <c r="O44" i="3" s="1"/>
  <c r="P44" i="3" s="1"/>
  <c r="N56" i="3"/>
  <c r="O56" i="3" s="1"/>
  <c r="P56" i="3" s="1"/>
  <c r="N68" i="3"/>
  <c r="O68" i="3" s="1"/>
  <c r="P68" i="3" s="1"/>
  <c r="N80" i="3"/>
  <c r="N92" i="3"/>
  <c r="O92" i="3" s="1"/>
  <c r="P92" i="3" s="1"/>
  <c r="N104" i="3"/>
  <c r="N116" i="3"/>
  <c r="O116" i="3" s="1"/>
  <c r="P116" i="3" s="1"/>
  <c r="N128" i="3"/>
  <c r="N140" i="3"/>
  <c r="O140" i="3" s="1"/>
  <c r="P140" i="3" s="1"/>
  <c r="N152" i="3"/>
  <c r="O152" i="3" s="1"/>
  <c r="P152" i="3" s="1"/>
  <c r="N164" i="3"/>
  <c r="O164" i="3" s="1"/>
  <c r="P164" i="3" s="1"/>
  <c r="N176" i="3"/>
  <c r="N188" i="3"/>
  <c r="O188" i="3" s="1"/>
  <c r="P188" i="3" s="1"/>
  <c r="N200" i="3"/>
  <c r="O200" i="3" s="1"/>
  <c r="P200" i="3" s="1"/>
  <c r="N212" i="3"/>
  <c r="O212" i="3" s="1"/>
  <c r="P212" i="3" s="1"/>
  <c r="N224" i="3"/>
  <c r="N236" i="3"/>
  <c r="N248" i="3"/>
  <c r="O248" i="3" s="1"/>
  <c r="P248" i="3" s="1"/>
  <c r="N260" i="3"/>
  <c r="O260" i="3" s="1"/>
  <c r="P260" i="3" s="1"/>
  <c r="N272" i="3"/>
  <c r="N284" i="3"/>
  <c r="O284" i="3" s="1"/>
  <c r="P284" i="3" s="1"/>
  <c r="N296" i="3"/>
  <c r="N308" i="3"/>
  <c r="O308" i="3" s="1"/>
  <c r="P308" i="3" s="1"/>
  <c r="N320" i="3"/>
  <c r="N332" i="3"/>
  <c r="N344" i="3"/>
  <c r="O344" i="3" s="1"/>
  <c r="P344" i="3" s="1"/>
  <c r="N356" i="3"/>
  <c r="O356" i="3" s="1"/>
  <c r="P356" i="3" s="1"/>
  <c r="N368" i="3"/>
  <c r="N380" i="3"/>
  <c r="N392" i="3"/>
  <c r="O392" i="3" s="1"/>
  <c r="P392" i="3" s="1"/>
  <c r="N404" i="3"/>
  <c r="O404" i="3" s="1"/>
  <c r="P404" i="3" s="1"/>
  <c r="N416" i="3"/>
  <c r="N428" i="3"/>
  <c r="O428" i="3" s="1"/>
  <c r="P428" i="3" s="1"/>
  <c r="N440" i="3"/>
  <c r="O440" i="3" s="1"/>
  <c r="P440" i="3" s="1"/>
  <c r="N452" i="3"/>
  <c r="N464" i="3"/>
  <c r="N476" i="3"/>
  <c r="O476" i="3" s="1"/>
  <c r="P476" i="3" s="1"/>
  <c r="N9" i="3"/>
  <c r="O9" i="3" s="1"/>
  <c r="P9" i="3" s="1"/>
  <c r="N21" i="3"/>
  <c r="O21" i="3" s="1"/>
  <c r="P21" i="3" s="1"/>
  <c r="N33" i="3"/>
  <c r="N45" i="3"/>
  <c r="O45" i="3" s="1"/>
  <c r="P45" i="3" s="1"/>
  <c r="N57" i="3"/>
  <c r="N69" i="3"/>
  <c r="O69" i="3" s="1"/>
  <c r="P69" i="3" s="1"/>
  <c r="N81" i="3"/>
  <c r="N93" i="3"/>
  <c r="O93" i="3" s="1"/>
  <c r="P93" i="3" s="1"/>
  <c r="N105" i="3"/>
  <c r="N117" i="3"/>
  <c r="O117" i="3" s="1"/>
  <c r="P117" i="3" s="1"/>
  <c r="N129" i="3"/>
  <c r="N141" i="3"/>
  <c r="N153" i="3"/>
  <c r="O153" i="3" s="1"/>
  <c r="P153" i="3" s="1"/>
  <c r="N165" i="3"/>
  <c r="O165" i="3" s="1"/>
  <c r="P165" i="3" s="1"/>
  <c r="N177" i="3"/>
  <c r="N189" i="3"/>
  <c r="N201" i="3"/>
  <c r="O201" i="3" s="1"/>
  <c r="P201" i="3" s="1"/>
  <c r="N213" i="3"/>
  <c r="O213" i="3" s="1"/>
  <c r="P213" i="3" s="1"/>
  <c r="N225" i="3"/>
  <c r="N237" i="3"/>
  <c r="O237" i="3" s="1"/>
  <c r="P237" i="3" s="1"/>
  <c r="N249" i="3"/>
  <c r="N261" i="3"/>
  <c r="N273" i="3"/>
  <c r="N285" i="3"/>
  <c r="O285" i="3" s="1"/>
  <c r="P285" i="3" s="1"/>
  <c r="N297" i="3"/>
  <c r="O297" i="3" s="1"/>
  <c r="P297" i="3" s="1"/>
  <c r="N309" i="3"/>
  <c r="O309" i="3" s="1"/>
  <c r="P309" i="3" s="1"/>
  <c r="N321" i="3"/>
  <c r="N333" i="3"/>
  <c r="N345" i="3"/>
  <c r="O345" i="3" s="1"/>
  <c r="P345" i="3" s="1"/>
  <c r="N357" i="3"/>
  <c r="O357" i="3" s="1"/>
  <c r="P357" i="3" s="1"/>
  <c r="N369" i="3"/>
  <c r="N381" i="3"/>
  <c r="O381" i="3" s="1"/>
  <c r="P381" i="3" s="1"/>
  <c r="N393" i="3"/>
  <c r="O393" i="3" s="1"/>
  <c r="P393" i="3" s="1"/>
  <c r="N405" i="3"/>
  <c r="O405" i="3" s="1"/>
  <c r="P405" i="3" s="1"/>
  <c r="N417" i="3"/>
  <c r="N429" i="3"/>
  <c r="O429" i="3" s="1"/>
  <c r="P429" i="3" s="1"/>
  <c r="N441" i="3"/>
  <c r="O441" i="3" s="1"/>
  <c r="P441" i="3" s="1"/>
  <c r="N453" i="3"/>
  <c r="O453" i="3" s="1"/>
  <c r="P453" i="3" s="1"/>
  <c r="N465" i="3"/>
  <c r="N477" i="3"/>
  <c r="O477" i="3" s="1"/>
  <c r="P477" i="3" s="1"/>
  <c r="N10" i="3"/>
  <c r="O10" i="3" s="1"/>
  <c r="P10" i="3" s="1"/>
  <c r="N22" i="3"/>
  <c r="O22" i="3" s="1"/>
  <c r="P22" i="3" s="1"/>
  <c r="N34" i="3"/>
  <c r="N46" i="3"/>
  <c r="O46" i="3" s="1"/>
  <c r="P46" i="3" s="1"/>
  <c r="N58" i="3"/>
  <c r="O58" i="3" s="1"/>
  <c r="P58" i="3" s="1"/>
  <c r="N70" i="3"/>
  <c r="N82" i="3"/>
  <c r="N94" i="3"/>
  <c r="O94" i="3" s="1"/>
  <c r="P94" i="3" s="1"/>
  <c r="N106" i="3"/>
  <c r="O106" i="3" s="1"/>
  <c r="P106" i="3" s="1"/>
  <c r="N118" i="3"/>
  <c r="O118" i="3" s="1"/>
  <c r="P118" i="3" s="1"/>
  <c r="N130" i="3"/>
  <c r="N142" i="3"/>
  <c r="N154" i="3"/>
  <c r="N166" i="3"/>
  <c r="O166" i="3" s="1"/>
  <c r="P166" i="3" s="1"/>
  <c r="N178" i="3"/>
  <c r="N190" i="3"/>
  <c r="O190" i="3" s="1"/>
  <c r="P190" i="3" s="1"/>
  <c r="N202" i="3"/>
  <c r="O202" i="3" s="1"/>
  <c r="P202" i="3" s="1"/>
  <c r="N214" i="3"/>
  <c r="O214" i="3" s="1"/>
  <c r="P214" i="3" s="1"/>
  <c r="N226" i="3"/>
  <c r="N238" i="3"/>
  <c r="O238" i="3" s="1"/>
  <c r="P238" i="3" s="1"/>
  <c r="N250" i="3"/>
  <c r="O250" i="3" s="1"/>
  <c r="P250" i="3" s="1"/>
  <c r="N262" i="3"/>
  <c r="O262" i="3" s="1"/>
  <c r="P262" i="3" s="1"/>
  <c r="N274" i="3"/>
  <c r="O274" i="3" s="1"/>
  <c r="P274" i="3" s="1"/>
  <c r="N286" i="3"/>
  <c r="O286" i="3" s="1"/>
  <c r="P286" i="3" s="1"/>
  <c r="N298" i="3"/>
  <c r="O298" i="3" s="1"/>
  <c r="P298" i="3" s="1"/>
  <c r="N310" i="3"/>
  <c r="O310" i="3" s="1"/>
  <c r="P310" i="3" s="1"/>
  <c r="N322" i="3"/>
  <c r="N334" i="3"/>
  <c r="O334" i="3" s="1"/>
  <c r="P334" i="3" s="1"/>
  <c r="N346" i="3"/>
  <c r="O346" i="3" s="1"/>
  <c r="P346" i="3" s="1"/>
  <c r="N358" i="3"/>
  <c r="O358" i="3" s="1"/>
  <c r="P358" i="3" s="1"/>
  <c r="N370" i="3"/>
  <c r="N382" i="3"/>
  <c r="O382" i="3" s="1"/>
  <c r="P382" i="3" s="1"/>
  <c r="N394" i="3"/>
  <c r="O394" i="3" s="1"/>
  <c r="P394" i="3" s="1"/>
  <c r="N406" i="3"/>
  <c r="O406" i="3" s="1"/>
  <c r="P406" i="3" s="1"/>
  <c r="N418" i="3"/>
  <c r="N430" i="3"/>
  <c r="O430" i="3" s="1"/>
  <c r="P430" i="3" s="1"/>
  <c r="N442" i="3"/>
  <c r="O442" i="3" s="1"/>
  <c r="P442" i="3" s="1"/>
  <c r="N454" i="3"/>
  <c r="O454" i="3" s="1"/>
  <c r="P454" i="3" s="1"/>
  <c r="N466" i="3"/>
  <c r="N478" i="3"/>
  <c r="O478" i="3" s="1"/>
  <c r="P478" i="3" s="1"/>
  <c r="N11" i="3"/>
  <c r="O11" i="3" s="1"/>
  <c r="P11" i="3" s="1"/>
  <c r="N23" i="3"/>
  <c r="O23" i="3" s="1"/>
  <c r="P23" i="3" s="1"/>
  <c r="N35" i="3"/>
  <c r="O35" i="3" s="1"/>
  <c r="P35" i="3" s="1"/>
  <c r="N47" i="3"/>
  <c r="O47" i="3" s="1"/>
  <c r="P47" i="3" s="1"/>
  <c r="N59" i="3"/>
  <c r="O59" i="3" s="1"/>
  <c r="P59" i="3" s="1"/>
  <c r="N71" i="3"/>
  <c r="O71" i="3" s="1"/>
  <c r="P71" i="3" s="1"/>
  <c r="N83" i="3"/>
  <c r="O83" i="3" s="1"/>
  <c r="P83" i="3" s="1"/>
  <c r="N95" i="3"/>
  <c r="N107" i="3"/>
  <c r="O107" i="3" s="1"/>
  <c r="P107" i="3" s="1"/>
  <c r="N119" i="3"/>
  <c r="O119" i="3" s="1"/>
  <c r="P119" i="3" s="1"/>
  <c r="N131" i="3"/>
  <c r="N143" i="3"/>
  <c r="O143" i="3" s="1"/>
  <c r="P143" i="3" s="1"/>
  <c r="N155" i="3"/>
  <c r="O155" i="3" s="1"/>
  <c r="P155" i="3" s="1"/>
  <c r="N167" i="3"/>
  <c r="O167" i="3" s="1"/>
  <c r="P167" i="3" s="1"/>
  <c r="N179" i="3"/>
  <c r="N191" i="3"/>
  <c r="O191" i="3" s="1"/>
  <c r="P191" i="3" s="1"/>
  <c r="N203" i="3"/>
  <c r="O203" i="3" s="1"/>
  <c r="P203" i="3" s="1"/>
  <c r="N215" i="3"/>
  <c r="O215" i="3" s="1"/>
  <c r="P215" i="3" s="1"/>
  <c r="N227" i="3"/>
  <c r="N239" i="3"/>
  <c r="O239" i="3" s="1"/>
  <c r="P239" i="3" s="1"/>
  <c r="N251" i="3"/>
  <c r="O251" i="3" s="1"/>
  <c r="P251" i="3" s="1"/>
  <c r="N263" i="3"/>
  <c r="O263" i="3" s="1"/>
  <c r="P263" i="3" s="1"/>
  <c r="N275" i="3"/>
  <c r="N287" i="3"/>
  <c r="O287" i="3" s="1"/>
  <c r="P287" i="3" s="1"/>
  <c r="N299" i="3"/>
  <c r="O299" i="3" s="1"/>
  <c r="P299" i="3" s="1"/>
  <c r="N311" i="3"/>
  <c r="O311" i="3" s="1"/>
  <c r="P311" i="3" s="1"/>
  <c r="N323" i="3"/>
  <c r="N335" i="3"/>
  <c r="O335" i="3" s="1"/>
  <c r="P335" i="3" s="1"/>
  <c r="N347" i="3"/>
  <c r="O347" i="3" s="1"/>
  <c r="P347" i="3" s="1"/>
  <c r="N359" i="3"/>
  <c r="O359" i="3" s="1"/>
  <c r="P359" i="3" s="1"/>
  <c r="N371" i="3"/>
  <c r="O371" i="3" s="1"/>
  <c r="P371" i="3" s="1"/>
  <c r="N383" i="3"/>
  <c r="N395" i="3"/>
  <c r="O395" i="3" s="1"/>
  <c r="P395" i="3" s="1"/>
  <c r="N407" i="3"/>
  <c r="O407" i="3" s="1"/>
  <c r="P407" i="3" s="1"/>
  <c r="N419" i="3"/>
  <c r="N431" i="3"/>
  <c r="O431" i="3" s="1"/>
  <c r="P431" i="3" s="1"/>
  <c r="N443" i="3"/>
  <c r="N455" i="3"/>
  <c r="O455" i="3" s="1"/>
  <c r="P455" i="3" s="1"/>
  <c r="N467" i="3"/>
  <c r="N479" i="3"/>
  <c r="O479" i="3" s="1"/>
  <c r="P479" i="3" s="1"/>
  <c r="N12" i="3"/>
  <c r="O12" i="3" s="1"/>
  <c r="P12" i="3" s="1"/>
  <c r="N24" i="3"/>
  <c r="O24" i="3" s="1"/>
  <c r="P24" i="3" s="1"/>
  <c r="N36" i="3"/>
  <c r="O36" i="3" s="1"/>
  <c r="P36" i="3" s="1"/>
  <c r="N48" i="3"/>
  <c r="O48" i="3" s="1"/>
  <c r="P48" i="3" s="1"/>
  <c r="N60" i="3"/>
  <c r="O60" i="3" s="1"/>
  <c r="P60" i="3" s="1"/>
  <c r="N72" i="3"/>
  <c r="O72" i="3" s="1"/>
  <c r="P72" i="3" s="1"/>
  <c r="N84" i="3"/>
  <c r="N96" i="3"/>
  <c r="O96" i="3" s="1"/>
  <c r="P96" i="3" s="1"/>
  <c r="N108" i="3"/>
  <c r="O108" i="3" s="1"/>
  <c r="P108" i="3" s="1"/>
  <c r="N120" i="3"/>
  <c r="O120" i="3" s="1"/>
  <c r="P120" i="3" s="1"/>
  <c r="N132" i="3"/>
  <c r="N144" i="3"/>
  <c r="O144" i="3" s="1"/>
  <c r="P144" i="3" s="1"/>
  <c r="N156" i="3"/>
  <c r="O156" i="3" s="1"/>
  <c r="P156" i="3" s="1"/>
  <c r="N168" i="3"/>
  <c r="O168" i="3" s="1"/>
  <c r="P168" i="3" s="1"/>
  <c r="N180" i="3"/>
  <c r="O180" i="3" s="1"/>
  <c r="P180" i="3" s="1"/>
  <c r="N192" i="3"/>
  <c r="O192" i="3" s="1"/>
  <c r="P192" i="3" s="1"/>
  <c r="N204" i="3"/>
  <c r="O204" i="3" s="1"/>
  <c r="P204" i="3" s="1"/>
  <c r="N216" i="3"/>
  <c r="O216" i="3" s="1"/>
  <c r="P216" i="3" s="1"/>
  <c r="N228" i="3"/>
  <c r="N240" i="3"/>
  <c r="O240" i="3" s="1"/>
  <c r="P240" i="3" s="1"/>
  <c r="N252" i="3"/>
  <c r="O252" i="3" s="1"/>
  <c r="P252" i="3" s="1"/>
  <c r="N264" i="3"/>
  <c r="O264" i="3" s="1"/>
  <c r="P264" i="3" s="1"/>
  <c r="N276" i="3"/>
  <c r="O276" i="3" s="1"/>
  <c r="P276" i="3" s="1"/>
  <c r="N288" i="3"/>
  <c r="O288" i="3" s="1"/>
  <c r="P288" i="3" s="1"/>
  <c r="N300" i="3"/>
  <c r="O300" i="3" s="1"/>
  <c r="P300" i="3" s="1"/>
  <c r="N312" i="3"/>
  <c r="O312" i="3" s="1"/>
  <c r="P312" i="3" s="1"/>
  <c r="N324" i="3"/>
  <c r="N336" i="3"/>
  <c r="O336" i="3" s="1"/>
  <c r="P336" i="3" s="1"/>
  <c r="N348" i="3"/>
  <c r="O348" i="3" s="1"/>
  <c r="P348" i="3" s="1"/>
  <c r="N360" i="3"/>
  <c r="O360" i="3" s="1"/>
  <c r="P360" i="3" s="1"/>
  <c r="N372" i="3"/>
  <c r="N384" i="3"/>
  <c r="O384" i="3" s="1"/>
  <c r="P384" i="3" s="1"/>
  <c r="N396" i="3"/>
  <c r="N408" i="3"/>
  <c r="O408" i="3" s="1"/>
  <c r="P408" i="3" s="1"/>
  <c r="N420" i="3"/>
  <c r="N432" i="3"/>
  <c r="O432" i="3" s="1"/>
  <c r="P432" i="3" s="1"/>
  <c r="N444" i="3"/>
  <c r="O444" i="3" s="1"/>
  <c r="P444" i="3" s="1"/>
  <c r="N456" i="3"/>
  <c r="O456" i="3" s="1"/>
  <c r="P456" i="3" s="1"/>
  <c r="N468" i="3"/>
  <c r="N480" i="3"/>
  <c r="O480" i="3" s="1"/>
  <c r="P480" i="3" s="1"/>
  <c r="N13" i="3"/>
  <c r="O13" i="3" s="1"/>
  <c r="P13" i="3" s="1"/>
  <c r="N25" i="3"/>
  <c r="O25" i="3" s="1"/>
  <c r="P25" i="3" s="1"/>
  <c r="N37" i="3"/>
  <c r="N49" i="3"/>
  <c r="O49" i="3" s="1"/>
  <c r="P49" i="3" s="1"/>
  <c r="N61" i="3"/>
  <c r="O61" i="3" s="1"/>
  <c r="P61" i="3" s="1"/>
  <c r="N73" i="3"/>
  <c r="N85" i="3"/>
  <c r="N97" i="3"/>
  <c r="O97" i="3" s="1"/>
  <c r="P97" i="3" s="1"/>
  <c r="N109" i="3"/>
  <c r="O109" i="3" s="1"/>
  <c r="P109" i="3" s="1"/>
  <c r="N121" i="3"/>
  <c r="O121" i="3" s="1"/>
  <c r="P121" i="3" s="1"/>
  <c r="N133" i="3"/>
  <c r="N145" i="3"/>
  <c r="O145" i="3" s="1"/>
  <c r="P145" i="3" s="1"/>
  <c r="N157" i="3"/>
  <c r="O157" i="3" s="1"/>
  <c r="P157" i="3" s="1"/>
  <c r="N169" i="3"/>
  <c r="O169" i="3" s="1"/>
  <c r="P169" i="3" s="1"/>
  <c r="N181" i="3"/>
  <c r="N193" i="3"/>
  <c r="O193" i="3" s="1"/>
  <c r="P193" i="3" s="1"/>
  <c r="N205" i="3"/>
  <c r="O205" i="3" s="1"/>
  <c r="P205" i="3" s="1"/>
  <c r="N217" i="3"/>
  <c r="O217" i="3" s="1"/>
  <c r="P217" i="3" s="1"/>
  <c r="N229" i="3"/>
  <c r="O229" i="3" s="1"/>
  <c r="P229" i="3" s="1"/>
  <c r="N241" i="3"/>
  <c r="O241" i="3" s="1"/>
  <c r="P241" i="3" s="1"/>
  <c r="N253" i="3"/>
  <c r="O253" i="3" s="1"/>
  <c r="P253" i="3" s="1"/>
  <c r="N265" i="3"/>
  <c r="O265" i="3" s="1"/>
  <c r="P265" i="3" s="1"/>
  <c r="N277" i="3"/>
  <c r="N289" i="3"/>
  <c r="O289" i="3" s="1"/>
  <c r="P289" i="3" s="1"/>
  <c r="N301" i="3"/>
  <c r="O301" i="3" s="1"/>
  <c r="P301" i="3" s="1"/>
  <c r="N313" i="3"/>
  <c r="O313" i="3" s="1"/>
  <c r="P313" i="3" s="1"/>
  <c r="N325" i="3"/>
  <c r="N337" i="3"/>
  <c r="O337" i="3" s="1"/>
  <c r="P337" i="3" s="1"/>
  <c r="N349" i="3"/>
  <c r="O349" i="3" s="1"/>
  <c r="P349" i="3" s="1"/>
  <c r="N361" i="3"/>
  <c r="O361" i="3" s="1"/>
  <c r="P361" i="3" s="1"/>
  <c r="N373" i="3"/>
  <c r="O373" i="3" s="1"/>
  <c r="P373" i="3" s="1"/>
  <c r="N385" i="3"/>
  <c r="O385" i="3" s="1"/>
  <c r="P385" i="3" s="1"/>
  <c r="N397" i="3"/>
  <c r="O397" i="3" s="1"/>
  <c r="P397" i="3" s="1"/>
  <c r="N409" i="3"/>
  <c r="O409" i="3" s="1"/>
  <c r="P409" i="3" s="1"/>
  <c r="N421" i="3"/>
  <c r="N433" i="3"/>
  <c r="O433" i="3" s="1"/>
  <c r="P433" i="3" s="1"/>
  <c r="N445" i="3"/>
  <c r="N457" i="3"/>
  <c r="N469" i="3"/>
  <c r="N481" i="3"/>
  <c r="O481" i="3" s="1"/>
  <c r="P481" i="3" s="1"/>
  <c r="N14" i="3"/>
  <c r="O14" i="3" s="1"/>
  <c r="P14" i="3" s="1"/>
  <c r="N26" i="3"/>
  <c r="O26" i="3" s="1"/>
  <c r="P26" i="3" s="1"/>
  <c r="N38" i="3"/>
  <c r="O38" i="3" s="1"/>
  <c r="P38" i="3" s="1"/>
  <c r="N50" i="3"/>
  <c r="O50" i="3" s="1"/>
  <c r="P50" i="3" s="1"/>
  <c r="N62" i="3"/>
  <c r="O62" i="3" s="1"/>
  <c r="P62" i="3" s="1"/>
  <c r="N74" i="3"/>
  <c r="O74" i="3" s="1"/>
  <c r="P74" i="3" s="1"/>
  <c r="N86" i="3"/>
  <c r="O86" i="3" s="1"/>
  <c r="P86" i="3" s="1"/>
  <c r="N98" i="3"/>
  <c r="O98" i="3" s="1"/>
  <c r="P98" i="3" s="1"/>
  <c r="N110" i="3"/>
  <c r="O110" i="3" s="1"/>
  <c r="P110" i="3" s="1"/>
  <c r="N122" i="3"/>
  <c r="O122" i="3" s="1"/>
  <c r="P122" i="3" s="1"/>
  <c r="N134" i="3"/>
  <c r="N146" i="3"/>
  <c r="O146" i="3" s="1"/>
  <c r="P146" i="3" s="1"/>
  <c r="N158" i="3"/>
  <c r="O158" i="3" s="1"/>
  <c r="P158" i="3" s="1"/>
  <c r="N170" i="3"/>
  <c r="O170" i="3" s="1"/>
  <c r="P170" i="3" s="1"/>
  <c r="N182" i="3"/>
  <c r="O182" i="3" s="1"/>
  <c r="P182" i="3" s="1"/>
  <c r="N194" i="3"/>
  <c r="O194" i="3" s="1"/>
  <c r="P194" i="3" s="1"/>
  <c r="N206" i="3"/>
  <c r="O206" i="3" s="1"/>
  <c r="P206" i="3" s="1"/>
  <c r="N218" i="3"/>
  <c r="O218" i="3" s="1"/>
  <c r="P218" i="3" s="1"/>
  <c r="N230" i="3"/>
  <c r="N242" i="3"/>
  <c r="O242" i="3" s="1"/>
  <c r="P242" i="3" s="1"/>
  <c r="N254" i="3"/>
  <c r="O254" i="3" s="1"/>
  <c r="P254" i="3" s="1"/>
  <c r="N266" i="3"/>
  <c r="O266" i="3" s="1"/>
  <c r="P266" i="3" s="1"/>
  <c r="N278" i="3"/>
  <c r="O278" i="3" s="1"/>
  <c r="P278" i="3" s="1"/>
  <c r="N290" i="3"/>
  <c r="O290" i="3" s="1"/>
  <c r="P290" i="3" s="1"/>
  <c r="N302" i="3"/>
  <c r="O302" i="3" s="1"/>
  <c r="P302" i="3" s="1"/>
  <c r="N314" i="3"/>
  <c r="N326" i="3"/>
  <c r="O326" i="3" s="1"/>
  <c r="P326" i="3" s="1"/>
  <c r="N338" i="3"/>
  <c r="O338" i="3" s="1"/>
  <c r="P338" i="3" s="1"/>
  <c r="N350" i="3"/>
  <c r="O350" i="3" s="1"/>
  <c r="P350" i="3" s="1"/>
  <c r="N362" i="3"/>
  <c r="O362" i="3" s="1"/>
  <c r="P362" i="3" s="1"/>
  <c r="N374" i="3"/>
  <c r="O374" i="3" s="1"/>
  <c r="P374" i="3" s="1"/>
  <c r="N386" i="3"/>
  <c r="N398" i="3"/>
  <c r="O398" i="3" s="1"/>
  <c r="P398" i="3" s="1"/>
  <c r="N410" i="3"/>
  <c r="O410" i="3" s="1"/>
  <c r="P410" i="3" s="1"/>
  <c r="N422" i="3"/>
  <c r="O422" i="3" s="1"/>
  <c r="P422" i="3" s="1"/>
  <c r="N434" i="3"/>
  <c r="O434" i="3" s="1"/>
  <c r="P434" i="3" s="1"/>
  <c r="N446" i="3"/>
  <c r="O446" i="3" s="1"/>
  <c r="P446" i="3" s="1"/>
  <c r="N458" i="3"/>
  <c r="N470" i="3"/>
  <c r="O470" i="3" s="1"/>
  <c r="P470" i="3" s="1"/>
  <c r="O436" i="3"/>
  <c r="P436" i="3" s="1"/>
  <c r="O76" i="3"/>
  <c r="P76" i="3" s="1"/>
  <c r="O352" i="3"/>
  <c r="P352" i="3" s="1"/>
  <c r="O280" i="3"/>
  <c r="P280" i="3" s="1"/>
  <c r="O208" i="3"/>
  <c r="P208" i="3" s="1"/>
  <c r="O340" i="3"/>
  <c r="P340" i="3" s="1"/>
  <c r="O196" i="3"/>
  <c r="P196" i="3" s="1"/>
  <c r="O31" i="3"/>
  <c r="P31" i="3" s="1"/>
  <c r="O244" i="3"/>
  <c r="P244" i="3" s="1"/>
  <c r="O160" i="3"/>
  <c r="P160" i="3" s="1"/>
  <c r="O16" i="3"/>
  <c r="P16" i="3" s="1"/>
  <c r="O402" i="3"/>
  <c r="P402" i="3" s="1"/>
  <c r="O354" i="3"/>
  <c r="P354" i="3" s="1"/>
  <c r="O258" i="3"/>
  <c r="P258" i="3" s="1"/>
  <c r="O210" i="3"/>
  <c r="P210" i="3" s="1"/>
  <c r="O198" i="3"/>
  <c r="P198" i="3" s="1"/>
  <c r="O114" i="3"/>
  <c r="P114" i="3" s="1"/>
  <c r="O66" i="3"/>
  <c r="P66" i="3" s="1"/>
  <c r="O389" i="3"/>
  <c r="P389" i="3" s="1"/>
  <c r="O377" i="3"/>
  <c r="P377" i="3" s="1"/>
  <c r="O257" i="3"/>
  <c r="P257" i="3" s="1"/>
  <c r="O245" i="3"/>
  <c r="P245" i="3" s="1"/>
  <c r="O233" i="3"/>
  <c r="P233" i="3" s="1"/>
  <c r="O149" i="3"/>
  <c r="P149" i="3" s="1"/>
  <c r="O113" i="3"/>
  <c r="P113" i="3" s="1"/>
  <c r="O101" i="3"/>
  <c r="P101" i="3" s="1"/>
  <c r="N7" i="3"/>
  <c r="O7" i="3" s="1"/>
  <c r="P7" i="3" s="1"/>
  <c r="O303" i="3"/>
  <c r="P303" i="3" s="1"/>
  <c r="O279" i="3"/>
  <c r="P279" i="3" s="1"/>
  <c r="O195" i="3"/>
  <c r="P195" i="3" s="1"/>
  <c r="O159" i="3"/>
  <c r="P159" i="3" s="1"/>
  <c r="O147" i="3"/>
  <c r="P147" i="3" s="1"/>
  <c r="O135" i="3"/>
  <c r="P135" i="3" s="1"/>
  <c r="O51" i="3"/>
  <c r="P51" i="3" s="1"/>
  <c r="O15" i="3"/>
  <c r="P15" i="3" s="1"/>
  <c r="O85" i="3"/>
  <c r="P85" i="3" s="1"/>
  <c r="O420" i="3"/>
  <c r="P420" i="3" s="1"/>
  <c r="O324" i="3"/>
  <c r="P324" i="3" s="1"/>
  <c r="O132" i="3"/>
  <c r="P132" i="3" s="1"/>
  <c r="O467" i="3"/>
  <c r="P467" i="3" s="1"/>
  <c r="O383" i="3"/>
  <c r="P383" i="3" s="1"/>
  <c r="O323" i="3"/>
  <c r="P323" i="3" s="1"/>
  <c r="O227" i="3"/>
  <c r="P227" i="3" s="1"/>
  <c r="O179" i="3"/>
  <c r="P179" i="3" s="1"/>
  <c r="O370" i="3"/>
  <c r="P370" i="3" s="1"/>
  <c r="O226" i="3"/>
  <c r="P226" i="3" s="1"/>
  <c r="O130" i="3"/>
  <c r="P130" i="3" s="1"/>
  <c r="O82" i="3"/>
  <c r="P82" i="3" s="1"/>
  <c r="O417" i="3"/>
  <c r="P417" i="3" s="1"/>
  <c r="O333" i="3"/>
  <c r="P333" i="3" s="1"/>
  <c r="O321" i="3"/>
  <c r="P321" i="3" s="1"/>
  <c r="O273" i="3"/>
  <c r="P273" i="3" s="1"/>
  <c r="O189" i="3"/>
  <c r="P189" i="3" s="1"/>
  <c r="O177" i="3"/>
  <c r="P177" i="3" s="1"/>
  <c r="O141" i="3"/>
  <c r="P141" i="3" s="1"/>
  <c r="O129" i="3"/>
  <c r="P129" i="3" s="1"/>
  <c r="O81" i="3"/>
  <c r="P81" i="3" s="1"/>
  <c r="O33" i="3"/>
  <c r="P33" i="3" s="1"/>
  <c r="O464" i="3"/>
  <c r="P464" i="3" s="1"/>
  <c r="O380" i="3"/>
  <c r="P380" i="3" s="1"/>
  <c r="O368" i="3"/>
  <c r="P368" i="3" s="1"/>
  <c r="O332" i="3"/>
  <c r="P332" i="3" s="1"/>
  <c r="O320" i="3"/>
  <c r="P320" i="3" s="1"/>
  <c r="O236" i="3"/>
  <c r="P236" i="3" s="1"/>
  <c r="O176" i="3"/>
  <c r="P176" i="3" s="1"/>
  <c r="O80" i="3"/>
  <c r="P80" i="3" s="1"/>
  <c r="O32" i="3"/>
  <c r="P32" i="3" s="1"/>
  <c r="O175" i="3"/>
  <c r="P175" i="3" s="1"/>
  <c r="O448" i="3"/>
  <c r="P448" i="3" s="1"/>
  <c r="O316" i="3"/>
  <c r="P316" i="3" s="1"/>
  <c r="O172" i="3"/>
  <c r="P172" i="3" s="1"/>
  <c r="O52" i="3"/>
  <c r="P52" i="3" s="1"/>
  <c r="O460" i="3"/>
  <c r="P460" i="3" s="1"/>
  <c r="O184" i="3"/>
  <c r="P184" i="3" s="1"/>
  <c r="O387" i="3"/>
  <c r="P387" i="3" s="1"/>
  <c r="O315" i="3"/>
  <c r="P315" i="3" s="1"/>
  <c r="O243" i="3"/>
  <c r="P243" i="3" s="1"/>
  <c r="O134" i="3"/>
  <c r="P134" i="3" s="1"/>
  <c r="O154" i="3"/>
  <c r="P154" i="3" s="1"/>
  <c r="O142" i="3"/>
  <c r="P142" i="3" s="1"/>
  <c r="O249" i="3"/>
  <c r="P249" i="3" s="1"/>
  <c r="O225" i="3"/>
  <c r="P225" i="3" s="1"/>
  <c r="O419" i="3"/>
  <c r="P419" i="3" s="1"/>
  <c r="O296" i="3"/>
  <c r="P296" i="3" s="1"/>
  <c r="B30" i="1"/>
  <c r="R19" i="115"/>
  <c r="N5" i="115"/>
  <c r="R38" i="115"/>
  <c r="O3" i="115"/>
  <c r="N49" i="115"/>
  <c r="N43" i="115"/>
  <c r="N37" i="115"/>
  <c r="N31" i="115"/>
  <c r="N25" i="115"/>
  <c r="N19" i="115"/>
  <c r="O13" i="115"/>
  <c r="N7" i="115"/>
  <c r="R47" i="115"/>
  <c r="R41" i="115"/>
  <c r="R35" i="115"/>
  <c r="R29" i="115"/>
  <c r="R23" i="115"/>
  <c r="R17" i="115"/>
  <c r="R11" i="115"/>
  <c r="R5" i="115"/>
  <c r="N48" i="115"/>
  <c r="N42" i="115"/>
  <c r="N36" i="115"/>
  <c r="N30" i="115"/>
  <c r="N24" i="115"/>
  <c r="N18" i="115"/>
  <c r="N12" i="115"/>
  <c r="R46" i="115"/>
  <c r="R40" i="115"/>
  <c r="R34" i="115"/>
  <c r="R28" i="115"/>
  <c r="R22" i="115"/>
  <c r="R16" i="115"/>
  <c r="R10" i="115"/>
  <c r="R4" i="115"/>
  <c r="R45" i="115"/>
  <c r="R39" i="115"/>
  <c r="R33" i="115"/>
  <c r="R27" i="115"/>
  <c r="R3" i="115"/>
  <c r="N6" i="115"/>
  <c r="N3" i="115"/>
  <c r="N21" i="115"/>
  <c r="N15" i="115"/>
  <c r="N9" i="115"/>
  <c r="O43" i="115"/>
  <c r="N44" i="115"/>
  <c r="O38" i="115"/>
  <c r="N32" i="115"/>
  <c r="N26" i="115"/>
  <c r="N20" i="115"/>
  <c r="N14" i="115"/>
  <c r="N8" i="115"/>
  <c r="O31" i="115"/>
  <c r="O7" i="115"/>
  <c r="N13" i="115"/>
  <c r="O26" i="115"/>
  <c r="O14" i="115"/>
  <c r="O49" i="115"/>
  <c r="O37" i="115"/>
  <c r="O25" i="115"/>
  <c r="O48" i="115"/>
  <c r="O36" i="115"/>
  <c r="O24" i="115"/>
  <c r="O12" i="115"/>
  <c r="O47" i="115"/>
  <c r="O35" i="115"/>
  <c r="O23" i="115"/>
  <c r="O11" i="115"/>
  <c r="O46" i="115"/>
  <c r="O34" i="115"/>
  <c r="O22" i="115"/>
  <c r="O10" i="115"/>
  <c r="O45" i="115"/>
  <c r="O33" i="115"/>
  <c r="O21" i="115"/>
  <c r="O9" i="115"/>
  <c r="O44" i="115"/>
  <c r="O32" i="115"/>
  <c r="O20" i="115"/>
  <c r="O8" i="115"/>
  <c r="O42" i="115"/>
  <c r="O30" i="115"/>
  <c r="O18" i="115"/>
  <c r="O6" i="115"/>
  <c r="O41" i="115"/>
  <c r="O29" i="115"/>
  <c r="O17" i="115"/>
  <c r="O5" i="115"/>
  <c r="O40" i="115"/>
  <c r="O28" i="115"/>
  <c r="O16" i="115"/>
  <c r="O4" i="115"/>
  <c r="O39" i="115"/>
  <c r="O27" i="115"/>
  <c r="O15" i="115"/>
  <c r="O418" i="3"/>
  <c r="P418" i="3" s="1"/>
  <c r="O27" i="3"/>
  <c r="P27" i="3" s="1"/>
  <c r="O63" i="3"/>
  <c r="P63" i="3" s="1"/>
  <c r="O84" i="3"/>
  <c r="P84" i="3" s="1"/>
  <c r="O228" i="3"/>
  <c r="P228" i="3" s="1"/>
  <c r="O87" i="3"/>
  <c r="P87" i="3" s="1"/>
  <c r="O183" i="3"/>
  <c r="P183" i="3" s="1"/>
  <c r="O231" i="3"/>
  <c r="P231" i="3" s="1"/>
  <c r="O255" i="3"/>
  <c r="P255" i="3" s="1"/>
  <c r="O353" i="3"/>
  <c r="P353" i="3" s="1"/>
  <c r="O388" i="3"/>
  <c r="P388" i="3" s="1"/>
  <c r="O29" i="3"/>
  <c r="P29" i="3" s="1"/>
  <c r="O65" i="3"/>
  <c r="P65" i="3" s="1"/>
  <c r="O112" i="3"/>
  <c r="P112" i="3" s="1"/>
  <c r="O136" i="3"/>
  <c r="P136" i="3" s="1"/>
  <c r="O232" i="3"/>
  <c r="P232" i="3" s="1"/>
  <c r="O319" i="3"/>
  <c r="P319" i="3" s="1"/>
  <c r="O178" i="3"/>
  <c r="P178" i="3" s="1"/>
  <c r="O137" i="3"/>
  <c r="P137" i="3" s="1"/>
  <c r="O209" i="3"/>
  <c r="P209" i="3" s="1"/>
  <c r="O261" i="3"/>
  <c r="P261" i="3" s="1"/>
  <c r="O322" i="3"/>
  <c r="P322" i="3" s="1"/>
  <c r="O70" i="3"/>
  <c r="P70" i="3" s="1"/>
  <c r="O139" i="3"/>
  <c r="P139" i="3" s="1"/>
  <c r="O437" i="3"/>
  <c r="P437" i="3" s="1"/>
  <c r="O17" i="3"/>
  <c r="P17" i="3" s="1"/>
  <c r="O34" i="3"/>
  <c r="P34" i="3" s="1"/>
  <c r="O367" i="3"/>
  <c r="P367" i="3" s="1"/>
  <c r="F3" i="111"/>
  <c r="F8" i="111" s="1"/>
  <c r="O269" i="3"/>
  <c r="P269" i="3" s="1"/>
  <c r="O57" i="3"/>
  <c r="P57" i="3" s="1"/>
  <c r="O75" i="3"/>
  <c r="P75" i="3" s="1"/>
  <c r="O100" i="3"/>
  <c r="P100" i="3" s="1"/>
  <c r="O148" i="3"/>
  <c r="P148" i="3" s="1"/>
  <c r="O219" i="3"/>
  <c r="P219" i="3" s="1"/>
  <c r="O271" i="3"/>
  <c r="P271" i="3" s="1"/>
  <c r="O459" i="3"/>
  <c r="P459" i="3" s="1"/>
  <c r="O39" i="3"/>
  <c r="P39" i="3" s="1"/>
  <c r="O77" i="3"/>
  <c r="P77" i="3" s="1"/>
  <c r="O173" i="3"/>
  <c r="P173" i="3" s="1"/>
  <c r="O199" i="3"/>
  <c r="P199" i="3" s="1"/>
  <c r="O221" i="3"/>
  <c r="P221" i="3" s="1"/>
  <c r="O275" i="3"/>
  <c r="P275" i="3" s="1"/>
  <c r="O412" i="3"/>
  <c r="P412" i="3" s="1"/>
  <c r="O40" i="3"/>
  <c r="P40" i="3" s="1"/>
  <c r="O105" i="3"/>
  <c r="P105" i="3" s="1"/>
  <c r="O415" i="3"/>
  <c r="P415" i="3" s="1"/>
  <c r="O466" i="3"/>
  <c r="P466" i="3" s="1"/>
  <c r="O79" i="3"/>
  <c r="P79" i="3" s="1"/>
  <c r="O95" i="3"/>
  <c r="P95" i="3" s="1"/>
  <c r="O111" i="3"/>
  <c r="P111" i="3" s="1"/>
  <c r="O127" i="3"/>
  <c r="P127" i="3" s="1"/>
  <c r="O223" i="3"/>
  <c r="P223" i="3" s="1"/>
  <c r="O317" i="3"/>
  <c r="P317" i="3" s="1"/>
  <c r="O341" i="3"/>
  <c r="P341" i="3" s="1"/>
  <c r="O413" i="3"/>
  <c r="P413" i="3" s="1"/>
  <c r="O443" i="3"/>
  <c r="P443" i="3" s="1"/>
  <c r="O131" i="3"/>
  <c r="P131" i="3" s="1"/>
  <c r="O281" i="3"/>
  <c r="P281" i="3" s="1"/>
  <c r="O372" i="3"/>
  <c r="P372" i="3" s="1"/>
  <c r="O396" i="3"/>
  <c r="P396" i="3" s="1"/>
  <c r="O449" i="3"/>
  <c r="P449" i="3" s="1"/>
  <c r="O197" i="3"/>
  <c r="P197" i="3" s="1"/>
  <c r="O230" i="3"/>
  <c r="P230" i="3" s="1"/>
  <c r="O305" i="3"/>
  <c r="P305" i="3" s="1"/>
  <c r="O351" i="3"/>
  <c r="P351" i="3" s="1"/>
  <c r="O376" i="3"/>
  <c r="P376" i="3" s="1"/>
  <c r="O399" i="3"/>
  <c r="P399" i="3" s="1"/>
  <c r="O124" i="3"/>
  <c r="P124" i="3" s="1"/>
  <c r="O292" i="3"/>
  <c r="P292" i="3" s="1"/>
  <c r="O363" i="3"/>
  <c r="P363" i="3" s="1"/>
  <c r="O386" i="3"/>
  <c r="P386" i="3" s="1"/>
  <c r="O411" i="3"/>
  <c r="P411" i="3" s="1"/>
  <c r="O468" i="3"/>
  <c r="P468" i="3" s="1"/>
  <c r="O327" i="3"/>
  <c r="P327" i="3" s="1"/>
  <c r="O375" i="3"/>
  <c r="P375" i="3" s="1"/>
  <c r="O424" i="3"/>
  <c r="P424" i="3" s="1"/>
  <c r="O314" i="3"/>
  <c r="P314" i="3" s="1"/>
  <c r="O329" i="3"/>
  <c r="P329" i="3" s="1"/>
  <c r="O425" i="3"/>
  <c r="P425" i="3" s="1"/>
  <c r="O458" i="3"/>
  <c r="P458" i="3" s="1"/>
  <c r="O256" i="3"/>
  <c r="P256" i="3" s="1"/>
  <c r="O369" i="3"/>
  <c r="P369" i="3" s="1"/>
  <c r="O400" i="3"/>
  <c r="P400" i="3" s="1"/>
  <c r="O37" i="3"/>
  <c r="P37" i="3" s="1"/>
  <c r="O73" i="3"/>
  <c r="P73" i="3" s="1"/>
  <c r="O133" i="3"/>
  <c r="P133" i="3" s="1"/>
  <c r="O181" i="3"/>
  <c r="P181" i="3" s="1"/>
  <c r="O277" i="3"/>
  <c r="P277" i="3" s="1"/>
  <c r="O325" i="3"/>
  <c r="P325" i="3" s="1"/>
  <c r="O421" i="3"/>
  <c r="P421" i="3" s="1"/>
  <c r="O445" i="3"/>
  <c r="P445" i="3" s="1"/>
  <c r="O457" i="3"/>
  <c r="P457" i="3" s="1"/>
  <c r="O469" i="3"/>
  <c r="P469" i="3" s="1"/>
  <c r="O473" i="3"/>
  <c r="P473" i="3" s="1"/>
  <c r="O474" i="3"/>
  <c r="P474" i="3" s="1"/>
  <c r="O18" i="3"/>
  <c r="P18" i="3" s="1"/>
  <c r="O90" i="3"/>
  <c r="P90" i="3" s="1"/>
  <c r="O102" i="3"/>
  <c r="P102" i="3" s="1"/>
  <c r="O138" i="3"/>
  <c r="P138" i="3" s="1"/>
  <c r="O162" i="3"/>
  <c r="P162" i="3" s="1"/>
  <c r="O174" i="3"/>
  <c r="P174" i="3" s="1"/>
  <c r="O306" i="3"/>
  <c r="P306" i="3" s="1"/>
  <c r="O318" i="3"/>
  <c r="P318" i="3" s="1"/>
  <c r="O378" i="3"/>
  <c r="P378" i="3" s="1"/>
  <c r="O450" i="3"/>
  <c r="P450" i="3" s="1"/>
  <c r="O463" i="3"/>
  <c r="P463" i="3" s="1"/>
  <c r="O20" i="3"/>
  <c r="P20" i="3" s="1"/>
  <c r="O104" i="3"/>
  <c r="P104" i="3" s="1"/>
  <c r="O128" i="3"/>
  <c r="P128" i="3" s="1"/>
  <c r="O224" i="3"/>
  <c r="P224" i="3" s="1"/>
  <c r="O272" i="3"/>
  <c r="P272" i="3" s="1"/>
  <c r="O416" i="3"/>
  <c r="P416" i="3" s="1"/>
  <c r="O452" i="3"/>
  <c r="P452" i="3" s="1"/>
  <c r="O465" i="3"/>
  <c r="P465" i="3" s="1"/>
  <c r="O482" i="3"/>
  <c r="P482" i="3" s="1"/>
  <c r="O472" i="3"/>
  <c r="P472" i="3" s="1"/>
  <c r="B7" i="111"/>
  <c r="B9" i="111" s="1"/>
  <c r="C9" i="111" s="1"/>
  <c r="A7" i="226"/>
  <c r="O51" i="115" l="1"/>
  <c r="O50" i="115"/>
  <c r="F6" i="226"/>
  <c r="B7" i="226"/>
  <c r="P483" i="3"/>
  <c r="A8" i="226"/>
  <c r="C7" i="226" l="1"/>
  <c r="F7" i="226" s="1"/>
  <c r="G7" i="226" s="1"/>
  <c r="B8" i="226"/>
  <c r="A9" i="226"/>
  <c r="C8" i="226" l="1"/>
  <c r="B9" i="226"/>
  <c r="A10" i="226"/>
  <c r="B37" i="1"/>
  <c r="B18" i="1"/>
  <c r="B19" i="1" s="1"/>
  <c r="F8" i="226" l="1"/>
  <c r="G8" i="226" s="1"/>
  <c r="C9" i="226"/>
  <c r="B10" i="226"/>
  <c r="A11" i="226"/>
  <c r="F9" i="226" l="1"/>
  <c r="G9" i="226" s="1"/>
  <c r="C10" i="226"/>
  <c r="B11" i="226"/>
  <c r="A12" i="226"/>
  <c r="F10" i="226" l="1"/>
  <c r="G10" i="226" s="1"/>
  <c r="C11" i="226"/>
  <c r="B12" i="226"/>
  <c r="A13" i="226"/>
  <c r="B17" i="1"/>
  <c r="B3" i="1"/>
  <c r="B4" i="1" s="1"/>
  <c r="F11" i="226" l="1"/>
  <c r="G11" i="226" s="1"/>
  <c r="C12" i="226"/>
  <c r="B13" i="226"/>
  <c r="A14" i="226"/>
  <c r="B22" i="1"/>
  <c r="C30" i="1"/>
  <c r="C6" i="111"/>
  <c r="B5" i="1"/>
  <c r="F12" i="226" l="1"/>
  <c r="G12" i="226" s="1"/>
  <c r="C13" i="226"/>
  <c r="B14" i="226"/>
  <c r="A15" i="226"/>
  <c r="B31" i="1"/>
  <c r="B32" i="1" s="1"/>
  <c r="F4" i="111"/>
  <c r="F5" i="111" s="1"/>
  <c r="C7" i="111"/>
  <c r="F13" i="226" l="1"/>
  <c r="G13" i="226" s="1"/>
  <c r="C14" i="226"/>
  <c r="B15" i="226"/>
  <c r="C15" i="226" s="1"/>
  <c r="A16" i="226"/>
  <c r="F15" i="226" l="1"/>
  <c r="F14" i="226"/>
  <c r="G14" i="226" s="1"/>
  <c r="B16" i="226"/>
  <c r="A17" i="226"/>
  <c r="G15" i="226" l="1"/>
  <c r="C16" i="226"/>
  <c r="B17" i="226"/>
  <c r="A18" i="226"/>
  <c r="G2" i="224"/>
  <c r="G3" i="224"/>
  <c r="G4" i="224"/>
  <c r="G5" i="224"/>
  <c r="G6" i="224"/>
  <c r="G7" i="224"/>
  <c r="G8" i="224"/>
  <c r="G9" i="224"/>
  <c r="G10" i="224"/>
  <c r="G11" i="224"/>
  <c r="G12" i="224"/>
  <c r="G13" i="224"/>
  <c r="G14" i="224"/>
  <c r="G15" i="224"/>
  <c r="G16" i="224"/>
  <c r="G17" i="224"/>
  <c r="G18" i="224"/>
  <c r="G19" i="224"/>
  <c r="G20" i="224"/>
  <c r="G21" i="224"/>
  <c r="G22" i="224"/>
  <c r="G23" i="224"/>
  <c r="G24" i="224"/>
  <c r="G25" i="224"/>
  <c r="G26" i="224"/>
  <c r="G27" i="224"/>
  <c r="G28" i="224"/>
  <c r="G29" i="224"/>
  <c r="G30" i="224"/>
  <c r="G31" i="224"/>
  <c r="G32" i="224"/>
  <c r="G33" i="224"/>
  <c r="G34" i="224"/>
  <c r="G35" i="224"/>
  <c r="G36" i="224"/>
  <c r="G37" i="224"/>
  <c r="G38" i="224"/>
  <c r="G39" i="224"/>
  <c r="G40" i="224"/>
  <c r="G41" i="224"/>
  <c r="G42" i="224"/>
  <c r="G43" i="224"/>
  <c r="G44" i="224"/>
  <c r="G45" i="224"/>
  <c r="G1" i="224"/>
  <c r="F16" i="226" l="1"/>
  <c r="G16" i="226" s="1"/>
  <c r="C17" i="226"/>
  <c r="B18" i="226"/>
  <c r="A19" i="226"/>
  <c r="B8" i="111"/>
  <c r="F17" i="226" l="1"/>
  <c r="G17" i="226" s="1"/>
  <c r="C18" i="226"/>
  <c r="B19" i="226"/>
  <c r="F6" i="111"/>
  <c r="F7" i="111"/>
  <c r="A20" i="226"/>
  <c r="B7" i="1"/>
  <c r="F18" i="226" l="1"/>
  <c r="G18" i="226" s="1"/>
  <c r="C19" i="226"/>
  <c r="B20" i="226"/>
  <c r="C20" i="226" s="1"/>
  <c r="A21" i="226"/>
  <c r="B8" i="1"/>
  <c r="B9" i="1" s="1"/>
  <c r="F20" i="226" l="1"/>
  <c r="F19" i="226"/>
  <c r="G19" i="226" s="1"/>
  <c r="B21" i="226"/>
  <c r="A22" i="226"/>
  <c r="C8" i="111"/>
  <c r="C25" i="1"/>
  <c r="C28" i="1"/>
  <c r="G20" i="226" l="1"/>
  <c r="C21" i="226"/>
  <c r="B22" i="226"/>
  <c r="F21" i="226"/>
  <c r="G21" i="226" s="1"/>
  <c r="A23" i="226"/>
  <c r="C22" i="226" l="1"/>
  <c r="B23" i="226"/>
  <c r="A24" i="226"/>
  <c r="F22" i="226" l="1"/>
  <c r="G22" i="226" s="1"/>
  <c r="C23" i="226"/>
  <c r="B24" i="226"/>
  <c r="A25" i="226"/>
  <c r="F23" i="226" l="1"/>
  <c r="G23" i="226" s="1"/>
  <c r="C24" i="226"/>
  <c r="B25" i="226"/>
  <c r="A26" i="226"/>
  <c r="F24" i="226" l="1"/>
  <c r="G24" i="226" s="1"/>
  <c r="C25" i="226"/>
  <c r="B26" i="226"/>
  <c r="A27" i="226"/>
  <c r="F25" i="226" l="1"/>
  <c r="G25" i="226" s="1"/>
  <c r="C26" i="226"/>
  <c r="B27" i="226"/>
  <c r="A28" i="226"/>
  <c r="F26" i="226" l="1"/>
  <c r="G26" i="226" s="1"/>
  <c r="C27" i="226"/>
  <c r="B28" i="226"/>
  <c r="A29" i="226"/>
  <c r="D8" i="204"/>
  <c r="D9" i="204"/>
  <c r="D10" i="204"/>
  <c r="D11" i="204"/>
  <c r="D12" i="204"/>
  <c r="D13" i="204"/>
  <c r="D14" i="204"/>
  <c r="D15" i="204"/>
  <c r="D16" i="204"/>
  <c r="D17" i="204"/>
  <c r="D18" i="204"/>
  <c r="D19" i="204"/>
  <c r="D20" i="204"/>
  <c r="D21" i="204"/>
  <c r="D22" i="204"/>
  <c r="F27" i="226" l="1"/>
  <c r="G27" i="226" s="1"/>
  <c r="C28" i="226"/>
  <c r="B29" i="226"/>
  <c r="C29" i="226" s="1"/>
  <c r="A30" i="226"/>
  <c r="D9" i="205"/>
  <c r="D10" i="205"/>
  <c r="D11" i="205"/>
  <c r="D12" i="205"/>
  <c r="D13" i="205"/>
  <c r="D14" i="205"/>
  <c r="D15" i="205"/>
  <c r="D16" i="205"/>
  <c r="D17" i="205"/>
  <c r="D18" i="205"/>
  <c r="D19" i="205"/>
  <c r="D20" i="205"/>
  <c r="D21" i="205"/>
  <c r="D22" i="205"/>
  <c r="D23" i="205"/>
  <c r="D24" i="205"/>
  <c r="D25" i="205"/>
  <c r="D26" i="205"/>
  <c r="D27" i="205"/>
  <c r="D28" i="205"/>
  <c r="D29" i="205"/>
  <c r="D30" i="205"/>
  <c r="D31" i="205"/>
  <c r="D32" i="205"/>
  <c r="D33" i="205"/>
  <c r="D34" i="205"/>
  <c r="D35" i="205"/>
  <c r="D36" i="205"/>
  <c r="D37" i="205"/>
  <c r="D9" i="211"/>
  <c r="D10" i="211"/>
  <c r="D11" i="211"/>
  <c r="D12" i="211"/>
  <c r="D13" i="211"/>
  <c r="D14" i="211"/>
  <c r="D15" i="211"/>
  <c r="D16" i="211"/>
  <c r="D17" i="211"/>
  <c r="D18" i="211"/>
  <c r="D19" i="211"/>
  <c r="D20" i="211"/>
  <c r="D21" i="211"/>
  <c r="D22" i="211"/>
  <c r="D23" i="211"/>
  <c r="D24" i="211"/>
  <c r="D25" i="211"/>
  <c r="D26" i="211"/>
  <c r="D27" i="211"/>
  <c r="D28" i="211"/>
  <c r="D29" i="211"/>
  <c r="D30" i="211"/>
  <c r="D31" i="211"/>
  <c r="D32" i="211"/>
  <c r="D33" i="211"/>
  <c r="D34" i="211"/>
  <c r="D35" i="211"/>
  <c r="D36" i="211"/>
  <c r="D37" i="211"/>
  <c r="D38" i="211"/>
  <c r="D39" i="211"/>
  <c r="D40" i="211"/>
  <c r="D41" i="211"/>
  <c r="D9" i="198"/>
  <c r="D10" i="198"/>
  <c r="D11" i="198"/>
  <c r="D12" i="198"/>
  <c r="D13" i="198"/>
  <c r="D14" i="198"/>
  <c r="D15" i="198"/>
  <c r="D16" i="198"/>
  <c r="D17" i="198"/>
  <c r="D18" i="198"/>
  <c r="D19" i="198"/>
  <c r="D20" i="198"/>
  <c r="D21" i="198"/>
  <c r="D22" i="198"/>
  <c r="D23" i="198"/>
  <c r="D24" i="198"/>
  <c r="D25" i="198"/>
  <c r="D26" i="198"/>
  <c r="D27" i="198"/>
  <c r="D28" i="198"/>
  <c r="D29" i="198"/>
  <c r="D30" i="198"/>
  <c r="D31" i="198"/>
  <c r="D32" i="198"/>
  <c r="D33" i="198"/>
  <c r="D34" i="198"/>
  <c r="D35" i="198"/>
  <c r="D36" i="198"/>
  <c r="D37" i="198"/>
  <c r="D38" i="198"/>
  <c r="D9" i="197"/>
  <c r="D10" i="197"/>
  <c r="D11" i="197"/>
  <c r="D12" i="197"/>
  <c r="D13" i="197"/>
  <c r="D14" i="197"/>
  <c r="D15" i="197"/>
  <c r="D16" i="197"/>
  <c r="D17" i="197"/>
  <c r="D18" i="197"/>
  <c r="D19" i="197"/>
  <c r="D20" i="197"/>
  <c r="D21" i="197"/>
  <c r="D22" i="197"/>
  <c r="D23" i="197"/>
  <c r="D24" i="197"/>
  <c r="D25" i="197"/>
  <c r="D26" i="197"/>
  <c r="D27" i="197"/>
  <c r="D28" i="197"/>
  <c r="D29" i="197"/>
  <c r="D30" i="197"/>
  <c r="D31" i="197"/>
  <c r="D32" i="197"/>
  <c r="D33" i="197"/>
  <c r="D34" i="197"/>
  <c r="D35" i="197"/>
  <c r="D36" i="197"/>
  <c r="D37" i="197"/>
  <c r="D38" i="197"/>
  <c r="D39" i="197"/>
  <c r="D40" i="197"/>
  <c r="D41" i="197"/>
  <c r="D42" i="197"/>
  <c r="D43" i="197"/>
  <c r="D9" i="196"/>
  <c r="D10" i="196"/>
  <c r="D11" i="196"/>
  <c r="D12" i="196"/>
  <c r="D13" i="196"/>
  <c r="D14" i="196"/>
  <c r="D15" i="196"/>
  <c r="D16" i="196"/>
  <c r="D17" i="196"/>
  <c r="D18" i="196"/>
  <c r="D19" i="196"/>
  <c r="D20" i="196"/>
  <c r="D21" i="196"/>
  <c r="D22" i="196"/>
  <c r="D23" i="196"/>
  <c r="D24" i="196"/>
  <c r="D25" i="196"/>
  <c r="D26" i="196"/>
  <c r="D27" i="196"/>
  <c r="D28" i="196"/>
  <c r="D29" i="196"/>
  <c r="D30" i="196"/>
  <c r="D31" i="196"/>
  <c r="D32" i="196"/>
  <c r="D33" i="196"/>
  <c r="D34" i="196"/>
  <c r="D35" i="196"/>
  <c r="D9" i="195"/>
  <c r="D10" i="195"/>
  <c r="D11" i="195"/>
  <c r="D12" i="195"/>
  <c r="D13" i="195"/>
  <c r="D14" i="195"/>
  <c r="D15" i="195"/>
  <c r="D16" i="195"/>
  <c r="D17" i="195"/>
  <c r="D18" i="195"/>
  <c r="D19" i="195"/>
  <c r="D20" i="195"/>
  <c r="D21" i="195"/>
  <c r="D22" i="195"/>
  <c r="D23" i="195"/>
  <c r="D24" i="195"/>
  <c r="D25" i="195"/>
  <c r="D26" i="195"/>
  <c r="D27" i="195"/>
  <c r="D28" i="195"/>
  <c r="D29" i="195"/>
  <c r="D30" i="195"/>
  <c r="D31" i="195"/>
  <c r="D32" i="195"/>
  <c r="D33" i="195"/>
  <c r="D34" i="195"/>
  <c r="D35" i="195"/>
  <c r="D36" i="195"/>
  <c r="D37" i="195"/>
  <c r="D38" i="195"/>
  <c r="D39" i="195"/>
  <c r="D40" i="195"/>
  <c r="D41" i="195"/>
  <c r="D42" i="195"/>
  <c r="D43" i="195"/>
  <c r="D44" i="195"/>
  <c r="D45" i="195"/>
  <c r="D46" i="195"/>
  <c r="D9" i="194"/>
  <c r="D10" i="194"/>
  <c r="D11" i="194"/>
  <c r="D12" i="194"/>
  <c r="D13" i="194"/>
  <c r="D14" i="194"/>
  <c r="D15" i="194"/>
  <c r="D16" i="194"/>
  <c r="D17" i="194"/>
  <c r="D18" i="194"/>
  <c r="D19" i="194"/>
  <c r="D20" i="194"/>
  <c r="D21" i="194"/>
  <c r="D22" i="194"/>
  <c r="D23" i="194"/>
  <c r="D24" i="194"/>
  <c r="D25" i="194"/>
  <c r="D26" i="194"/>
  <c r="D27" i="194"/>
  <c r="D28" i="194"/>
  <c r="D29" i="194"/>
  <c r="D30" i="194"/>
  <c r="D31" i="194"/>
  <c r="D32" i="194"/>
  <c r="D33" i="194"/>
  <c r="D34" i="194"/>
  <c r="D35" i="194"/>
  <c r="D36" i="194"/>
  <c r="D37" i="194"/>
  <c r="D38" i="194"/>
  <c r="D39" i="194"/>
  <c r="D40" i="194"/>
  <c r="D41" i="194"/>
  <c r="D42" i="194"/>
  <c r="D43" i="194"/>
  <c r="D44" i="194"/>
  <c r="D45" i="194"/>
  <c r="D46" i="194"/>
  <c r="D9" i="193"/>
  <c r="D10" i="193"/>
  <c r="D11" i="193"/>
  <c r="D12" i="193"/>
  <c r="D13" i="193"/>
  <c r="D14" i="193"/>
  <c r="D15" i="193"/>
  <c r="D16" i="193"/>
  <c r="D17" i="193"/>
  <c r="D18" i="193"/>
  <c r="D19" i="193"/>
  <c r="D20" i="193"/>
  <c r="D21" i="193"/>
  <c r="D22" i="193"/>
  <c r="D23" i="193"/>
  <c r="D24" i="193"/>
  <c r="D25" i="193"/>
  <c r="D26" i="193"/>
  <c r="D27" i="193"/>
  <c r="D28" i="193"/>
  <c r="D29" i="193"/>
  <c r="D30" i="193"/>
  <c r="D31" i="193"/>
  <c r="D32" i="193"/>
  <c r="D33" i="193"/>
  <c r="D34" i="193"/>
  <c r="D35" i="193"/>
  <c r="D36" i="193"/>
  <c r="D37" i="193"/>
  <c r="D38" i="193"/>
  <c r="D39" i="193"/>
  <c r="D40" i="193"/>
  <c r="D41" i="193"/>
  <c r="D42" i="193"/>
  <c r="D43" i="193"/>
  <c r="D44" i="193"/>
  <c r="D45" i="193"/>
  <c r="D9" i="192"/>
  <c r="D10" i="192"/>
  <c r="D11" i="192"/>
  <c r="D12" i="192"/>
  <c r="D13" i="192"/>
  <c r="D14" i="192"/>
  <c r="D15" i="192"/>
  <c r="D16" i="192"/>
  <c r="D17" i="192"/>
  <c r="D18" i="192"/>
  <c r="D19" i="192"/>
  <c r="D20" i="192"/>
  <c r="D21" i="192"/>
  <c r="D22" i="192"/>
  <c r="D23" i="192"/>
  <c r="D24" i="192"/>
  <c r="D25" i="192"/>
  <c r="D26" i="192"/>
  <c r="D27" i="192"/>
  <c r="D28" i="192"/>
  <c r="D29" i="192"/>
  <c r="D30" i="192"/>
  <c r="D31" i="192"/>
  <c r="D32" i="192"/>
  <c r="D33" i="192"/>
  <c r="D34" i="192"/>
  <c r="D35" i="192"/>
  <c r="D36" i="192"/>
  <c r="D37" i="192"/>
  <c r="D38" i="192"/>
  <c r="D39" i="192"/>
  <c r="D9" i="191"/>
  <c r="D10" i="191"/>
  <c r="D11" i="191"/>
  <c r="D12" i="191"/>
  <c r="D13" i="191"/>
  <c r="D14" i="191"/>
  <c r="D15" i="191"/>
  <c r="D16" i="191"/>
  <c r="D17" i="191"/>
  <c r="D18" i="191"/>
  <c r="D19" i="191"/>
  <c r="D20" i="191"/>
  <c r="D21" i="191"/>
  <c r="D22" i="191"/>
  <c r="D23" i="191"/>
  <c r="D24" i="191"/>
  <c r="D25" i="191"/>
  <c r="D26" i="191"/>
  <c r="D27" i="191"/>
  <c r="D28" i="191"/>
  <c r="D29" i="191"/>
  <c r="D30" i="191"/>
  <c r="D31" i="191"/>
  <c r="D32" i="191"/>
  <c r="D33" i="191"/>
  <c r="D9" i="201"/>
  <c r="D10" i="201"/>
  <c r="D11" i="201"/>
  <c r="D12" i="201"/>
  <c r="D13" i="201"/>
  <c r="D14" i="201"/>
  <c r="D15" i="201"/>
  <c r="D16" i="201"/>
  <c r="D17" i="201"/>
  <c r="D18" i="201"/>
  <c r="D19" i="201"/>
  <c r="D20" i="201"/>
  <c r="D21" i="201"/>
  <c r="D22" i="201"/>
  <c r="D23" i="201"/>
  <c r="D24" i="201"/>
  <c r="D25" i="201"/>
  <c r="D26" i="201"/>
  <c r="D27" i="201"/>
  <c r="D28" i="201"/>
  <c r="D29" i="201"/>
  <c r="D30" i="201"/>
  <c r="D31" i="201"/>
  <c r="D32" i="201"/>
  <c r="D33" i="201"/>
  <c r="D34" i="201"/>
  <c r="D35" i="201"/>
  <c r="D36" i="201"/>
  <c r="D9" i="190"/>
  <c r="D10" i="190"/>
  <c r="D11" i="190"/>
  <c r="D12" i="190"/>
  <c r="D13" i="190"/>
  <c r="D14" i="190"/>
  <c r="D15" i="190"/>
  <c r="D16" i="190"/>
  <c r="D17" i="190"/>
  <c r="D18" i="190"/>
  <c r="D19" i="190"/>
  <c r="D20" i="190"/>
  <c r="D21" i="190"/>
  <c r="D22" i="190"/>
  <c r="D23" i="190"/>
  <c r="D24" i="190"/>
  <c r="D25" i="190"/>
  <c r="D26" i="190"/>
  <c r="D27" i="190"/>
  <c r="D28" i="190"/>
  <c r="D29" i="190"/>
  <c r="D30" i="190"/>
  <c r="D31" i="190"/>
  <c r="D32" i="190"/>
  <c r="D33" i="190"/>
  <c r="D34" i="190"/>
  <c r="D35" i="190"/>
  <c r="D36" i="190"/>
  <c r="D37" i="190"/>
  <c r="D38" i="190"/>
  <c r="D39" i="190"/>
  <c r="D40" i="190"/>
  <c r="D41" i="190"/>
  <c r="D42" i="190"/>
  <c r="D43" i="190"/>
  <c r="D44" i="190"/>
  <c r="D45" i="190"/>
  <c r="D9" i="189"/>
  <c r="D10" i="189"/>
  <c r="D11" i="189"/>
  <c r="D12" i="189"/>
  <c r="D13" i="189"/>
  <c r="D14" i="189"/>
  <c r="D15" i="189"/>
  <c r="D16" i="189"/>
  <c r="D17" i="189"/>
  <c r="D18" i="189"/>
  <c r="D19" i="189"/>
  <c r="D20" i="189"/>
  <c r="D21" i="189"/>
  <c r="D22" i="189"/>
  <c r="D23" i="189"/>
  <c r="D24" i="189"/>
  <c r="D25" i="189"/>
  <c r="D26" i="189"/>
  <c r="D27" i="189"/>
  <c r="D28" i="189"/>
  <c r="D29" i="189"/>
  <c r="D30" i="189"/>
  <c r="D31" i="189"/>
  <c r="D32" i="189"/>
  <c r="D33" i="189"/>
  <c r="D34" i="189"/>
  <c r="D35" i="189"/>
  <c r="D9" i="188"/>
  <c r="D10" i="188"/>
  <c r="D11" i="188"/>
  <c r="D12" i="188"/>
  <c r="D13" i="188"/>
  <c r="D14" i="188"/>
  <c r="D15" i="188"/>
  <c r="D16" i="188"/>
  <c r="D17" i="188"/>
  <c r="D18" i="188"/>
  <c r="D19" i="188"/>
  <c r="D20" i="188"/>
  <c r="D21" i="188"/>
  <c r="D22" i="188"/>
  <c r="D23" i="188"/>
  <c r="D24" i="188"/>
  <c r="D25" i="188"/>
  <c r="D26" i="188"/>
  <c r="D27" i="188"/>
  <c r="D28" i="188"/>
  <c r="D29" i="188"/>
  <c r="D30" i="188"/>
  <c r="D31" i="188"/>
  <c r="D32" i="188"/>
  <c r="D33" i="188"/>
  <c r="D34" i="188"/>
  <c r="D35" i="188"/>
  <c r="D36" i="188"/>
  <c r="D37" i="188"/>
  <c r="D38" i="188"/>
  <c r="D39" i="188"/>
  <c r="D40" i="188"/>
  <c r="D41" i="188"/>
  <c r="D42" i="188"/>
  <c r="D9" i="200"/>
  <c r="D10" i="200"/>
  <c r="D11" i="200"/>
  <c r="D12" i="200"/>
  <c r="D13" i="200"/>
  <c r="D14" i="200"/>
  <c r="D15" i="200"/>
  <c r="D16" i="200"/>
  <c r="D17" i="200"/>
  <c r="D18" i="200"/>
  <c r="D19" i="200"/>
  <c r="D20" i="200"/>
  <c r="D21" i="200"/>
  <c r="D22" i="200"/>
  <c r="D23" i="200"/>
  <c r="D24" i="200"/>
  <c r="D25" i="200"/>
  <c r="D26" i="200"/>
  <c r="D27" i="200"/>
  <c r="D28" i="200"/>
  <c r="D29" i="200"/>
  <c r="D30" i="200"/>
  <c r="D31" i="200"/>
  <c r="D32" i="200"/>
  <c r="D33" i="200"/>
  <c r="D34" i="200"/>
  <c r="D35" i="200"/>
  <c r="D36" i="200"/>
  <c r="D37" i="200"/>
  <c r="D38" i="200"/>
  <c r="D39" i="200"/>
  <c r="D40" i="200"/>
  <c r="D41" i="200"/>
  <c r="D42" i="200"/>
  <c r="D9" i="187"/>
  <c r="D10" i="187"/>
  <c r="D11" i="187"/>
  <c r="D12" i="187"/>
  <c r="D13" i="187"/>
  <c r="D14" i="187"/>
  <c r="D15" i="187"/>
  <c r="D16" i="187"/>
  <c r="D17" i="187"/>
  <c r="D18" i="187"/>
  <c r="D19" i="187"/>
  <c r="D20" i="187"/>
  <c r="D21" i="187"/>
  <c r="D22" i="187"/>
  <c r="D23" i="187"/>
  <c r="D24" i="187"/>
  <c r="D25" i="187"/>
  <c r="D26" i="187"/>
  <c r="D27" i="187"/>
  <c r="D28" i="187"/>
  <c r="D29" i="187"/>
  <c r="D30" i="187"/>
  <c r="D31" i="187"/>
  <c r="D32" i="187"/>
  <c r="D33" i="187"/>
  <c r="D34" i="187"/>
  <c r="D35" i="187"/>
  <c r="D36" i="187"/>
  <c r="D37" i="187"/>
  <c r="D38" i="187"/>
  <c r="D39" i="187"/>
  <c r="D40" i="187"/>
  <c r="D41" i="187"/>
  <c r="D42" i="187"/>
  <c r="D43" i="187"/>
  <c r="D9" i="175"/>
  <c r="D10" i="175"/>
  <c r="D11" i="175"/>
  <c r="D12" i="175"/>
  <c r="D13" i="175"/>
  <c r="D14" i="175"/>
  <c r="D15" i="175"/>
  <c r="D16" i="175"/>
  <c r="D17" i="175"/>
  <c r="D18" i="175"/>
  <c r="D19" i="175"/>
  <c r="D20" i="175"/>
  <c r="D21" i="175"/>
  <c r="D22" i="175"/>
  <c r="D23" i="175"/>
  <c r="D24" i="175"/>
  <c r="D25" i="175"/>
  <c r="D26" i="175"/>
  <c r="D9" i="209"/>
  <c r="D10" i="209"/>
  <c r="D11" i="209"/>
  <c r="D12" i="209"/>
  <c r="D13" i="209"/>
  <c r="D14" i="209"/>
  <c r="D15" i="209"/>
  <c r="D16" i="209"/>
  <c r="D17" i="209"/>
  <c r="D18" i="209"/>
  <c r="D19" i="209"/>
  <c r="D20" i="209"/>
  <c r="D21" i="209"/>
  <c r="D22" i="209"/>
  <c r="D23" i="209"/>
  <c r="D24" i="209"/>
  <c r="D25" i="209"/>
  <c r="D26" i="209"/>
  <c r="D27" i="209"/>
  <c r="D28" i="209"/>
  <c r="D29" i="209"/>
  <c r="D30" i="209"/>
  <c r="D31" i="209"/>
  <c r="D32" i="209"/>
  <c r="D33" i="209"/>
  <c r="D34" i="209"/>
  <c r="D35" i="209"/>
  <c r="D36" i="209"/>
  <c r="D37" i="209"/>
  <c r="D38" i="209"/>
  <c r="D39" i="209"/>
  <c r="D40" i="209"/>
  <c r="D41" i="209"/>
  <c r="D42" i="209"/>
  <c r="D43" i="209"/>
  <c r="D44" i="209"/>
  <c r="D9" i="186"/>
  <c r="D10" i="186"/>
  <c r="D11" i="186"/>
  <c r="D12" i="186"/>
  <c r="D13" i="186"/>
  <c r="D14" i="186"/>
  <c r="D15" i="186"/>
  <c r="D16" i="186"/>
  <c r="D17" i="186"/>
  <c r="D18" i="186"/>
  <c r="D19" i="186"/>
  <c r="D20" i="186"/>
  <c r="D21" i="186"/>
  <c r="D22" i="186"/>
  <c r="D23" i="186"/>
  <c r="D24" i="186"/>
  <c r="D25" i="186"/>
  <c r="D26" i="186"/>
  <c r="D27" i="186"/>
  <c r="D28" i="186"/>
  <c r="D29" i="186"/>
  <c r="D30" i="186"/>
  <c r="D31" i="186"/>
  <c r="D32" i="186"/>
  <c r="D33" i="186"/>
  <c r="D34" i="186"/>
  <c r="D35" i="186"/>
  <c r="D36" i="186"/>
  <c r="D9" i="199"/>
  <c r="D10" i="199"/>
  <c r="D11" i="199"/>
  <c r="D12" i="199"/>
  <c r="D13" i="199"/>
  <c r="D14" i="199"/>
  <c r="D15" i="199"/>
  <c r="D16" i="199"/>
  <c r="D17" i="199"/>
  <c r="D18" i="199"/>
  <c r="D19" i="199"/>
  <c r="D20" i="199"/>
  <c r="D21" i="199"/>
  <c r="D22" i="199"/>
  <c r="D23" i="199"/>
  <c r="D24" i="199"/>
  <c r="D25" i="199"/>
  <c r="D26" i="199"/>
  <c r="D27" i="199"/>
  <c r="D28" i="199"/>
  <c r="D29" i="199"/>
  <c r="D30" i="199"/>
  <c r="D31" i="199"/>
  <c r="D32" i="199"/>
  <c r="D33" i="199"/>
  <c r="D34" i="199"/>
  <c r="D35" i="199"/>
  <c r="D36" i="199"/>
  <c r="D37" i="199"/>
  <c r="D38" i="199"/>
  <c r="D39" i="199"/>
  <c r="D40" i="199"/>
  <c r="D41" i="199"/>
  <c r="D9" i="185"/>
  <c r="D10" i="185"/>
  <c r="D11" i="185"/>
  <c r="D12" i="185"/>
  <c r="D13" i="185"/>
  <c r="D14" i="185"/>
  <c r="D15" i="185"/>
  <c r="D16" i="185"/>
  <c r="D17" i="185"/>
  <c r="D18" i="185"/>
  <c r="D19" i="185"/>
  <c r="D20" i="185"/>
  <c r="D21" i="185"/>
  <c r="D22" i="185"/>
  <c r="D23" i="185"/>
  <c r="D24" i="185"/>
  <c r="D25" i="185"/>
  <c r="D26" i="185"/>
  <c r="D27" i="185"/>
  <c r="D28" i="185"/>
  <c r="D29" i="185"/>
  <c r="D30" i="185"/>
  <c r="D31" i="185"/>
  <c r="D32" i="185"/>
  <c r="D33" i="185"/>
  <c r="D34" i="185"/>
  <c r="D35" i="185"/>
  <c r="D36" i="185"/>
  <c r="D37" i="185"/>
  <c r="D38" i="185"/>
  <c r="D39" i="185"/>
  <c r="D40" i="185"/>
  <c r="D41" i="185"/>
  <c r="D42" i="185"/>
  <c r="D43" i="185"/>
  <c r="D44" i="185"/>
  <c r="D9" i="184"/>
  <c r="D10" i="184"/>
  <c r="D11" i="184"/>
  <c r="D12" i="184"/>
  <c r="D13" i="184"/>
  <c r="D14" i="184"/>
  <c r="D15" i="184"/>
  <c r="D16" i="184"/>
  <c r="D17" i="184"/>
  <c r="D18" i="184"/>
  <c r="D19" i="184"/>
  <c r="D20" i="184"/>
  <c r="D21" i="184"/>
  <c r="D22" i="184"/>
  <c r="D23" i="184"/>
  <c r="D24" i="184"/>
  <c r="D25" i="184"/>
  <c r="D26" i="184"/>
  <c r="D27" i="184"/>
  <c r="D28" i="184"/>
  <c r="D29" i="184"/>
  <c r="D30" i="184"/>
  <c r="D31" i="184"/>
  <c r="D32" i="184"/>
  <c r="D33" i="184"/>
  <c r="D34" i="184"/>
  <c r="D35" i="184"/>
  <c r="D36" i="184"/>
  <c r="D37" i="184"/>
  <c r="D38" i="184"/>
  <c r="D39" i="184"/>
  <c r="D40" i="184"/>
  <c r="D9" i="208"/>
  <c r="D10" i="208"/>
  <c r="D11" i="208"/>
  <c r="D12" i="208"/>
  <c r="D13" i="208"/>
  <c r="D14" i="208"/>
  <c r="D15" i="208"/>
  <c r="D16" i="208"/>
  <c r="D17" i="208"/>
  <c r="D18" i="208"/>
  <c r="D19" i="208"/>
  <c r="D20" i="208"/>
  <c r="D21" i="208"/>
  <c r="D22" i="208"/>
  <c r="D23" i="208"/>
  <c r="D24" i="208"/>
  <c r="D25" i="208"/>
  <c r="D26" i="208"/>
  <c r="D27" i="208"/>
  <c r="D28" i="208"/>
  <c r="D29" i="208"/>
  <c r="D30" i="208"/>
  <c r="D31" i="208"/>
  <c r="D32" i="208"/>
  <c r="D33" i="208"/>
  <c r="D34" i="208"/>
  <c r="D35" i="208"/>
  <c r="D36" i="208"/>
  <c r="D37" i="208"/>
  <c r="D38" i="208"/>
  <c r="D39" i="208"/>
  <c r="D40" i="208"/>
  <c r="D9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9" i="207"/>
  <c r="D10" i="207"/>
  <c r="D11" i="207"/>
  <c r="D12" i="207"/>
  <c r="D13" i="207"/>
  <c r="D14" i="207"/>
  <c r="D15" i="207"/>
  <c r="D16" i="207"/>
  <c r="D17" i="207"/>
  <c r="D18" i="207"/>
  <c r="D19" i="207"/>
  <c r="D20" i="207"/>
  <c r="D21" i="207"/>
  <c r="D22" i="207"/>
  <c r="D23" i="207"/>
  <c r="D24" i="207"/>
  <c r="D25" i="207"/>
  <c r="D26" i="207"/>
  <c r="D27" i="207"/>
  <c r="D28" i="207"/>
  <c r="D29" i="207"/>
  <c r="D30" i="207"/>
  <c r="D31" i="207"/>
  <c r="D32" i="207"/>
  <c r="D33" i="207"/>
  <c r="D34" i="207"/>
  <c r="D35" i="207"/>
  <c r="D36" i="207"/>
  <c r="D37" i="207"/>
  <c r="D38" i="207"/>
  <c r="D39" i="207"/>
  <c r="D40" i="207"/>
  <c r="D41" i="207"/>
  <c r="D42" i="207"/>
  <c r="D43" i="207"/>
  <c r="D44" i="207"/>
  <c r="D45" i="207"/>
  <c r="C9" i="214"/>
  <c r="E9" i="214" s="1"/>
  <c r="D9" i="214"/>
  <c r="C10" i="214"/>
  <c r="E10" i="214" s="1"/>
  <c r="D10" i="214"/>
  <c r="C11" i="214"/>
  <c r="E11" i="214" s="1"/>
  <c r="D11" i="214"/>
  <c r="C12" i="214"/>
  <c r="E12" i="214" s="1"/>
  <c r="D12" i="214"/>
  <c r="C13" i="214"/>
  <c r="E13" i="214" s="1"/>
  <c r="D13" i="214"/>
  <c r="C14" i="214"/>
  <c r="E14" i="214" s="1"/>
  <c r="D14" i="214"/>
  <c r="C15" i="214"/>
  <c r="E15" i="214" s="1"/>
  <c r="D15" i="214"/>
  <c r="C16" i="214"/>
  <c r="E16" i="214" s="1"/>
  <c r="D16" i="214"/>
  <c r="C17" i="214"/>
  <c r="E17" i="214" s="1"/>
  <c r="D17" i="214"/>
  <c r="C18" i="214"/>
  <c r="E18" i="214" s="1"/>
  <c r="D18" i="214"/>
  <c r="C19" i="214"/>
  <c r="E19" i="214" s="1"/>
  <c r="D19" i="214"/>
  <c r="D9" i="221"/>
  <c r="D10" i="221"/>
  <c r="D11" i="221"/>
  <c r="D12" i="221"/>
  <c r="D13" i="221"/>
  <c r="D14" i="221"/>
  <c r="D15" i="221"/>
  <c r="D16" i="221"/>
  <c r="D17" i="221"/>
  <c r="D18" i="221"/>
  <c r="D19" i="221"/>
  <c r="D20" i="221"/>
  <c r="D21" i="221"/>
  <c r="D22" i="221"/>
  <c r="D23" i="221"/>
  <c r="D24" i="221"/>
  <c r="D25" i="221"/>
  <c r="D26" i="221"/>
  <c r="D27" i="221"/>
  <c r="D28" i="221"/>
  <c r="D29" i="221"/>
  <c r="D30" i="221"/>
  <c r="D31" i="221"/>
  <c r="D32" i="221"/>
  <c r="D33" i="221"/>
  <c r="D34" i="221"/>
  <c r="D35" i="221"/>
  <c r="D36" i="221"/>
  <c r="D37" i="221"/>
  <c r="D38" i="221"/>
  <c r="D39" i="221"/>
  <c r="D40" i="221"/>
  <c r="D41" i="221"/>
  <c r="D9" i="181"/>
  <c r="D10" i="181"/>
  <c r="D11" i="181"/>
  <c r="D12" i="181"/>
  <c r="D13" i="181"/>
  <c r="D14" i="181"/>
  <c r="D15" i="181"/>
  <c r="D16" i="181"/>
  <c r="D17" i="181"/>
  <c r="D18" i="181"/>
  <c r="D19" i="181"/>
  <c r="D20" i="181"/>
  <c r="D21" i="181"/>
  <c r="D22" i="181"/>
  <c r="D23" i="181"/>
  <c r="D24" i="181"/>
  <c r="D25" i="181"/>
  <c r="D26" i="181"/>
  <c r="D27" i="181"/>
  <c r="D28" i="181"/>
  <c r="D29" i="181"/>
  <c r="D30" i="181"/>
  <c r="D31" i="181"/>
  <c r="D32" i="181"/>
  <c r="D33" i="181"/>
  <c r="D34" i="181"/>
  <c r="D35" i="181"/>
  <c r="D36" i="181"/>
  <c r="D37" i="181"/>
  <c r="D38" i="181"/>
  <c r="D39" i="181"/>
  <c r="D9" i="180"/>
  <c r="D10" i="180"/>
  <c r="D11" i="180"/>
  <c r="D12" i="180"/>
  <c r="D13" i="180"/>
  <c r="D14" i="180"/>
  <c r="D15" i="180"/>
  <c r="D16" i="180"/>
  <c r="D17" i="180"/>
  <c r="D18" i="180"/>
  <c r="D19" i="180"/>
  <c r="D20" i="180"/>
  <c r="D21" i="180"/>
  <c r="D22" i="180"/>
  <c r="D23" i="180"/>
  <c r="D24" i="180"/>
  <c r="D25" i="180"/>
  <c r="D26" i="180"/>
  <c r="D27" i="180"/>
  <c r="D28" i="180"/>
  <c r="D29" i="180"/>
  <c r="D30" i="180"/>
  <c r="D31" i="180"/>
  <c r="D32" i="180"/>
  <c r="D33" i="180"/>
  <c r="D34" i="180"/>
  <c r="D35" i="180"/>
  <c r="D36" i="180"/>
  <c r="D37" i="180"/>
  <c r="C8" i="214"/>
  <c r="E8" i="214" s="1"/>
  <c r="C9" i="213"/>
  <c r="E9" i="213" s="1"/>
  <c r="C10" i="213"/>
  <c r="E10" i="213" s="1"/>
  <c r="C11" i="213"/>
  <c r="E11" i="213" s="1"/>
  <c r="C12" i="213"/>
  <c r="E12" i="213" s="1"/>
  <c r="C13" i="213"/>
  <c r="E13" i="213" s="1"/>
  <c r="C14" i="213"/>
  <c r="E14" i="213" s="1"/>
  <c r="C15" i="213"/>
  <c r="E15" i="213" s="1"/>
  <c r="C16" i="213"/>
  <c r="E16" i="213" s="1"/>
  <c r="C17" i="213"/>
  <c r="E17" i="213" s="1"/>
  <c r="C18" i="213"/>
  <c r="E18" i="213" s="1"/>
  <c r="C19" i="213"/>
  <c r="E19" i="213" s="1"/>
  <c r="C20" i="213"/>
  <c r="E20" i="213" s="1"/>
  <c r="C21" i="213"/>
  <c r="E21" i="213" s="1"/>
  <c r="C22" i="213"/>
  <c r="E22" i="213" s="1"/>
  <c r="C23" i="213"/>
  <c r="E23" i="213" s="1"/>
  <c r="C8" i="213"/>
  <c r="E8" i="213" s="1"/>
  <c r="C9" i="176"/>
  <c r="E9" i="176" s="1"/>
  <c r="C10" i="176"/>
  <c r="E10" i="176" s="1"/>
  <c r="C11" i="176"/>
  <c r="E11" i="176" s="1"/>
  <c r="C12" i="176"/>
  <c r="E12" i="176" s="1"/>
  <c r="C13" i="176"/>
  <c r="E13" i="176" s="1"/>
  <c r="C14" i="176"/>
  <c r="E14" i="176" s="1"/>
  <c r="C15" i="176"/>
  <c r="E15" i="176" s="1"/>
  <c r="C16" i="176"/>
  <c r="E16" i="176" s="1"/>
  <c r="C17" i="176"/>
  <c r="E17" i="176" s="1"/>
  <c r="C18" i="176"/>
  <c r="E18" i="176" s="1"/>
  <c r="C19" i="176"/>
  <c r="E19" i="176" s="1"/>
  <c r="C20" i="176"/>
  <c r="E20" i="176" s="1"/>
  <c r="C21" i="176"/>
  <c r="E21" i="176" s="1"/>
  <c r="C22" i="176"/>
  <c r="E22" i="176" s="1"/>
  <c r="C23" i="176"/>
  <c r="E23" i="176" s="1"/>
  <c r="C24" i="176"/>
  <c r="E24" i="176" s="1"/>
  <c r="C25" i="176"/>
  <c r="E25" i="176" s="1"/>
  <c r="C26" i="176"/>
  <c r="E26" i="176" s="1"/>
  <c r="C27" i="176"/>
  <c r="E27" i="176" s="1"/>
  <c r="C28" i="176"/>
  <c r="E28" i="176" s="1"/>
  <c r="C29" i="176"/>
  <c r="E29" i="176" s="1"/>
  <c r="C30" i="176"/>
  <c r="E30" i="176" s="1"/>
  <c r="C31" i="176"/>
  <c r="E31" i="176" s="1"/>
  <c r="C32" i="176"/>
  <c r="E32" i="176" s="1"/>
  <c r="C33" i="176"/>
  <c r="E33" i="176" s="1"/>
  <c r="C34" i="176"/>
  <c r="E34" i="176" s="1"/>
  <c r="C35" i="176"/>
  <c r="E35" i="176" s="1"/>
  <c r="C36" i="176"/>
  <c r="E36" i="176" s="1"/>
  <c r="C37" i="176"/>
  <c r="E37" i="176" s="1"/>
  <c r="C8" i="176"/>
  <c r="E8" i="176" s="1"/>
  <c r="F29" i="226" l="1"/>
  <c r="F28" i="226"/>
  <c r="G28" i="226" s="1"/>
  <c r="B30" i="226"/>
  <c r="A31" i="226"/>
  <c r="G29" i="226" l="1"/>
  <c r="C30" i="226"/>
  <c r="B31" i="226"/>
  <c r="F30" i="226"/>
  <c r="G30" i="226" s="1"/>
  <c r="A32" i="226"/>
  <c r="C31" i="226" l="1"/>
  <c r="B32" i="226"/>
  <c r="C32" i="226" s="1"/>
  <c r="A33" i="226"/>
  <c r="F31" i="226" l="1"/>
  <c r="G31" i="226" s="1"/>
  <c r="B33" i="226"/>
  <c r="C33" i="226" s="1"/>
  <c r="F32" i="226"/>
  <c r="A34" i="226"/>
  <c r="G32" i="226" l="1"/>
  <c r="F33" i="226"/>
  <c r="G33" i="226" s="1"/>
  <c r="B34" i="226"/>
  <c r="C34" i="226" s="1"/>
  <c r="A35" i="226"/>
  <c r="B35" i="226" l="1"/>
  <c r="F34" i="226"/>
  <c r="G34" i="226" s="1"/>
  <c r="A36" i="226"/>
  <c r="C35" i="226" l="1"/>
  <c r="B36" i="226"/>
  <c r="A37" i="226"/>
  <c r="F35" i="226" l="1"/>
  <c r="G35" i="226" s="1"/>
  <c r="C36" i="226"/>
  <c r="B37" i="226"/>
  <c r="A38" i="226"/>
  <c r="F36" i="226" l="1"/>
  <c r="G36" i="226" s="1"/>
  <c r="C37" i="226"/>
  <c r="B38" i="226"/>
  <c r="A39" i="226"/>
  <c r="F37" i="226" l="1"/>
  <c r="G37" i="226" s="1"/>
  <c r="C38" i="226"/>
  <c r="B39" i="226"/>
  <c r="C39" i="226" s="1"/>
  <c r="A40" i="226"/>
  <c r="F38" i="226" l="1"/>
  <c r="G38" i="226" s="1"/>
  <c r="B40" i="226"/>
  <c r="F39" i="226"/>
  <c r="A41" i="226"/>
  <c r="G39" i="226" l="1"/>
  <c r="C40" i="226"/>
  <c r="F40" i="226"/>
  <c r="G40" i="226" s="1"/>
  <c r="B41" i="226"/>
  <c r="C41" i="226" s="1"/>
  <c r="A42" i="226"/>
  <c r="B42" i="226" l="1"/>
  <c r="C42" i="226" s="1"/>
  <c r="F41" i="226"/>
  <c r="G41" i="226" s="1"/>
  <c r="A43" i="226"/>
  <c r="B43" i="226" l="1"/>
  <c r="C43" i="226" s="1"/>
  <c r="F42" i="226"/>
  <c r="G42" i="226" s="1"/>
  <c r="A44" i="226"/>
  <c r="B44" i="226" l="1"/>
  <c r="C44" i="226" s="1"/>
  <c r="F43" i="226"/>
  <c r="G43" i="226" s="1"/>
  <c r="A45" i="226"/>
  <c r="F44" i="226" l="1"/>
  <c r="G44" i="226" s="1"/>
  <c r="B45" i="226"/>
  <c r="C45" i="226" s="1"/>
  <c r="A46" i="226"/>
  <c r="B46" i="226" l="1"/>
  <c r="C46" i="226" s="1"/>
  <c r="F45" i="226"/>
  <c r="G45" i="226" s="1"/>
  <c r="A47" i="226"/>
  <c r="B47" i="226" l="1"/>
  <c r="C47" i="226" s="1"/>
  <c r="F46" i="226"/>
  <c r="G46" i="226" s="1"/>
  <c r="A48" i="226"/>
  <c r="F47" i="226" l="1"/>
  <c r="G47" i="226" s="1"/>
  <c r="B48" i="226"/>
  <c r="C48" i="226" s="1"/>
  <c r="A49" i="226"/>
  <c r="B49" i="226" l="1"/>
  <c r="F48" i="226"/>
  <c r="G48" i="226" s="1"/>
  <c r="A50" i="226"/>
  <c r="C49" i="226" l="1"/>
  <c r="B50" i="226"/>
  <c r="A51" i="226"/>
  <c r="F49" i="226" l="1"/>
  <c r="G49" i="226" s="1"/>
  <c r="C50" i="226"/>
  <c r="B51" i="226"/>
  <c r="A52" i="226"/>
  <c r="F50" i="226" l="1"/>
  <c r="G50" i="226" s="1"/>
  <c r="C51" i="226"/>
  <c r="B52" i="226"/>
  <c r="A53" i="226"/>
  <c r="F51" i="226" l="1"/>
  <c r="G51" i="226" s="1"/>
  <c r="C52" i="226"/>
  <c r="B53" i="226"/>
  <c r="A54" i="226"/>
  <c r="F52" i="226" l="1"/>
  <c r="G52" i="226" s="1"/>
  <c r="C53" i="226"/>
  <c r="B54" i="226"/>
  <c r="A55" i="226"/>
  <c r="F53" i="226" l="1"/>
  <c r="G53" i="226" s="1"/>
  <c r="C54" i="226"/>
  <c r="B55" i="226"/>
  <c r="A56" i="226"/>
  <c r="F54" i="226" l="1"/>
  <c r="G54" i="226" s="1"/>
  <c r="C55" i="226"/>
  <c r="B56" i="226"/>
  <c r="A57" i="226"/>
  <c r="F55" i="226" l="1"/>
  <c r="G55" i="226" s="1"/>
  <c r="C56" i="226"/>
  <c r="B57" i="226"/>
  <c r="A58" i="226"/>
  <c r="F56" i="226" l="1"/>
  <c r="G56" i="226" s="1"/>
  <c r="C57" i="226"/>
  <c r="B58" i="226"/>
  <c r="A59" i="226"/>
  <c r="F57" i="226" l="1"/>
  <c r="G57" i="226" s="1"/>
  <c r="C58" i="226"/>
  <c r="B59" i="226"/>
  <c r="A60" i="226"/>
  <c r="F58" i="226" l="1"/>
  <c r="G58" i="226" s="1"/>
  <c r="C59" i="226"/>
  <c r="B60" i="226"/>
  <c r="A61" i="226"/>
  <c r="F59" i="226" l="1"/>
  <c r="G59" i="226" s="1"/>
  <c r="C60" i="226"/>
  <c r="B61" i="226"/>
  <c r="A62" i="226"/>
  <c r="F60" i="226" l="1"/>
  <c r="G60" i="226" s="1"/>
  <c r="C61" i="226"/>
  <c r="B62" i="226"/>
  <c r="A63" i="226"/>
  <c r="F61" i="226" l="1"/>
  <c r="G61" i="226" s="1"/>
  <c r="C62" i="226"/>
  <c r="B63" i="226"/>
  <c r="A64" i="226"/>
  <c r="F62" i="226" l="1"/>
  <c r="G62" i="226" s="1"/>
  <c r="C63" i="226"/>
  <c r="B64" i="226"/>
  <c r="A65" i="226"/>
  <c r="F63" i="226" l="1"/>
  <c r="G63" i="226" s="1"/>
  <c r="C64" i="226"/>
  <c r="B65" i="226"/>
  <c r="A66" i="226"/>
  <c r="F64" i="226" l="1"/>
  <c r="G64" i="226" s="1"/>
  <c r="C65" i="226"/>
  <c r="B66" i="226"/>
  <c r="A67" i="226"/>
  <c r="F65" i="226" l="1"/>
  <c r="G65" i="226" s="1"/>
  <c r="C66" i="226"/>
  <c r="B67" i="226"/>
  <c r="A68" i="226"/>
  <c r="F66" i="226" l="1"/>
  <c r="G66" i="226" s="1"/>
  <c r="C67" i="226"/>
  <c r="B68" i="226"/>
  <c r="A69" i="226"/>
  <c r="F67" i="226" l="1"/>
  <c r="G67" i="226" s="1"/>
  <c r="C68" i="226"/>
  <c r="B69" i="226"/>
  <c r="A70" i="226"/>
  <c r="F68" i="226" l="1"/>
  <c r="G68" i="226" s="1"/>
  <c r="C69" i="226"/>
  <c r="B70" i="226"/>
  <c r="A71" i="226"/>
  <c r="F69" i="226" l="1"/>
  <c r="G69" i="226" s="1"/>
  <c r="C70" i="226"/>
  <c r="B71" i="226"/>
  <c r="A72" i="226"/>
  <c r="K482" i="3"/>
  <c r="F482" i="3"/>
  <c r="F70" i="226" l="1"/>
  <c r="G70" i="226" s="1"/>
  <c r="C71" i="226"/>
  <c r="B72" i="226"/>
  <c r="A73" i="226"/>
  <c r="F71" i="226" l="1"/>
  <c r="G71" i="226" s="1"/>
  <c r="C72" i="226"/>
  <c r="B73" i="226"/>
  <c r="A74" i="226"/>
  <c r="F72" i="226" l="1"/>
  <c r="G72" i="226" s="1"/>
  <c r="C73" i="226"/>
  <c r="B74" i="226"/>
  <c r="A75" i="226"/>
  <c r="F73" i="226" l="1"/>
  <c r="G73" i="226" s="1"/>
  <c r="C74" i="226"/>
  <c r="B75" i="226"/>
  <c r="A76" i="226"/>
  <c r="B9" i="222"/>
  <c r="C9" i="222" s="1"/>
  <c r="E9" i="222" s="1"/>
  <c r="D9" i="222"/>
  <c r="B10" i="222"/>
  <c r="C10" i="222" s="1"/>
  <c r="E10" i="222" s="1"/>
  <c r="D10" i="222"/>
  <c r="B11" i="222"/>
  <c r="C11" i="222" s="1"/>
  <c r="E11" i="222" s="1"/>
  <c r="D11" i="222"/>
  <c r="B12" i="222"/>
  <c r="C12" i="222" s="1"/>
  <c r="E12" i="222" s="1"/>
  <c r="D12" i="222"/>
  <c r="B13" i="222"/>
  <c r="C13" i="222" s="1"/>
  <c r="E13" i="222" s="1"/>
  <c r="D13" i="222"/>
  <c r="B14" i="222"/>
  <c r="C14" i="222" s="1"/>
  <c r="E14" i="222" s="1"/>
  <c r="D14" i="222"/>
  <c r="B15" i="222"/>
  <c r="C15" i="222" s="1"/>
  <c r="E15" i="222" s="1"/>
  <c r="D15" i="222"/>
  <c r="B16" i="222"/>
  <c r="C16" i="222" s="1"/>
  <c r="E16" i="222" s="1"/>
  <c r="D16" i="222"/>
  <c r="B17" i="222"/>
  <c r="C17" i="222" s="1"/>
  <c r="E17" i="222" s="1"/>
  <c r="D17" i="222"/>
  <c r="B18" i="222"/>
  <c r="C18" i="222" s="1"/>
  <c r="E18" i="222" s="1"/>
  <c r="D18" i="222"/>
  <c r="B19" i="222"/>
  <c r="C19" i="222" s="1"/>
  <c r="E19" i="222" s="1"/>
  <c r="D19" i="222"/>
  <c r="B20" i="222"/>
  <c r="C20" i="222" s="1"/>
  <c r="E20" i="222" s="1"/>
  <c r="D20" i="222"/>
  <c r="B21" i="222"/>
  <c r="C21" i="222" s="1"/>
  <c r="E21" i="222" s="1"/>
  <c r="D21" i="222"/>
  <c r="B22" i="222"/>
  <c r="C22" i="222" s="1"/>
  <c r="E22" i="222" s="1"/>
  <c r="D22" i="222"/>
  <c r="B23" i="222"/>
  <c r="C23" i="222" s="1"/>
  <c r="E23" i="222" s="1"/>
  <c r="D23" i="222"/>
  <c r="B24" i="222"/>
  <c r="C24" i="222" s="1"/>
  <c r="E24" i="222" s="1"/>
  <c r="D24" i="222"/>
  <c r="B25" i="222"/>
  <c r="C25" i="222" s="1"/>
  <c r="E25" i="222" s="1"/>
  <c r="D25" i="222"/>
  <c r="B26" i="222"/>
  <c r="C26" i="222" s="1"/>
  <c r="E26" i="222" s="1"/>
  <c r="D26" i="222"/>
  <c r="B27" i="222"/>
  <c r="C27" i="222" s="1"/>
  <c r="E27" i="222" s="1"/>
  <c r="D27" i="222"/>
  <c r="B28" i="222"/>
  <c r="C28" i="222" s="1"/>
  <c r="E28" i="222" s="1"/>
  <c r="D28" i="222"/>
  <c r="B29" i="222"/>
  <c r="C29" i="222" s="1"/>
  <c r="E29" i="222" s="1"/>
  <c r="D29" i="222"/>
  <c r="B30" i="222"/>
  <c r="C30" i="222" s="1"/>
  <c r="E30" i="222" s="1"/>
  <c r="D30" i="222"/>
  <c r="B31" i="222"/>
  <c r="C31" i="222" s="1"/>
  <c r="E31" i="222" s="1"/>
  <c r="D31" i="222"/>
  <c r="B32" i="222"/>
  <c r="C32" i="222" s="1"/>
  <c r="E32" i="222" s="1"/>
  <c r="D32" i="222"/>
  <c r="B33" i="222"/>
  <c r="C33" i="222" s="1"/>
  <c r="E33" i="222" s="1"/>
  <c r="D33" i="222"/>
  <c r="B34" i="222"/>
  <c r="C34" i="222" s="1"/>
  <c r="E34" i="222" s="1"/>
  <c r="D34" i="222"/>
  <c r="B35" i="222"/>
  <c r="C35" i="222" s="1"/>
  <c r="E35" i="222" s="1"/>
  <c r="D35" i="222"/>
  <c r="B36" i="222"/>
  <c r="C36" i="222" s="1"/>
  <c r="E36" i="222" s="1"/>
  <c r="D36" i="222"/>
  <c r="B37" i="222"/>
  <c r="C37" i="222" s="1"/>
  <c r="E37" i="222" s="1"/>
  <c r="D37" i="222"/>
  <c r="B38" i="222"/>
  <c r="C38" i="222" s="1"/>
  <c r="E38" i="222" s="1"/>
  <c r="D38" i="222"/>
  <c r="B39" i="222"/>
  <c r="C39" i="222" s="1"/>
  <c r="E39" i="222" s="1"/>
  <c r="D39" i="222"/>
  <c r="B40" i="222"/>
  <c r="C40" i="222" s="1"/>
  <c r="E40" i="222" s="1"/>
  <c r="D40" i="222"/>
  <c r="B41" i="222"/>
  <c r="C41" i="222" s="1"/>
  <c r="E41" i="222" s="1"/>
  <c r="D41" i="222"/>
  <c r="B42" i="222"/>
  <c r="C42" i="222" s="1"/>
  <c r="E42" i="222" s="1"/>
  <c r="D42" i="222"/>
  <c r="B43" i="222"/>
  <c r="C43" i="222" s="1"/>
  <c r="E43" i="222" s="1"/>
  <c r="D43" i="222"/>
  <c r="B44" i="222"/>
  <c r="C44" i="222" s="1"/>
  <c r="E44" i="222" s="1"/>
  <c r="D44" i="222"/>
  <c r="B45" i="222"/>
  <c r="C45" i="222" s="1"/>
  <c r="E45" i="222" s="1"/>
  <c r="D45" i="222"/>
  <c r="B46" i="222"/>
  <c r="C46" i="222" s="1"/>
  <c r="E46" i="222" s="1"/>
  <c r="D46" i="222"/>
  <c r="B47" i="222"/>
  <c r="C47" i="222" s="1"/>
  <c r="E47" i="222" s="1"/>
  <c r="D47" i="222"/>
  <c r="B48" i="222"/>
  <c r="C48" i="222" s="1"/>
  <c r="E48" i="222" s="1"/>
  <c r="D48" i="222"/>
  <c r="B49" i="222"/>
  <c r="C49" i="222" s="1"/>
  <c r="E49" i="222" s="1"/>
  <c r="D49" i="222"/>
  <c r="B50" i="222"/>
  <c r="C50" i="222" s="1"/>
  <c r="E50" i="222" s="1"/>
  <c r="D50" i="222"/>
  <c r="B51" i="222"/>
  <c r="C51" i="222" s="1"/>
  <c r="E51" i="222" s="1"/>
  <c r="D51" i="222"/>
  <c r="B52" i="222"/>
  <c r="C52" i="222" s="1"/>
  <c r="E52" i="222" s="1"/>
  <c r="D52" i="222"/>
  <c r="B53" i="222"/>
  <c r="C53" i="222" s="1"/>
  <c r="E53" i="222" s="1"/>
  <c r="D53" i="222"/>
  <c r="B54" i="222"/>
  <c r="C54" i="222" s="1"/>
  <c r="E54" i="222" s="1"/>
  <c r="D54" i="222"/>
  <c r="B55" i="222"/>
  <c r="C55" i="222" s="1"/>
  <c r="E55" i="222" s="1"/>
  <c r="D55" i="222"/>
  <c r="B56" i="222"/>
  <c r="C56" i="222" s="1"/>
  <c r="E56" i="222" s="1"/>
  <c r="D56" i="222"/>
  <c r="B57" i="222"/>
  <c r="C57" i="222" s="1"/>
  <c r="E57" i="222" s="1"/>
  <c r="D57" i="222"/>
  <c r="B58" i="222"/>
  <c r="C58" i="222" s="1"/>
  <c r="E58" i="222" s="1"/>
  <c r="D58" i="222"/>
  <c r="B59" i="222"/>
  <c r="C59" i="222" s="1"/>
  <c r="E59" i="222" s="1"/>
  <c r="D59" i="222"/>
  <c r="B60" i="222"/>
  <c r="C60" i="222" s="1"/>
  <c r="E60" i="222" s="1"/>
  <c r="D60" i="222"/>
  <c r="B61" i="222"/>
  <c r="C61" i="222" s="1"/>
  <c r="E61" i="222" s="1"/>
  <c r="D61" i="222"/>
  <c r="B62" i="222"/>
  <c r="C62" i="222" s="1"/>
  <c r="E62" i="222" s="1"/>
  <c r="D62" i="222"/>
  <c r="B63" i="222"/>
  <c r="C63" i="222" s="1"/>
  <c r="E63" i="222" s="1"/>
  <c r="D63" i="222"/>
  <c r="B64" i="222"/>
  <c r="C64" i="222" s="1"/>
  <c r="E64" i="222" s="1"/>
  <c r="D64" i="222"/>
  <c r="B65" i="222"/>
  <c r="C65" i="222" s="1"/>
  <c r="E65" i="222" s="1"/>
  <c r="D65" i="222"/>
  <c r="B66" i="222"/>
  <c r="C66" i="222" s="1"/>
  <c r="E66" i="222" s="1"/>
  <c r="D66" i="222"/>
  <c r="B67" i="222"/>
  <c r="C67" i="222" s="1"/>
  <c r="E67" i="222" s="1"/>
  <c r="D67" i="222"/>
  <c r="B68" i="222"/>
  <c r="C68" i="222" s="1"/>
  <c r="E68" i="222" s="1"/>
  <c r="D68" i="222"/>
  <c r="B69" i="222"/>
  <c r="C69" i="222" s="1"/>
  <c r="E69" i="222" s="1"/>
  <c r="D69" i="222"/>
  <c r="B70" i="222"/>
  <c r="C70" i="222" s="1"/>
  <c r="E70" i="222" s="1"/>
  <c r="D70" i="222"/>
  <c r="B71" i="222"/>
  <c r="C71" i="222" s="1"/>
  <c r="E71" i="222" s="1"/>
  <c r="D71" i="222"/>
  <c r="B72" i="222"/>
  <c r="C72" i="222" s="1"/>
  <c r="E72" i="222" s="1"/>
  <c r="D72" i="222"/>
  <c r="B73" i="222"/>
  <c r="C73" i="222" s="1"/>
  <c r="E73" i="222" s="1"/>
  <c r="D73" i="222"/>
  <c r="B74" i="222"/>
  <c r="C74" i="222" s="1"/>
  <c r="E74" i="222" s="1"/>
  <c r="D74" i="222"/>
  <c r="B75" i="222"/>
  <c r="C75" i="222" s="1"/>
  <c r="E75" i="222" s="1"/>
  <c r="D75" i="222"/>
  <c r="B76" i="222"/>
  <c r="C76" i="222" s="1"/>
  <c r="E76" i="222" s="1"/>
  <c r="D76" i="222"/>
  <c r="B77" i="222"/>
  <c r="C77" i="222" s="1"/>
  <c r="E77" i="222" s="1"/>
  <c r="D77" i="222"/>
  <c r="B78" i="222"/>
  <c r="C78" i="222" s="1"/>
  <c r="E78" i="222" s="1"/>
  <c r="D78" i="222"/>
  <c r="B79" i="222"/>
  <c r="C79" i="222" s="1"/>
  <c r="E79" i="222" s="1"/>
  <c r="D79" i="222"/>
  <c r="B80" i="222"/>
  <c r="C80" i="222" s="1"/>
  <c r="E80" i="222" s="1"/>
  <c r="D80" i="222"/>
  <c r="B81" i="222"/>
  <c r="C81" i="222" s="1"/>
  <c r="E81" i="222" s="1"/>
  <c r="D81" i="222"/>
  <c r="B82" i="222"/>
  <c r="C82" i="222" s="1"/>
  <c r="E82" i="222" s="1"/>
  <c r="D82" i="222"/>
  <c r="B83" i="222"/>
  <c r="C83" i="222" s="1"/>
  <c r="E83" i="222" s="1"/>
  <c r="D83" i="222"/>
  <c r="B84" i="222"/>
  <c r="C84" i="222" s="1"/>
  <c r="E84" i="222" s="1"/>
  <c r="D84" i="222"/>
  <c r="B85" i="222"/>
  <c r="C85" i="222" s="1"/>
  <c r="E85" i="222" s="1"/>
  <c r="D85" i="222"/>
  <c r="B86" i="222"/>
  <c r="C86" i="222" s="1"/>
  <c r="E86" i="222" s="1"/>
  <c r="D86" i="222"/>
  <c r="B87" i="222"/>
  <c r="C87" i="222" s="1"/>
  <c r="E87" i="222" s="1"/>
  <c r="D87" i="222"/>
  <c r="B88" i="222"/>
  <c r="C88" i="222" s="1"/>
  <c r="E88" i="222" s="1"/>
  <c r="D88" i="222"/>
  <c r="B89" i="222"/>
  <c r="C89" i="222" s="1"/>
  <c r="E89" i="222" s="1"/>
  <c r="D89" i="222"/>
  <c r="B90" i="222"/>
  <c r="C90" i="222" s="1"/>
  <c r="E90" i="222" s="1"/>
  <c r="D90" i="222"/>
  <c r="B91" i="222"/>
  <c r="C91" i="222" s="1"/>
  <c r="E91" i="222" s="1"/>
  <c r="D91" i="222"/>
  <c r="B92" i="222"/>
  <c r="C92" i="222" s="1"/>
  <c r="E92" i="222" s="1"/>
  <c r="D92" i="222"/>
  <c r="B93" i="222"/>
  <c r="C93" i="222" s="1"/>
  <c r="E93" i="222" s="1"/>
  <c r="D93" i="222"/>
  <c r="B94" i="222"/>
  <c r="C94" i="222" s="1"/>
  <c r="E94" i="222" s="1"/>
  <c r="D94" i="222"/>
  <c r="B95" i="222"/>
  <c r="C95" i="222" s="1"/>
  <c r="E95" i="222" s="1"/>
  <c r="D95" i="222"/>
  <c r="B96" i="222"/>
  <c r="C96" i="222" s="1"/>
  <c r="E96" i="222" s="1"/>
  <c r="D96" i="222"/>
  <c r="B97" i="222"/>
  <c r="C97" i="222" s="1"/>
  <c r="E97" i="222" s="1"/>
  <c r="D97" i="222"/>
  <c r="B98" i="222"/>
  <c r="C98" i="222" s="1"/>
  <c r="E98" i="222" s="1"/>
  <c r="D98" i="222"/>
  <c r="B99" i="222"/>
  <c r="C99" i="222" s="1"/>
  <c r="E99" i="222" s="1"/>
  <c r="D99" i="222"/>
  <c r="B100" i="222"/>
  <c r="C100" i="222" s="1"/>
  <c r="E100" i="222" s="1"/>
  <c r="D100" i="222"/>
  <c r="B101" i="222"/>
  <c r="C101" i="222" s="1"/>
  <c r="E101" i="222" s="1"/>
  <c r="D101" i="222"/>
  <c r="B102" i="222"/>
  <c r="C102" i="222" s="1"/>
  <c r="E102" i="222" s="1"/>
  <c r="D102" i="222"/>
  <c r="B103" i="222"/>
  <c r="C103" i="222" s="1"/>
  <c r="E103" i="222" s="1"/>
  <c r="D103" i="222"/>
  <c r="B104" i="222"/>
  <c r="C104" i="222" s="1"/>
  <c r="E104" i="222" s="1"/>
  <c r="D104" i="222"/>
  <c r="B105" i="222"/>
  <c r="C105" i="222" s="1"/>
  <c r="E105" i="222" s="1"/>
  <c r="D105" i="222"/>
  <c r="B106" i="222"/>
  <c r="C106" i="222" s="1"/>
  <c r="E106" i="222" s="1"/>
  <c r="D106" i="222"/>
  <c r="B107" i="222"/>
  <c r="C107" i="222" s="1"/>
  <c r="E107" i="222" s="1"/>
  <c r="D107" i="222"/>
  <c r="B108" i="222"/>
  <c r="C108" i="222" s="1"/>
  <c r="E108" i="222" s="1"/>
  <c r="D108" i="222"/>
  <c r="B109" i="222"/>
  <c r="C109" i="222" s="1"/>
  <c r="E109" i="222" s="1"/>
  <c r="D109" i="222"/>
  <c r="B110" i="222"/>
  <c r="C110" i="222" s="1"/>
  <c r="E110" i="222" s="1"/>
  <c r="D110" i="222"/>
  <c r="B111" i="222"/>
  <c r="C111" i="222" s="1"/>
  <c r="E111" i="222" s="1"/>
  <c r="D111" i="222"/>
  <c r="B112" i="222"/>
  <c r="C112" i="222" s="1"/>
  <c r="E112" i="222" s="1"/>
  <c r="D112" i="222"/>
  <c r="B113" i="222"/>
  <c r="C113" i="222" s="1"/>
  <c r="E113" i="222" s="1"/>
  <c r="D113" i="222"/>
  <c r="B114" i="222"/>
  <c r="C114" i="222" s="1"/>
  <c r="E114" i="222" s="1"/>
  <c r="D114" i="222"/>
  <c r="B115" i="222"/>
  <c r="C115" i="222" s="1"/>
  <c r="E115" i="222" s="1"/>
  <c r="D115" i="222"/>
  <c r="B116" i="222"/>
  <c r="C116" i="222" s="1"/>
  <c r="E116" i="222" s="1"/>
  <c r="D116" i="222"/>
  <c r="B117" i="222"/>
  <c r="C117" i="222" s="1"/>
  <c r="E117" i="222" s="1"/>
  <c r="D117" i="222"/>
  <c r="B118" i="222"/>
  <c r="C118" i="222" s="1"/>
  <c r="E118" i="222" s="1"/>
  <c r="D118" i="222"/>
  <c r="B119" i="222"/>
  <c r="C119" i="222" s="1"/>
  <c r="E119" i="222" s="1"/>
  <c r="D119" i="222"/>
  <c r="B120" i="222"/>
  <c r="C120" i="222" s="1"/>
  <c r="E120" i="222" s="1"/>
  <c r="D120" i="222"/>
  <c r="B121" i="222"/>
  <c r="C121" i="222" s="1"/>
  <c r="E121" i="222" s="1"/>
  <c r="D121" i="222"/>
  <c r="B122" i="222"/>
  <c r="C122" i="222" s="1"/>
  <c r="E122" i="222" s="1"/>
  <c r="D122" i="222"/>
  <c r="B123" i="222"/>
  <c r="C123" i="222" s="1"/>
  <c r="E123" i="222" s="1"/>
  <c r="D123" i="222"/>
  <c r="B124" i="222"/>
  <c r="C124" i="222" s="1"/>
  <c r="E124" i="222" s="1"/>
  <c r="D124" i="222"/>
  <c r="B125" i="222"/>
  <c r="C125" i="222" s="1"/>
  <c r="E125" i="222" s="1"/>
  <c r="D125" i="222"/>
  <c r="B126" i="222"/>
  <c r="C126" i="222" s="1"/>
  <c r="E126" i="222" s="1"/>
  <c r="D126" i="222"/>
  <c r="B127" i="222"/>
  <c r="C127" i="222" s="1"/>
  <c r="E127" i="222" s="1"/>
  <c r="D127" i="222"/>
  <c r="B128" i="222"/>
  <c r="C128" i="222" s="1"/>
  <c r="E128" i="222" s="1"/>
  <c r="D128" i="222"/>
  <c r="B129" i="222"/>
  <c r="C129" i="222" s="1"/>
  <c r="E129" i="222" s="1"/>
  <c r="D129" i="222"/>
  <c r="B130" i="222"/>
  <c r="C130" i="222" s="1"/>
  <c r="E130" i="222" s="1"/>
  <c r="D130" i="222"/>
  <c r="B131" i="222"/>
  <c r="C131" i="222" s="1"/>
  <c r="E131" i="222" s="1"/>
  <c r="D131" i="222"/>
  <c r="B132" i="222"/>
  <c r="C132" i="222" s="1"/>
  <c r="E132" i="222" s="1"/>
  <c r="D132" i="222"/>
  <c r="B133" i="222"/>
  <c r="C133" i="222" s="1"/>
  <c r="E133" i="222" s="1"/>
  <c r="D133" i="222"/>
  <c r="B134" i="222"/>
  <c r="C134" i="222" s="1"/>
  <c r="E134" i="222" s="1"/>
  <c r="D134" i="222"/>
  <c r="B135" i="222"/>
  <c r="C135" i="222" s="1"/>
  <c r="E135" i="222" s="1"/>
  <c r="D135" i="222"/>
  <c r="B136" i="222"/>
  <c r="C136" i="222" s="1"/>
  <c r="E136" i="222" s="1"/>
  <c r="D136" i="222"/>
  <c r="B137" i="222"/>
  <c r="C137" i="222" s="1"/>
  <c r="E137" i="222" s="1"/>
  <c r="D137" i="222"/>
  <c r="B138" i="222"/>
  <c r="C138" i="222" s="1"/>
  <c r="E138" i="222" s="1"/>
  <c r="D138" i="222"/>
  <c r="B139" i="222"/>
  <c r="C139" i="222" s="1"/>
  <c r="E139" i="222" s="1"/>
  <c r="D139" i="222"/>
  <c r="B140" i="222"/>
  <c r="C140" i="222" s="1"/>
  <c r="E140" i="222" s="1"/>
  <c r="D140" i="222"/>
  <c r="B141" i="222"/>
  <c r="C141" i="222" s="1"/>
  <c r="E141" i="222" s="1"/>
  <c r="D141" i="222"/>
  <c r="B142" i="222"/>
  <c r="C142" i="222" s="1"/>
  <c r="E142" i="222" s="1"/>
  <c r="D142" i="222"/>
  <c r="B143" i="222"/>
  <c r="C143" i="222" s="1"/>
  <c r="E143" i="222" s="1"/>
  <c r="D143" i="222"/>
  <c r="B144" i="222"/>
  <c r="C144" i="222" s="1"/>
  <c r="E144" i="222" s="1"/>
  <c r="D144" i="222"/>
  <c r="B145" i="222"/>
  <c r="C145" i="222" s="1"/>
  <c r="E145" i="222" s="1"/>
  <c r="D145" i="222"/>
  <c r="B146" i="222"/>
  <c r="C146" i="222" s="1"/>
  <c r="E146" i="222" s="1"/>
  <c r="D146" i="222"/>
  <c r="B147" i="222"/>
  <c r="C147" i="222" s="1"/>
  <c r="E147" i="222" s="1"/>
  <c r="D147" i="222"/>
  <c r="B148" i="222"/>
  <c r="C148" i="222" s="1"/>
  <c r="E148" i="222" s="1"/>
  <c r="D148" i="222"/>
  <c r="B149" i="222"/>
  <c r="C149" i="222" s="1"/>
  <c r="E149" i="222" s="1"/>
  <c r="D149" i="222"/>
  <c r="B150" i="222"/>
  <c r="C150" i="222" s="1"/>
  <c r="E150" i="222" s="1"/>
  <c r="D150" i="222"/>
  <c r="B151" i="222"/>
  <c r="C151" i="222" s="1"/>
  <c r="E151" i="222" s="1"/>
  <c r="D151" i="222"/>
  <c r="B152" i="222"/>
  <c r="C152" i="222" s="1"/>
  <c r="E152" i="222" s="1"/>
  <c r="D152" i="222"/>
  <c r="B153" i="222"/>
  <c r="C153" i="222" s="1"/>
  <c r="E153" i="222" s="1"/>
  <c r="D153" i="222"/>
  <c r="B154" i="222"/>
  <c r="C154" i="222" s="1"/>
  <c r="E154" i="222" s="1"/>
  <c r="D154" i="222"/>
  <c r="B155" i="222"/>
  <c r="C155" i="222" s="1"/>
  <c r="E155" i="222" s="1"/>
  <c r="D155" i="222"/>
  <c r="B156" i="222"/>
  <c r="C156" i="222" s="1"/>
  <c r="E156" i="222" s="1"/>
  <c r="D156" i="222"/>
  <c r="B157" i="222"/>
  <c r="C157" i="222" s="1"/>
  <c r="E157" i="222" s="1"/>
  <c r="D157" i="222"/>
  <c r="B158" i="222"/>
  <c r="C158" i="222" s="1"/>
  <c r="E158" i="222" s="1"/>
  <c r="D158" i="222"/>
  <c r="B159" i="222"/>
  <c r="C159" i="222" s="1"/>
  <c r="E159" i="222" s="1"/>
  <c r="D159" i="222"/>
  <c r="B160" i="222"/>
  <c r="C160" i="222" s="1"/>
  <c r="E160" i="222" s="1"/>
  <c r="D160" i="222"/>
  <c r="B161" i="222"/>
  <c r="C161" i="222" s="1"/>
  <c r="E161" i="222" s="1"/>
  <c r="D161" i="222"/>
  <c r="B162" i="222"/>
  <c r="C162" i="222" s="1"/>
  <c r="E162" i="222" s="1"/>
  <c r="D162" i="222"/>
  <c r="B163" i="222"/>
  <c r="C163" i="222" s="1"/>
  <c r="E163" i="222" s="1"/>
  <c r="D163" i="222"/>
  <c r="B164" i="222"/>
  <c r="C164" i="222" s="1"/>
  <c r="E164" i="222" s="1"/>
  <c r="D164" i="222"/>
  <c r="B165" i="222"/>
  <c r="C165" i="222" s="1"/>
  <c r="E165" i="222" s="1"/>
  <c r="D165" i="222"/>
  <c r="B166" i="222"/>
  <c r="C166" i="222" s="1"/>
  <c r="E166" i="222" s="1"/>
  <c r="D166" i="222"/>
  <c r="B167" i="222"/>
  <c r="C167" i="222" s="1"/>
  <c r="E167" i="222" s="1"/>
  <c r="D167" i="222"/>
  <c r="B168" i="222"/>
  <c r="C168" i="222" s="1"/>
  <c r="E168" i="222" s="1"/>
  <c r="D168" i="222"/>
  <c r="B169" i="222"/>
  <c r="C169" i="222" s="1"/>
  <c r="E169" i="222" s="1"/>
  <c r="D169" i="222"/>
  <c r="B170" i="222"/>
  <c r="C170" i="222" s="1"/>
  <c r="E170" i="222" s="1"/>
  <c r="D170" i="222"/>
  <c r="B171" i="222"/>
  <c r="C171" i="222" s="1"/>
  <c r="E171" i="222" s="1"/>
  <c r="D171" i="222"/>
  <c r="B172" i="222"/>
  <c r="C172" i="222" s="1"/>
  <c r="E172" i="222" s="1"/>
  <c r="D172" i="222"/>
  <c r="B173" i="222"/>
  <c r="C173" i="222" s="1"/>
  <c r="E173" i="222" s="1"/>
  <c r="D173" i="222"/>
  <c r="B174" i="222"/>
  <c r="C174" i="222" s="1"/>
  <c r="E174" i="222" s="1"/>
  <c r="D174" i="222"/>
  <c r="B175" i="222"/>
  <c r="C175" i="222" s="1"/>
  <c r="E175" i="222" s="1"/>
  <c r="D175" i="222"/>
  <c r="B176" i="222"/>
  <c r="C176" i="222" s="1"/>
  <c r="E176" i="222" s="1"/>
  <c r="D176" i="222"/>
  <c r="B177" i="222"/>
  <c r="C177" i="222" s="1"/>
  <c r="E177" i="222" s="1"/>
  <c r="D177" i="222"/>
  <c r="B178" i="222"/>
  <c r="C178" i="222" s="1"/>
  <c r="E178" i="222" s="1"/>
  <c r="D178" i="222"/>
  <c r="B179" i="222"/>
  <c r="C179" i="222" s="1"/>
  <c r="E179" i="222" s="1"/>
  <c r="D179" i="222"/>
  <c r="B180" i="222"/>
  <c r="C180" i="222" s="1"/>
  <c r="E180" i="222" s="1"/>
  <c r="D180" i="222"/>
  <c r="B181" i="222"/>
  <c r="C181" i="222" s="1"/>
  <c r="E181" i="222" s="1"/>
  <c r="D181" i="222"/>
  <c r="B182" i="222"/>
  <c r="C182" i="222" s="1"/>
  <c r="E182" i="222" s="1"/>
  <c r="D182" i="222"/>
  <c r="B183" i="222"/>
  <c r="C183" i="222" s="1"/>
  <c r="E183" i="222" s="1"/>
  <c r="D183" i="222"/>
  <c r="B184" i="222"/>
  <c r="C184" i="222" s="1"/>
  <c r="E184" i="222" s="1"/>
  <c r="D184" i="222"/>
  <c r="B185" i="222"/>
  <c r="C185" i="222" s="1"/>
  <c r="E185" i="222" s="1"/>
  <c r="D185" i="222"/>
  <c r="B186" i="222"/>
  <c r="C186" i="222" s="1"/>
  <c r="E186" i="222" s="1"/>
  <c r="D186" i="222"/>
  <c r="B187" i="222"/>
  <c r="C187" i="222" s="1"/>
  <c r="E187" i="222" s="1"/>
  <c r="D187" i="222"/>
  <c r="B188" i="222"/>
  <c r="C188" i="222" s="1"/>
  <c r="E188" i="222" s="1"/>
  <c r="D188" i="222"/>
  <c r="B189" i="222"/>
  <c r="C189" i="222" s="1"/>
  <c r="E189" i="222" s="1"/>
  <c r="D189" i="222"/>
  <c r="B190" i="222"/>
  <c r="C190" i="222" s="1"/>
  <c r="E190" i="222" s="1"/>
  <c r="D190" i="222"/>
  <c r="B191" i="222"/>
  <c r="C191" i="222" s="1"/>
  <c r="E191" i="222" s="1"/>
  <c r="D191" i="222"/>
  <c r="B192" i="222"/>
  <c r="C192" i="222" s="1"/>
  <c r="E192" i="222" s="1"/>
  <c r="D192" i="222"/>
  <c r="B193" i="222"/>
  <c r="C193" i="222" s="1"/>
  <c r="E193" i="222" s="1"/>
  <c r="D193" i="222"/>
  <c r="B194" i="222"/>
  <c r="C194" i="222" s="1"/>
  <c r="E194" i="222" s="1"/>
  <c r="D194" i="222"/>
  <c r="B195" i="222"/>
  <c r="C195" i="222" s="1"/>
  <c r="E195" i="222" s="1"/>
  <c r="D195" i="222"/>
  <c r="B196" i="222"/>
  <c r="C196" i="222" s="1"/>
  <c r="E196" i="222" s="1"/>
  <c r="D196" i="222"/>
  <c r="B197" i="222"/>
  <c r="C197" i="222" s="1"/>
  <c r="E197" i="222" s="1"/>
  <c r="D197" i="222"/>
  <c r="B198" i="222"/>
  <c r="C198" i="222" s="1"/>
  <c r="E198" i="222" s="1"/>
  <c r="D198" i="222"/>
  <c r="B199" i="222"/>
  <c r="C199" i="222" s="1"/>
  <c r="E199" i="222" s="1"/>
  <c r="D199" i="222"/>
  <c r="B200" i="222"/>
  <c r="C200" i="222" s="1"/>
  <c r="E200" i="222" s="1"/>
  <c r="D200" i="222"/>
  <c r="B201" i="222"/>
  <c r="C201" i="222" s="1"/>
  <c r="E201" i="222" s="1"/>
  <c r="D201" i="222"/>
  <c r="B202" i="222"/>
  <c r="C202" i="222" s="1"/>
  <c r="E202" i="222" s="1"/>
  <c r="D202" i="222"/>
  <c r="B203" i="222"/>
  <c r="C203" i="222" s="1"/>
  <c r="E203" i="222" s="1"/>
  <c r="D203" i="222"/>
  <c r="B204" i="222"/>
  <c r="C204" i="222" s="1"/>
  <c r="E204" i="222" s="1"/>
  <c r="D204" i="222"/>
  <c r="B205" i="222"/>
  <c r="C205" i="222" s="1"/>
  <c r="E205" i="222" s="1"/>
  <c r="D205" i="222"/>
  <c r="B206" i="222"/>
  <c r="C206" i="222" s="1"/>
  <c r="E206" i="222" s="1"/>
  <c r="D206" i="222"/>
  <c r="B207" i="222"/>
  <c r="C207" i="222" s="1"/>
  <c r="E207" i="222" s="1"/>
  <c r="D207" i="222"/>
  <c r="B208" i="222"/>
  <c r="C208" i="222" s="1"/>
  <c r="E208" i="222" s="1"/>
  <c r="D208" i="222"/>
  <c r="B209" i="222"/>
  <c r="C209" i="222" s="1"/>
  <c r="E209" i="222" s="1"/>
  <c r="D209" i="222"/>
  <c r="B210" i="222"/>
  <c r="C210" i="222" s="1"/>
  <c r="E210" i="222" s="1"/>
  <c r="D210" i="222"/>
  <c r="B211" i="222"/>
  <c r="C211" i="222" s="1"/>
  <c r="E211" i="222" s="1"/>
  <c r="D211" i="222"/>
  <c r="B212" i="222"/>
  <c r="C212" i="222" s="1"/>
  <c r="E212" i="222" s="1"/>
  <c r="D212" i="222"/>
  <c r="B213" i="222"/>
  <c r="C213" i="222" s="1"/>
  <c r="E213" i="222" s="1"/>
  <c r="D213" i="222"/>
  <c r="B214" i="222"/>
  <c r="C214" i="222" s="1"/>
  <c r="E214" i="222" s="1"/>
  <c r="D214" i="222"/>
  <c r="B215" i="222"/>
  <c r="C215" i="222" s="1"/>
  <c r="E215" i="222" s="1"/>
  <c r="D215" i="222"/>
  <c r="B216" i="222"/>
  <c r="C216" i="222" s="1"/>
  <c r="E216" i="222" s="1"/>
  <c r="D216" i="222"/>
  <c r="B217" i="222"/>
  <c r="C217" i="222" s="1"/>
  <c r="E217" i="222" s="1"/>
  <c r="D217" i="222"/>
  <c r="B218" i="222"/>
  <c r="C218" i="222" s="1"/>
  <c r="E218" i="222" s="1"/>
  <c r="D218" i="222"/>
  <c r="B219" i="222"/>
  <c r="C219" i="222" s="1"/>
  <c r="E219" i="222" s="1"/>
  <c r="D219" i="222"/>
  <c r="B220" i="222"/>
  <c r="C220" i="222" s="1"/>
  <c r="E220" i="222" s="1"/>
  <c r="D220" i="222"/>
  <c r="B221" i="222"/>
  <c r="C221" i="222" s="1"/>
  <c r="E221" i="222" s="1"/>
  <c r="D221" i="222"/>
  <c r="B222" i="222"/>
  <c r="C222" i="222" s="1"/>
  <c r="E222" i="222" s="1"/>
  <c r="D222" i="222"/>
  <c r="B223" i="222"/>
  <c r="C223" i="222" s="1"/>
  <c r="E223" i="222" s="1"/>
  <c r="D223" i="222"/>
  <c r="B224" i="222"/>
  <c r="C224" i="222" s="1"/>
  <c r="E224" i="222" s="1"/>
  <c r="D224" i="222"/>
  <c r="B225" i="222"/>
  <c r="C225" i="222" s="1"/>
  <c r="E225" i="222" s="1"/>
  <c r="D225" i="222"/>
  <c r="B226" i="222"/>
  <c r="C226" i="222" s="1"/>
  <c r="E226" i="222" s="1"/>
  <c r="D226" i="222"/>
  <c r="B227" i="222"/>
  <c r="C227" i="222" s="1"/>
  <c r="E227" i="222" s="1"/>
  <c r="D227" i="222"/>
  <c r="B228" i="222"/>
  <c r="C228" i="222" s="1"/>
  <c r="E228" i="222" s="1"/>
  <c r="D228" i="222"/>
  <c r="B229" i="222"/>
  <c r="C229" i="222" s="1"/>
  <c r="E229" i="222" s="1"/>
  <c r="D229" i="222"/>
  <c r="B230" i="222"/>
  <c r="C230" i="222" s="1"/>
  <c r="E230" i="222" s="1"/>
  <c r="D230" i="222"/>
  <c r="B231" i="222"/>
  <c r="C231" i="222" s="1"/>
  <c r="E231" i="222" s="1"/>
  <c r="D231" i="222"/>
  <c r="B232" i="222"/>
  <c r="C232" i="222" s="1"/>
  <c r="E232" i="222" s="1"/>
  <c r="D232" i="222"/>
  <c r="B233" i="222"/>
  <c r="C233" i="222" s="1"/>
  <c r="E233" i="222" s="1"/>
  <c r="D233" i="222"/>
  <c r="B234" i="222"/>
  <c r="C234" i="222" s="1"/>
  <c r="E234" i="222" s="1"/>
  <c r="D234" i="222"/>
  <c r="B235" i="222"/>
  <c r="C235" i="222" s="1"/>
  <c r="E235" i="222" s="1"/>
  <c r="D235" i="222"/>
  <c r="B236" i="222"/>
  <c r="C236" i="222" s="1"/>
  <c r="E236" i="222" s="1"/>
  <c r="D236" i="222"/>
  <c r="B237" i="222"/>
  <c r="C237" i="222" s="1"/>
  <c r="E237" i="222" s="1"/>
  <c r="D237" i="222"/>
  <c r="B238" i="222"/>
  <c r="C238" i="222" s="1"/>
  <c r="E238" i="222" s="1"/>
  <c r="D238" i="222"/>
  <c r="B239" i="222"/>
  <c r="C239" i="222" s="1"/>
  <c r="E239" i="222" s="1"/>
  <c r="D239" i="222"/>
  <c r="B240" i="222"/>
  <c r="C240" i="222" s="1"/>
  <c r="E240" i="222" s="1"/>
  <c r="D240" i="222"/>
  <c r="B241" i="222"/>
  <c r="C241" i="222" s="1"/>
  <c r="E241" i="222" s="1"/>
  <c r="D241" i="222"/>
  <c r="B242" i="222"/>
  <c r="C242" i="222" s="1"/>
  <c r="E242" i="222" s="1"/>
  <c r="D242" i="222"/>
  <c r="B243" i="222"/>
  <c r="C243" i="222" s="1"/>
  <c r="E243" i="222" s="1"/>
  <c r="D243" i="222"/>
  <c r="B244" i="222"/>
  <c r="C244" i="222" s="1"/>
  <c r="E244" i="222" s="1"/>
  <c r="D244" i="222"/>
  <c r="B245" i="222"/>
  <c r="C245" i="222" s="1"/>
  <c r="E245" i="222" s="1"/>
  <c r="D245" i="222"/>
  <c r="B246" i="222"/>
  <c r="C246" i="222" s="1"/>
  <c r="E246" i="222" s="1"/>
  <c r="D246" i="222"/>
  <c r="B247" i="222"/>
  <c r="C247" i="222" s="1"/>
  <c r="E247" i="222" s="1"/>
  <c r="D247" i="222"/>
  <c r="B248" i="222"/>
  <c r="C248" i="222" s="1"/>
  <c r="E248" i="222" s="1"/>
  <c r="D248" i="222"/>
  <c r="B249" i="222"/>
  <c r="C249" i="222" s="1"/>
  <c r="E249" i="222" s="1"/>
  <c r="D249" i="222"/>
  <c r="B250" i="222"/>
  <c r="C250" i="222" s="1"/>
  <c r="E250" i="222" s="1"/>
  <c r="D250" i="222"/>
  <c r="B251" i="222"/>
  <c r="C251" i="222" s="1"/>
  <c r="E251" i="222" s="1"/>
  <c r="D251" i="222"/>
  <c r="B252" i="222"/>
  <c r="C252" i="222" s="1"/>
  <c r="E252" i="222" s="1"/>
  <c r="D252" i="222"/>
  <c r="B253" i="222"/>
  <c r="C253" i="222" s="1"/>
  <c r="E253" i="222" s="1"/>
  <c r="D253" i="222"/>
  <c r="B254" i="222"/>
  <c r="C254" i="222" s="1"/>
  <c r="E254" i="222" s="1"/>
  <c r="D254" i="222"/>
  <c r="B255" i="222"/>
  <c r="C255" i="222" s="1"/>
  <c r="E255" i="222" s="1"/>
  <c r="D255" i="222"/>
  <c r="B256" i="222"/>
  <c r="C256" i="222" s="1"/>
  <c r="E256" i="222" s="1"/>
  <c r="D256" i="222"/>
  <c r="B257" i="222"/>
  <c r="C257" i="222" s="1"/>
  <c r="E257" i="222" s="1"/>
  <c r="D257" i="222"/>
  <c r="B258" i="222"/>
  <c r="C258" i="222" s="1"/>
  <c r="E258" i="222" s="1"/>
  <c r="D258" i="222"/>
  <c r="B259" i="222"/>
  <c r="C259" i="222" s="1"/>
  <c r="E259" i="222" s="1"/>
  <c r="D259" i="222"/>
  <c r="B260" i="222"/>
  <c r="C260" i="222" s="1"/>
  <c r="E260" i="222" s="1"/>
  <c r="D260" i="222"/>
  <c r="B261" i="222"/>
  <c r="C261" i="222" s="1"/>
  <c r="E261" i="222" s="1"/>
  <c r="D261" i="222"/>
  <c r="B262" i="222"/>
  <c r="C262" i="222" s="1"/>
  <c r="E262" i="222" s="1"/>
  <c r="D262" i="222"/>
  <c r="B263" i="222"/>
  <c r="C263" i="222" s="1"/>
  <c r="E263" i="222" s="1"/>
  <c r="D263" i="222"/>
  <c r="B264" i="222"/>
  <c r="C264" i="222" s="1"/>
  <c r="E264" i="222" s="1"/>
  <c r="D264" i="222"/>
  <c r="B265" i="222"/>
  <c r="C265" i="222" s="1"/>
  <c r="E265" i="222" s="1"/>
  <c r="D265" i="222"/>
  <c r="B266" i="222"/>
  <c r="C266" i="222" s="1"/>
  <c r="E266" i="222" s="1"/>
  <c r="D266" i="222"/>
  <c r="B267" i="222"/>
  <c r="C267" i="222" s="1"/>
  <c r="E267" i="222" s="1"/>
  <c r="D267" i="222"/>
  <c r="B268" i="222"/>
  <c r="C268" i="222" s="1"/>
  <c r="E268" i="222" s="1"/>
  <c r="D268" i="222"/>
  <c r="B269" i="222"/>
  <c r="C269" i="222" s="1"/>
  <c r="E269" i="222" s="1"/>
  <c r="D269" i="222"/>
  <c r="B270" i="222"/>
  <c r="C270" i="222" s="1"/>
  <c r="E270" i="222" s="1"/>
  <c r="D270" i="222"/>
  <c r="B271" i="222"/>
  <c r="C271" i="222" s="1"/>
  <c r="E271" i="222" s="1"/>
  <c r="D271" i="222"/>
  <c r="B272" i="222"/>
  <c r="C272" i="222" s="1"/>
  <c r="E272" i="222" s="1"/>
  <c r="D272" i="222"/>
  <c r="B273" i="222"/>
  <c r="C273" i="222" s="1"/>
  <c r="E273" i="222" s="1"/>
  <c r="D273" i="222"/>
  <c r="B274" i="222"/>
  <c r="C274" i="222" s="1"/>
  <c r="E274" i="222" s="1"/>
  <c r="D274" i="222"/>
  <c r="B275" i="222"/>
  <c r="C275" i="222" s="1"/>
  <c r="E275" i="222" s="1"/>
  <c r="D275" i="222"/>
  <c r="B276" i="222"/>
  <c r="C276" i="222" s="1"/>
  <c r="E276" i="222" s="1"/>
  <c r="D276" i="222"/>
  <c r="B277" i="222"/>
  <c r="C277" i="222" s="1"/>
  <c r="E277" i="222" s="1"/>
  <c r="D277" i="222"/>
  <c r="B278" i="222"/>
  <c r="C278" i="222" s="1"/>
  <c r="E278" i="222" s="1"/>
  <c r="D278" i="222"/>
  <c r="B279" i="222"/>
  <c r="C279" i="222" s="1"/>
  <c r="E279" i="222" s="1"/>
  <c r="D279" i="222"/>
  <c r="B280" i="222"/>
  <c r="C280" i="222" s="1"/>
  <c r="E280" i="222" s="1"/>
  <c r="D280" i="222"/>
  <c r="B281" i="222"/>
  <c r="C281" i="222" s="1"/>
  <c r="E281" i="222" s="1"/>
  <c r="D281" i="222"/>
  <c r="B282" i="222"/>
  <c r="C282" i="222" s="1"/>
  <c r="E282" i="222" s="1"/>
  <c r="D282" i="222"/>
  <c r="B283" i="222"/>
  <c r="C283" i="222" s="1"/>
  <c r="E283" i="222" s="1"/>
  <c r="D283" i="222"/>
  <c r="B284" i="222"/>
  <c r="C284" i="222" s="1"/>
  <c r="E284" i="222" s="1"/>
  <c r="D284" i="222"/>
  <c r="B285" i="222"/>
  <c r="C285" i="222" s="1"/>
  <c r="E285" i="222" s="1"/>
  <c r="D285" i="222"/>
  <c r="B286" i="222"/>
  <c r="C286" i="222" s="1"/>
  <c r="E286" i="222" s="1"/>
  <c r="D286" i="222"/>
  <c r="B287" i="222"/>
  <c r="C287" i="222" s="1"/>
  <c r="E287" i="222" s="1"/>
  <c r="D287" i="222"/>
  <c r="B288" i="222"/>
  <c r="C288" i="222" s="1"/>
  <c r="E288" i="222" s="1"/>
  <c r="D288" i="222"/>
  <c r="B289" i="222"/>
  <c r="C289" i="222" s="1"/>
  <c r="E289" i="222" s="1"/>
  <c r="D289" i="222"/>
  <c r="B290" i="222"/>
  <c r="C290" i="222" s="1"/>
  <c r="E290" i="222" s="1"/>
  <c r="D290" i="222"/>
  <c r="B291" i="222"/>
  <c r="C291" i="222" s="1"/>
  <c r="E291" i="222" s="1"/>
  <c r="D291" i="222"/>
  <c r="B292" i="222"/>
  <c r="C292" i="222" s="1"/>
  <c r="E292" i="222" s="1"/>
  <c r="D292" i="222"/>
  <c r="B293" i="222"/>
  <c r="C293" i="222" s="1"/>
  <c r="E293" i="222" s="1"/>
  <c r="D293" i="222"/>
  <c r="B294" i="222"/>
  <c r="C294" i="222" s="1"/>
  <c r="E294" i="222" s="1"/>
  <c r="D294" i="222"/>
  <c r="B295" i="222"/>
  <c r="C295" i="222" s="1"/>
  <c r="E295" i="222" s="1"/>
  <c r="D295" i="222"/>
  <c r="B296" i="222"/>
  <c r="C296" i="222" s="1"/>
  <c r="E296" i="222" s="1"/>
  <c r="D296" i="222"/>
  <c r="B297" i="222"/>
  <c r="C297" i="222" s="1"/>
  <c r="E297" i="222" s="1"/>
  <c r="D297" i="222"/>
  <c r="B298" i="222"/>
  <c r="C298" i="222" s="1"/>
  <c r="E298" i="222" s="1"/>
  <c r="D298" i="222"/>
  <c r="B299" i="222"/>
  <c r="C299" i="222" s="1"/>
  <c r="E299" i="222" s="1"/>
  <c r="D299" i="222"/>
  <c r="B300" i="222"/>
  <c r="C300" i="222" s="1"/>
  <c r="E300" i="222" s="1"/>
  <c r="D300" i="222"/>
  <c r="B301" i="222"/>
  <c r="C301" i="222" s="1"/>
  <c r="E301" i="222" s="1"/>
  <c r="D301" i="222"/>
  <c r="B302" i="222"/>
  <c r="C302" i="222" s="1"/>
  <c r="E302" i="222" s="1"/>
  <c r="D302" i="222"/>
  <c r="B303" i="222"/>
  <c r="C303" i="222" s="1"/>
  <c r="E303" i="222" s="1"/>
  <c r="D303" i="222"/>
  <c r="B304" i="222"/>
  <c r="C304" i="222" s="1"/>
  <c r="E304" i="222" s="1"/>
  <c r="D304" i="222"/>
  <c r="B305" i="222"/>
  <c r="C305" i="222" s="1"/>
  <c r="E305" i="222" s="1"/>
  <c r="D305" i="222"/>
  <c r="B306" i="222"/>
  <c r="C306" i="222" s="1"/>
  <c r="E306" i="222" s="1"/>
  <c r="D306" i="222"/>
  <c r="B307" i="222"/>
  <c r="C307" i="222" s="1"/>
  <c r="E307" i="222" s="1"/>
  <c r="D307" i="222"/>
  <c r="B308" i="222"/>
  <c r="C308" i="222" s="1"/>
  <c r="E308" i="222" s="1"/>
  <c r="D308" i="222"/>
  <c r="B309" i="222"/>
  <c r="C309" i="222" s="1"/>
  <c r="E309" i="222" s="1"/>
  <c r="D309" i="222"/>
  <c r="B310" i="222"/>
  <c r="C310" i="222" s="1"/>
  <c r="E310" i="222" s="1"/>
  <c r="D310" i="222"/>
  <c r="B311" i="222"/>
  <c r="C311" i="222" s="1"/>
  <c r="E311" i="222" s="1"/>
  <c r="D311" i="222"/>
  <c r="B312" i="222"/>
  <c r="C312" i="222" s="1"/>
  <c r="E312" i="222" s="1"/>
  <c r="D312" i="222"/>
  <c r="B313" i="222"/>
  <c r="C313" i="222" s="1"/>
  <c r="E313" i="222" s="1"/>
  <c r="D313" i="222"/>
  <c r="B314" i="222"/>
  <c r="C314" i="222" s="1"/>
  <c r="E314" i="222" s="1"/>
  <c r="D314" i="222"/>
  <c r="B315" i="222"/>
  <c r="C315" i="222" s="1"/>
  <c r="E315" i="222" s="1"/>
  <c r="D315" i="222"/>
  <c r="B316" i="222"/>
  <c r="C316" i="222" s="1"/>
  <c r="E316" i="222" s="1"/>
  <c r="D316" i="222"/>
  <c r="B317" i="222"/>
  <c r="C317" i="222" s="1"/>
  <c r="E317" i="222" s="1"/>
  <c r="D317" i="222"/>
  <c r="B318" i="222"/>
  <c r="C318" i="222" s="1"/>
  <c r="E318" i="222" s="1"/>
  <c r="D318" i="222"/>
  <c r="B319" i="222"/>
  <c r="C319" i="222" s="1"/>
  <c r="E319" i="222" s="1"/>
  <c r="D319" i="222"/>
  <c r="B320" i="222"/>
  <c r="C320" i="222" s="1"/>
  <c r="E320" i="222" s="1"/>
  <c r="D320" i="222"/>
  <c r="B321" i="222"/>
  <c r="C321" i="222" s="1"/>
  <c r="E321" i="222" s="1"/>
  <c r="D321" i="222"/>
  <c r="B322" i="222"/>
  <c r="C322" i="222" s="1"/>
  <c r="E322" i="222" s="1"/>
  <c r="D322" i="222"/>
  <c r="B323" i="222"/>
  <c r="C323" i="222" s="1"/>
  <c r="E323" i="222" s="1"/>
  <c r="D323" i="222"/>
  <c r="B324" i="222"/>
  <c r="C324" i="222" s="1"/>
  <c r="E324" i="222" s="1"/>
  <c r="D324" i="222"/>
  <c r="B325" i="222"/>
  <c r="C325" i="222" s="1"/>
  <c r="E325" i="222" s="1"/>
  <c r="D325" i="222"/>
  <c r="B326" i="222"/>
  <c r="C326" i="222" s="1"/>
  <c r="E326" i="222" s="1"/>
  <c r="D326" i="222"/>
  <c r="B327" i="222"/>
  <c r="C327" i="222" s="1"/>
  <c r="E327" i="222" s="1"/>
  <c r="D327" i="222"/>
  <c r="B328" i="222"/>
  <c r="C328" i="222" s="1"/>
  <c r="E328" i="222" s="1"/>
  <c r="D328" i="222"/>
  <c r="B329" i="222"/>
  <c r="C329" i="222" s="1"/>
  <c r="E329" i="222" s="1"/>
  <c r="D329" i="222"/>
  <c r="B330" i="222"/>
  <c r="C330" i="222" s="1"/>
  <c r="E330" i="222" s="1"/>
  <c r="D330" i="222"/>
  <c r="B331" i="222"/>
  <c r="C331" i="222" s="1"/>
  <c r="E331" i="222" s="1"/>
  <c r="D331" i="222"/>
  <c r="B332" i="222"/>
  <c r="C332" i="222" s="1"/>
  <c r="E332" i="222" s="1"/>
  <c r="D332" i="222"/>
  <c r="B333" i="222"/>
  <c r="C333" i="222" s="1"/>
  <c r="E333" i="222" s="1"/>
  <c r="D333" i="222"/>
  <c r="B334" i="222"/>
  <c r="C334" i="222" s="1"/>
  <c r="E334" i="222" s="1"/>
  <c r="D334" i="222"/>
  <c r="B335" i="222"/>
  <c r="C335" i="222" s="1"/>
  <c r="E335" i="222" s="1"/>
  <c r="D335" i="222"/>
  <c r="B336" i="222"/>
  <c r="C336" i="222" s="1"/>
  <c r="E336" i="222" s="1"/>
  <c r="D336" i="222"/>
  <c r="B337" i="222"/>
  <c r="C337" i="222" s="1"/>
  <c r="E337" i="222" s="1"/>
  <c r="D337" i="222"/>
  <c r="B338" i="222"/>
  <c r="C338" i="222" s="1"/>
  <c r="E338" i="222" s="1"/>
  <c r="D338" i="222"/>
  <c r="B339" i="222"/>
  <c r="C339" i="222" s="1"/>
  <c r="E339" i="222" s="1"/>
  <c r="D339" i="222"/>
  <c r="B340" i="222"/>
  <c r="C340" i="222" s="1"/>
  <c r="E340" i="222" s="1"/>
  <c r="D340" i="222"/>
  <c r="B341" i="222"/>
  <c r="C341" i="222" s="1"/>
  <c r="E341" i="222" s="1"/>
  <c r="D341" i="222"/>
  <c r="B342" i="222"/>
  <c r="C342" i="222" s="1"/>
  <c r="E342" i="222" s="1"/>
  <c r="D342" i="222"/>
  <c r="B343" i="222"/>
  <c r="C343" i="222" s="1"/>
  <c r="E343" i="222" s="1"/>
  <c r="D343" i="222"/>
  <c r="B344" i="222"/>
  <c r="C344" i="222" s="1"/>
  <c r="E344" i="222" s="1"/>
  <c r="D344" i="222"/>
  <c r="B345" i="222"/>
  <c r="C345" i="222" s="1"/>
  <c r="E345" i="222" s="1"/>
  <c r="D345" i="222"/>
  <c r="B346" i="222"/>
  <c r="C346" i="222" s="1"/>
  <c r="E346" i="222" s="1"/>
  <c r="D346" i="222"/>
  <c r="B347" i="222"/>
  <c r="C347" i="222" s="1"/>
  <c r="E347" i="222" s="1"/>
  <c r="D347" i="222"/>
  <c r="B348" i="222"/>
  <c r="C348" i="222" s="1"/>
  <c r="E348" i="222" s="1"/>
  <c r="D348" i="222"/>
  <c r="B349" i="222"/>
  <c r="C349" i="222" s="1"/>
  <c r="E349" i="222" s="1"/>
  <c r="D349" i="222"/>
  <c r="B350" i="222"/>
  <c r="C350" i="222" s="1"/>
  <c r="E350" i="222" s="1"/>
  <c r="D350" i="222"/>
  <c r="B351" i="222"/>
  <c r="C351" i="222" s="1"/>
  <c r="E351" i="222" s="1"/>
  <c r="D351" i="222"/>
  <c r="B352" i="222"/>
  <c r="C352" i="222" s="1"/>
  <c r="E352" i="222" s="1"/>
  <c r="D352" i="222"/>
  <c r="B353" i="222"/>
  <c r="C353" i="222" s="1"/>
  <c r="E353" i="222" s="1"/>
  <c r="D353" i="222"/>
  <c r="B354" i="222"/>
  <c r="C354" i="222" s="1"/>
  <c r="E354" i="222" s="1"/>
  <c r="D354" i="222"/>
  <c r="B355" i="222"/>
  <c r="C355" i="222" s="1"/>
  <c r="E355" i="222" s="1"/>
  <c r="D355" i="222"/>
  <c r="B356" i="222"/>
  <c r="C356" i="222" s="1"/>
  <c r="E356" i="222" s="1"/>
  <c r="D356" i="222"/>
  <c r="B357" i="222"/>
  <c r="C357" i="222" s="1"/>
  <c r="E357" i="222" s="1"/>
  <c r="D357" i="222"/>
  <c r="B358" i="222"/>
  <c r="C358" i="222" s="1"/>
  <c r="E358" i="222" s="1"/>
  <c r="D358" i="222"/>
  <c r="B359" i="222"/>
  <c r="C359" i="222" s="1"/>
  <c r="E359" i="222" s="1"/>
  <c r="D359" i="222"/>
  <c r="B360" i="222"/>
  <c r="C360" i="222" s="1"/>
  <c r="E360" i="222" s="1"/>
  <c r="D360" i="222"/>
  <c r="B361" i="222"/>
  <c r="C361" i="222" s="1"/>
  <c r="E361" i="222" s="1"/>
  <c r="D361" i="222"/>
  <c r="B362" i="222"/>
  <c r="C362" i="222" s="1"/>
  <c r="E362" i="222" s="1"/>
  <c r="D362" i="222"/>
  <c r="B363" i="222"/>
  <c r="C363" i="222" s="1"/>
  <c r="E363" i="222" s="1"/>
  <c r="D363" i="222"/>
  <c r="B364" i="222"/>
  <c r="C364" i="222" s="1"/>
  <c r="E364" i="222" s="1"/>
  <c r="D364" i="222"/>
  <c r="B365" i="222"/>
  <c r="C365" i="222" s="1"/>
  <c r="E365" i="222" s="1"/>
  <c r="D365" i="222"/>
  <c r="B366" i="222"/>
  <c r="C366" i="222" s="1"/>
  <c r="E366" i="222" s="1"/>
  <c r="D366" i="222"/>
  <c r="B367" i="222"/>
  <c r="C367" i="222" s="1"/>
  <c r="E367" i="222" s="1"/>
  <c r="D367" i="222"/>
  <c r="B368" i="222"/>
  <c r="C368" i="222" s="1"/>
  <c r="E368" i="222" s="1"/>
  <c r="D368" i="222"/>
  <c r="B369" i="222"/>
  <c r="C369" i="222" s="1"/>
  <c r="E369" i="222" s="1"/>
  <c r="D369" i="222"/>
  <c r="B370" i="222"/>
  <c r="C370" i="222" s="1"/>
  <c r="E370" i="222" s="1"/>
  <c r="D370" i="222"/>
  <c r="B371" i="222"/>
  <c r="C371" i="222" s="1"/>
  <c r="E371" i="222" s="1"/>
  <c r="D371" i="222"/>
  <c r="B372" i="222"/>
  <c r="C372" i="222" s="1"/>
  <c r="E372" i="222" s="1"/>
  <c r="D372" i="222"/>
  <c r="B373" i="222"/>
  <c r="C373" i="222" s="1"/>
  <c r="E373" i="222" s="1"/>
  <c r="D373" i="222"/>
  <c r="B374" i="222"/>
  <c r="C374" i="222" s="1"/>
  <c r="E374" i="222" s="1"/>
  <c r="D374" i="222"/>
  <c r="B375" i="222"/>
  <c r="C375" i="222" s="1"/>
  <c r="E375" i="222" s="1"/>
  <c r="D375" i="222"/>
  <c r="B376" i="222"/>
  <c r="C376" i="222" s="1"/>
  <c r="E376" i="222" s="1"/>
  <c r="D376" i="222"/>
  <c r="B377" i="222"/>
  <c r="C377" i="222" s="1"/>
  <c r="E377" i="222" s="1"/>
  <c r="D377" i="222"/>
  <c r="B378" i="222"/>
  <c r="C378" i="222" s="1"/>
  <c r="E378" i="222" s="1"/>
  <c r="D378" i="222"/>
  <c r="B379" i="222"/>
  <c r="C379" i="222" s="1"/>
  <c r="E379" i="222" s="1"/>
  <c r="D379" i="222"/>
  <c r="B380" i="222"/>
  <c r="C380" i="222" s="1"/>
  <c r="E380" i="222" s="1"/>
  <c r="D380" i="222"/>
  <c r="B381" i="222"/>
  <c r="C381" i="222" s="1"/>
  <c r="E381" i="222" s="1"/>
  <c r="D381" i="222"/>
  <c r="B382" i="222"/>
  <c r="C382" i="222" s="1"/>
  <c r="E382" i="222" s="1"/>
  <c r="D382" i="222"/>
  <c r="B383" i="222"/>
  <c r="C383" i="222" s="1"/>
  <c r="E383" i="222" s="1"/>
  <c r="D383" i="222"/>
  <c r="B384" i="222"/>
  <c r="C384" i="222" s="1"/>
  <c r="E384" i="222" s="1"/>
  <c r="D384" i="222"/>
  <c r="B385" i="222"/>
  <c r="C385" i="222" s="1"/>
  <c r="E385" i="222" s="1"/>
  <c r="D385" i="222"/>
  <c r="B386" i="222"/>
  <c r="C386" i="222" s="1"/>
  <c r="E386" i="222" s="1"/>
  <c r="D386" i="222"/>
  <c r="B387" i="222"/>
  <c r="C387" i="222" s="1"/>
  <c r="E387" i="222" s="1"/>
  <c r="D387" i="222"/>
  <c r="B388" i="222"/>
  <c r="C388" i="222" s="1"/>
  <c r="E388" i="222" s="1"/>
  <c r="D388" i="222"/>
  <c r="B389" i="222"/>
  <c r="C389" i="222" s="1"/>
  <c r="E389" i="222" s="1"/>
  <c r="D389" i="222"/>
  <c r="B390" i="222"/>
  <c r="C390" i="222" s="1"/>
  <c r="E390" i="222" s="1"/>
  <c r="D390" i="222"/>
  <c r="B391" i="222"/>
  <c r="C391" i="222" s="1"/>
  <c r="E391" i="222" s="1"/>
  <c r="D391" i="222"/>
  <c r="B392" i="222"/>
  <c r="C392" i="222" s="1"/>
  <c r="E392" i="222" s="1"/>
  <c r="D392" i="222"/>
  <c r="B393" i="222"/>
  <c r="C393" i="222" s="1"/>
  <c r="E393" i="222" s="1"/>
  <c r="D393" i="222"/>
  <c r="B394" i="222"/>
  <c r="C394" i="222" s="1"/>
  <c r="E394" i="222" s="1"/>
  <c r="D394" i="222"/>
  <c r="B395" i="222"/>
  <c r="C395" i="222" s="1"/>
  <c r="E395" i="222" s="1"/>
  <c r="D395" i="222"/>
  <c r="B396" i="222"/>
  <c r="C396" i="222" s="1"/>
  <c r="E396" i="222" s="1"/>
  <c r="D396" i="222"/>
  <c r="B397" i="222"/>
  <c r="C397" i="222" s="1"/>
  <c r="E397" i="222" s="1"/>
  <c r="D397" i="222"/>
  <c r="B398" i="222"/>
  <c r="C398" i="222" s="1"/>
  <c r="E398" i="222" s="1"/>
  <c r="D398" i="222"/>
  <c r="B399" i="222"/>
  <c r="C399" i="222" s="1"/>
  <c r="E399" i="222" s="1"/>
  <c r="D399" i="222"/>
  <c r="B400" i="222"/>
  <c r="C400" i="222" s="1"/>
  <c r="E400" i="222" s="1"/>
  <c r="D400" i="222"/>
  <c r="B401" i="222"/>
  <c r="C401" i="222" s="1"/>
  <c r="E401" i="222" s="1"/>
  <c r="D401" i="222"/>
  <c r="B402" i="222"/>
  <c r="C402" i="222" s="1"/>
  <c r="E402" i="222" s="1"/>
  <c r="D402" i="222"/>
  <c r="B403" i="222"/>
  <c r="C403" i="222" s="1"/>
  <c r="E403" i="222" s="1"/>
  <c r="D403" i="222"/>
  <c r="B404" i="222"/>
  <c r="C404" i="222" s="1"/>
  <c r="E404" i="222" s="1"/>
  <c r="D404" i="222"/>
  <c r="B405" i="222"/>
  <c r="C405" i="222" s="1"/>
  <c r="E405" i="222" s="1"/>
  <c r="D405" i="222"/>
  <c r="B406" i="222"/>
  <c r="C406" i="222" s="1"/>
  <c r="E406" i="222" s="1"/>
  <c r="D406" i="222"/>
  <c r="B407" i="222"/>
  <c r="C407" i="222" s="1"/>
  <c r="E407" i="222" s="1"/>
  <c r="D407" i="222"/>
  <c r="B408" i="222"/>
  <c r="C408" i="222" s="1"/>
  <c r="E408" i="222" s="1"/>
  <c r="D408" i="222"/>
  <c r="B409" i="222"/>
  <c r="C409" i="222" s="1"/>
  <c r="E409" i="222" s="1"/>
  <c r="D409" i="222"/>
  <c r="B410" i="222"/>
  <c r="C410" i="222" s="1"/>
  <c r="E410" i="222" s="1"/>
  <c r="D410" i="222"/>
  <c r="B411" i="222"/>
  <c r="C411" i="222" s="1"/>
  <c r="E411" i="222" s="1"/>
  <c r="D411" i="222"/>
  <c r="B412" i="222"/>
  <c r="C412" i="222" s="1"/>
  <c r="E412" i="222" s="1"/>
  <c r="D412" i="222"/>
  <c r="B413" i="222"/>
  <c r="C413" i="222" s="1"/>
  <c r="E413" i="222" s="1"/>
  <c r="D413" i="222"/>
  <c r="B414" i="222"/>
  <c r="C414" i="222" s="1"/>
  <c r="E414" i="222" s="1"/>
  <c r="D414" i="222"/>
  <c r="B415" i="222"/>
  <c r="C415" i="222" s="1"/>
  <c r="E415" i="222" s="1"/>
  <c r="D415" i="222"/>
  <c r="B416" i="222"/>
  <c r="C416" i="222" s="1"/>
  <c r="E416" i="222" s="1"/>
  <c r="D416" i="222"/>
  <c r="B417" i="222"/>
  <c r="C417" i="222" s="1"/>
  <c r="E417" i="222" s="1"/>
  <c r="D417" i="222"/>
  <c r="B418" i="222"/>
  <c r="C418" i="222" s="1"/>
  <c r="E418" i="222" s="1"/>
  <c r="D418" i="222"/>
  <c r="B419" i="222"/>
  <c r="C419" i="222" s="1"/>
  <c r="E419" i="222" s="1"/>
  <c r="D419" i="222"/>
  <c r="B420" i="222"/>
  <c r="C420" i="222" s="1"/>
  <c r="E420" i="222" s="1"/>
  <c r="D420" i="222"/>
  <c r="B421" i="222"/>
  <c r="C421" i="222" s="1"/>
  <c r="E421" i="222" s="1"/>
  <c r="D421" i="222"/>
  <c r="B422" i="222"/>
  <c r="C422" i="222" s="1"/>
  <c r="E422" i="222" s="1"/>
  <c r="D422" i="222"/>
  <c r="B423" i="222"/>
  <c r="C423" i="222" s="1"/>
  <c r="E423" i="222" s="1"/>
  <c r="D423" i="222"/>
  <c r="B424" i="222"/>
  <c r="C424" i="222" s="1"/>
  <c r="E424" i="222" s="1"/>
  <c r="D424" i="222"/>
  <c r="B425" i="222"/>
  <c r="C425" i="222" s="1"/>
  <c r="E425" i="222" s="1"/>
  <c r="D425" i="222"/>
  <c r="B426" i="222"/>
  <c r="C426" i="222" s="1"/>
  <c r="E426" i="222" s="1"/>
  <c r="D426" i="222"/>
  <c r="B427" i="222"/>
  <c r="C427" i="222" s="1"/>
  <c r="E427" i="222" s="1"/>
  <c r="D427" i="222"/>
  <c r="B428" i="222"/>
  <c r="C428" i="222" s="1"/>
  <c r="E428" i="222" s="1"/>
  <c r="D428" i="222"/>
  <c r="B429" i="222"/>
  <c r="C429" i="222" s="1"/>
  <c r="E429" i="222" s="1"/>
  <c r="D429" i="222"/>
  <c r="B430" i="222"/>
  <c r="C430" i="222" s="1"/>
  <c r="E430" i="222" s="1"/>
  <c r="D430" i="222"/>
  <c r="B431" i="222"/>
  <c r="C431" i="222" s="1"/>
  <c r="E431" i="222" s="1"/>
  <c r="D431" i="222"/>
  <c r="B432" i="222"/>
  <c r="C432" i="222" s="1"/>
  <c r="E432" i="222" s="1"/>
  <c r="D432" i="222"/>
  <c r="B433" i="222"/>
  <c r="C433" i="222" s="1"/>
  <c r="E433" i="222" s="1"/>
  <c r="D433" i="222"/>
  <c r="B434" i="222"/>
  <c r="C434" i="222" s="1"/>
  <c r="E434" i="222" s="1"/>
  <c r="D434" i="222"/>
  <c r="B435" i="222"/>
  <c r="C435" i="222" s="1"/>
  <c r="E435" i="222" s="1"/>
  <c r="D435" i="222"/>
  <c r="B436" i="222"/>
  <c r="C436" i="222" s="1"/>
  <c r="E436" i="222" s="1"/>
  <c r="D436" i="222"/>
  <c r="B437" i="222"/>
  <c r="C437" i="222" s="1"/>
  <c r="E437" i="222" s="1"/>
  <c r="D437" i="222"/>
  <c r="B438" i="222"/>
  <c r="C438" i="222" s="1"/>
  <c r="E438" i="222" s="1"/>
  <c r="D438" i="222"/>
  <c r="B439" i="222"/>
  <c r="C439" i="222" s="1"/>
  <c r="E439" i="222" s="1"/>
  <c r="D439" i="222"/>
  <c r="B440" i="222"/>
  <c r="C440" i="222" s="1"/>
  <c r="E440" i="222" s="1"/>
  <c r="D440" i="222"/>
  <c r="B441" i="222"/>
  <c r="C441" i="222" s="1"/>
  <c r="E441" i="222" s="1"/>
  <c r="D441" i="222"/>
  <c r="B442" i="222"/>
  <c r="C442" i="222" s="1"/>
  <c r="E442" i="222" s="1"/>
  <c r="D442" i="222"/>
  <c r="B443" i="222"/>
  <c r="C443" i="222" s="1"/>
  <c r="E443" i="222" s="1"/>
  <c r="D443" i="222"/>
  <c r="B444" i="222"/>
  <c r="C444" i="222" s="1"/>
  <c r="E444" i="222" s="1"/>
  <c r="D444" i="222"/>
  <c r="B445" i="222"/>
  <c r="C445" i="222" s="1"/>
  <c r="E445" i="222" s="1"/>
  <c r="D445" i="222"/>
  <c r="B446" i="222"/>
  <c r="C446" i="222" s="1"/>
  <c r="E446" i="222" s="1"/>
  <c r="D446" i="222"/>
  <c r="B447" i="222"/>
  <c r="C447" i="222" s="1"/>
  <c r="E447" i="222" s="1"/>
  <c r="D447" i="222"/>
  <c r="B448" i="222"/>
  <c r="C448" i="222" s="1"/>
  <c r="E448" i="222" s="1"/>
  <c r="D448" i="222"/>
  <c r="B449" i="222"/>
  <c r="C449" i="222" s="1"/>
  <c r="E449" i="222" s="1"/>
  <c r="D449" i="222"/>
  <c r="B450" i="222"/>
  <c r="C450" i="222" s="1"/>
  <c r="E450" i="222" s="1"/>
  <c r="D450" i="222"/>
  <c r="B451" i="222"/>
  <c r="C451" i="222" s="1"/>
  <c r="E451" i="222" s="1"/>
  <c r="D451" i="222"/>
  <c r="B452" i="222"/>
  <c r="C452" i="222" s="1"/>
  <c r="E452" i="222" s="1"/>
  <c r="D452" i="222"/>
  <c r="B453" i="222"/>
  <c r="C453" i="222" s="1"/>
  <c r="E453" i="222" s="1"/>
  <c r="D453" i="222"/>
  <c r="B454" i="222"/>
  <c r="C454" i="222" s="1"/>
  <c r="E454" i="222" s="1"/>
  <c r="D454" i="222"/>
  <c r="B455" i="222"/>
  <c r="C455" i="222" s="1"/>
  <c r="E455" i="222" s="1"/>
  <c r="D455" i="222"/>
  <c r="B456" i="222"/>
  <c r="C456" i="222" s="1"/>
  <c r="E456" i="222" s="1"/>
  <c r="D456" i="222"/>
  <c r="B457" i="222"/>
  <c r="C457" i="222" s="1"/>
  <c r="E457" i="222" s="1"/>
  <c r="D457" i="222"/>
  <c r="B458" i="222"/>
  <c r="C458" i="222" s="1"/>
  <c r="E458" i="222" s="1"/>
  <c r="D458" i="222"/>
  <c r="B459" i="222"/>
  <c r="C459" i="222" s="1"/>
  <c r="E459" i="222" s="1"/>
  <c r="D459" i="222"/>
  <c r="B460" i="222"/>
  <c r="C460" i="222" s="1"/>
  <c r="E460" i="222" s="1"/>
  <c r="D460" i="222"/>
  <c r="B461" i="222"/>
  <c r="C461" i="222" s="1"/>
  <c r="E461" i="222" s="1"/>
  <c r="D461" i="222"/>
  <c r="B462" i="222"/>
  <c r="C462" i="222" s="1"/>
  <c r="E462" i="222" s="1"/>
  <c r="D462" i="222"/>
  <c r="B463" i="222"/>
  <c r="C463" i="222" s="1"/>
  <c r="E463" i="222" s="1"/>
  <c r="D463" i="222"/>
  <c r="B464" i="222"/>
  <c r="C464" i="222" s="1"/>
  <c r="E464" i="222" s="1"/>
  <c r="D464" i="222"/>
  <c r="B465" i="222"/>
  <c r="C465" i="222" s="1"/>
  <c r="E465" i="222" s="1"/>
  <c r="D465" i="222"/>
  <c r="B466" i="222"/>
  <c r="C466" i="222" s="1"/>
  <c r="E466" i="222" s="1"/>
  <c r="D466" i="222"/>
  <c r="B467" i="222"/>
  <c r="C467" i="222" s="1"/>
  <c r="E467" i="222" s="1"/>
  <c r="D467" i="222"/>
  <c r="B468" i="222"/>
  <c r="C468" i="222" s="1"/>
  <c r="E468" i="222" s="1"/>
  <c r="D468" i="222"/>
  <c r="B469" i="222"/>
  <c r="C469" i="222" s="1"/>
  <c r="E469" i="222" s="1"/>
  <c r="D469" i="222"/>
  <c r="B470" i="222"/>
  <c r="C470" i="222" s="1"/>
  <c r="E470" i="222" s="1"/>
  <c r="D470" i="222"/>
  <c r="B471" i="222"/>
  <c r="C471" i="222" s="1"/>
  <c r="E471" i="222" s="1"/>
  <c r="D471" i="222"/>
  <c r="B472" i="222"/>
  <c r="C472" i="222" s="1"/>
  <c r="E472" i="222" s="1"/>
  <c r="D472" i="222"/>
  <c r="B473" i="222"/>
  <c r="C473" i="222" s="1"/>
  <c r="E473" i="222" s="1"/>
  <c r="D473" i="222"/>
  <c r="B489" i="222"/>
  <c r="D489" i="222"/>
  <c r="B490" i="222"/>
  <c r="D490" i="222"/>
  <c r="B491" i="222"/>
  <c r="D491" i="222"/>
  <c r="B492" i="222"/>
  <c r="D492" i="222"/>
  <c r="B493" i="222"/>
  <c r="D493" i="222"/>
  <c r="B494" i="222"/>
  <c r="D494" i="222"/>
  <c r="B495" i="222"/>
  <c r="D495" i="222"/>
  <c r="B496" i="222"/>
  <c r="D496" i="222"/>
  <c r="B497" i="222"/>
  <c r="D497" i="222"/>
  <c r="B498" i="222"/>
  <c r="D498" i="222"/>
  <c r="B499" i="222"/>
  <c r="D499" i="222"/>
  <c r="B500" i="222"/>
  <c r="D500" i="222"/>
  <c r="B501" i="222"/>
  <c r="D501" i="222"/>
  <c r="B502" i="222"/>
  <c r="D502" i="222"/>
  <c r="B503" i="222"/>
  <c r="D503" i="222"/>
  <c r="B504" i="222"/>
  <c r="D504" i="222"/>
  <c r="B505" i="222"/>
  <c r="D505" i="222"/>
  <c r="B506" i="222"/>
  <c r="D506" i="222"/>
  <c r="B507" i="222"/>
  <c r="D507" i="222"/>
  <c r="B508" i="222"/>
  <c r="D508" i="222"/>
  <c r="B509" i="222"/>
  <c r="D509" i="222"/>
  <c r="B510" i="222"/>
  <c r="D510" i="222"/>
  <c r="B511" i="222"/>
  <c r="D511" i="222"/>
  <c r="B512" i="222"/>
  <c r="D512" i="222"/>
  <c r="B513" i="222"/>
  <c r="D513" i="222"/>
  <c r="B514" i="222"/>
  <c r="D514" i="222"/>
  <c r="B515" i="222"/>
  <c r="D515" i="222"/>
  <c r="B516" i="222"/>
  <c r="D516" i="222"/>
  <c r="B517" i="222"/>
  <c r="D517" i="222"/>
  <c r="B518" i="222"/>
  <c r="D518" i="222"/>
  <c r="B519" i="222"/>
  <c r="D519" i="222"/>
  <c r="B520" i="222"/>
  <c r="D520" i="222"/>
  <c r="B521" i="222"/>
  <c r="D521" i="222"/>
  <c r="B522" i="222"/>
  <c r="D522" i="222"/>
  <c r="B523" i="222"/>
  <c r="D523" i="222"/>
  <c r="B524" i="222"/>
  <c r="D524" i="222"/>
  <c r="B525" i="222"/>
  <c r="D525" i="222"/>
  <c r="B526" i="222"/>
  <c r="D526" i="222"/>
  <c r="B527" i="222"/>
  <c r="D527" i="222"/>
  <c r="B528" i="222"/>
  <c r="D528" i="222"/>
  <c r="B529" i="222"/>
  <c r="D529" i="222"/>
  <c r="B530" i="222"/>
  <c r="D530" i="222"/>
  <c r="B531" i="222"/>
  <c r="D531" i="222"/>
  <c r="B532" i="222"/>
  <c r="D532" i="222"/>
  <c r="B533" i="222"/>
  <c r="D533" i="222"/>
  <c r="B534" i="222"/>
  <c r="D534" i="222"/>
  <c r="B535" i="222"/>
  <c r="D535" i="222"/>
  <c r="B536" i="222"/>
  <c r="D536" i="222"/>
  <c r="B537" i="222"/>
  <c r="D537" i="222"/>
  <c r="B538" i="222"/>
  <c r="D538" i="222"/>
  <c r="B539" i="222"/>
  <c r="D539" i="222"/>
  <c r="B540" i="222"/>
  <c r="D540" i="222"/>
  <c r="B541" i="222"/>
  <c r="D541" i="222"/>
  <c r="B542" i="222"/>
  <c r="D542" i="222"/>
  <c r="B543" i="222"/>
  <c r="D543" i="222"/>
  <c r="B544" i="222"/>
  <c r="D544" i="222"/>
  <c r="B545" i="222"/>
  <c r="D545" i="222"/>
  <c r="B546" i="222"/>
  <c r="D546" i="222"/>
  <c r="B547" i="222"/>
  <c r="D547" i="222"/>
  <c r="B548" i="222"/>
  <c r="D548" i="222"/>
  <c r="B549" i="222"/>
  <c r="D549" i="222"/>
  <c r="B550" i="222"/>
  <c r="D550" i="222"/>
  <c r="B551" i="222"/>
  <c r="D551" i="222"/>
  <c r="B552" i="222"/>
  <c r="D552" i="222"/>
  <c r="B553" i="222"/>
  <c r="D553" i="222"/>
  <c r="B554" i="222"/>
  <c r="D554" i="222"/>
  <c r="B555" i="222"/>
  <c r="D555" i="222"/>
  <c r="B556" i="222"/>
  <c r="D556" i="222"/>
  <c r="B557" i="222"/>
  <c r="D557" i="222"/>
  <c r="B558" i="222"/>
  <c r="D558" i="222"/>
  <c r="B559" i="222"/>
  <c r="D559" i="222"/>
  <c r="B560" i="222"/>
  <c r="D560" i="222"/>
  <c r="B561" i="222"/>
  <c r="D561" i="222"/>
  <c r="B562" i="222"/>
  <c r="D562" i="222"/>
  <c r="B563" i="222"/>
  <c r="D563" i="222"/>
  <c r="B564" i="222"/>
  <c r="D564" i="222"/>
  <c r="B565" i="222"/>
  <c r="D565" i="222"/>
  <c r="B566" i="222"/>
  <c r="D566" i="222"/>
  <c r="B567" i="222"/>
  <c r="D567" i="222"/>
  <c r="B568" i="222"/>
  <c r="D568" i="222"/>
  <c r="B569" i="222"/>
  <c r="D569" i="222"/>
  <c r="B570" i="222"/>
  <c r="D570" i="222"/>
  <c r="B571" i="222"/>
  <c r="D571" i="222"/>
  <c r="B572" i="222"/>
  <c r="D572" i="222"/>
  <c r="B573" i="222"/>
  <c r="D573" i="222"/>
  <c r="B574" i="222"/>
  <c r="D574" i="222"/>
  <c r="B575" i="222"/>
  <c r="D575" i="222"/>
  <c r="B576" i="222"/>
  <c r="D576" i="222"/>
  <c r="B577" i="222"/>
  <c r="D577" i="222"/>
  <c r="B578" i="222"/>
  <c r="D578" i="222"/>
  <c r="B579" i="222"/>
  <c r="D579" i="222"/>
  <c r="B580" i="222"/>
  <c r="D580" i="222"/>
  <c r="B581" i="222"/>
  <c r="D581" i="222"/>
  <c r="B582" i="222"/>
  <c r="D582" i="222"/>
  <c r="B583" i="222"/>
  <c r="D583" i="222"/>
  <c r="B584" i="222"/>
  <c r="D584" i="222"/>
  <c r="B585" i="222"/>
  <c r="D585" i="222"/>
  <c r="B586" i="222"/>
  <c r="D586" i="222"/>
  <c r="B587" i="222"/>
  <c r="D587" i="222"/>
  <c r="B588" i="222"/>
  <c r="D588" i="222"/>
  <c r="B589" i="222"/>
  <c r="D589" i="222"/>
  <c r="B590" i="222"/>
  <c r="D590" i="222"/>
  <c r="B591" i="222"/>
  <c r="D591" i="222"/>
  <c r="B592" i="222"/>
  <c r="D592" i="222"/>
  <c r="B593" i="222"/>
  <c r="D593" i="222"/>
  <c r="B594" i="222"/>
  <c r="D594" i="222"/>
  <c r="B595" i="222"/>
  <c r="D595" i="222"/>
  <c r="B596" i="222"/>
  <c r="D596" i="222"/>
  <c r="B597" i="222"/>
  <c r="D597" i="222"/>
  <c r="B598" i="222"/>
  <c r="D598" i="222"/>
  <c r="B599" i="222"/>
  <c r="D599" i="222"/>
  <c r="B600" i="222"/>
  <c r="D600" i="222"/>
  <c r="B601" i="222"/>
  <c r="D601" i="222"/>
  <c r="B602" i="222"/>
  <c r="D602" i="222"/>
  <c r="B603" i="222"/>
  <c r="D603" i="222"/>
  <c r="B604" i="222"/>
  <c r="D604" i="222"/>
  <c r="B605" i="222"/>
  <c r="D605" i="222"/>
  <c r="B606" i="222"/>
  <c r="D606" i="222"/>
  <c r="B607" i="222"/>
  <c r="D607" i="222"/>
  <c r="B608" i="222"/>
  <c r="D608" i="222"/>
  <c r="B609" i="222"/>
  <c r="D609" i="222"/>
  <c r="B610" i="222"/>
  <c r="D610" i="222"/>
  <c r="B611" i="222"/>
  <c r="D611" i="222"/>
  <c r="B612" i="222"/>
  <c r="D612" i="222"/>
  <c r="B613" i="222"/>
  <c r="D613" i="222"/>
  <c r="B614" i="222"/>
  <c r="D614" i="222"/>
  <c r="B615" i="222"/>
  <c r="D615" i="222"/>
  <c r="B616" i="222"/>
  <c r="D616" i="222"/>
  <c r="B617" i="222"/>
  <c r="D617" i="222"/>
  <c r="B618" i="222"/>
  <c r="D618" i="222"/>
  <c r="B619" i="222"/>
  <c r="D619" i="222"/>
  <c r="B620" i="222"/>
  <c r="D620" i="222"/>
  <c r="B621" i="222"/>
  <c r="D621" i="222"/>
  <c r="B622" i="222"/>
  <c r="D622" i="222"/>
  <c r="B623" i="222"/>
  <c r="D623" i="222"/>
  <c r="B624" i="222"/>
  <c r="D624" i="222"/>
  <c r="B625" i="222"/>
  <c r="D625" i="222"/>
  <c r="B626" i="222"/>
  <c r="D626" i="222"/>
  <c r="B627" i="222"/>
  <c r="D627" i="222"/>
  <c r="B628" i="222"/>
  <c r="D628" i="222"/>
  <c r="B629" i="222"/>
  <c r="D629" i="222"/>
  <c r="B630" i="222"/>
  <c r="D630" i="222"/>
  <c r="B631" i="222"/>
  <c r="D631" i="222"/>
  <c r="B632" i="222"/>
  <c r="D632" i="222"/>
  <c r="B633" i="222"/>
  <c r="D633" i="222"/>
  <c r="B634" i="222"/>
  <c r="D634" i="222"/>
  <c r="B635" i="222"/>
  <c r="D635" i="222"/>
  <c r="B636" i="222"/>
  <c r="D636" i="222"/>
  <c r="B637" i="222"/>
  <c r="D637" i="222"/>
  <c r="B638" i="222"/>
  <c r="D638" i="222"/>
  <c r="B639" i="222"/>
  <c r="D639" i="222"/>
  <c r="B640" i="222"/>
  <c r="D640" i="222"/>
  <c r="B641" i="222"/>
  <c r="D641" i="222"/>
  <c r="B642" i="222"/>
  <c r="D642" i="222"/>
  <c r="B643" i="222"/>
  <c r="D643" i="222"/>
  <c r="B644" i="222"/>
  <c r="D644" i="222"/>
  <c r="B645" i="222"/>
  <c r="D645" i="222"/>
  <c r="B646" i="222"/>
  <c r="D646" i="222"/>
  <c r="B647" i="222"/>
  <c r="D647" i="222"/>
  <c r="B648" i="222"/>
  <c r="D648" i="222"/>
  <c r="B649" i="222"/>
  <c r="D649" i="222"/>
  <c r="B650" i="222"/>
  <c r="D650" i="222"/>
  <c r="B651" i="222"/>
  <c r="D651" i="222"/>
  <c r="B652" i="222"/>
  <c r="D652" i="222"/>
  <c r="B653" i="222"/>
  <c r="D653" i="222"/>
  <c r="B654" i="222"/>
  <c r="D654" i="222"/>
  <c r="B655" i="222"/>
  <c r="D655" i="222"/>
  <c r="B656" i="222"/>
  <c r="D656" i="222"/>
  <c r="B657" i="222"/>
  <c r="D657" i="222"/>
  <c r="B658" i="222"/>
  <c r="D658" i="222"/>
  <c r="B659" i="222"/>
  <c r="D659" i="222"/>
  <c r="B660" i="222"/>
  <c r="D660" i="222"/>
  <c r="B661" i="222"/>
  <c r="D661" i="222"/>
  <c r="B662" i="222"/>
  <c r="D662" i="222"/>
  <c r="B663" i="222"/>
  <c r="D663" i="222"/>
  <c r="B664" i="222"/>
  <c r="D664" i="222"/>
  <c r="B665" i="222"/>
  <c r="D665" i="222"/>
  <c r="B666" i="222"/>
  <c r="D666" i="222"/>
  <c r="B667" i="222"/>
  <c r="D667" i="222"/>
  <c r="B668" i="222"/>
  <c r="D668" i="222"/>
  <c r="B669" i="222"/>
  <c r="D669" i="222"/>
  <c r="B670" i="222"/>
  <c r="D670" i="222"/>
  <c r="B671" i="222"/>
  <c r="D671" i="222"/>
  <c r="B672" i="222"/>
  <c r="D672" i="222"/>
  <c r="B673" i="222"/>
  <c r="D673" i="222"/>
  <c r="B674" i="222"/>
  <c r="D674" i="222"/>
  <c r="B675" i="222"/>
  <c r="D675" i="222"/>
  <c r="B676" i="222"/>
  <c r="D676" i="222"/>
  <c r="B677" i="222"/>
  <c r="D677" i="222"/>
  <c r="B678" i="222"/>
  <c r="D678" i="222"/>
  <c r="B679" i="222"/>
  <c r="D679" i="222"/>
  <c r="B680" i="222"/>
  <c r="D680" i="222"/>
  <c r="B681" i="222"/>
  <c r="D681" i="222"/>
  <c r="B682" i="222"/>
  <c r="D682" i="222"/>
  <c r="B683" i="222"/>
  <c r="D683" i="222"/>
  <c r="B684" i="222"/>
  <c r="D684" i="222"/>
  <c r="B685" i="222"/>
  <c r="D685" i="222"/>
  <c r="B686" i="222"/>
  <c r="D686" i="222"/>
  <c r="B687" i="222"/>
  <c r="D687" i="222"/>
  <c r="B688" i="222"/>
  <c r="D688" i="222"/>
  <c r="B689" i="222"/>
  <c r="D689" i="222"/>
  <c r="B690" i="222"/>
  <c r="D690" i="222"/>
  <c r="B691" i="222"/>
  <c r="D691" i="222"/>
  <c r="B692" i="222"/>
  <c r="D692" i="222"/>
  <c r="B693" i="222"/>
  <c r="D693" i="222"/>
  <c r="B694" i="222"/>
  <c r="D694" i="222"/>
  <c r="B695" i="222"/>
  <c r="D695" i="222"/>
  <c r="B696" i="222"/>
  <c r="D696" i="222"/>
  <c r="B697" i="222"/>
  <c r="D697" i="222"/>
  <c r="B698" i="222"/>
  <c r="D698" i="222"/>
  <c r="B699" i="222"/>
  <c r="D699" i="222"/>
  <c r="B700" i="222"/>
  <c r="D700" i="222"/>
  <c r="B701" i="222"/>
  <c r="D701" i="222"/>
  <c r="B702" i="222"/>
  <c r="D702" i="222"/>
  <c r="B703" i="222"/>
  <c r="D703" i="222"/>
  <c r="B704" i="222"/>
  <c r="D704" i="222"/>
  <c r="B705" i="222"/>
  <c r="D705" i="222"/>
  <c r="B706" i="222"/>
  <c r="D706" i="222"/>
  <c r="B707" i="222"/>
  <c r="D707" i="222"/>
  <c r="B708" i="222"/>
  <c r="D708" i="222"/>
  <c r="B709" i="222"/>
  <c r="D709" i="222"/>
  <c r="B710" i="222"/>
  <c r="D710" i="222"/>
  <c r="B711" i="222"/>
  <c r="D711" i="222"/>
  <c r="B712" i="222"/>
  <c r="D712" i="222"/>
  <c r="B713" i="222"/>
  <c r="D713" i="222"/>
  <c r="B714" i="222"/>
  <c r="D714" i="222"/>
  <c r="B715" i="222"/>
  <c r="D715" i="222"/>
  <c r="B716" i="222"/>
  <c r="D716" i="222"/>
  <c r="B717" i="222"/>
  <c r="D717" i="222"/>
  <c r="B718" i="222"/>
  <c r="D718" i="222"/>
  <c r="B719" i="222"/>
  <c r="D719" i="222"/>
  <c r="B720" i="222"/>
  <c r="D720" i="222"/>
  <c r="B721" i="222"/>
  <c r="D721" i="222"/>
  <c r="B722" i="222"/>
  <c r="D722" i="222"/>
  <c r="B723" i="222"/>
  <c r="D723" i="222"/>
  <c r="B724" i="222"/>
  <c r="D724" i="222"/>
  <c r="B725" i="222"/>
  <c r="D725" i="222"/>
  <c r="B726" i="222"/>
  <c r="D726" i="222"/>
  <c r="B727" i="222"/>
  <c r="D727" i="222"/>
  <c r="B728" i="222"/>
  <c r="D728" i="222"/>
  <c r="B729" i="222"/>
  <c r="D729" i="222"/>
  <c r="B730" i="222"/>
  <c r="D730" i="222"/>
  <c r="B731" i="222"/>
  <c r="D731" i="222"/>
  <c r="B732" i="222"/>
  <c r="D732" i="222"/>
  <c r="B733" i="222"/>
  <c r="D733" i="222"/>
  <c r="B734" i="222"/>
  <c r="D734" i="222"/>
  <c r="B735" i="222"/>
  <c r="D735" i="222"/>
  <c r="B736" i="222"/>
  <c r="D736" i="222"/>
  <c r="B737" i="222"/>
  <c r="D737" i="222"/>
  <c r="B738" i="222"/>
  <c r="D738" i="222"/>
  <c r="B739" i="222"/>
  <c r="D739" i="222"/>
  <c r="B740" i="222"/>
  <c r="D740" i="222"/>
  <c r="B741" i="222"/>
  <c r="D741" i="222"/>
  <c r="B742" i="222"/>
  <c r="D742" i="222"/>
  <c r="B743" i="222"/>
  <c r="D743" i="222"/>
  <c r="B744" i="222"/>
  <c r="D744" i="222"/>
  <c r="B745" i="222"/>
  <c r="D745" i="222"/>
  <c r="B746" i="222"/>
  <c r="D746" i="222"/>
  <c r="B747" i="222"/>
  <c r="D747" i="222"/>
  <c r="B748" i="222"/>
  <c r="D748" i="222"/>
  <c r="B749" i="222"/>
  <c r="D749" i="222"/>
  <c r="B750" i="222"/>
  <c r="D750" i="222"/>
  <c r="B751" i="222"/>
  <c r="D751" i="222"/>
  <c r="B752" i="222"/>
  <c r="D752" i="222"/>
  <c r="B753" i="222"/>
  <c r="D753" i="222"/>
  <c r="B754" i="222"/>
  <c r="D754" i="222"/>
  <c r="B755" i="222"/>
  <c r="D755" i="222"/>
  <c r="B756" i="222"/>
  <c r="D756" i="222"/>
  <c r="B757" i="222"/>
  <c r="D757" i="222"/>
  <c r="B758" i="222"/>
  <c r="D758" i="222"/>
  <c r="B759" i="222"/>
  <c r="D759" i="222"/>
  <c r="B760" i="222"/>
  <c r="D760" i="222"/>
  <c r="B761" i="222"/>
  <c r="D761" i="222"/>
  <c r="B762" i="222"/>
  <c r="D762" i="222"/>
  <c r="B763" i="222"/>
  <c r="D763" i="222"/>
  <c r="B764" i="222"/>
  <c r="D764" i="222"/>
  <c r="B765" i="222"/>
  <c r="D765" i="222"/>
  <c r="B766" i="222"/>
  <c r="D766" i="222"/>
  <c r="B767" i="222"/>
  <c r="D767" i="222"/>
  <c r="B768" i="222"/>
  <c r="D768" i="222"/>
  <c r="B769" i="222"/>
  <c r="D769" i="222"/>
  <c r="B770" i="222"/>
  <c r="D770" i="222"/>
  <c r="B771" i="222"/>
  <c r="D771" i="222"/>
  <c r="B772" i="222"/>
  <c r="D772" i="222"/>
  <c r="B773" i="222"/>
  <c r="D773" i="222"/>
  <c r="B774" i="222"/>
  <c r="D774" i="222"/>
  <c r="B775" i="222"/>
  <c r="D775" i="222"/>
  <c r="B776" i="222"/>
  <c r="D776" i="222"/>
  <c r="B777" i="222"/>
  <c r="D777" i="222"/>
  <c r="B778" i="222"/>
  <c r="D778" i="222"/>
  <c r="B779" i="222"/>
  <c r="D779" i="222"/>
  <c r="B780" i="222"/>
  <c r="D780" i="222"/>
  <c r="B781" i="222"/>
  <c r="D781" i="222"/>
  <c r="B782" i="222"/>
  <c r="D782" i="222"/>
  <c r="B783" i="222"/>
  <c r="D783" i="222"/>
  <c r="B784" i="222"/>
  <c r="D784" i="222"/>
  <c r="B785" i="222"/>
  <c r="D785" i="222"/>
  <c r="B786" i="222"/>
  <c r="D786" i="222"/>
  <c r="B787" i="222"/>
  <c r="D787" i="222"/>
  <c r="B788" i="222"/>
  <c r="D788" i="222"/>
  <c r="B789" i="222"/>
  <c r="D789" i="222"/>
  <c r="B790" i="222"/>
  <c r="D790" i="222"/>
  <c r="B791" i="222"/>
  <c r="D791" i="222"/>
  <c r="B792" i="222"/>
  <c r="D792" i="222"/>
  <c r="B793" i="222"/>
  <c r="D793" i="222"/>
  <c r="B794" i="222"/>
  <c r="D794" i="222"/>
  <c r="B795" i="222"/>
  <c r="D795" i="222"/>
  <c r="B796" i="222"/>
  <c r="D796" i="222"/>
  <c r="B797" i="222"/>
  <c r="D797" i="222"/>
  <c r="B798" i="222"/>
  <c r="D798" i="222"/>
  <c r="B799" i="222"/>
  <c r="D799" i="222"/>
  <c r="B800" i="222"/>
  <c r="D800" i="222"/>
  <c r="B801" i="222"/>
  <c r="D801" i="222"/>
  <c r="B802" i="222"/>
  <c r="D802" i="222"/>
  <c r="B803" i="222"/>
  <c r="D803" i="222"/>
  <c r="B804" i="222"/>
  <c r="D804" i="222"/>
  <c r="B805" i="222"/>
  <c r="D805" i="222"/>
  <c r="B806" i="222"/>
  <c r="D806" i="222"/>
  <c r="B807" i="222"/>
  <c r="D807" i="222"/>
  <c r="B808" i="222"/>
  <c r="D808" i="222"/>
  <c r="B809" i="222"/>
  <c r="D809" i="222"/>
  <c r="B810" i="222"/>
  <c r="D810" i="222"/>
  <c r="B811" i="222"/>
  <c r="D811" i="222"/>
  <c r="B812" i="222"/>
  <c r="D812" i="222"/>
  <c r="B813" i="222"/>
  <c r="D813" i="222"/>
  <c r="B814" i="222"/>
  <c r="D814" i="222"/>
  <c r="B815" i="222"/>
  <c r="D815" i="222"/>
  <c r="B816" i="222"/>
  <c r="D816" i="222"/>
  <c r="B817" i="222"/>
  <c r="D817" i="222"/>
  <c r="B818" i="222"/>
  <c r="D818" i="222"/>
  <c r="B819" i="222"/>
  <c r="D819" i="222"/>
  <c r="B820" i="222"/>
  <c r="D820" i="222"/>
  <c r="B821" i="222"/>
  <c r="D821" i="222"/>
  <c r="B822" i="222"/>
  <c r="D822" i="222"/>
  <c r="B823" i="222"/>
  <c r="D823" i="222"/>
  <c r="B824" i="222"/>
  <c r="D824" i="222"/>
  <c r="B825" i="222"/>
  <c r="D825" i="222"/>
  <c r="B826" i="222"/>
  <c r="D826" i="222"/>
  <c r="B827" i="222"/>
  <c r="D827" i="222"/>
  <c r="B828" i="222"/>
  <c r="D828" i="222"/>
  <c r="B829" i="222"/>
  <c r="D829" i="222"/>
  <c r="B830" i="222"/>
  <c r="D830" i="222"/>
  <c r="B831" i="222"/>
  <c r="D831" i="222"/>
  <c r="B832" i="222"/>
  <c r="D832" i="222"/>
  <c r="B833" i="222"/>
  <c r="D833" i="222"/>
  <c r="B834" i="222"/>
  <c r="D834" i="222"/>
  <c r="B835" i="222"/>
  <c r="D835" i="222"/>
  <c r="B836" i="222"/>
  <c r="D836" i="222"/>
  <c r="B837" i="222"/>
  <c r="D837" i="222"/>
  <c r="B838" i="222"/>
  <c r="D838" i="222"/>
  <c r="B839" i="222"/>
  <c r="D839" i="222"/>
  <c r="B840" i="222"/>
  <c r="D840" i="222"/>
  <c r="B841" i="222"/>
  <c r="D841" i="222"/>
  <c r="B842" i="222"/>
  <c r="D842" i="222"/>
  <c r="B843" i="222"/>
  <c r="D843" i="222"/>
  <c r="B844" i="222"/>
  <c r="D844" i="222"/>
  <c r="B845" i="222"/>
  <c r="D845" i="222"/>
  <c r="B846" i="222"/>
  <c r="D846" i="222"/>
  <c r="B847" i="222"/>
  <c r="D847" i="222"/>
  <c r="B848" i="222"/>
  <c r="D848" i="222"/>
  <c r="B849" i="222"/>
  <c r="D849" i="222"/>
  <c r="B850" i="222"/>
  <c r="D850" i="222"/>
  <c r="B851" i="222"/>
  <c r="D851" i="222"/>
  <c r="B852" i="222"/>
  <c r="D852" i="222"/>
  <c r="B853" i="222"/>
  <c r="D853" i="222"/>
  <c r="B854" i="222"/>
  <c r="D854" i="222"/>
  <c r="B855" i="222"/>
  <c r="D855" i="222"/>
  <c r="B856" i="222"/>
  <c r="D856" i="222"/>
  <c r="B857" i="222"/>
  <c r="D857" i="222"/>
  <c r="B858" i="222"/>
  <c r="D858" i="222"/>
  <c r="B859" i="222"/>
  <c r="D859" i="222"/>
  <c r="B860" i="222"/>
  <c r="D860" i="222"/>
  <c r="B861" i="222"/>
  <c r="D861" i="222"/>
  <c r="B862" i="222"/>
  <c r="D862" i="222"/>
  <c r="B863" i="222"/>
  <c r="D863" i="222"/>
  <c r="B864" i="222"/>
  <c r="D864" i="222"/>
  <c r="B865" i="222"/>
  <c r="D865" i="222"/>
  <c r="B866" i="222"/>
  <c r="D866" i="222"/>
  <c r="B867" i="222"/>
  <c r="D867" i="222"/>
  <c r="B868" i="222"/>
  <c r="D868" i="222"/>
  <c r="B869" i="222"/>
  <c r="D869" i="222"/>
  <c r="B870" i="222"/>
  <c r="D870" i="222"/>
  <c r="B871" i="222"/>
  <c r="D871" i="222"/>
  <c r="B872" i="222"/>
  <c r="D872" i="222"/>
  <c r="B873" i="222"/>
  <c r="D873" i="222"/>
  <c r="B874" i="222"/>
  <c r="D874" i="222"/>
  <c r="B875" i="222"/>
  <c r="D875" i="222"/>
  <c r="B876" i="222"/>
  <c r="D876" i="222"/>
  <c r="B877" i="222"/>
  <c r="D877" i="222"/>
  <c r="B878" i="222"/>
  <c r="D878" i="222"/>
  <c r="B879" i="222"/>
  <c r="D879" i="222"/>
  <c r="B880" i="222"/>
  <c r="D880" i="222"/>
  <c r="B881" i="222"/>
  <c r="D881" i="222"/>
  <c r="B882" i="222"/>
  <c r="D882" i="222"/>
  <c r="B883" i="222"/>
  <c r="D883" i="222"/>
  <c r="B884" i="222"/>
  <c r="D884" i="222"/>
  <c r="B885" i="222"/>
  <c r="D885" i="222"/>
  <c r="B886" i="222"/>
  <c r="D886" i="222"/>
  <c r="B887" i="222"/>
  <c r="D887" i="222"/>
  <c r="B888" i="222"/>
  <c r="D888" i="222"/>
  <c r="B889" i="222"/>
  <c r="D889" i="222"/>
  <c r="B890" i="222"/>
  <c r="D890" i="222"/>
  <c r="B891" i="222"/>
  <c r="D891" i="222"/>
  <c r="B892" i="222"/>
  <c r="D892" i="222"/>
  <c r="B893" i="222"/>
  <c r="D893" i="222"/>
  <c r="B894" i="222"/>
  <c r="D894" i="222"/>
  <c r="B895" i="222"/>
  <c r="D895" i="222"/>
  <c r="B896" i="222"/>
  <c r="D896" i="222"/>
  <c r="B897" i="222"/>
  <c r="D897" i="222"/>
  <c r="B898" i="222"/>
  <c r="D898" i="222"/>
  <c r="B899" i="222"/>
  <c r="D899" i="222"/>
  <c r="B900" i="222"/>
  <c r="D900" i="222"/>
  <c r="B901" i="222"/>
  <c r="D901" i="222"/>
  <c r="B902" i="222"/>
  <c r="D902" i="222"/>
  <c r="B903" i="222"/>
  <c r="D903" i="222"/>
  <c r="B904" i="222"/>
  <c r="D904" i="222"/>
  <c r="B905" i="222"/>
  <c r="D905" i="222"/>
  <c r="B906" i="222"/>
  <c r="D906" i="222"/>
  <c r="B907" i="222"/>
  <c r="D907" i="222"/>
  <c r="B908" i="222"/>
  <c r="D908" i="222"/>
  <c r="B909" i="222"/>
  <c r="D909" i="222"/>
  <c r="B910" i="222"/>
  <c r="D910" i="222"/>
  <c r="B911" i="222"/>
  <c r="D911" i="222"/>
  <c r="B912" i="222"/>
  <c r="D912" i="222"/>
  <c r="B913" i="222"/>
  <c r="D913" i="222"/>
  <c r="B914" i="222"/>
  <c r="D914" i="222"/>
  <c r="B915" i="222"/>
  <c r="D915" i="222"/>
  <c r="B916" i="222"/>
  <c r="D916" i="222"/>
  <c r="B917" i="222"/>
  <c r="D917" i="222"/>
  <c r="B918" i="222"/>
  <c r="D918" i="222"/>
  <c r="B919" i="222"/>
  <c r="D919" i="222"/>
  <c r="B920" i="222"/>
  <c r="D920" i="222"/>
  <c r="B921" i="222"/>
  <c r="D921" i="222"/>
  <c r="B922" i="222"/>
  <c r="D922" i="222"/>
  <c r="B923" i="222"/>
  <c r="D923" i="222"/>
  <c r="B924" i="222"/>
  <c r="D924" i="222"/>
  <c r="B925" i="222"/>
  <c r="D925" i="222"/>
  <c r="B926" i="222"/>
  <c r="D926" i="222"/>
  <c r="B927" i="222"/>
  <c r="D927" i="222"/>
  <c r="B928" i="222"/>
  <c r="D928" i="222"/>
  <c r="B929" i="222"/>
  <c r="D929" i="222"/>
  <c r="B930" i="222"/>
  <c r="D930" i="222"/>
  <c r="B931" i="222"/>
  <c r="D931" i="222"/>
  <c r="B932" i="222"/>
  <c r="D932" i="222"/>
  <c r="B933" i="222"/>
  <c r="D933" i="222"/>
  <c r="B934" i="222"/>
  <c r="D934" i="222"/>
  <c r="B935" i="222"/>
  <c r="D935" i="222"/>
  <c r="B936" i="222"/>
  <c r="D936" i="222"/>
  <c r="B937" i="222"/>
  <c r="D937" i="222"/>
  <c r="B938" i="222"/>
  <c r="D938" i="222"/>
  <c r="B939" i="222"/>
  <c r="D939" i="222"/>
  <c r="B940" i="222"/>
  <c r="D940" i="222"/>
  <c r="B941" i="222"/>
  <c r="D941" i="222"/>
  <c r="B942" i="222"/>
  <c r="D942" i="222"/>
  <c r="B943" i="222"/>
  <c r="D943" i="222"/>
  <c r="B944" i="222"/>
  <c r="D944" i="222"/>
  <c r="B945" i="222"/>
  <c r="D945" i="222"/>
  <c r="B946" i="222"/>
  <c r="D946" i="222"/>
  <c r="B947" i="222"/>
  <c r="D947" i="222"/>
  <c r="B948" i="222"/>
  <c r="D948" i="222"/>
  <c r="B949" i="222"/>
  <c r="D949" i="222"/>
  <c r="B950" i="222"/>
  <c r="D950" i="222"/>
  <c r="B951" i="222"/>
  <c r="D951" i="222"/>
  <c r="B952" i="222"/>
  <c r="D952" i="222"/>
  <c r="B953" i="222"/>
  <c r="D953" i="222"/>
  <c r="D488" i="222"/>
  <c r="B488" i="222"/>
  <c r="E481" i="222"/>
  <c r="D485" i="222" s="1"/>
  <c r="E479" i="222"/>
  <c r="D484" i="222" s="1"/>
  <c r="E478" i="222"/>
  <c r="E477" i="222"/>
  <c r="D8" i="222"/>
  <c r="B8" i="222"/>
  <c r="C8" i="222" s="1"/>
  <c r="E8" i="222" s="1"/>
  <c r="F74" i="226" l="1"/>
  <c r="G74" i="226" s="1"/>
  <c r="C75" i="226"/>
  <c r="B76" i="226"/>
  <c r="A77" i="226"/>
  <c r="G579" i="222"/>
  <c r="C628" i="222"/>
  <c r="C942" i="222"/>
  <c r="E942" i="222" s="1"/>
  <c r="F530" i="222"/>
  <c r="C950" i="222"/>
  <c r="E950" i="222" s="1"/>
  <c r="C953" i="222"/>
  <c r="C777" i="222"/>
  <c r="C757" i="222"/>
  <c r="C713" i="222"/>
  <c r="E713" i="222" s="1"/>
  <c r="C908" i="222"/>
  <c r="E908" i="222" s="1"/>
  <c r="C868" i="222"/>
  <c r="E868" i="222" s="1"/>
  <c r="C852" i="222"/>
  <c r="E852" i="222" s="1"/>
  <c r="C949" i="222"/>
  <c r="E949" i="222" s="1"/>
  <c r="C946" i="222"/>
  <c r="E946" i="222" s="1"/>
  <c r="C941" i="222"/>
  <c r="E941" i="222" s="1"/>
  <c r="C938" i="222"/>
  <c r="E938" i="222" s="1"/>
  <c r="C927" i="222"/>
  <c r="C925" i="222"/>
  <c r="E925" i="222" s="1"/>
  <c r="C923" i="222"/>
  <c r="G921" i="222"/>
  <c r="C920" i="222"/>
  <c r="E920" i="222" s="1"/>
  <c r="C918" i="222"/>
  <c r="E918" i="222" s="1"/>
  <c r="C888" i="222"/>
  <c r="E888" i="222" s="1"/>
  <c r="C886" i="222"/>
  <c r="E886" i="222" s="1"/>
  <c r="C869" i="222"/>
  <c r="E869" i="222" s="1"/>
  <c r="C864" i="222"/>
  <c r="E864" i="222" s="1"/>
  <c r="G860" i="222"/>
  <c r="C859" i="222"/>
  <c r="E859" i="222" s="1"/>
  <c r="C853" i="222"/>
  <c r="E853" i="222" s="1"/>
  <c r="C844" i="222"/>
  <c r="E844" i="222" s="1"/>
  <c r="C842" i="222"/>
  <c r="C838" i="222"/>
  <c r="E838" i="222" s="1"/>
  <c r="C834" i="222"/>
  <c r="E834" i="222" s="1"/>
  <c r="C829" i="222"/>
  <c r="E829" i="222" s="1"/>
  <c r="G815" i="222"/>
  <c r="C814" i="222"/>
  <c r="E814" i="222" s="1"/>
  <c r="C809" i="222"/>
  <c r="E809" i="222" s="1"/>
  <c r="C806" i="222"/>
  <c r="E806" i="222" s="1"/>
  <c r="C799" i="222"/>
  <c r="E799" i="222" s="1"/>
  <c r="C797" i="222"/>
  <c r="E797" i="222" s="1"/>
  <c r="C793" i="222"/>
  <c r="E793" i="222" s="1"/>
  <c r="C791" i="222"/>
  <c r="C789" i="222"/>
  <c r="C773" i="222"/>
  <c r="E773" i="222" s="1"/>
  <c r="C766" i="222"/>
  <c r="E766" i="222" s="1"/>
  <c r="C761" i="222"/>
  <c r="E761" i="222" s="1"/>
  <c r="C753" i="222"/>
  <c r="E753" i="222" s="1"/>
  <c r="C749" i="222"/>
  <c r="E749" i="222" s="1"/>
  <c r="C745" i="222"/>
  <c r="E745" i="222" s="1"/>
  <c r="C721" i="222"/>
  <c r="E721" i="222" s="1"/>
  <c r="C664" i="222"/>
  <c r="E664" i="222" s="1"/>
  <c r="C652" i="222"/>
  <c r="E652" i="222" s="1"/>
  <c r="C627" i="222"/>
  <c r="C619" i="222"/>
  <c r="G615" i="222"/>
  <c r="C488" i="222"/>
  <c r="E488" i="222" s="1"/>
  <c r="C945" i="222"/>
  <c r="E945" i="222" s="1"/>
  <c r="C952" i="222"/>
  <c r="E952" i="222" s="1"/>
  <c r="C947" i="222"/>
  <c r="E947" i="222" s="1"/>
  <c r="G945" i="222"/>
  <c r="C944" i="222"/>
  <c r="E944" i="222" s="1"/>
  <c r="C939" i="222"/>
  <c r="E939" i="222" s="1"/>
  <c r="G937" i="222"/>
  <c r="C936" i="222"/>
  <c r="E936" i="222" s="1"/>
  <c r="C934" i="222"/>
  <c r="E934" i="222" s="1"/>
  <c r="C932" i="222"/>
  <c r="C930" i="222"/>
  <c r="G922" i="222"/>
  <c r="C916" i="222"/>
  <c r="E916" i="222" s="1"/>
  <c r="C912" i="222"/>
  <c r="E912" i="222" s="1"/>
  <c r="C910" i="222"/>
  <c r="E910" i="222" s="1"/>
  <c r="G900" i="222"/>
  <c r="C884" i="222"/>
  <c r="E884" i="222" s="1"/>
  <c r="C880" i="222"/>
  <c r="E880" i="222" s="1"/>
  <c r="C878" i="222"/>
  <c r="C876" i="222"/>
  <c r="E876" i="222" s="1"/>
  <c r="C865" i="222"/>
  <c r="G861" i="222"/>
  <c r="C849" i="222"/>
  <c r="C830" i="222"/>
  <c r="E830" i="222" s="1"/>
  <c r="C825" i="222"/>
  <c r="E825" i="222" s="1"/>
  <c r="C823" i="222"/>
  <c r="E823" i="222" s="1"/>
  <c r="C821" i="222"/>
  <c r="E821" i="222" s="1"/>
  <c r="C817" i="222"/>
  <c r="E817" i="222" s="1"/>
  <c r="C807" i="222"/>
  <c r="E807" i="222" s="1"/>
  <c r="C802" i="222"/>
  <c r="C785" i="222"/>
  <c r="E785" i="222" s="1"/>
  <c r="C774" i="222"/>
  <c r="E774" i="222" s="1"/>
  <c r="G734" i="222"/>
  <c r="C733" i="222"/>
  <c r="E733" i="222" s="1"/>
  <c r="G731" i="222"/>
  <c r="C726" i="222"/>
  <c r="E726" i="222" s="1"/>
  <c r="C717" i="222"/>
  <c r="E717" i="222" s="1"/>
  <c r="C705" i="222"/>
  <c r="E705" i="222" s="1"/>
  <c r="C644" i="222"/>
  <c r="E644" i="222" s="1"/>
  <c r="C640" i="222"/>
  <c r="E640" i="222" s="1"/>
  <c r="G946" i="222"/>
  <c r="G938" i="222"/>
  <c r="C928" i="222"/>
  <c r="E928" i="222" s="1"/>
  <c r="C926" i="222"/>
  <c r="E926" i="222" s="1"/>
  <c r="C924" i="222"/>
  <c r="E924" i="222" s="1"/>
  <c r="C921" i="222"/>
  <c r="E921" i="222" s="1"/>
  <c r="C919" i="222"/>
  <c r="E919" i="222" s="1"/>
  <c r="C904" i="222"/>
  <c r="E904" i="222" s="1"/>
  <c r="C902" i="222"/>
  <c r="E902" i="222" s="1"/>
  <c r="C872" i="222"/>
  <c r="E872" i="222" s="1"/>
  <c r="G864" i="222"/>
  <c r="C863" i="222"/>
  <c r="E863" i="222" s="1"/>
  <c r="C860" i="222"/>
  <c r="C856" i="222"/>
  <c r="E856" i="222" s="1"/>
  <c r="C847" i="222"/>
  <c r="E847" i="222" s="1"/>
  <c r="C843" i="222"/>
  <c r="E843" i="222" s="1"/>
  <c r="C841" i="222"/>
  <c r="E841" i="222" s="1"/>
  <c r="C839" i="222"/>
  <c r="E839" i="222" s="1"/>
  <c r="C837" i="222"/>
  <c r="E837" i="222" s="1"/>
  <c r="G829" i="222"/>
  <c r="C826" i="222"/>
  <c r="E826" i="222" s="1"/>
  <c r="C815" i="222"/>
  <c r="E815" i="222" s="1"/>
  <c r="C798" i="222"/>
  <c r="E798" i="222" s="1"/>
  <c r="C794" i="222"/>
  <c r="E794" i="222" s="1"/>
  <c r="C781" i="222"/>
  <c r="G770" i="222"/>
  <c r="C769" i="222"/>
  <c r="E769" i="222" s="1"/>
  <c r="C762" i="222"/>
  <c r="E762" i="222" s="1"/>
  <c r="G753" i="222"/>
  <c r="C746" i="222"/>
  <c r="E746" i="222" s="1"/>
  <c r="C701" i="222"/>
  <c r="E701" i="222" s="1"/>
  <c r="C671" i="222"/>
  <c r="C659" i="222"/>
  <c r="E659" i="222" s="1"/>
  <c r="C657" i="222"/>
  <c r="C555" i="222"/>
  <c r="E555" i="222" s="1"/>
  <c r="C951" i="222"/>
  <c r="E951" i="222" s="1"/>
  <c r="C948" i="222"/>
  <c r="E948" i="222" s="1"/>
  <c r="C943" i="222"/>
  <c r="E943" i="222" s="1"/>
  <c r="C940" i="222"/>
  <c r="C937" i="222"/>
  <c r="E937" i="222" s="1"/>
  <c r="C935" i="222"/>
  <c r="E935" i="222" s="1"/>
  <c r="C933" i="222"/>
  <c r="E933" i="222" s="1"/>
  <c r="C931" i="222"/>
  <c r="C929" i="222"/>
  <c r="E929" i="222" s="1"/>
  <c r="C922" i="222"/>
  <c r="E922" i="222" s="1"/>
  <c r="G916" i="222"/>
  <c r="C900" i="222"/>
  <c r="E900" i="222" s="1"/>
  <c r="C896" i="222"/>
  <c r="E896" i="222" s="1"/>
  <c r="C894" i="222"/>
  <c r="E894" i="222" s="1"/>
  <c r="C892" i="222"/>
  <c r="E892" i="222" s="1"/>
  <c r="G884" i="222"/>
  <c r="C848" i="222"/>
  <c r="E848" i="222" s="1"/>
  <c r="C833" i="222"/>
  <c r="E833" i="222" s="1"/>
  <c r="C831" i="222"/>
  <c r="E831" i="222" s="1"/>
  <c r="C813" i="222"/>
  <c r="C805" i="222"/>
  <c r="C801" i="222"/>
  <c r="E801" i="222" s="1"/>
  <c r="C782" i="222"/>
  <c r="E782" i="222" s="1"/>
  <c r="C765" i="222"/>
  <c r="E765" i="222" s="1"/>
  <c r="C763" i="222"/>
  <c r="E763" i="222" s="1"/>
  <c r="C758" i="222"/>
  <c r="E758" i="222" s="1"/>
  <c r="C742" i="222"/>
  <c r="E742" i="222" s="1"/>
  <c r="G738" i="222"/>
  <c r="C737" i="222"/>
  <c r="E737" i="222" s="1"/>
  <c r="C734" i="222"/>
  <c r="E734" i="222" s="1"/>
  <c r="C725" i="222"/>
  <c r="E725" i="222" s="1"/>
  <c r="C709" i="222"/>
  <c r="E709" i="222" s="1"/>
  <c r="G707" i="222"/>
  <c r="C702" i="222"/>
  <c r="E702" i="222" s="1"/>
  <c r="C635" i="222"/>
  <c r="E635" i="222" s="1"/>
  <c r="C509" i="222"/>
  <c r="E509" i="222" s="1"/>
  <c r="F828" i="222"/>
  <c r="F785" i="222"/>
  <c r="E627" i="222"/>
  <c r="E619" i="222"/>
  <c r="F953" i="222"/>
  <c r="F952" i="222"/>
  <c r="G942" i="222"/>
  <c r="G934" i="222"/>
  <c r="G933" i="222"/>
  <c r="E930" i="222"/>
  <c r="F923" i="222"/>
  <c r="F922" i="222"/>
  <c r="G918" i="222"/>
  <c r="G917" i="222"/>
  <c r="F913" i="222"/>
  <c r="F909" i="222"/>
  <c r="C909" i="222"/>
  <c r="E909" i="222" s="1"/>
  <c r="G902" i="222"/>
  <c r="G901" i="222"/>
  <c r="F897" i="222"/>
  <c r="F893" i="222"/>
  <c r="C893" i="222"/>
  <c r="E893" i="222" s="1"/>
  <c r="G886" i="222"/>
  <c r="G885" i="222"/>
  <c r="F881" i="222"/>
  <c r="F877" i="222"/>
  <c r="C877" i="222"/>
  <c r="E877" i="222" s="1"/>
  <c r="F871" i="222"/>
  <c r="G865" i="222"/>
  <c r="F861" i="222"/>
  <c r="F860" i="222"/>
  <c r="F857" i="222"/>
  <c r="E849" i="222"/>
  <c r="G842" i="222"/>
  <c r="G837" i="222"/>
  <c r="F836" i="222"/>
  <c r="G830" i="222"/>
  <c r="F829" i="222"/>
  <c r="G821" i="222"/>
  <c r="F818" i="222"/>
  <c r="G809" i="222"/>
  <c r="F805" i="222"/>
  <c r="G791" i="222"/>
  <c r="F790" i="222"/>
  <c r="C790" i="222"/>
  <c r="E790" i="222" s="1"/>
  <c r="F786" i="222"/>
  <c r="E781" i="222"/>
  <c r="F765" i="222"/>
  <c r="G754" i="222"/>
  <c r="F751" i="222"/>
  <c r="F747" i="222"/>
  <c r="F735" i="222"/>
  <c r="F517" i="222"/>
  <c r="F946" i="222"/>
  <c r="F912" i="222"/>
  <c r="F911" i="222"/>
  <c r="F910" i="222"/>
  <c r="F890" i="222"/>
  <c r="F840" i="222"/>
  <c r="F822" i="222"/>
  <c r="C822" i="222"/>
  <c r="E822" i="222" s="1"/>
  <c r="F817" i="222"/>
  <c r="F816" i="222"/>
  <c r="F804" i="222"/>
  <c r="F799" i="222"/>
  <c r="E657" i="222"/>
  <c r="E628" i="222"/>
  <c r="G489" i="222"/>
  <c r="G491" i="222"/>
  <c r="G493" i="222"/>
  <c r="G495" i="222"/>
  <c r="G497" i="222"/>
  <c r="G499" i="222"/>
  <c r="G501" i="222"/>
  <c r="G503" i="222"/>
  <c r="G505" i="222"/>
  <c r="G507" i="222"/>
  <c r="G509" i="222"/>
  <c r="G511" i="222"/>
  <c r="G513" i="222"/>
  <c r="G515" i="222"/>
  <c r="G517" i="222"/>
  <c r="G519" i="222"/>
  <c r="G521" i="222"/>
  <c r="G523" i="222"/>
  <c r="G525" i="222"/>
  <c r="G527" i="222"/>
  <c r="G529" i="222"/>
  <c r="G531" i="222"/>
  <c r="G533" i="222"/>
  <c r="G535" i="222"/>
  <c r="G550" i="222"/>
  <c r="G560" i="222"/>
  <c r="G563" i="222"/>
  <c r="G576" i="222"/>
  <c r="G584" i="222"/>
  <c r="G586" i="222"/>
  <c r="G604" i="222"/>
  <c r="G612" i="222"/>
  <c r="G620" i="222"/>
  <c r="G537" i="222"/>
  <c r="G539" i="222"/>
  <c r="G546" i="222"/>
  <c r="G551" i="222"/>
  <c r="G554" i="222"/>
  <c r="G568" i="222"/>
  <c r="G570" i="222"/>
  <c r="G574" i="222"/>
  <c r="G578" i="222"/>
  <c r="G582" i="222"/>
  <c r="G587" i="222"/>
  <c r="G590" i="222"/>
  <c r="G591" i="222"/>
  <c r="G598" i="222"/>
  <c r="G600" i="222"/>
  <c r="G602" i="222"/>
  <c r="G625" i="222"/>
  <c r="G627" i="222"/>
  <c r="G541" i="222"/>
  <c r="G543" i="222"/>
  <c r="G545" i="222"/>
  <c r="G547" i="222"/>
  <c r="G552" i="222"/>
  <c r="G555" i="222"/>
  <c r="G558" i="222"/>
  <c r="G559" i="222"/>
  <c r="G566" i="222"/>
  <c r="G594" i="222"/>
  <c r="G607" i="222"/>
  <c r="G608" i="222"/>
  <c r="G609" i="222"/>
  <c r="G611" i="222"/>
  <c r="G628" i="222"/>
  <c r="G592" i="222"/>
  <c r="G595" i="222"/>
  <c r="G623" i="222"/>
  <c r="G636" i="222"/>
  <c r="G659" i="222"/>
  <c r="G663" i="222"/>
  <c r="G664" i="222"/>
  <c r="G671" i="222"/>
  <c r="G672" i="222"/>
  <c r="G676" i="222"/>
  <c r="G681" i="222"/>
  <c r="G697" i="222"/>
  <c r="G698" i="222"/>
  <c r="G699" i="222"/>
  <c r="G702" i="222"/>
  <c r="G706" i="222"/>
  <c r="G717" i="222"/>
  <c r="G721" i="222"/>
  <c r="G722" i="222"/>
  <c r="G583" i="222"/>
  <c r="G603" i="222"/>
  <c r="G619" i="222"/>
  <c r="G641" i="222"/>
  <c r="G647" i="222"/>
  <c r="G648" i="222"/>
  <c r="G651" i="222"/>
  <c r="G655" i="222"/>
  <c r="G657" i="222"/>
  <c r="G660" i="222"/>
  <c r="G665" i="222"/>
  <c r="G667" i="222"/>
  <c r="G673" i="222"/>
  <c r="G562" i="222"/>
  <c r="G639" i="222"/>
  <c r="G643" i="222"/>
  <c r="G649" i="222"/>
  <c r="G652" i="222"/>
  <c r="G668" i="222"/>
  <c r="G675" i="222"/>
  <c r="G685" i="222"/>
  <c r="G694" i="222"/>
  <c r="G709" i="222"/>
  <c r="G713" i="222"/>
  <c r="G682" i="222"/>
  <c r="G710" i="222"/>
  <c r="G718" i="222"/>
  <c r="G729" i="222"/>
  <c r="G730" i="222"/>
  <c r="G750" i="222"/>
  <c r="G765" i="222"/>
  <c r="G781" i="222"/>
  <c r="G785" i="222"/>
  <c r="G786" i="222"/>
  <c r="G799" i="222"/>
  <c r="G805" i="222"/>
  <c r="G806" i="222"/>
  <c r="G817" i="222"/>
  <c r="G818" i="222"/>
  <c r="G825" i="222"/>
  <c r="G831" i="222"/>
  <c r="G839" i="222"/>
  <c r="G856" i="222"/>
  <c r="G857" i="222"/>
  <c r="G872" i="222"/>
  <c r="G873" i="222"/>
  <c r="G880" i="222"/>
  <c r="G881" i="222"/>
  <c r="G888" i="222"/>
  <c r="G889" i="222"/>
  <c r="G896" i="222"/>
  <c r="G897" i="222"/>
  <c r="G904" i="222"/>
  <c r="G905" i="222"/>
  <c r="G912" i="222"/>
  <c r="G913" i="222"/>
  <c r="G571" i="222"/>
  <c r="G635" i="222"/>
  <c r="G644" i="222"/>
  <c r="G701" i="222"/>
  <c r="G705" i="222"/>
  <c r="G714" i="222"/>
  <c r="G741" i="222"/>
  <c r="G745" i="222"/>
  <c r="G757" i="222"/>
  <c r="G761" i="222"/>
  <c r="G762" i="222"/>
  <c r="G763" i="222"/>
  <c r="G766" i="222"/>
  <c r="G773" i="222"/>
  <c r="G782" i="222"/>
  <c r="G793" i="222"/>
  <c r="G794" i="222"/>
  <c r="G807" i="222"/>
  <c r="G813" i="222"/>
  <c r="G814" i="222"/>
  <c r="G826" i="222"/>
  <c r="G833" i="222"/>
  <c r="G834" i="222"/>
  <c r="G841" i="222"/>
  <c r="G852" i="222"/>
  <c r="G853" i="222"/>
  <c r="G868" i="222"/>
  <c r="G869" i="222"/>
  <c r="G949" i="222"/>
  <c r="G953" i="222"/>
  <c r="G746" i="222"/>
  <c r="G774" i="222"/>
  <c r="G777" i="222"/>
  <c r="G789" i="222"/>
  <c r="G790" i="222"/>
  <c r="G656" i="222"/>
  <c r="G690" i="222"/>
  <c r="G693" i="222"/>
  <c r="G725" i="222"/>
  <c r="G726" i="222"/>
  <c r="G733" i="222"/>
  <c r="G737" i="222"/>
  <c r="G739" i="222"/>
  <c r="G742" i="222"/>
  <c r="G758" i="222"/>
  <c r="G771" i="222"/>
  <c r="G801" i="222"/>
  <c r="G802" i="222"/>
  <c r="G950" i="222"/>
  <c r="F949" i="222"/>
  <c r="F948" i="222"/>
  <c r="F943" i="222"/>
  <c r="F942" i="222"/>
  <c r="G941" i="222"/>
  <c r="F935" i="222"/>
  <c r="F934" i="222"/>
  <c r="E932" i="222"/>
  <c r="G930" i="222"/>
  <c r="G929" i="222"/>
  <c r="F919" i="222"/>
  <c r="F918" i="222"/>
  <c r="F914" i="222"/>
  <c r="G908" i="222"/>
  <c r="F904" i="222"/>
  <c r="F903" i="222"/>
  <c r="F902" i="222"/>
  <c r="F898" i="222"/>
  <c r="G892" i="222"/>
  <c r="F888" i="222"/>
  <c r="F887" i="222"/>
  <c r="F886" i="222"/>
  <c r="F882" i="222"/>
  <c r="E878" i="222"/>
  <c r="G876" i="222"/>
  <c r="F872" i="222"/>
  <c r="F850" i="222"/>
  <c r="G848" i="222"/>
  <c r="G845" i="222"/>
  <c r="G844" i="222"/>
  <c r="F843" i="222"/>
  <c r="G838" i="222"/>
  <c r="F837" i="222"/>
  <c r="F831" i="222"/>
  <c r="G823" i="222"/>
  <c r="G822" i="222"/>
  <c r="G810" i="222"/>
  <c r="E802" i="222"/>
  <c r="G797" i="222"/>
  <c r="F792" i="222"/>
  <c r="G778" i="222"/>
  <c r="F729" i="222"/>
  <c r="F697" i="222"/>
  <c r="G686" i="222"/>
  <c r="G631" i="222"/>
  <c r="F537" i="222"/>
  <c r="F539" i="222"/>
  <c r="F546" i="222"/>
  <c r="F551" i="222"/>
  <c r="F554" i="222"/>
  <c r="F568" i="222"/>
  <c r="F570" i="222"/>
  <c r="F574" i="222"/>
  <c r="F578" i="222"/>
  <c r="F582" i="222"/>
  <c r="F587" i="222"/>
  <c r="F590" i="222"/>
  <c r="F598" i="222"/>
  <c r="F600" i="222"/>
  <c r="F602" i="222"/>
  <c r="F627" i="222"/>
  <c r="F541" i="222"/>
  <c r="F543" i="222"/>
  <c r="F545" i="222"/>
  <c r="F547" i="222"/>
  <c r="F552" i="222"/>
  <c r="F555" i="222"/>
  <c r="F558" i="222"/>
  <c r="F566" i="222"/>
  <c r="F588" i="222"/>
  <c r="F594" i="222"/>
  <c r="F606" i="222"/>
  <c r="F607" i="222"/>
  <c r="F609" i="222"/>
  <c r="F611" i="222"/>
  <c r="F614" i="222"/>
  <c r="F622" i="222"/>
  <c r="F628" i="222"/>
  <c r="F629" i="222"/>
  <c r="F556" i="222"/>
  <c r="F562" i="222"/>
  <c r="F571" i="222"/>
  <c r="F579" i="222"/>
  <c r="F583" i="222"/>
  <c r="F592" i="222"/>
  <c r="F595" i="222"/>
  <c r="F603" i="222"/>
  <c r="F615" i="222"/>
  <c r="F619" i="222"/>
  <c r="F623" i="222"/>
  <c r="F491" i="222"/>
  <c r="F494" i="222"/>
  <c r="F497" i="222"/>
  <c r="F507" i="222"/>
  <c r="F510" i="222"/>
  <c r="F513" i="222"/>
  <c r="F523" i="222"/>
  <c r="F526" i="222"/>
  <c r="F529" i="222"/>
  <c r="F535" i="222"/>
  <c r="F550" i="222"/>
  <c r="F584" i="222"/>
  <c r="F604" i="222"/>
  <c r="F620" i="222"/>
  <c r="F641" i="222"/>
  <c r="F647" i="222"/>
  <c r="F648" i="222"/>
  <c r="F651" i="222"/>
  <c r="F655" i="222"/>
  <c r="F657" i="222"/>
  <c r="F660" i="222"/>
  <c r="F661" i="222"/>
  <c r="F665" i="222"/>
  <c r="F667" i="222"/>
  <c r="F673" i="222"/>
  <c r="F679" i="222"/>
  <c r="F682" i="222"/>
  <c r="F693" i="222"/>
  <c r="F703" i="222"/>
  <c r="F718" i="222"/>
  <c r="F719" i="222"/>
  <c r="F490" i="222"/>
  <c r="F493" i="222"/>
  <c r="F503" i="222"/>
  <c r="F506" i="222"/>
  <c r="F509" i="222"/>
  <c r="F519" i="222"/>
  <c r="F522" i="222"/>
  <c r="F525" i="222"/>
  <c r="F560" i="222"/>
  <c r="F563" i="222"/>
  <c r="F586" i="222"/>
  <c r="F630" i="222"/>
  <c r="F639" i="222"/>
  <c r="F643" i="222"/>
  <c r="F649" i="222"/>
  <c r="F652" i="222"/>
  <c r="F653" i="222"/>
  <c r="F668" i="222"/>
  <c r="F675" i="222"/>
  <c r="F489" i="222"/>
  <c r="F499" i="222"/>
  <c r="F502" i="222"/>
  <c r="F505" i="222"/>
  <c r="F515" i="222"/>
  <c r="F518" i="222"/>
  <c r="F521" i="222"/>
  <c r="F531" i="222"/>
  <c r="F631" i="222"/>
  <c r="F635" i="222"/>
  <c r="F644" i="222"/>
  <c r="F656" i="222"/>
  <c r="F686" i="222"/>
  <c r="F688" i="222"/>
  <c r="F689" i="222"/>
  <c r="F690" i="222"/>
  <c r="F701" i="222"/>
  <c r="F705" i="222"/>
  <c r="F710" i="222"/>
  <c r="F711" i="222"/>
  <c r="F714" i="222"/>
  <c r="F501" i="222"/>
  <c r="F514" i="222"/>
  <c r="F527" i="222"/>
  <c r="F576" i="222"/>
  <c r="F612" i="222"/>
  <c r="F636" i="222"/>
  <c r="F672" i="222"/>
  <c r="F680" i="222"/>
  <c r="F681" i="222"/>
  <c r="F685" i="222"/>
  <c r="F706" i="222"/>
  <c r="F722" i="222"/>
  <c r="F741" i="222"/>
  <c r="F744" i="222"/>
  <c r="F745" i="222"/>
  <c r="F757" i="222"/>
  <c r="F761" i="222"/>
  <c r="F762" i="222"/>
  <c r="F766" i="222"/>
  <c r="F767" i="222"/>
  <c r="F773" i="222"/>
  <c r="F782" i="222"/>
  <c r="F783" i="222"/>
  <c r="F793" i="222"/>
  <c r="F794" i="222"/>
  <c r="F800" i="222"/>
  <c r="F807" i="222"/>
  <c r="F812" i="222"/>
  <c r="F813" i="222"/>
  <c r="F826" i="222"/>
  <c r="F833" i="222"/>
  <c r="F834" i="222"/>
  <c r="F841" i="222"/>
  <c r="F851" i="222"/>
  <c r="F852" i="222"/>
  <c r="F853" i="222"/>
  <c r="F867" i="222"/>
  <c r="F868" i="222"/>
  <c r="F869" i="222"/>
  <c r="F498" i="222"/>
  <c r="F511" i="222"/>
  <c r="F659" i="222"/>
  <c r="F671" i="222"/>
  <c r="F677" i="222"/>
  <c r="F695" i="222"/>
  <c r="F702" i="222"/>
  <c r="F709" i="222"/>
  <c r="F712" i="222"/>
  <c r="F713" i="222"/>
  <c r="F717" i="222"/>
  <c r="F720" i="222"/>
  <c r="F721" i="222"/>
  <c r="F725" i="222"/>
  <c r="F726" i="222"/>
  <c r="F727" i="222"/>
  <c r="F733" i="222"/>
  <c r="F737" i="222"/>
  <c r="F742" i="222"/>
  <c r="F743" i="222"/>
  <c r="F746" i="222"/>
  <c r="F758" i="222"/>
  <c r="F774" i="222"/>
  <c r="F776" i="222"/>
  <c r="F777" i="222"/>
  <c r="F788" i="222"/>
  <c r="F789" i="222"/>
  <c r="F801" i="222"/>
  <c r="F802" i="222"/>
  <c r="F808" i="222"/>
  <c r="F815" i="222"/>
  <c r="F820" i="222"/>
  <c r="F821" i="222"/>
  <c r="F842" i="222"/>
  <c r="F847" i="222"/>
  <c r="F848" i="222"/>
  <c r="F849" i="222"/>
  <c r="F863" i="222"/>
  <c r="F864" i="222"/>
  <c r="F865" i="222"/>
  <c r="F876" i="222"/>
  <c r="F884" i="222"/>
  <c r="F892" i="222"/>
  <c r="F900" i="222"/>
  <c r="F908" i="222"/>
  <c r="F916" i="222"/>
  <c r="F920" i="222"/>
  <c r="F921" i="222"/>
  <c r="F924" i="222"/>
  <c r="F925" i="222"/>
  <c r="F928" i="222"/>
  <c r="F929" i="222"/>
  <c r="F932" i="222"/>
  <c r="F933" i="222"/>
  <c r="F936" i="222"/>
  <c r="F937" i="222"/>
  <c r="F940" i="222"/>
  <c r="F941" i="222"/>
  <c r="F944" i="222"/>
  <c r="F945" i="222"/>
  <c r="F950" i="222"/>
  <c r="F951" i="222"/>
  <c r="F749" i="222"/>
  <c r="F752" i="222"/>
  <c r="F753" i="222"/>
  <c r="F754" i="222"/>
  <c r="F775" i="222"/>
  <c r="F778" i="222"/>
  <c r="F791" i="222"/>
  <c r="F495" i="222"/>
  <c r="F533" i="222"/>
  <c r="F663" i="222"/>
  <c r="F676" i="222"/>
  <c r="F687" i="222"/>
  <c r="F694" i="222"/>
  <c r="F698" i="222"/>
  <c r="F734" i="222"/>
  <c r="F738" i="222"/>
  <c r="F759" i="222"/>
  <c r="F769" i="222"/>
  <c r="F770" i="222"/>
  <c r="F796" i="222"/>
  <c r="F797" i="222"/>
  <c r="F809" i="222"/>
  <c r="F810" i="222"/>
  <c r="F939" i="222"/>
  <c r="F938" i="222"/>
  <c r="F927" i="222"/>
  <c r="F926" i="222"/>
  <c r="F906" i="222"/>
  <c r="F896" i="222"/>
  <c r="F895" i="222"/>
  <c r="F894" i="222"/>
  <c r="F880" i="222"/>
  <c r="F879" i="222"/>
  <c r="F878" i="222"/>
  <c r="F874" i="222"/>
  <c r="F859" i="222"/>
  <c r="F856" i="222"/>
  <c r="F827" i="222"/>
  <c r="F750" i="222"/>
  <c r="E953" i="222"/>
  <c r="E940" i="222"/>
  <c r="F931" i="222"/>
  <c r="F930" i="222"/>
  <c r="G926" i="222"/>
  <c r="G925" i="222"/>
  <c r="F917" i="222"/>
  <c r="C917" i="222"/>
  <c r="E917" i="222" s="1"/>
  <c r="G910" i="222"/>
  <c r="G909" i="222"/>
  <c r="F905" i="222"/>
  <c r="F901" i="222"/>
  <c r="C901" i="222"/>
  <c r="E901" i="222" s="1"/>
  <c r="G894" i="222"/>
  <c r="G893" i="222"/>
  <c r="F889" i="222"/>
  <c r="F885" i="222"/>
  <c r="C885" i="222"/>
  <c r="E885" i="222" s="1"/>
  <c r="G878" i="222"/>
  <c r="G877" i="222"/>
  <c r="F873" i="222"/>
  <c r="E865" i="222"/>
  <c r="E860" i="222"/>
  <c r="F855" i="222"/>
  <c r="G849" i="222"/>
  <c r="F845" i="222"/>
  <c r="F844" i="222"/>
  <c r="E842" i="222"/>
  <c r="F839" i="222"/>
  <c r="F832" i="222"/>
  <c r="F825" i="222"/>
  <c r="F824" i="222"/>
  <c r="F823" i="222"/>
  <c r="E805" i="222"/>
  <c r="G798" i="222"/>
  <c r="E791" i="222"/>
  <c r="E789" i="222"/>
  <c r="F784" i="222"/>
  <c r="F781" i="222"/>
  <c r="E777" i="222"/>
  <c r="G769" i="222"/>
  <c r="F760" i="222"/>
  <c r="G749" i="222"/>
  <c r="F730" i="222"/>
  <c r="F699" i="222"/>
  <c r="C699" i="222"/>
  <c r="E699" i="222" s="1"/>
  <c r="G689" i="222"/>
  <c r="E671" i="222"/>
  <c r="E813" i="222"/>
  <c r="C741" i="222"/>
  <c r="E741" i="222" s="1"/>
  <c r="C723" i="222"/>
  <c r="E723" i="222" s="1"/>
  <c r="C722" i="222"/>
  <c r="E722" i="222" s="1"/>
  <c r="C718" i="222"/>
  <c r="E718" i="222" s="1"/>
  <c r="C710" i="222"/>
  <c r="E710" i="222" s="1"/>
  <c r="C706" i="222"/>
  <c r="E706" i="222" s="1"/>
  <c r="C685" i="222"/>
  <c r="E685" i="222" s="1"/>
  <c r="C681" i="222"/>
  <c r="E681" i="222" s="1"/>
  <c r="C660" i="222"/>
  <c r="E660" i="222" s="1"/>
  <c r="C647" i="222"/>
  <c r="E647" i="222" s="1"/>
  <c r="C636" i="222"/>
  <c r="E636" i="222" s="1"/>
  <c r="C583" i="222"/>
  <c r="E583" i="222" s="1"/>
  <c r="C525" i="222"/>
  <c r="E525" i="222" s="1"/>
  <c r="F814" i="222"/>
  <c r="F763" i="222"/>
  <c r="E757" i="222"/>
  <c r="C503" i="222"/>
  <c r="E503" i="222" s="1"/>
  <c r="C507" i="222"/>
  <c r="E507" i="222" s="1"/>
  <c r="C511" i="222"/>
  <c r="E511" i="222" s="1"/>
  <c r="C515" i="222"/>
  <c r="E515" i="222" s="1"/>
  <c r="C519" i="222"/>
  <c r="E519" i="222" s="1"/>
  <c r="C523" i="222"/>
  <c r="E523" i="222" s="1"/>
  <c r="C527" i="222"/>
  <c r="E527" i="222" s="1"/>
  <c r="C531" i="222"/>
  <c r="E531" i="222" s="1"/>
  <c r="C537" i="222"/>
  <c r="E537" i="222" s="1"/>
  <c r="C539" i="222"/>
  <c r="E539" i="222" s="1"/>
  <c r="C546" i="222"/>
  <c r="E546" i="222" s="1"/>
  <c r="C560" i="222"/>
  <c r="E560" i="222" s="1"/>
  <c r="C563" i="222"/>
  <c r="E563" i="222" s="1"/>
  <c r="C570" i="222"/>
  <c r="E570" i="222" s="1"/>
  <c r="C574" i="222"/>
  <c r="E574" i="222" s="1"/>
  <c r="C576" i="222"/>
  <c r="E576" i="222" s="1"/>
  <c r="C578" i="222"/>
  <c r="E578" i="222" s="1"/>
  <c r="C582" i="222"/>
  <c r="E582" i="222" s="1"/>
  <c r="C584" i="222"/>
  <c r="E584" i="222" s="1"/>
  <c r="C586" i="222"/>
  <c r="E586" i="222" s="1"/>
  <c r="C590" i="222"/>
  <c r="E590" i="222" s="1"/>
  <c r="C598" i="222"/>
  <c r="E598" i="222" s="1"/>
  <c r="C602" i="222"/>
  <c r="E602" i="222" s="1"/>
  <c r="C604" i="222"/>
  <c r="E604" i="222" s="1"/>
  <c r="C612" i="222"/>
  <c r="E612" i="222" s="1"/>
  <c r="C620" i="222"/>
  <c r="E620" i="222" s="1"/>
  <c r="C566" i="222"/>
  <c r="E566" i="222" s="1"/>
  <c r="C587" i="222"/>
  <c r="E587" i="222" s="1"/>
  <c r="C547" i="222"/>
  <c r="E547" i="222" s="1"/>
  <c r="C552" i="222"/>
  <c r="E552" i="222" s="1"/>
  <c r="C591" i="222"/>
  <c r="E591" i="222" s="1"/>
  <c r="C594" i="222"/>
  <c r="E594" i="222" s="1"/>
  <c r="C599" i="222"/>
  <c r="E599" i="222" s="1"/>
  <c r="C615" i="222"/>
  <c r="E615" i="222" s="1"/>
  <c r="C607" i="222"/>
  <c r="E607" i="222" s="1"/>
  <c r="C623" i="222"/>
  <c r="E623" i="222" s="1"/>
  <c r="C643" i="222"/>
  <c r="E643" i="222" s="1"/>
  <c r="C651" i="222"/>
  <c r="E651" i="222" s="1"/>
  <c r="C914" i="222"/>
  <c r="E914" i="222" s="1"/>
  <c r="C913" i="222"/>
  <c r="E913" i="222" s="1"/>
  <c r="C906" i="222"/>
  <c r="E906" i="222" s="1"/>
  <c r="C905" i="222"/>
  <c r="E905" i="222" s="1"/>
  <c r="C898" i="222"/>
  <c r="E898" i="222" s="1"/>
  <c r="C897" i="222"/>
  <c r="E897" i="222" s="1"/>
  <c r="C890" i="222"/>
  <c r="E890" i="222" s="1"/>
  <c r="C889" i="222"/>
  <c r="E889" i="222" s="1"/>
  <c r="C882" i="222"/>
  <c r="E882" i="222" s="1"/>
  <c r="C881" i="222"/>
  <c r="E881" i="222" s="1"/>
  <c r="C874" i="222"/>
  <c r="E874" i="222" s="1"/>
  <c r="C873" i="222"/>
  <c r="E873" i="222" s="1"/>
  <c r="C867" i="222"/>
  <c r="E867" i="222" s="1"/>
  <c r="C857" i="222"/>
  <c r="E857" i="222" s="1"/>
  <c r="C851" i="222"/>
  <c r="E851" i="222" s="1"/>
  <c r="C818" i="222"/>
  <c r="E818" i="222" s="1"/>
  <c r="F806" i="222"/>
  <c r="C786" i="222"/>
  <c r="E786" i="222" s="1"/>
  <c r="C755" i="222"/>
  <c r="E755" i="222" s="1"/>
  <c r="C750" i="222"/>
  <c r="E750" i="222" s="1"/>
  <c r="F731" i="222"/>
  <c r="C731" i="222"/>
  <c r="E731" i="222" s="1"/>
  <c r="C730" i="222"/>
  <c r="E730" i="222" s="1"/>
  <c r="C729" i="222"/>
  <c r="E729" i="222" s="1"/>
  <c r="F723" i="222"/>
  <c r="F707" i="222"/>
  <c r="C697" i="222"/>
  <c r="E697" i="222" s="1"/>
  <c r="C689" i="222"/>
  <c r="E689" i="222" s="1"/>
  <c r="C686" i="222"/>
  <c r="E686" i="222" s="1"/>
  <c r="C675" i="222"/>
  <c r="E675" i="222" s="1"/>
  <c r="C673" i="222"/>
  <c r="E673" i="222" s="1"/>
  <c r="C668" i="222"/>
  <c r="E668" i="222" s="1"/>
  <c r="C667" i="222"/>
  <c r="E667" i="222" s="1"/>
  <c r="C665" i="222"/>
  <c r="E665" i="222" s="1"/>
  <c r="C655" i="222"/>
  <c r="E655" i="222" s="1"/>
  <c r="C641" i="222"/>
  <c r="E641" i="222" s="1"/>
  <c r="C639" i="222"/>
  <c r="E639" i="222" s="1"/>
  <c r="C631" i="222"/>
  <c r="E631" i="222" s="1"/>
  <c r="C600" i="222"/>
  <c r="E600" i="222" s="1"/>
  <c r="E931" i="222"/>
  <c r="E927" i="222"/>
  <c r="E923" i="222"/>
  <c r="C871" i="222"/>
  <c r="E871" i="222" s="1"/>
  <c r="C861" i="222"/>
  <c r="E861" i="222" s="1"/>
  <c r="C855" i="222"/>
  <c r="E855" i="222" s="1"/>
  <c r="C845" i="222"/>
  <c r="E845" i="222" s="1"/>
  <c r="F838" i="222"/>
  <c r="F830" i="222"/>
  <c r="C810" i="222"/>
  <c r="E810" i="222" s="1"/>
  <c r="F798" i="222"/>
  <c r="F779" i="222"/>
  <c r="C778" i="222"/>
  <c r="E778" i="222" s="1"/>
  <c r="F771" i="222"/>
  <c r="C770" i="222"/>
  <c r="E770" i="222" s="1"/>
  <c r="F755" i="222"/>
  <c r="C754" i="222"/>
  <c r="E754" i="222" s="1"/>
  <c r="F739" i="222"/>
  <c r="C738" i="222"/>
  <c r="E738" i="222" s="1"/>
  <c r="C698" i="222"/>
  <c r="E698" i="222" s="1"/>
  <c r="C694" i="222"/>
  <c r="E694" i="222" s="1"/>
  <c r="C693" i="222"/>
  <c r="E693" i="222" s="1"/>
  <c r="C691" i="222"/>
  <c r="E691" i="222" s="1"/>
  <c r="C676" i="222"/>
  <c r="E676" i="222" s="1"/>
  <c r="C663" i="222"/>
  <c r="E663" i="222" s="1"/>
  <c r="C656" i="222"/>
  <c r="E656" i="222" s="1"/>
  <c r="C649" i="222"/>
  <c r="E649" i="222" s="1"/>
  <c r="C603" i="222"/>
  <c r="E603" i="222" s="1"/>
  <c r="C493" i="222"/>
  <c r="E493" i="222" s="1"/>
  <c r="F683" i="222"/>
  <c r="C682" i="222"/>
  <c r="E682" i="222" s="1"/>
  <c r="C648" i="222"/>
  <c r="E648" i="222" s="1"/>
  <c r="C611" i="222"/>
  <c r="E611" i="222" s="1"/>
  <c r="C609" i="222"/>
  <c r="E609" i="222" s="1"/>
  <c r="C595" i="222"/>
  <c r="E595" i="222" s="1"/>
  <c r="C592" i="222"/>
  <c r="E592" i="222" s="1"/>
  <c r="C568" i="222"/>
  <c r="E568" i="222" s="1"/>
  <c r="C558" i="222"/>
  <c r="E558" i="222" s="1"/>
  <c r="C550" i="222"/>
  <c r="E550" i="222" s="1"/>
  <c r="C535" i="222"/>
  <c r="E535" i="222" s="1"/>
  <c r="C529" i="222"/>
  <c r="E529" i="222" s="1"/>
  <c r="C513" i="222"/>
  <c r="E513" i="222" s="1"/>
  <c r="C497" i="222"/>
  <c r="E497" i="222" s="1"/>
  <c r="C491" i="222"/>
  <c r="E491" i="222" s="1"/>
  <c r="C672" i="222"/>
  <c r="E672" i="222" s="1"/>
  <c r="F664" i="222"/>
  <c r="C624" i="222"/>
  <c r="E624" i="222" s="1"/>
  <c r="C579" i="222"/>
  <c r="E579" i="222" s="1"/>
  <c r="C571" i="222"/>
  <c r="E571" i="222" s="1"/>
  <c r="C551" i="222"/>
  <c r="E551" i="222" s="1"/>
  <c r="C545" i="222"/>
  <c r="E545" i="222" s="1"/>
  <c r="C543" i="222"/>
  <c r="E543" i="222" s="1"/>
  <c r="C541" i="222"/>
  <c r="E541" i="222" s="1"/>
  <c r="C533" i="222"/>
  <c r="E533" i="222" s="1"/>
  <c r="C517" i="222"/>
  <c r="E517" i="222" s="1"/>
  <c r="C501" i="222"/>
  <c r="E501" i="222" s="1"/>
  <c r="C495" i="222"/>
  <c r="E495" i="222" s="1"/>
  <c r="F715" i="222"/>
  <c r="C714" i="222"/>
  <c r="E714" i="222" s="1"/>
  <c r="F691" i="222"/>
  <c r="C690" i="222"/>
  <c r="E690" i="222" s="1"/>
  <c r="F608" i="222"/>
  <c r="C608" i="222"/>
  <c r="E608" i="222" s="1"/>
  <c r="C562" i="222"/>
  <c r="E562" i="222" s="1"/>
  <c r="F559" i="222"/>
  <c r="C559" i="222"/>
  <c r="E559" i="222" s="1"/>
  <c r="C554" i="222"/>
  <c r="E554" i="222" s="1"/>
  <c r="C521" i="222"/>
  <c r="E521" i="222" s="1"/>
  <c r="C505" i="222"/>
  <c r="E505" i="222" s="1"/>
  <c r="C499" i="222"/>
  <c r="E499" i="222" s="1"/>
  <c r="F591" i="222"/>
  <c r="C530" i="222"/>
  <c r="E530" i="222" s="1"/>
  <c r="C526" i="222"/>
  <c r="E526" i="222" s="1"/>
  <c r="C522" i="222"/>
  <c r="E522" i="222" s="1"/>
  <c r="C518" i="222"/>
  <c r="E518" i="222" s="1"/>
  <c r="C514" i="222"/>
  <c r="E514" i="222" s="1"/>
  <c r="C510" i="222"/>
  <c r="E510" i="222" s="1"/>
  <c r="C506" i="222"/>
  <c r="E506" i="222" s="1"/>
  <c r="C502" i="222"/>
  <c r="E502" i="222" s="1"/>
  <c r="C498" i="222"/>
  <c r="E498" i="222" s="1"/>
  <c r="C494" i="222"/>
  <c r="E494" i="222" s="1"/>
  <c r="C490" i="222"/>
  <c r="E490" i="222" s="1"/>
  <c r="C489" i="222"/>
  <c r="E489" i="222" s="1"/>
  <c r="F947" i="222"/>
  <c r="C907" i="222"/>
  <c r="E907" i="222" s="1"/>
  <c r="G907" i="222"/>
  <c r="C899" i="222"/>
  <c r="E899" i="222" s="1"/>
  <c r="G899" i="222"/>
  <c r="C891" i="222"/>
  <c r="E891" i="222" s="1"/>
  <c r="G891" i="222"/>
  <c r="C883" i="222"/>
  <c r="E883" i="222" s="1"/>
  <c r="G883" i="222"/>
  <c r="C875" i="222"/>
  <c r="E875" i="222" s="1"/>
  <c r="G875" i="222"/>
  <c r="C835" i="222"/>
  <c r="E835" i="222" s="1"/>
  <c r="G835" i="222"/>
  <c r="C819" i="222"/>
  <c r="E819" i="222" s="1"/>
  <c r="G819" i="222"/>
  <c r="C811" i="222"/>
  <c r="E811" i="222" s="1"/>
  <c r="G811" i="222"/>
  <c r="C803" i="222"/>
  <c r="E803" i="222" s="1"/>
  <c r="G803" i="222"/>
  <c r="C795" i="222"/>
  <c r="E795" i="222" s="1"/>
  <c r="G795" i="222"/>
  <c r="C787" i="222"/>
  <c r="E787" i="222" s="1"/>
  <c r="G787" i="222"/>
  <c r="C728" i="222"/>
  <c r="E728" i="222" s="1"/>
  <c r="G728" i="222"/>
  <c r="C696" i="222"/>
  <c r="E696" i="222" s="1"/>
  <c r="G696" i="222"/>
  <c r="C666" i="222"/>
  <c r="E666" i="222" s="1"/>
  <c r="G666" i="222"/>
  <c r="F666" i="222"/>
  <c r="C645" i="222"/>
  <c r="E645" i="222" s="1"/>
  <c r="G645" i="222"/>
  <c r="C548" i="222"/>
  <c r="E548" i="222" s="1"/>
  <c r="G548" i="222"/>
  <c r="F548" i="222"/>
  <c r="F883" i="222"/>
  <c r="C870" i="222"/>
  <c r="E870" i="222" s="1"/>
  <c r="G870" i="222"/>
  <c r="C866" i="222"/>
  <c r="E866" i="222" s="1"/>
  <c r="G866" i="222"/>
  <c r="C862" i="222"/>
  <c r="E862" i="222" s="1"/>
  <c r="G862" i="222"/>
  <c r="C858" i="222"/>
  <c r="E858" i="222" s="1"/>
  <c r="G858" i="222"/>
  <c r="C854" i="222"/>
  <c r="E854" i="222" s="1"/>
  <c r="G854" i="222"/>
  <c r="C846" i="222"/>
  <c r="E846" i="222" s="1"/>
  <c r="G846" i="222"/>
  <c r="F835" i="222"/>
  <c r="F803" i="222"/>
  <c r="G715" i="222"/>
  <c r="C704" i="222"/>
  <c r="E704" i="222" s="1"/>
  <c r="G704" i="222"/>
  <c r="G683" i="222"/>
  <c r="C674" i="222"/>
  <c r="E674" i="222" s="1"/>
  <c r="G674" i="222"/>
  <c r="F674" i="222"/>
  <c r="C669" i="222"/>
  <c r="E669" i="222" s="1"/>
  <c r="G669" i="222"/>
  <c r="F669" i="222"/>
  <c r="G640" i="222"/>
  <c r="C634" i="222"/>
  <c r="E634" i="222" s="1"/>
  <c r="G634" i="222"/>
  <c r="F634" i="222"/>
  <c r="F616" i="222"/>
  <c r="G616" i="222"/>
  <c r="C616" i="222"/>
  <c r="E616" i="222" s="1"/>
  <c r="C601" i="222"/>
  <c r="E601" i="222" s="1"/>
  <c r="G601" i="222"/>
  <c r="F601" i="222"/>
  <c r="F599" i="222"/>
  <c r="G599" i="222"/>
  <c r="C580" i="222"/>
  <c r="E580" i="222" s="1"/>
  <c r="G580" i="222"/>
  <c r="F580" i="222"/>
  <c r="C500" i="222"/>
  <c r="E500" i="222" s="1"/>
  <c r="G500" i="222"/>
  <c r="F500" i="222"/>
  <c r="C496" i="222"/>
  <c r="E496" i="222" s="1"/>
  <c r="G496" i="222"/>
  <c r="F496" i="222"/>
  <c r="G952" i="222"/>
  <c r="G948" i="222"/>
  <c r="G944" i="222"/>
  <c r="G940" i="222"/>
  <c r="G936" i="222"/>
  <c r="G932" i="222"/>
  <c r="G928" i="222"/>
  <c r="G924" i="222"/>
  <c r="G920" i="222"/>
  <c r="C911" i="222"/>
  <c r="E911" i="222" s="1"/>
  <c r="G911" i="222"/>
  <c r="C903" i="222"/>
  <c r="E903" i="222" s="1"/>
  <c r="G903" i="222"/>
  <c r="C895" i="222"/>
  <c r="E895" i="222" s="1"/>
  <c r="G895" i="222"/>
  <c r="C887" i="222"/>
  <c r="E887" i="222" s="1"/>
  <c r="G887" i="222"/>
  <c r="C879" i="222"/>
  <c r="E879" i="222" s="1"/>
  <c r="G879" i="222"/>
  <c r="F870" i="222"/>
  <c r="F866" i="222"/>
  <c r="F862" i="222"/>
  <c r="F858" i="222"/>
  <c r="F854" i="222"/>
  <c r="F846" i="222"/>
  <c r="C776" i="222"/>
  <c r="E776" i="222" s="1"/>
  <c r="G776" i="222"/>
  <c r="C771" i="222"/>
  <c r="E771" i="222" s="1"/>
  <c r="G755" i="222"/>
  <c r="C744" i="222"/>
  <c r="E744" i="222" s="1"/>
  <c r="G744" i="222"/>
  <c r="C739" i="222"/>
  <c r="E739" i="222" s="1"/>
  <c r="F728" i="222"/>
  <c r="G723" i="222"/>
  <c r="C712" i="222"/>
  <c r="E712" i="222" s="1"/>
  <c r="G712" i="222"/>
  <c r="C707" i="222"/>
  <c r="E707" i="222" s="1"/>
  <c r="F696" i="222"/>
  <c r="G691" i="222"/>
  <c r="C680" i="222"/>
  <c r="E680" i="222" s="1"/>
  <c r="G680" i="222"/>
  <c r="C670" i="222"/>
  <c r="E670" i="222" s="1"/>
  <c r="G670" i="222"/>
  <c r="F670" i="222"/>
  <c r="F645" i="222"/>
  <c r="C642" i="222"/>
  <c r="E642" i="222" s="1"/>
  <c r="G642" i="222"/>
  <c r="F642" i="222"/>
  <c r="F640" i="222"/>
  <c r="C637" i="222"/>
  <c r="E637" i="222" s="1"/>
  <c r="G637" i="222"/>
  <c r="F637" i="222"/>
  <c r="F632" i="222"/>
  <c r="G632" i="222"/>
  <c r="C632" i="222"/>
  <c r="E632" i="222" s="1"/>
  <c r="C621" i="222"/>
  <c r="E621" i="222" s="1"/>
  <c r="G621" i="222"/>
  <c r="F621" i="222"/>
  <c r="C617" i="222"/>
  <c r="E617" i="222" s="1"/>
  <c r="F617" i="222"/>
  <c r="G617" i="222"/>
  <c r="C542" i="222"/>
  <c r="E542" i="222" s="1"/>
  <c r="G542" i="222"/>
  <c r="F542" i="222"/>
  <c r="C915" i="222"/>
  <c r="E915" i="222" s="1"/>
  <c r="G915" i="222"/>
  <c r="C827" i="222"/>
  <c r="E827" i="222" s="1"/>
  <c r="G827" i="222"/>
  <c r="C760" i="222"/>
  <c r="E760" i="222" s="1"/>
  <c r="G760" i="222"/>
  <c r="C618" i="222"/>
  <c r="E618" i="222" s="1"/>
  <c r="G618" i="222"/>
  <c r="F618" i="222"/>
  <c r="F915" i="222"/>
  <c r="F907" i="222"/>
  <c r="F899" i="222"/>
  <c r="F891" i="222"/>
  <c r="F875" i="222"/>
  <c r="C850" i="222"/>
  <c r="E850" i="222" s="1"/>
  <c r="G850" i="222"/>
  <c r="F819" i="222"/>
  <c r="F811" i="222"/>
  <c r="F795" i="222"/>
  <c r="F787" i="222"/>
  <c r="G779" i="222"/>
  <c r="C768" i="222"/>
  <c r="E768" i="222" s="1"/>
  <c r="G768" i="222"/>
  <c r="G747" i="222"/>
  <c r="C736" i="222"/>
  <c r="E736" i="222" s="1"/>
  <c r="G736" i="222"/>
  <c r="G951" i="222"/>
  <c r="G947" i="222"/>
  <c r="G943" i="222"/>
  <c r="G939" i="222"/>
  <c r="G935" i="222"/>
  <c r="G931" i="222"/>
  <c r="G927" i="222"/>
  <c r="G923" i="222"/>
  <c r="G919" i="222"/>
  <c r="G914" i="222"/>
  <c r="G906" i="222"/>
  <c r="G898" i="222"/>
  <c r="G890" i="222"/>
  <c r="G882" i="222"/>
  <c r="G874" i="222"/>
  <c r="C836" i="222"/>
  <c r="E836" i="222" s="1"/>
  <c r="G836" i="222"/>
  <c r="C828" i="222"/>
  <c r="E828" i="222" s="1"/>
  <c r="G828" i="222"/>
  <c r="C820" i="222"/>
  <c r="E820" i="222" s="1"/>
  <c r="G820" i="222"/>
  <c r="C812" i="222"/>
  <c r="E812" i="222" s="1"/>
  <c r="G812" i="222"/>
  <c r="C804" i="222"/>
  <c r="E804" i="222" s="1"/>
  <c r="G804" i="222"/>
  <c r="C796" i="222"/>
  <c r="E796" i="222" s="1"/>
  <c r="G796" i="222"/>
  <c r="C788" i="222"/>
  <c r="E788" i="222" s="1"/>
  <c r="G788" i="222"/>
  <c r="C784" i="222"/>
  <c r="E784" i="222" s="1"/>
  <c r="G784" i="222"/>
  <c r="C779" i="222"/>
  <c r="E779" i="222" s="1"/>
  <c r="F768" i="222"/>
  <c r="C752" i="222"/>
  <c r="E752" i="222" s="1"/>
  <c r="G752" i="222"/>
  <c r="C747" i="222"/>
  <c r="E747" i="222" s="1"/>
  <c r="F736" i="222"/>
  <c r="C720" i="222"/>
  <c r="E720" i="222" s="1"/>
  <c r="G720" i="222"/>
  <c r="C715" i="222"/>
  <c r="E715" i="222" s="1"/>
  <c r="F704" i="222"/>
  <c r="C688" i="222"/>
  <c r="E688" i="222" s="1"/>
  <c r="G688" i="222"/>
  <c r="C683" i="222"/>
  <c r="E683" i="222" s="1"/>
  <c r="C677" i="222"/>
  <c r="E677" i="222" s="1"/>
  <c r="G677" i="222"/>
  <c r="C662" i="222"/>
  <c r="E662" i="222" s="1"/>
  <c r="G662" i="222"/>
  <c r="F662" i="222"/>
  <c r="C638" i="222"/>
  <c r="E638" i="222" s="1"/>
  <c r="G638" i="222"/>
  <c r="F638" i="222"/>
  <c r="C633" i="222"/>
  <c r="E633" i="222" s="1"/>
  <c r="F633" i="222"/>
  <c r="G633" i="222"/>
  <c r="C575" i="222"/>
  <c r="E575" i="222" s="1"/>
  <c r="F575" i="222"/>
  <c r="G575" i="222"/>
  <c r="F567" i="222"/>
  <c r="C567" i="222"/>
  <c r="E567" i="222" s="1"/>
  <c r="G567" i="222"/>
  <c r="C565" i="222"/>
  <c r="E565" i="222" s="1"/>
  <c r="G565" i="222"/>
  <c r="F565" i="222"/>
  <c r="C534" i="222"/>
  <c r="E534" i="222" s="1"/>
  <c r="G534" i="222"/>
  <c r="F534" i="222"/>
  <c r="C532" i="222"/>
  <c r="E532" i="222" s="1"/>
  <c r="G532" i="222"/>
  <c r="F532" i="222"/>
  <c r="C528" i="222"/>
  <c r="E528" i="222" s="1"/>
  <c r="G528" i="222"/>
  <c r="F528" i="222"/>
  <c r="G871" i="222"/>
  <c r="G867" i="222"/>
  <c r="G863" i="222"/>
  <c r="G859" i="222"/>
  <c r="G855" i="222"/>
  <c r="G851" i="222"/>
  <c r="G847" i="222"/>
  <c r="G843" i="222"/>
  <c r="C840" i="222"/>
  <c r="E840" i="222" s="1"/>
  <c r="G840" i="222"/>
  <c r="C832" i="222"/>
  <c r="E832" i="222" s="1"/>
  <c r="G832" i="222"/>
  <c r="C824" i="222"/>
  <c r="E824" i="222" s="1"/>
  <c r="G824" i="222"/>
  <c r="C816" i="222"/>
  <c r="E816" i="222" s="1"/>
  <c r="G816" i="222"/>
  <c r="C808" i="222"/>
  <c r="E808" i="222" s="1"/>
  <c r="G808" i="222"/>
  <c r="C800" i="222"/>
  <c r="E800" i="222" s="1"/>
  <c r="G800" i="222"/>
  <c r="C792" i="222"/>
  <c r="E792" i="222" s="1"/>
  <c r="G792" i="222"/>
  <c r="C783" i="222"/>
  <c r="E783" i="222" s="1"/>
  <c r="G783" i="222"/>
  <c r="C775" i="222"/>
  <c r="E775" i="222" s="1"/>
  <c r="G775" i="222"/>
  <c r="C767" i="222"/>
  <c r="E767" i="222" s="1"/>
  <c r="G767" i="222"/>
  <c r="C759" i="222"/>
  <c r="E759" i="222" s="1"/>
  <c r="G759" i="222"/>
  <c r="C751" i="222"/>
  <c r="E751" i="222" s="1"/>
  <c r="G751" i="222"/>
  <c r="C743" i="222"/>
  <c r="E743" i="222" s="1"/>
  <c r="G743" i="222"/>
  <c r="C735" i="222"/>
  <c r="E735" i="222" s="1"/>
  <c r="G735" i="222"/>
  <c r="C727" i="222"/>
  <c r="E727" i="222" s="1"/>
  <c r="G727" i="222"/>
  <c r="C719" i="222"/>
  <c r="E719" i="222" s="1"/>
  <c r="G719" i="222"/>
  <c r="C711" i="222"/>
  <c r="E711" i="222" s="1"/>
  <c r="G711" i="222"/>
  <c r="C703" i="222"/>
  <c r="E703" i="222" s="1"/>
  <c r="G703" i="222"/>
  <c r="C695" i="222"/>
  <c r="E695" i="222" s="1"/>
  <c r="G695" i="222"/>
  <c r="C687" i="222"/>
  <c r="E687" i="222" s="1"/>
  <c r="G687" i="222"/>
  <c r="C679" i="222"/>
  <c r="E679" i="222" s="1"/>
  <c r="G679" i="222"/>
  <c r="C661" i="222"/>
  <c r="E661" i="222" s="1"/>
  <c r="G661" i="222"/>
  <c r="C658" i="222"/>
  <c r="E658" i="222" s="1"/>
  <c r="G658" i="222"/>
  <c r="F658" i="222"/>
  <c r="C654" i="222"/>
  <c r="E654" i="222" s="1"/>
  <c r="G654" i="222"/>
  <c r="F654" i="222"/>
  <c r="C629" i="222"/>
  <c r="E629" i="222" s="1"/>
  <c r="G629" i="222"/>
  <c r="C625" i="222"/>
  <c r="E625" i="222" s="1"/>
  <c r="F625" i="222"/>
  <c r="F624" i="222"/>
  <c r="G624" i="222"/>
  <c r="C613" i="222"/>
  <c r="E613" i="222" s="1"/>
  <c r="G613" i="222"/>
  <c r="F613" i="222"/>
  <c r="C573" i="222"/>
  <c r="E573" i="222" s="1"/>
  <c r="G573" i="222"/>
  <c r="F573" i="222"/>
  <c r="C540" i="222"/>
  <c r="E540" i="222" s="1"/>
  <c r="G540" i="222"/>
  <c r="F540" i="222"/>
  <c r="C780" i="222"/>
  <c r="E780" i="222" s="1"/>
  <c r="G780" i="222"/>
  <c r="F780" i="222"/>
  <c r="C772" i="222"/>
  <c r="E772" i="222" s="1"/>
  <c r="G772" i="222"/>
  <c r="F772" i="222"/>
  <c r="C764" i="222"/>
  <c r="E764" i="222" s="1"/>
  <c r="G764" i="222"/>
  <c r="F764" i="222"/>
  <c r="C756" i="222"/>
  <c r="E756" i="222" s="1"/>
  <c r="G756" i="222"/>
  <c r="F756" i="222"/>
  <c r="C748" i="222"/>
  <c r="E748" i="222" s="1"/>
  <c r="G748" i="222"/>
  <c r="F748" i="222"/>
  <c r="C740" i="222"/>
  <c r="E740" i="222" s="1"/>
  <c r="G740" i="222"/>
  <c r="F740" i="222"/>
  <c r="C732" i="222"/>
  <c r="E732" i="222" s="1"/>
  <c r="G732" i="222"/>
  <c r="F732" i="222"/>
  <c r="C724" i="222"/>
  <c r="E724" i="222" s="1"/>
  <c r="G724" i="222"/>
  <c r="F724" i="222"/>
  <c r="C716" i="222"/>
  <c r="E716" i="222" s="1"/>
  <c r="G716" i="222"/>
  <c r="F716" i="222"/>
  <c r="C708" i="222"/>
  <c r="E708" i="222" s="1"/>
  <c r="G708" i="222"/>
  <c r="F708" i="222"/>
  <c r="C700" i="222"/>
  <c r="E700" i="222" s="1"/>
  <c r="G700" i="222"/>
  <c r="F700" i="222"/>
  <c r="C692" i="222"/>
  <c r="E692" i="222" s="1"/>
  <c r="G692" i="222"/>
  <c r="F692" i="222"/>
  <c r="C684" i="222"/>
  <c r="E684" i="222" s="1"/>
  <c r="G684" i="222"/>
  <c r="F684" i="222"/>
  <c r="C678" i="222"/>
  <c r="E678" i="222" s="1"/>
  <c r="G678" i="222"/>
  <c r="F678" i="222"/>
  <c r="C653" i="222"/>
  <c r="E653" i="222" s="1"/>
  <c r="G653" i="222"/>
  <c r="C650" i="222"/>
  <c r="E650" i="222" s="1"/>
  <c r="G650" i="222"/>
  <c r="F650" i="222"/>
  <c r="C646" i="222"/>
  <c r="E646" i="222" s="1"/>
  <c r="G646" i="222"/>
  <c r="F646" i="222"/>
  <c r="C626" i="222"/>
  <c r="E626" i="222" s="1"/>
  <c r="G626" i="222"/>
  <c r="F626" i="222"/>
  <c r="C605" i="222"/>
  <c r="E605" i="222" s="1"/>
  <c r="G605" i="222"/>
  <c r="F605" i="222"/>
  <c r="C516" i="222"/>
  <c r="E516" i="222" s="1"/>
  <c r="G516" i="222"/>
  <c r="F516" i="222"/>
  <c r="C512" i="222"/>
  <c r="E512" i="222" s="1"/>
  <c r="G512" i="222"/>
  <c r="F512" i="222"/>
  <c r="C597" i="222"/>
  <c r="E597" i="222" s="1"/>
  <c r="G597" i="222"/>
  <c r="F597" i="222"/>
  <c r="C569" i="222"/>
  <c r="E569" i="222" s="1"/>
  <c r="G569" i="222"/>
  <c r="F569" i="222"/>
  <c r="C544" i="222"/>
  <c r="E544" i="222" s="1"/>
  <c r="G544" i="222"/>
  <c r="F544" i="222"/>
  <c r="C536" i="222"/>
  <c r="E536" i="222" s="1"/>
  <c r="G536" i="222"/>
  <c r="F536" i="222"/>
  <c r="C524" i="222"/>
  <c r="E524" i="222" s="1"/>
  <c r="G524" i="222"/>
  <c r="F524" i="222"/>
  <c r="C508" i="222"/>
  <c r="E508" i="222" s="1"/>
  <c r="G508" i="222"/>
  <c r="F508" i="222"/>
  <c r="C492" i="222"/>
  <c r="E492" i="222" s="1"/>
  <c r="G492" i="222"/>
  <c r="F492" i="222"/>
  <c r="C577" i="222"/>
  <c r="E577" i="222" s="1"/>
  <c r="G577" i="222"/>
  <c r="F577" i="222"/>
  <c r="C572" i="222"/>
  <c r="E572" i="222" s="1"/>
  <c r="G572" i="222"/>
  <c r="F572" i="222"/>
  <c r="C538" i="222"/>
  <c r="E538" i="222" s="1"/>
  <c r="G538" i="222"/>
  <c r="F538" i="222"/>
  <c r="C520" i="222"/>
  <c r="E520" i="222" s="1"/>
  <c r="G520" i="222"/>
  <c r="F520" i="222"/>
  <c r="C504" i="222"/>
  <c r="E504" i="222" s="1"/>
  <c r="G504" i="222"/>
  <c r="F504" i="222"/>
  <c r="C610" i="222"/>
  <c r="E610" i="222" s="1"/>
  <c r="G610" i="222"/>
  <c r="F610" i="222"/>
  <c r="C596" i="222"/>
  <c r="E596" i="222" s="1"/>
  <c r="G596" i="222"/>
  <c r="C593" i="222"/>
  <c r="E593" i="222" s="1"/>
  <c r="G593" i="222"/>
  <c r="F593" i="222"/>
  <c r="C589" i="222"/>
  <c r="E589" i="222" s="1"/>
  <c r="G589" i="222"/>
  <c r="F589" i="222"/>
  <c r="C564" i="222"/>
  <c r="E564" i="222" s="1"/>
  <c r="G564" i="222"/>
  <c r="C561" i="222"/>
  <c r="E561" i="222" s="1"/>
  <c r="G561" i="222"/>
  <c r="F561" i="222"/>
  <c r="C557" i="222"/>
  <c r="E557" i="222" s="1"/>
  <c r="G557" i="222"/>
  <c r="F557" i="222"/>
  <c r="C630" i="222"/>
  <c r="E630" i="222" s="1"/>
  <c r="G630" i="222"/>
  <c r="C622" i="222"/>
  <c r="E622" i="222" s="1"/>
  <c r="G622" i="222"/>
  <c r="C614" i="222"/>
  <c r="E614" i="222" s="1"/>
  <c r="G614" i="222"/>
  <c r="C606" i="222"/>
  <c r="E606" i="222" s="1"/>
  <c r="G606" i="222"/>
  <c r="F596" i="222"/>
  <c r="C588" i="222"/>
  <c r="E588" i="222" s="1"/>
  <c r="G588" i="222"/>
  <c r="C585" i="222"/>
  <c r="E585" i="222" s="1"/>
  <c r="G585" i="222"/>
  <c r="F585" i="222"/>
  <c r="C581" i="222"/>
  <c r="E581" i="222" s="1"/>
  <c r="G581" i="222"/>
  <c r="F581" i="222"/>
  <c r="F564" i="222"/>
  <c r="C556" i="222"/>
  <c r="E556" i="222" s="1"/>
  <c r="G556" i="222"/>
  <c r="C553" i="222"/>
  <c r="E553" i="222" s="1"/>
  <c r="G553" i="222"/>
  <c r="F553" i="222"/>
  <c r="C549" i="222"/>
  <c r="E549" i="222" s="1"/>
  <c r="G549" i="222"/>
  <c r="F549" i="222"/>
  <c r="G530" i="222"/>
  <c r="G526" i="222"/>
  <c r="G522" i="222"/>
  <c r="G518" i="222"/>
  <c r="G514" i="222"/>
  <c r="G510" i="222"/>
  <c r="G506" i="222"/>
  <c r="G502" i="222"/>
  <c r="G498" i="222"/>
  <c r="G494" i="222"/>
  <c r="G490" i="222"/>
  <c r="F488" i="222"/>
  <c r="G488" i="222"/>
  <c r="B9" i="221"/>
  <c r="C9" i="221" s="1"/>
  <c r="E9" i="221" s="1"/>
  <c r="B10" i="221"/>
  <c r="C10" i="221" s="1"/>
  <c r="E10" i="221" s="1"/>
  <c r="B11" i="221"/>
  <c r="C11" i="221" s="1"/>
  <c r="E11" i="221" s="1"/>
  <c r="B12" i="221"/>
  <c r="C12" i="221" s="1"/>
  <c r="E12" i="221" s="1"/>
  <c r="B13" i="221"/>
  <c r="C13" i="221" s="1"/>
  <c r="E13" i="221" s="1"/>
  <c r="B14" i="221"/>
  <c r="C14" i="221" s="1"/>
  <c r="E14" i="221" s="1"/>
  <c r="B15" i="221"/>
  <c r="C15" i="221" s="1"/>
  <c r="E15" i="221" s="1"/>
  <c r="B16" i="221"/>
  <c r="C16" i="221" s="1"/>
  <c r="E16" i="221" s="1"/>
  <c r="B17" i="221"/>
  <c r="C17" i="221" s="1"/>
  <c r="E17" i="221" s="1"/>
  <c r="B18" i="221"/>
  <c r="C18" i="221" s="1"/>
  <c r="E18" i="221" s="1"/>
  <c r="B19" i="221"/>
  <c r="C19" i="221" s="1"/>
  <c r="E19" i="221" s="1"/>
  <c r="B20" i="221"/>
  <c r="C20" i="221" s="1"/>
  <c r="E20" i="221" s="1"/>
  <c r="B21" i="221"/>
  <c r="C21" i="221" s="1"/>
  <c r="E21" i="221" s="1"/>
  <c r="B22" i="221"/>
  <c r="C22" i="221" s="1"/>
  <c r="E22" i="221" s="1"/>
  <c r="B23" i="221"/>
  <c r="C23" i="221" s="1"/>
  <c r="E23" i="221" s="1"/>
  <c r="B24" i="221"/>
  <c r="C24" i="221" s="1"/>
  <c r="E24" i="221" s="1"/>
  <c r="B25" i="221"/>
  <c r="C25" i="221" s="1"/>
  <c r="E25" i="221" s="1"/>
  <c r="B26" i="221"/>
  <c r="C26" i="221" s="1"/>
  <c r="E26" i="221" s="1"/>
  <c r="B27" i="221"/>
  <c r="C27" i="221" s="1"/>
  <c r="E27" i="221" s="1"/>
  <c r="B28" i="221"/>
  <c r="C28" i="221" s="1"/>
  <c r="E28" i="221" s="1"/>
  <c r="B29" i="221"/>
  <c r="C29" i="221" s="1"/>
  <c r="E29" i="221" s="1"/>
  <c r="B30" i="221"/>
  <c r="C30" i="221" s="1"/>
  <c r="E30" i="221" s="1"/>
  <c r="B31" i="221"/>
  <c r="C31" i="221" s="1"/>
  <c r="E31" i="221" s="1"/>
  <c r="B32" i="221"/>
  <c r="C32" i="221" s="1"/>
  <c r="E32" i="221" s="1"/>
  <c r="B33" i="221"/>
  <c r="C33" i="221" s="1"/>
  <c r="E33" i="221" s="1"/>
  <c r="B34" i="221"/>
  <c r="C34" i="221" s="1"/>
  <c r="E34" i="221" s="1"/>
  <c r="B35" i="221"/>
  <c r="C35" i="221" s="1"/>
  <c r="E35" i="221" s="1"/>
  <c r="B36" i="221"/>
  <c r="C36" i="221" s="1"/>
  <c r="E36" i="221" s="1"/>
  <c r="B37" i="221"/>
  <c r="C37" i="221" s="1"/>
  <c r="E37" i="221" s="1"/>
  <c r="B38" i="221"/>
  <c r="C38" i="221" s="1"/>
  <c r="E38" i="221" s="1"/>
  <c r="B39" i="221"/>
  <c r="C39" i="221" s="1"/>
  <c r="E39" i="221" s="1"/>
  <c r="B40" i="221"/>
  <c r="C40" i="221" s="1"/>
  <c r="E40" i="221" s="1"/>
  <c r="B41" i="221"/>
  <c r="C41" i="221" s="1"/>
  <c r="E41" i="221" s="1"/>
  <c r="B57" i="221"/>
  <c r="D57" i="221"/>
  <c r="B58" i="221"/>
  <c r="D58" i="221"/>
  <c r="B59" i="221"/>
  <c r="D59" i="221"/>
  <c r="B60" i="221"/>
  <c r="D60" i="221"/>
  <c r="B61" i="221"/>
  <c r="D61" i="221"/>
  <c r="B62" i="221"/>
  <c r="D62" i="221"/>
  <c r="B63" i="221"/>
  <c r="D63" i="221"/>
  <c r="B64" i="221"/>
  <c r="D64" i="221"/>
  <c r="B65" i="221"/>
  <c r="D65" i="221"/>
  <c r="B66" i="221"/>
  <c r="D66" i="221"/>
  <c r="B67" i="221"/>
  <c r="D67" i="221"/>
  <c r="B68" i="221"/>
  <c r="D68" i="221"/>
  <c r="B69" i="221"/>
  <c r="D69" i="221"/>
  <c r="B70" i="221"/>
  <c r="D70" i="221"/>
  <c r="B71" i="221"/>
  <c r="D71" i="221"/>
  <c r="B72" i="221"/>
  <c r="D72" i="221"/>
  <c r="B73" i="221"/>
  <c r="D73" i="221"/>
  <c r="B74" i="221"/>
  <c r="D74" i="221"/>
  <c r="B75" i="221"/>
  <c r="D75" i="221"/>
  <c r="B76" i="221"/>
  <c r="D76" i="221"/>
  <c r="B77" i="221"/>
  <c r="D77" i="221"/>
  <c r="B78" i="221"/>
  <c r="D78" i="221"/>
  <c r="B79" i="221"/>
  <c r="D79" i="221"/>
  <c r="B80" i="221"/>
  <c r="D80" i="221"/>
  <c r="B81" i="221"/>
  <c r="D81" i="221"/>
  <c r="B82" i="221"/>
  <c r="D82" i="221"/>
  <c r="B83" i="221"/>
  <c r="D83" i="221"/>
  <c r="B84" i="221"/>
  <c r="D84" i="221"/>
  <c r="B85" i="221"/>
  <c r="D85" i="221"/>
  <c r="B86" i="221"/>
  <c r="D86" i="221"/>
  <c r="B87" i="221"/>
  <c r="D87" i="221"/>
  <c r="B88" i="221"/>
  <c r="D88" i="221"/>
  <c r="B89" i="221"/>
  <c r="D89" i="221"/>
  <c r="D56" i="221"/>
  <c r="B56" i="221"/>
  <c r="E49" i="221"/>
  <c r="D53" i="221" s="1"/>
  <c r="E47" i="221"/>
  <c r="D52" i="221" s="1"/>
  <c r="E46" i="221"/>
  <c r="E45" i="221"/>
  <c r="D8" i="221"/>
  <c r="B8" i="221"/>
  <c r="C8" i="221" s="1"/>
  <c r="E8" i="221" s="1"/>
  <c r="F75" i="226" l="1"/>
  <c r="G75" i="226" s="1"/>
  <c r="C76" i="226"/>
  <c r="B77" i="226"/>
  <c r="A78" i="226"/>
  <c r="H517" i="222"/>
  <c r="F11" i="221"/>
  <c r="C58" i="221"/>
  <c r="H865" i="222"/>
  <c r="H701" i="222"/>
  <c r="H562" i="222"/>
  <c r="H592" i="222"/>
  <c r="H602" i="222"/>
  <c r="H574" i="222"/>
  <c r="H699" i="222"/>
  <c r="H805" i="222"/>
  <c r="H829" i="222"/>
  <c r="H489" i="222"/>
  <c r="H550" i="222"/>
  <c r="H641" i="222"/>
  <c r="H729" i="222"/>
  <c r="H525" i="222"/>
  <c r="H551" i="222"/>
  <c r="H513" i="222"/>
  <c r="H656" i="222"/>
  <c r="H810" i="222"/>
  <c r="H655" i="222"/>
  <c r="H590" i="222"/>
  <c r="H714" i="222"/>
  <c r="H497" i="222"/>
  <c r="H505" i="222"/>
  <c r="H861" i="222"/>
  <c r="H675" i="222"/>
  <c r="H897" i="222"/>
  <c r="H913" i="222"/>
  <c r="H722" i="222"/>
  <c r="H922" i="222"/>
  <c r="H821" i="222"/>
  <c r="H503" i="222"/>
  <c r="H718" i="222"/>
  <c r="H745" i="222"/>
  <c r="H753" i="222"/>
  <c r="H886" i="222"/>
  <c r="H942" i="222"/>
  <c r="H837" i="222"/>
  <c r="H950" i="222"/>
  <c r="F118" i="222"/>
  <c r="H118" i="222" s="1"/>
  <c r="H949" i="222"/>
  <c r="H945" i="222"/>
  <c r="H869" i="222"/>
  <c r="H797" i="222"/>
  <c r="H908" i="222"/>
  <c r="H934" i="222"/>
  <c r="H916" i="222"/>
  <c r="H884" i="222"/>
  <c r="H702" i="222"/>
  <c r="H801" i="222"/>
  <c r="H943" i="222"/>
  <c r="H776" i="222"/>
  <c r="H558" i="222"/>
  <c r="H697" i="222"/>
  <c r="H730" i="222"/>
  <c r="H583" i="222"/>
  <c r="H777" i="222"/>
  <c r="H707" i="222"/>
  <c r="H631" i="222"/>
  <c r="H531" i="222"/>
  <c r="H515" i="222"/>
  <c r="H757" i="222"/>
  <c r="H938" i="222"/>
  <c r="H690" i="222"/>
  <c r="H855" i="222"/>
  <c r="H720" i="222"/>
  <c r="H607" i="222"/>
  <c r="H706" i="222"/>
  <c r="H545" i="222"/>
  <c r="H682" i="222"/>
  <c r="H649" i="222"/>
  <c r="H770" i="222"/>
  <c r="H615" i="222"/>
  <c r="H523" i="222"/>
  <c r="H766" i="222"/>
  <c r="H904" i="222"/>
  <c r="H933" i="222"/>
  <c r="H758" i="222"/>
  <c r="H609" i="222"/>
  <c r="H593" i="222"/>
  <c r="H852" i="222"/>
  <c r="H889" i="222"/>
  <c r="H750" i="222"/>
  <c r="H948" i="222"/>
  <c r="H600" i="222"/>
  <c r="H673" i="222"/>
  <c r="H643" i="222"/>
  <c r="H519" i="222"/>
  <c r="H782" i="222"/>
  <c r="H555" i="222"/>
  <c r="H785" i="222"/>
  <c r="H723" i="222"/>
  <c r="H761" i="222"/>
  <c r="H937" i="222"/>
  <c r="H929" i="222"/>
  <c r="H921" i="222"/>
  <c r="H872" i="222"/>
  <c r="H825" i="222"/>
  <c r="H815" i="222"/>
  <c r="H685" i="222"/>
  <c r="H749" i="222"/>
  <c r="H692" i="222"/>
  <c r="H724" i="222"/>
  <c r="H756" i="222"/>
  <c r="H540" i="222"/>
  <c r="H939" i="222"/>
  <c r="H671" i="222"/>
  <c r="H896" i="222"/>
  <c r="H809" i="222"/>
  <c r="H725" i="222"/>
  <c r="H831" i="222"/>
  <c r="H621" i="222"/>
  <c r="H529" i="222"/>
  <c r="H611" i="222"/>
  <c r="H663" i="222"/>
  <c r="H665" i="222"/>
  <c r="H594" i="222"/>
  <c r="H587" i="222"/>
  <c r="H604" i="222"/>
  <c r="H576" i="222"/>
  <c r="H746" i="222"/>
  <c r="H765" i="222"/>
  <c r="H941" i="222"/>
  <c r="H848" i="222"/>
  <c r="H878" i="222"/>
  <c r="H910" i="222"/>
  <c r="H506" i="222"/>
  <c r="H522" i="222"/>
  <c r="H755" i="222"/>
  <c r="H923" i="222"/>
  <c r="H924" i="222"/>
  <c r="H867" i="222"/>
  <c r="H880" i="222"/>
  <c r="H733" i="222"/>
  <c r="H793" i="222"/>
  <c r="H843" i="222"/>
  <c r="H946" i="222"/>
  <c r="H892" i="222"/>
  <c r="H864" i="222"/>
  <c r="H742" i="222"/>
  <c r="H579" i="222"/>
  <c r="H691" i="222"/>
  <c r="H900" i="222"/>
  <c r="H918" i="222"/>
  <c r="H925" i="222"/>
  <c r="H841" i="222"/>
  <c r="H902" i="222"/>
  <c r="H557" i="222"/>
  <c r="H739" i="222"/>
  <c r="H795" i="222"/>
  <c r="H726" i="222"/>
  <c r="H799" i="222"/>
  <c r="H659" i="222"/>
  <c r="H640" i="222"/>
  <c r="H835" i="222"/>
  <c r="H494" i="222"/>
  <c r="H510" i="222"/>
  <c r="H526" i="222"/>
  <c r="H549" i="222"/>
  <c r="H715" i="222"/>
  <c r="H927" i="222"/>
  <c r="H936" i="222"/>
  <c r="H521" i="222"/>
  <c r="H543" i="222"/>
  <c r="H491" i="222"/>
  <c r="H535" i="222"/>
  <c r="H838" i="222"/>
  <c r="H566" i="222"/>
  <c r="H546" i="222"/>
  <c r="H527" i="222"/>
  <c r="H762" i="222"/>
  <c r="H834" i="222"/>
  <c r="H860" i="222"/>
  <c r="H876" i="222"/>
  <c r="H817" i="222"/>
  <c r="H721" i="222"/>
  <c r="H650" i="222"/>
  <c r="H827" i="222"/>
  <c r="H520" i="222"/>
  <c r="H518" i="222"/>
  <c r="H554" i="222"/>
  <c r="H608" i="222"/>
  <c r="H595" i="222"/>
  <c r="H738" i="222"/>
  <c r="H845" i="222"/>
  <c r="H919" i="222"/>
  <c r="H668" i="222"/>
  <c r="H689" i="222"/>
  <c r="H818" i="222"/>
  <c r="H873" i="222"/>
  <c r="H905" i="222"/>
  <c r="H651" i="222"/>
  <c r="H552" i="222"/>
  <c r="H598" i="222"/>
  <c r="H582" i="222"/>
  <c r="H570" i="222"/>
  <c r="H539" i="222"/>
  <c r="H507" i="222"/>
  <c r="H660" i="222"/>
  <c r="H710" i="222"/>
  <c r="H741" i="222"/>
  <c r="H773" i="222"/>
  <c r="H509" i="222"/>
  <c r="H713" i="222"/>
  <c r="H774" i="222"/>
  <c r="H789" i="222"/>
  <c r="H885" i="222"/>
  <c r="H917" i="222"/>
  <c r="H940" i="222"/>
  <c r="H709" i="222"/>
  <c r="H833" i="222"/>
  <c r="H822" i="222"/>
  <c r="H912" i="222"/>
  <c r="H781" i="222"/>
  <c r="H814" i="222"/>
  <c r="H909" i="222"/>
  <c r="H930" i="222"/>
  <c r="H890" i="222"/>
  <c r="H882" i="222"/>
  <c r="H931" i="222"/>
  <c r="H871" i="222"/>
  <c r="H914" i="222"/>
  <c r="H498" i="222"/>
  <c r="H514" i="222"/>
  <c r="H530" i="222"/>
  <c r="H644" i="222"/>
  <c r="H898" i="222"/>
  <c r="H874" i="222"/>
  <c r="H906" i="222"/>
  <c r="H928" i="222"/>
  <c r="H944" i="222"/>
  <c r="H599" i="222"/>
  <c r="H863" i="222"/>
  <c r="H813" i="222"/>
  <c r="H612" i="222"/>
  <c r="H560" i="222"/>
  <c r="H693" i="222"/>
  <c r="H657" i="222"/>
  <c r="H571" i="222"/>
  <c r="H628" i="222"/>
  <c r="H717" i="222"/>
  <c r="H698" i="222"/>
  <c r="H672" i="222"/>
  <c r="H547" i="222"/>
  <c r="H568" i="222"/>
  <c r="H932" i="222"/>
  <c r="H851" i="222"/>
  <c r="H920" i="222"/>
  <c r="H952" i="222"/>
  <c r="H926" i="222"/>
  <c r="H524" i="222"/>
  <c r="H679" i="222"/>
  <c r="H677" i="222"/>
  <c r="H784" i="222"/>
  <c r="H796" i="222"/>
  <c r="H812" i="222"/>
  <c r="H828" i="222"/>
  <c r="H850" i="222"/>
  <c r="H632" i="222"/>
  <c r="H499" i="222"/>
  <c r="H559" i="222"/>
  <c r="H533" i="222"/>
  <c r="H578" i="222"/>
  <c r="H563" i="222"/>
  <c r="H537" i="222"/>
  <c r="H794" i="222"/>
  <c r="H681" i="222"/>
  <c r="H763" i="222"/>
  <c r="H791" i="222"/>
  <c r="H830" i="222"/>
  <c r="H842" i="222"/>
  <c r="H676" i="222"/>
  <c r="H802" i="222"/>
  <c r="H826" i="222"/>
  <c r="H868" i="222"/>
  <c r="H586" i="222"/>
  <c r="H737" i="222"/>
  <c r="H798" i="222"/>
  <c r="H619" i="222"/>
  <c r="H883" i="222"/>
  <c r="H839" i="222"/>
  <c r="H502" i="222"/>
  <c r="H624" i="222"/>
  <c r="H629" i="222"/>
  <c r="H661" i="222"/>
  <c r="H859" i="222"/>
  <c r="H935" i="222"/>
  <c r="H951" i="222"/>
  <c r="H771" i="222"/>
  <c r="H634" i="222"/>
  <c r="H669" i="222"/>
  <c r="H495" i="222"/>
  <c r="H541" i="222"/>
  <c r="H493" i="222"/>
  <c r="H694" i="222"/>
  <c r="H754" i="222"/>
  <c r="H778" i="222"/>
  <c r="H731" i="222"/>
  <c r="H786" i="222"/>
  <c r="H857" i="222"/>
  <c r="H881" i="222"/>
  <c r="H623" i="222"/>
  <c r="H807" i="222"/>
  <c r="H806" i="222"/>
  <c r="H652" i="222"/>
  <c r="H888" i="222"/>
  <c r="H901" i="222"/>
  <c r="H953" i="222"/>
  <c r="H620" i="222"/>
  <c r="H635" i="222"/>
  <c r="H705" i="222"/>
  <c r="H734" i="222"/>
  <c r="H853" i="222"/>
  <c r="H894" i="222"/>
  <c r="H790" i="222"/>
  <c r="H844" i="222"/>
  <c r="H877" i="222"/>
  <c r="H627" i="222"/>
  <c r="H811" i="222"/>
  <c r="H899" i="222"/>
  <c r="H490" i="222"/>
  <c r="H588" i="222"/>
  <c r="H847" i="222"/>
  <c r="H779" i="222"/>
  <c r="H788" i="222"/>
  <c r="H947" i="222"/>
  <c r="H501" i="222"/>
  <c r="H648" i="222"/>
  <c r="H603" i="222"/>
  <c r="H639" i="222"/>
  <c r="H667" i="222"/>
  <c r="H686" i="222"/>
  <c r="H591" i="222"/>
  <c r="H584" i="222"/>
  <c r="H511" i="222"/>
  <c r="H647" i="222"/>
  <c r="H636" i="222"/>
  <c r="H664" i="222"/>
  <c r="H856" i="222"/>
  <c r="H769" i="222"/>
  <c r="H823" i="222"/>
  <c r="H849" i="222"/>
  <c r="H893" i="222"/>
  <c r="H488" i="222"/>
  <c r="H556" i="222"/>
  <c r="H585" i="222"/>
  <c r="H614" i="222"/>
  <c r="H630" i="222"/>
  <c r="H564" i="222"/>
  <c r="H589" i="222"/>
  <c r="H597" i="222"/>
  <c r="H512" i="222"/>
  <c r="H646" i="222"/>
  <c r="H684" i="222"/>
  <c r="H716" i="222"/>
  <c r="H748" i="222"/>
  <c r="H780" i="222"/>
  <c r="H613" i="222"/>
  <c r="H687" i="222"/>
  <c r="H703" i="222"/>
  <c r="H719" i="222"/>
  <c r="H735" i="222"/>
  <c r="H751" i="222"/>
  <c r="H767" i="222"/>
  <c r="H783" i="222"/>
  <c r="H800" i="222"/>
  <c r="H816" i="222"/>
  <c r="H832" i="222"/>
  <c r="H565" i="222"/>
  <c r="H638" i="222"/>
  <c r="H662" i="222"/>
  <c r="H683" i="222"/>
  <c r="H752" i="222"/>
  <c r="H618" i="222"/>
  <c r="H542" i="222"/>
  <c r="H617" i="222"/>
  <c r="H680" i="222"/>
  <c r="H712" i="222"/>
  <c r="H744" i="222"/>
  <c r="H879" i="222"/>
  <c r="H895" i="222"/>
  <c r="H911" i="222"/>
  <c r="H580" i="222"/>
  <c r="H854" i="222"/>
  <c r="H862" i="222"/>
  <c r="H870" i="222"/>
  <c r="H548" i="222"/>
  <c r="H696" i="222"/>
  <c r="H581" i="222"/>
  <c r="H596" i="222"/>
  <c r="H610" i="222"/>
  <c r="H577" i="222"/>
  <c r="H492" i="222"/>
  <c r="H544" i="222"/>
  <c r="H569" i="222"/>
  <c r="H516" i="222"/>
  <c r="H605" i="222"/>
  <c r="H626" i="222"/>
  <c r="H653" i="222"/>
  <c r="H678" i="222"/>
  <c r="H708" i="222"/>
  <c r="H740" i="222"/>
  <c r="H772" i="222"/>
  <c r="H625" i="222"/>
  <c r="H658" i="222"/>
  <c r="H534" i="222"/>
  <c r="H633" i="222"/>
  <c r="H804" i="222"/>
  <c r="H820" i="222"/>
  <c r="H836" i="222"/>
  <c r="H768" i="222"/>
  <c r="H760" i="222"/>
  <c r="H915" i="222"/>
  <c r="H637" i="222"/>
  <c r="H642" i="222"/>
  <c r="H670" i="222"/>
  <c r="H496" i="222"/>
  <c r="H500" i="222"/>
  <c r="H601" i="222"/>
  <c r="H704" i="222"/>
  <c r="H666" i="222"/>
  <c r="H787" i="222"/>
  <c r="H803" i="222"/>
  <c r="H819" i="222"/>
  <c r="H875" i="222"/>
  <c r="H891" i="222"/>
  <c r="H907" i="222"/>
  <c r="H553" i="222"/>
  <c r="H606" i="222"/>
  <c r="H622" i="222"/>
  <c r="H561" i="222"/>
  <c r="H504" i="222"/>
  <c r="H538" i="222"/>
  <c r="H572" i="222"/>
  <c r="H508" i="222"/>
  <c r="H536" i="222"/>
  <c r="H700" i="222"/>
  <c r="H732" i="222"/>
  <c r="H764" i="222"/>
  <c r="H573" i="222"/>
  <c r="H654" i="222"/>
  <c r="H695" i="222"/>
  <c r="H711" i="222"/>
  <c r="H727" i="222"/>
  <c r="H743" i="222"/>
  <c r="H759" i="222"/>
  <c r="H775" i="222"/>
  <c r="H792" i="222"/>
  <c r="H808" i="222"/>
  <c r="H824" i="222"/>
  <c r="H840" i="222"/>
  <c r="H528" i="222"/>
  <c r="H532" i="222"/>
  <c r="H567" i="222"/>
  <c r="H575" i="222"/>
  <c r="H688" i="222"/>
  <c r="H747" i="222"/>
  <c r="H736" i="222"/>
  <c r="H887" i="222"/>
  <c r="H903" i="222"/>
  <c r="H616" i="222"/>
  <c r="H674" i="222"/>
  <c r="H846" i="222"/>
  <c r="H858" i="222"/>
  <c r="H866" i="222"/>
  <c r="H645" i="222"/>
  <c r="H728" i="222"/>
  <c r="E58" i="221"/>
  <c r="F41" i="221"/>
  <c r="H41" i="221" s="1"/>
  <c r="K41" i="221" s="1"/>
  <c r="F37" i="221"/>
  <c r="H37" i="221" s="1"/>
  <c r="F33" i="221"/>
  <c r="H33" i="221" s="1"/>
  <c r="F29" i="221"/>
  <c r="F22" i="221"/>
  <c r="F16" i="221"/>
  <c r="F12" i="221"/>
  <c r="F38" i="221"/>
  <c r="F34" i="221"/>
  <c r="F30" i="221"/>
  <c r="F23" i="221"/>
  <c r="F13" i="221"/>
  <c r="F9" i="221"/>
  <c r="F39" i="221"/>
  <c r="F35" i="221"/>
  <c r="F31" i="221"/>
  <c r="F27" i="221"/>
  <c r="F24" i="221"/>
  <c r="F20" i="221"/>
  <c r="F19" i="221"/>
  <c r="H19" i="221" s="1"/>
  <c r="F14" i="221"/>
  <c r="F10" i="221"/>
  <c r="F40" i="221"/>
  <c r="F36" i="221"/>
  <c r="F32" i="221"/>
  <c r="F28" i="221"/>
  <c r="F25" i="221"/>
  <c r="F21" i="221"/>
  <c r="F18" i="221"/>
  <c r="F17" i="221"/>
  <c r="F15" i="221"/>
  <c r="H15" i="221" s="1"/>
  <c r="H11" i="221"/>
  <c r="C82" i="221"/>
  <c r="E82" i="221" s="1"/>
  <c r="C78" i="221"/>
  <c r="E78" i="221" s="1"/>
  <c r="C71" i="221"/>
  <c r="E71" i="221" s="1"/>
  <c r="C63" i="221"/>
  <c r="E63" i="221" s="1"/>
  <c r="F26" i="221"/>
  <c r="F59" i="221"/>
  <c r="F58" i="221"/>
  <c r="F66" i="221"/>
  <c r="F85" i="221"/>
  <c r="F86" i="221"/>
  <c r="F69" i="221"/>
  <c r="F65" i="221"/>
  <c r="F75" i="221"/>
  <c r="F62" i="221"/>
  <c r="F70" i="221"/>
  <c r="F61" i="221"/>
  <c r="C86" i="221"/>
  <c r="E86" i="221" s="1"/>
  <c r="C83" i="221"/>
  <c r="E83" i="221" s="1"/>
  <c r="C87" i="221"/>
  <c r="E87" i="221" s="1"/>
  <c r="C79" i="221"/>
  <c r="E79" i="221" s="1"/>
  <c r="C74" i="221"/>
  <c r="E74" i="221" s="1"/>
  <c r="C67" i="221"/>
  <c r="E67" i="221" s="1"/>
  <c r="C59" i="221"/>
  <c r="E59" i="221" s="1"/>
  <c r="C77" i="221"/>
  <c r="E77" i="221" s="1"/>
  <c r="G58" i="221"/>
  <c r="G62" i="221"/>
  <c r="G66" i="221"/>
  <c r="G70" i="221"/>
  <c r="G75" i="221"/>
  <c r="G86" i="221"/>
  <c r="G87" i="221"/>
  <c r="G59" i="221"/>
  <c r="G63" i="221"/>
  <c r="G67" i="221"/>
  <c r="G71" i="221"/>
  <c r="G82" i="221"/>
  <c r="G79" i="221"/>
  <c r="G78" i="221"/>
  <c r="G83" i="221"/>
  <c r="G57" i="221"/>
  <c r="G74" i="221"/>
  <c r="F89" i="221"/>
  <c r="F88" i="221"/>
  <c r="C81" i="221"/>
  <c r="E81" i="221" s="1"/>
  <c r="F79" i="221"/>
  <c r="F74" i="221"/>
  <c r="F73" i="221"/>
  <c r="F72" i="221"/>
  <c r="C68" i="221"/>
  <c r="E68" i="221" s="1"/>
  <c r="C64" i="221"/>
  <c r="E64" i="221" s="1"/>
  <c r="C60" i="221"/>
  <c r="E60" i="221" s="1"/>
  <c r="F57" i="221"/>
  <c r="C85" i="221"/>
  <c r="E85" i="221" s="1"/>
  <c r="F83" i="221"/>
  <c r="F78" i="221"/>
  <c r="F77" i="221"/>
  <c r="C75" i="221"/>
  <c r="E75" i="221" s="1"/>
  <c r="C70" i="221"/>
  <c r="E70" i="221" s="1"/>
  <c r="C69" i="221"/>
  <c r="E69" i="221" s="1"/>
  <c r="C66" i="221"/>
  <c r="E66" i="221" s="1"/>
  <c r="C65" i="221"/>
  <c r="E65" i="221" s="1"/>
  <c r="C62" i="221"/>
  <c r="E62" i="221" s="1"/>
  <c r="C61" i="221"/>
  <c r="E61" i="221" s="1"/>
  <c r="C56" i="221"/>
  <c r="E56" i="221" s="1"/>
  <c r="C89" i="221"/>
  <c r="E89" i="221" s="1"/>
  <c r="F87" i="221"/>
  <c r="F82" i="221"/>
  <c r="F81" i="221"/>
  <c r="F80" i="221"/>
  <c r="C73" i="221"/>
  <c r="E73" i="221" s="1"/>
  <c r="F71" i="221"/>
  <c r="F68" i="221"/>
  <c r="F67" i="221"/>
  <c r="F64" i="221"/>
  <c r="F63" i="221"/>
  <c r="F60" i="221"/>
  <c r="C57" i="221"/>
  <c r="E57" i="221" s="1"/>
  <c r="C84" i="221"/>
  <c r="E84" i="221" s="1"/>
  <c r="G84" i="221"/>
  <c r="C76" i="221"/>
  <c r="E76" i="221" s="1"/>
  <c r="G76" i="221"/>
  <c r="C88" i="221"/>
  <c r="E88" i="221" s="1"/>
  <c r="G88" i="221"/>
  <c r="C80" i="221"/>
  <c r="E80" i="221" s="1"/>
  <c r="G80" i="221"/>
  <c r="C72" i="221"/>
  <c r="E72" i="221" s="1"/>
  <c r="G72" i="221"/>
  <c r="F84" i="221"/>
  <c r="F76" i="221"/>
  <c r="G89" i="221"/>
  <c r="G85" i="221"/>
  <c r="G81" i="221"/>
  <c r="G77" i="221"/>
  <c r="G73" i="221"/>
  <c r="G69" i="221"/>
  <c r="G65" i="221"/>
  <c r="G61" i="221"/>
  <c r="G68" i="221"/>
  <c r="G64" i="221"/>
  <c r="G60" i="221"/>
  <c r="F56" i="221"/>
  <c r="F8" i="221"/>
  <c r="G56" i="221"/>
  <c r="F76" i="226" l="1"/>
  <c r="G76" i="226" s="1"/>
  <c r="C77" i="226"/>
  <c r="B78" i="226"/>
  <c r="A79" i="226"/>
  <c r="K15" i="221"/>
  <c r="L15" i="221" s="1"/>
  <c r="K118" i="222"/>
  <c r="L118" i="222" s="1"/>
  <c r="K19" i="221"/>
  <c r="L19" i="221" s="1"/>
  <c r="K33" i="221"/>
  <c r="L33" i="221" s="1"/>
  <c r="K37" i="221"/>
  <c r="L37" i="221" s="1"/>
  <c r="K11" i="221"/>
  <c r="L11" i="221" s="1"/>
  <c r="K645" i="222"/>
  <c r="L645" i="222" s="1"/>
  <c r="K567" i="222"/>
  <c r="L567" i="222" s="1"/>
  <c r="K695" i="222"/>
  <c r="L695" i="222" s="1"/>
  <c r="K622" i="222"/>
  <c r="L622" i="222" s="1"/>
  <c r="K500" i="222"/>
  <c r="L500" i="222" s="1"/>
  <c r="K534" i="222"/>
  <c r="L534" i="222" s="1"/>
  <c r="K544" i="222"/>
  <c r="L544" i="222" s="1"/>
  <c r="K911" i="222"/>
  <c r="L911" i="222" s="1"/>
  <c r="K638" i="222"/>
  <c r="L638" i="222" s="1"/>
  <c r="K613" i="222"/>
  <c r="L613" i="222" s="1"/>
  <c r="K585" i="222"/>
  <c r="L585" i="222" s="1"/>
  <c r="K584" i="222"/>
  <c r="L584" i="222" s="1"/>
  <c r="K588" i="222"/>
  <c r="L588" i="222" s="1"/>
  <c r="K635" i="222"/>
  <c r="L635" i="222" s="1"/>
  <c r="K731" i="222"/>
  <c r="L731" i="222" s="1"/>
  <c r="K859" i="222"/>
  <c r="L859" i="222" s="1"/>
  <c r="K826" i="222"/>
  <c r="L826" i="222" s="1"/>
  <c r="K533" i="222"/>
  <c r="L533" i="222" s="1"/>
  <c r="K926" i="222"/>
  <c r="L926" i="222" s="1"/>
  <c r="K657" i="222"/>
  <c r="L657" i="222" s="1"/>
  <c r="K644" i="222"/>
  <c r="L644" i="222" s="1"/>
  <c r="K781" i="222"/>
  <c r="L781" i="222" s="1"/>
  <c r="K773" i="222"/>
  <c r="L773" i="222" s="1"/>
  <c r="K873" i="222"/>
  <c r="L873" i="222" s="1"/>
  <c r="K827" i="222"/>
  <c r="L827" i="222" s="1"/>
  <c r="K535" i="222"/>
  <c r="L535" i="222" s="1"/>
  <c r="K640" i="222"/>
  <c r="L640" i="222" s="1"/>
  <c r="K691" i="222"/>
  <c r="L691" i="222" s="1"/>
  <c r="K923" i="222"/>
  <c r="L923" i="222" s="1"/>
  <c r="K587" i="222"/>
  <c r="L587" i="222" s="1"/>
  <c r="K939" i="222"/>
  <c r="L939" i="222" s="1"/>
  <c r="K937" i="222"/>
  <c r="L937" i="222" s="1"/>
  <c r="K889" i="222"/>
  <c r="L889" i="222" s="1"/>
  <c r="K682" i="222"/>
  <c r="L682" i="222" s="1"/>
  <c r="K707" i="222"/>
  <c r="L707" i="222" s="1"/>
  <c r="K934" i="222"/>
  <c r="L934" i="222" s="1"/>
  <c r="K745" i="222"/>
  <c r="L745" i="222" s="1"/>
  <c r="K714" i="222"/>
  <c r="L714" i="222" s="1"/>
  <c r="K829" i="222"/>
  <c r="L829" i="222" s="1"/>
  <c r="K866" i="222"/>
  <c r="L866" i="222" s="1"/>
  <c r="K532" i="222"/>
  <c r="L532" i="222" s="1"/>
  <c r="K654" i="222"/>
  <c r="L654" i="222" s="1"/>
  <c r="K606" i="222"/>
  <c r="L606" i="222" s="1"/>
  <c r="K496" i="222"/>
  <c r="L496" i="222" s="1"/>
  <c r="K658" i="222"/>
  <c r="L658" i="222" s="1"/>
  <c r="K492" i="222"/>
  <c r="L492" i="222" s="1"/>
  <c r="K895" i="222"/>
  <c r="L895" i="222" s="1"/>
  <c r="K565" i="222"/>
  <c r="L565" i="222" s="1"/>
  <c r="K780" i="222"/>
  <c r="L780" i="222" s="1"/>
  <c r="K556" i="222"/>
  <c r="L556" i="222" s="1"/>
  <c r="K591" i="222"/>
  <c r="L591" i="222" s="1"/>
  <c r="K490" i="222"/>
  <c r="L490" i="222" s="1"/>
  <c r="K620" i="222"/>
  <c r="L620" i="222" s="1"/>
  <c r="K778" i="222"/>
  <c r="L778" i="222" s="1"/>
  <c r="K661" i="222"/>
  <c r="L661" i="222" s="1"/>
  <c r="K802" i="222"/>
  <c r="L802" i="222" s="1"/>
  <c r="K559" i="222"/>
  <c r="L559" i="222" s="1"/>
  <c r="K952" i="222"/>
  <c r="L952" i="222" s="1"/>
  <c r="K693" i="222"/>
  <c r="L693" i="222" s="1"/>
  <c r="K530" i="222"/>
  <c r="L530" i="222" s="1"/>
  <c r="K912" i="222"/>
  <c r="L912" i="222" s="1"/>
  <c r="K741" i="222"/>
  <c r="L741" i="222" s="1"/>
  <c r="K818" i="222"/>
  <c r="L818" i="222" s="1"/>
  <c r="K650" i="222"/>
  <c r="L650" i="222" s="1"/>
  <c r="K491" i="222"/>
  <c r="L491" i="222" s="1"/>
  <c r="K659" i="222"/>
  <c r="L659" i="222" s="1"/>
  <c r="K579" i="222"/>
  <c r="L579" i="222" s="1"/>
  <c r="K755" i="222"/>
  <c r="L755" i="222" s="1"/>
  <c r="K594" i="222"/>
  <c r="L594" i="222" s="1"/>
  <c r="K540" i="222"/>
  <c r="L540" i="222" s="1"/>
  <c r="K761" i="222"/>
  <c r="L761" i="222" s="1"/>
  <c r="K852" i="222"/>
  <c r="L852" i="222" s="1"/>
  <c r="K545" i="222"/>
  <c r="L545" i="222" s="1"/>
  <c r="K777" i="222"/>
  <c r="L777" i="222" s="1"/>
  <c r="K908" i="222"/>
  <c r="L908" i="222" s="1"/>
  <c r="K718" i="222"/>
  <c r="L718" i="222" s="1"/>
  <c r="K590" i="222"/>
  <c r="L590" i="222" s="1"/>
  <c r="K805" i="222"/>
  <c r="L805" i="222" s="1"/>
  <c r="K858" i="222"/>
  <c r="L858" i="222" s="1"/>
  <c r="K528" i="222"/>
  <c r="L528" i="222" s="1"/>
  <c r="K573" i="222"/>
  <c r="L573" i="222" s="1"/>
  <c r="K553" i="222"/>
  <c r="L553" i="222" s="1"/>
  <c r="K670" i="222"/>
  <c r="L670" i="222" s="1"/>
  <c r="K625" i="222"/>
  <c r="L625" i="222" s="1"/>
  <c r="K577" i="222"/>
  <c r="L577" i="222" s="1"/>
  <c r="K879" i="222"/>
  <c r="L879" i="222" s="1"/>
  <c r="K832" i="222"/>
  <c r="L832" i="222" s="1"/>
  <c r="K748" i="222"/>
  <c r="L748" i="222" s="1"/>
  <c r="K488" i="222"/>
  <c r="L488" i="222" s="1"/>
  <c r="K686" i="222"/>
  <c r="L686" i="222" s="1"/>
  <c r="K899" i="222"/>
  <c r="L899" i="222" s="1"/>
  <c r="K953" i="222"/>
  <c r="L953" i="222" s="1"/>
  <c r="K754" i="222"/>
  <c r="L754" i="222" s="1"/>
  <c r="K629" i="222"/>
  <c r="L629" i="222" s="1"/>
  <c r="K676" i="222"/>
  <c r="L676" i="222" s="1"/>
  <c r="K499" i="222"/>
  <c r="L499" i="222" s="1"/>
  <c r="K920" i="222"/>
  <c r="L920" i="222" s="1"/>
  <c r="K560" i="222"/>
  <c r="L560" i="222" s="1"/>
  <c r="K514" i="222"/>
  <c r="L514" i="222" s="1"/>
  <c r="K822" i="222"/>
  <c r="L822" i="222" s="1"/>
  <c r="K710" i="222"/>
  <c r="L710" i="222" s="1"/>
  <c r="K689" i="222"/>
  <c r="L689" i="222" s="1"/>
  <c r="K721" i="222"/>
  <c r="L721" i="222" s="1"/>
  <c r="K543" i="222"/>
  <c r="L543" i="222" s="1"/>
  <c r="K799" i="222"/>
  <c r="L799" i="222" s="1"/>
  <c r="K742" i="222"/>
  <c r="L742" i="222" s="1"/>
  <c r="K522" i="222"/>
  <c r="L522" i="222" s="1"/>
  <c r="K665" i="222"/>
  <c r="L665" i="222" s="1"/>
  <c r="K756" i="222"/>
  <c r="L756" i="222" s="1"/>
  <c r="K723" i="222"/>
  <c r="L723" i="222" s="1"/>
  <c r="K593" i="222"/>
  <c r="L593" i="222" s="1"/>
  <c r="K706" i="222"/>
  <c r="L706" i="222" s="1"/>
  <c r="K583" i="222"/>
  <c r="L583" i="222" s="1"/>
  <c r="K797" i="222"/>
  <c r="L797" i="222" s="1"/>
  <c r="K503" i="222"/>
  <c r="L503" i="222" s="1"/>
  <c r="K655" i="222"/>
  <c r="L655" i="222" s="1"/>
  <c r="K699" i="222"/>
  <c r="L699" i="222" s="1"/>
  <c r="K846" i="222"/>
  <c r="L846" i="222" s="1"/>
  <c r="K840" i="222"/>
  <c r="L840" i="222" s="1"/>
  <c r="K764" i="222"/>
  <c r="L764" i="222" s="1"/>
  <c r="K907" i="222"/>
  <c r="L907" i="222" s="1"/>
  <c r="K642" i="222"/>
  <c r="L642" i="222" s="1"/>
  <c r="K772" i="222"/>
  <c r="L772" i="222" s="1"/>
  <c r="K610" i="222"/>
  <c r="L610" i="222" s="1"/>
  <c r="K744" i="222"/>
  <c r="L744" i="222" s="1"/>
  <c r="K816" i="222"/>
  <c r="L816" i="222" s="1"/>
  <c r="K716" i="222"/>
  <c r="L716" i="222" s="1"/>
  <c r="K893" i="222"/>
  <c r="L893" i="222" s="1"/>
  <c r="K667" i="222"/>
  <c r="L667" i="222" s="1"/>
  <c r="K811" i="222"/>
  <c r="L811" i="222" s="1"/>
  <c r="K901" i="222"/>
  <c r="L901" i="222" s="1"/>
  <c r="K694" i="222"/>
  <c r="L694" i="222" s="1"/>
  <c r="K624" i="222"/>
  <c r="L624" i="222" s="1"/>
  <c r="K842" i="222"/>
  <c r="L842" i="222" s="1"/>
  <c r="K632" i="222"/>
  <c r="L632" i="222" s="1"/>
  <c r="K851" i="222"/>
  <c r="L851" i="222" s="1"/>
  <c r="K612" i="222"/>
  <c r="L612" i="222" s="1"/>
  <c r="K498" i="222"/>
  <c r="L498" i="222" s="1"/>
  <c r="K833" i="222"/>
  <c r="L833" i="222" s="1"/>
  <c r="K660" i="222"/>
  <c r="L660" i="222" s="1"/>
  <c r="K668" i="222"/>
  <c r="L668" i="222" s="1"/>
  <c r="K817" i="222"/>
  <c r="L817" i="222" s="1"/>
  <c r="K521" i="222"/>
  <c r="L521" i="222" s="1"/>
  <c r="K726" i="222"/>
  <c r="L726" i="222" s="1"/>
  <c r="K864" i="222"/>
  <c r="L864" i="222" s="1"/>
  <c r="K506" i="222"/>
  <c r="L506" i="222" s="1"/>
  <c r="K663" i="222"/>
  <c r="L663" i="222" s="1"/>
  <c r="K724" i="222"/>
  <c r="L724" i="222" s="1"/>
  <c r="K785" i="222"/>
  <c r="L785" i="222" s="1"/>
  <c r="K609" i="222"/>
  <c r="L609" i="222" s="1"/>
  <c r="K607" i="222"/>
  <c r="L607" i="222" s="1"/>
  <c r="K730" i="222"/>
  <c r="L730" i="222" s="1"/>
  <c r="K869" i="222"/>
  <c r="L869" i="222" s="1"/>
  <c r="K821" i="222"/>
  <c r="L821" i="222" s="1"/>
  <c r="K810" i="222"/>
  <c r="L810" i="222" s="1"/>
  <c r="K574" i="222"/>
  <c r="L574" i="222" s="1"/>
  <c r="K674" i="222"/>
  <c r="L674" i="222" s="1"/>
  <c r="K824" i="222"/>
  <c r="L824" i="222" s="1"/>
  <c r="K732" i="222"/>
  <c r="L732" i="222" s="1"/>
  <c r="K891" i="222"/>
  <c r="L891" i="222" s="1"/>
  <c r="K637" i="222"/>
  <c r="L637" i="222" s="1"/>
  <c r="K740" i="222"/>
  <c r="L740" i="222" s="1"/>
  <c r="K596" i="222"/>
  <c r="L596" i="222" s="1"/>
  <c r="K712" i="222"/>
  <c r="L712" i="222" s="1"/>
  <c r="K800" i="222"/>
  <c r="L800" i="222" s="1"/>
  <c r="K684" i="222"/>
  <c r="L684" i="222" s="1"/>
  <c r="K849" i="222"/>
  <c r="L849" i="222" s="1"/>
  <c r="K639" i="222"/>
  <c r="L639" i="222" s="1"/>
  <c r="K627" i="222"/>
  <c r="L627" i="222" s="1"/>
  <c r="K888" i="222"/>
  <c r="L888" i="222" s="1"/>
  <c r="K493" i="222"/>
  <c r="L493" i="222" s="1"/>
  <c r="K502" i="222"/>
  <c r="L502" i="222" s="1"/>
  <c r="K830" i="222"/>
  <c r="L830" i="222" s="1"/>
  <c r="K850" i="222"/>
  <c r="L850" i="222" s="1"/>
  <c r="K932" i="222"/>
  <c r="L932" i="222" s="1"/>
  <c r="K813" i="222"/>
  <c r="L813" i="222" s="1"/>
  <c r="K914" i="222"/>
  <c r="L914" i="222" s="1"/>
  <c r="K709" i="222"/>
  <c r="L709" i="222" s="1"/>
  <c r="K507" i="222"/>
  <c r="L507" i="222" s="1"/>
  <c r="K919" i="222"/>
  <c r="L919" i="222" s="1"/>
  <c r="K876" i="222"/>
  <c r="L876" i="222" s="1"/>
  <c r="K936" i="222"/>
  <c r="L936" i="222" s="1"/>
  <c r="K795" i="222"/>
  <c r="L795" i="222" s="1"/>
  <c r="K892" i="222"/>
  <c r="L892" i="222" s="1"/>
  <c r="K910" i="222"/>
  <c r="L910" i="222" s="1"/>
  <c r="K611" i="222"/>
  <c r="L611" i="222" s="1"/>
  <c r="K692" i="222"/>
  <c r="L692" i="222" s="1"/>
  <c r="K555" i="222"/>
  <c r="L555" i="222" s="1"/>
  <c r="K758" i="222"/>
  <c r="L758" i="222" s="1"/>
  <c r="K720" i="222"/>
  <c r="L720" i="222" s="1"/>
  <c r="K697" i="222"/>
  <c r="L697" i="222" s="1"/>
  <c r="K945" i="222"/>
  <c r="L945" i="222" s="1"/>
  <c r="K922" i="222"/>
  <c r="L922" i="222" s="1"/>
  <c r="K656" i="222"/>
  <c r="L656" i="222" s="1"/>
  <c r="K602" i="222"/>
  <c r="L602" i="222" s="1"/>
  <c r="K616" i="222"/>
  <c r="L616" i="222" s="1"/>
  <c r="K808" i="222"/>
  <c r="L808" i="222" s="1"/>
  <c r="K700" i="222"/>
  <c r="L700" i="222" s="1"/>
  <c r="K875" i="222"/>
  <c r="L875" i="222" s="1"/>
  <c r="K915" i="222"/>
  <c r="L915" i="222" s="1"/>
  <c r="K708" i="222"/>
  <c r="L708" i="222" s="1"/>
  <c r="K581" i="222"/>
  <c r="L581" i="222" s="1"/>
  <c r="K680" i="222"/>
  <c r="L680" i="222" s="1"/>
  <c r="K783" i="222"/>
  <c r="L783" i="222" s="1"/>
  <c r="K646" i="222"/>
  <c r="L646" i="222" s="1"/>
  <c r="K823" i="222"/>
  <c r="L823" i="222" s="1"/>
  <c r="K603" i="222"/>
  <c r="L603" i="222" s="1"/>
  <c r="K877" i="222"/>
  <c r="L877" i="222" s="1"/>
  <c r="K652" i="222"/>
  <c r="L652" i="222" s="1"/>
  <c r="K541" i="222"/>
  <c r="L541" i="222" s="1"/>
  <c r="K839" i="222"/>
  <c r="L839" i="222" s="1"/>
  <c r="K791" i="222"/>
  <c r="L791" i="222" s="1"/>
  <c r="K828" i="222"/>
  <c r="L828" i="222" s="1"/>
  <c r="K568" i="222"/>
  <c r="L568" i="222" s="1"/>
  <c r="K863" i="222"/>
  <c r="L863" i="222" s="1"/>
  <c r="K871" i="222"/>
  <c r="L871" i="222" s="1"/>
  <c r="K940" i="222"/>
  <c r="L940" i="222" s="1"/>
  <c r="K539" i="222"/>
  <c r="L539" i="222" s="1"/>
  <c r="K845" i="222"/>
  <c r="L845" i="222" s="1"/>
  <c r="K860" i="222"/>
  <c r="L860" i="222" s="1"/>
  <c r="K927" i="222"/>
  <c r="L927" i="222" s="1"/>
  <c r="K739" i="222"/>
  <c r="L739" i="222" s="1"/>
  <c r="K946" i="222"/>
  <c r="L946" i="222" s="1"/>
  <c r="K878" i="222"/>
  <c r="L878" i="222" s="1"/>
  <c r="K529" i="222"/>
  <c r="L529" i="222" s="1"/>
  <c r="K749" i="222"/>
  <c r="L749" i="222" s="1"/>
  <c r="K782" i="222"/>
  <c r="L782" i="222" s="1"/>
  <c r="K933" i="222"/>
  <c r="L933" i="222" s="1"/>
  <c r="K855" i="222"/>
  <c r="L855" i="222" s="1"/>
  <c r="K558" i="222"/>
  <c r="L558" i="222" s="1"/>
  <c r="K949" i="222"/>
  <c r="L949" i="222" s="1"/>
  <c r="K722" i="222"/>
  <c r="L722" i="222" s="1"/>
  <c r="K513" i="222"/>
  <c r="L513" i="222" s="1"/>
  <c r="K592" i="222"/>
  <c r="L592" i="222" s="1"/>
  <c r="K903" i="222"/>
  <c r="L903" i="222" s="1"/>
  <c r="K792" i="222"/>
  <c r="L792" i="222" s="1"/>
  <c r="K536" i="222"/>
  <c r="L536" i="222" s="1"/>
  <c r="K819" i="222"/>
  <c r="L819" i="222" s="1"/>
  <c r="K760" i="222"/>
  <c r="L760" i="222" s="1"/>
  <c r="K678" i="222"/>
  <c r="L678" i="222" s="1"/>
  <c r="K696" i="222"/>
  <c r="L696" i="222" s="1"/>
  <c r="K617" i="222"/>
  <c r="L617" i="222" s="1"/>
  <c r="K767" i="222"/>
  <c r="L767" i="222" s="1"/>
  <c r="K512" i="222"/>
  <c r="L512" i="222" s="1"/>
  <c r="K769" i="222"/>
  <c r="L769" i="222" s="1"/>
  <c r="K648" i="222"/>
  <c r="L648" i="222" s="1"/>
  <c r="K844" i="222"/>
  <c r="L844" i="222" s="1"/>
  <c r="K806" i="222"/>
  <c r="L806" i="222" s="1"/>
  <c r="K495" i="222"/>
  <c r="L495" i="222" s="1"/>
  <c r="K883" i="222"/>
  <c r="L883" i="222" s="1"/>
  <c r="K763" i="222"/>
  <c r="L763" i="222" s="1"/>
  <c r="K812" i="222"/>
  <c r="L812" i="222" s="1"/>
  <c r="K547" i="222"/>
  <c r="L547" i="222" s="1"/>
  <c r="K599" i="222"/>
  <c r="L599" i="222" s="1"/>
  <c r="K931" i="222"/>
  <c r="L931" i="222" s="1"/>
  <c r="K917" i="222"/>
  <c r="L917" i="222" s="1"/>
  <c r="K570" i="222"/>
  <c r="L570" i="222" s="1"/>
  <c r="K738" i="222"/>
  <c r="L738" i="222" s="1"/>
  <c r="K834" i="222"/>
  <c r="L834" i="222" s="1"/>
  <c r="K715" i="222"/>
  <c r="L715" i="222" s="1"/>
  <c r="K557" i="222"/>
  <c r="L557" i="222" s="1"/>
  <c r="K843" i="222"/>
  <c r="L843" i="222" s="1"/>
  <c r="K848" i="222"/>
  <c r="L848" i="222" s="1"/>
  <c r="K621" i="222"/>
  <c r="L621" i="222" s="1"/>
  <c r="K685" i="222"/>
  <c r="L685" i="222" s="1"/>
  <c r="K519" i="222"/>
  <c r="L519" i="222" s="1"/>
  <c r="K904" i="222"/>
  <c r="L904" i="222" s="1"/>
  <c r="K690" i="222"/>
  <c r="L690" i="222" s="1"/>
  <c r="K776" i="222"/>
  <c r="L776" i="222" s="1"/>
  <c r="K913" i="222"/>
  <c r="L913" i="222" s="1"/>
  <c r="K551" i="222"/>
  <c r="L551" i="222" s="1"/>
  <c r="K562" i="222"/>
  <c r="L562" i="222" s="1"/>
  <c r="K887" i="222"/>
  <c r="L887" i="222" s="1"/>
  <c r="K775" i="222"/>
  <c r="L775" i="222" s="1"/>
  <c r="K508" i="222"/>
  <c r="L508" i="222" s="1"/>
  <c r="K803" i="222"/>
  <c r="L803" i="222" s="1"/>
  <c r="K768" i="222"/>
  <c r="L768" i="222" s="1"/>
  <c r="K653" i="222"/>
  <c r="L653" i="222" s="1"/>
  <c r="K548" i="222"/>
  <c r="L548" i="222" s="1"/>
  <c r="K542" i="222"/>
  <c r="L542" i="222" s="1"/>
  <c r="K751" i="222"/>
  <c r="L751" i="222" s="1"/>
  <c r="K597" i="222"/>
  <c r="L597" i="222" s="1"/>
  <c r="K856" i="222"/>
  <c r="L856" i="222" s="1"/>
  <c r="K501" i="222"/>
  <c r="L501" i="222" s="1"/>
  <c r="K790" i="222"/>
  <c r="L790" i="222" s="1"/>
  <c r="K807" i="222"/>
  <c r="L807" i="222" s="1"/>
  <c r="K669" i="222"/>
  <c r="L669" i="222" s="1"/>
  <c r="K619" i="222"/>
  <c r="L619" i="222" s="1"/>
  <c r="K681" i="222"/>
  <c r="L681" i="222" s="1"/>
  <c r="K796" i="222"/>
  <c r="L796" i="222" s="1"/>
  <c r="K672" i="222"/>
  <c r="L672" i="222" s="1"/>
  <c r="K944" i="222"/>
  <c r="L944" i="222" s="1"/>
  <c r="K882" i="222"/>
  <c r="L882" i="222" s="1"/>
  <c r="K885" i="222"/>
  <c r="L885" i="222" s="1"/>
  <c r="K582" i="222"/>
  <c r="L582" i="222" s="1"/>
  <c r="K595" i="222"/>
  <c r="L595" i="222" s="1"/>
  <c r="K762" i="222"/>
  <c r="L762" i="222" s="1"/>
  <c r="K549" i="222"/>
  <c r="L549" i="222" s="1"/>
  <c r="K902" i="222"/>
  <c r="L902" i="222" s="1"/>
  <c r="K793" i="222"/>
  <c r="L793" i="222" s="1"/>
  <c r="K941" i="222"/>
  <c r="L941" i="222" s="1"/>
  <c r="K831" i="222"/>
  <c r="L831" i="222" s="1"/>
  <c r="K815" i="222"/>
  <c r="L815" i="222" s="1"/>
  <c r="K643" i="222"/>
  <c r="L643" i="222" s="1"/>
  <c r="K766" i="222"/>
  <c r="L766" i="222" s="1"/>
  <c r="K938" i="222"/>
  <c r="L938" i="222" s="1"/>
  <c r="K943" i="222"/>
  <c r="L943" i="222" s="1"/>
  <c r="K950" i="222"/>
  <c r="L950" i="222" s="1"/>
  <c r="K897" i="222"/>
  <c r="L897" i="222" s="1"/>
  <c r="K525" i="222"/>
  <c r="L525" i="222" s="1"/>
  <c r="K701" i="222"/>
  <c r="L701" i="222" s="1"/>
  <c r="K736" i="222"/>
  <c r="L736" i="222" s="1"/>
  <c r="K759" i="222"/>
  <c r="L759" i="222" s="1"/>
  <c r="K572" i="222"/>
  <c r="L572" i="222" s="1"/>
  <c r="K787" i="222"/>
  <c r="L787" i="222" s="1"/>
  <c r="K836" i="222"/>
  <c r="L836" i="222" s="1"/>
  <c r="K626" i="222"/>
  <c r="L626" i="222" s="1"/>
  <c r="K870" i="222"/>
  <c r="L870" i="222" s="1"/>
  <c r="K618" i="222"/>
  <c r="L618" i="222" s="1"/>
  <c r="K735" i="222"/>
  <c r="L735" i="222" s="1"/>
  <c r="K589" i="222"/>
  <c r="L589" i="222" s="1"/>
  <c r="K664" i="222"/>
  <c r="L664" i="222" s="1"/>
  <c r="K947" i="222"/>
  <c r="L947" i="222" s="1"/>
  <c r="K894" i="222"/>
  <c r="L894" i="222" s="1"/>
  <c r="K623" i="222"/>
  <c r="L623" i="222" s="1"/>
  <c r="K634" i="222"/>
  <c r="L634" i="222" s="1"/>
  <c r="K798" i="222"/>
  <c r="L798" i="222" s="1"/>
  <c r="K794" i="222"/>
  <c r="L794" i="222" s="1"/>
  <c r="K784" i="222"/>
  <c r="L784" i="222" s="1"/>
  <c r="K698" i="222"/>
  <c r="L698" i="222" s="1"/>
  <c r="K928" i="222"/>
  <c r="L928" i="222" s="1"/>
  <c r="K890" i="222"/>
  <c r="L890" i="222" s="1"/>
  <c r="K789" i="222"/>
  <c r="L789" i="222" s="1"/>
  <c r="K598" i="222"/>
  <c r="L598" i="222" s="1"/>
  <c r="K608" i="222"/>
  <c r="L608" i="222" s="1"/>
  <c r="K527" i="222"/>
  <c r="L527" i="222" s="1"/>
  <c r="K526" i="222"/>
  <c r="L526" i="222" s="1"/>
  <c r="K841" i="222"/>
  <c r="L841" i="222" s="1"/>
  <c r="K733" i="222"/>
  <c r="L733" i="222" s="1"/>
  <c r="K765" i="222"/>
  <c r="L765" i="222" s="1"/>
  <c r="K725" i="222"/>
  <c r="L725" i="222" s="1"/>
  <c r="K825" i="222"/>
  <c r="L825" i="222" s="1"/>
  <c r="K673" i="222"/>
  <c r="L673" i="222" s="1"/>
  <c r="K523" i="222"/>
  <c r="L523" i="222" s="1"/>
  <c r="K757" i="222"/>
  <c r="L757" i="222" s="1"/>
  <c r="K801" i="222"/>
  <c r="L801" i="222" s="1"/>
  <c r="K837" i="222"/>
  <c r="L837" i="222" s="1"/>
  <c r="K675" i="222"/>
  <c r="L675" i="222" s="1"/>
  <c r="K729" i="222"/>
  <c r="L729" i="222" s="1"/>
  <c r="K865" i="222"/>
  <c r="L865" i="222" s="1"/>
  <c r="K747" i="222"/>
  <c r="L747" i="222" s="1"/>
  <c r="K743" i="222"/>
  <c r="L743" i="222" s="1"/>
  <c r="K538" i="222"/>
  <c r="L538" i="222" s="1"/>
  <c r="K666" i="222"/>
  <c r="L666" i="222" s="1"/>
  <c r="K820" i="222"/>
  <c r="L820" i="222" s="1"/>
  <c r="K605" i="222"/>
  <c r="L605" i="222" s="1"/>
  <c r="K862" i="222"/>
  <c r="L862" i="222" s="1"/>
  <c r="K752" i="222"/>
  <c r="L752" i="222" s="1"/>
  <c r="K719" i="222"/>
  <c r="L719" i="222" s="1"/>
  <c r="K564" i="222"/>
  <c r="L564" i="222" s="1"/>
  <c r="K636" i="222"/>
  <c r="L636" i="222" s="1"/>
  <c r="K788" i="222"/>
  <c r="L788" i="222" s="1"/>
  <c r="K853" i="222"/>
  <c r="L853" i="222" s="1"/>
  <c r="K881" i="222"/>
  <c r="L881" i="222" s="1"/>
  <c r="K771" i="222"/>
  <c r="L771" i="222" s="1"/>
  <c r="K737" i="222"/>
  <c r="L737" i="222" s="1"/>
  <c r="K537" i="222"/>
  <c r="L537" i="222" s="1"/>
  <c r="K677" i="222"/>
  <c r="L677" i="222" s="1"/>
  <c r="K717" i="222"/>
  <c r="L717" i="222" s="1"/>
  <c r="K906" i="222"/>
  <c r="L906" i="222" s="1"/>
  <c r="K930" i="222"/>
  <c r="L930" i="222" s="1"/>
  <c r="K774" i="222"/>
  <c r="L774" i="222" s="1"/>
  <c r="K552" i="222"/>
  <c r="L552" i="222" s="1"/>
  <c r="K554" i="222"/>
  <c r="L554" i="222" s="1"/>
  <c r="K546" i="222"/>
  <c r="L546" i="222" s="1"/>
  <c r="K510" i="222"/>
  <c r="L510" i="222" s="1"/>
  <c r="K925" i="222"/>
  <c r="L925" i="222" s="1"/>
  <c r="K880" i="222"/>
  <c r="L880" i="222" s="1"/>
  <c r="K746" i="222"/>
  <c r="L746" i="222" s="1"/>
  <c r="K809" i="222"/>
  <c r="L809" i="222" s="1"/>
  <c r="K872" i="222"/>
  <c r="L872" i="222" s="1"/>
  <c r="K600" i="222"/>
  <c r="L600" i="222" s="1"/>
  <c r="K615" i="222"/>
  <c r="L615" i="222" s="1"/>
  <c r="K515" i="222"/>
  <c r="L515" i="222" s="1"/>
  <c r="K702" i="222"/>
  <c r="L702" i="222" s="1"/>
  <c r="K942" i="222"/>
  <c r="L942" i="222" s="1"/>
  <c r="K861" i="222"/>
  <c r="L861" i="222" s="1"/>
  <c r="K641" i="222"/>
  <c r="L641" i="222" s="1"/>
  <c r="K688" i="222"/>
  <c r="L688" i="222" s="1"/>
  <c r="K727" i="222"/>
  <c r="L727" i="222" s="1"/>
  <c r="K504" i="222"/>
  <c r="L504" i="222" s="1"/>
  <c r="K704" i="222"/>
  <c r="L704" i="222" s="1"/>
  <c r="K804" i="222"/>
  <c r="L804" i="222" s="1"/>
  <c r="K516" i="222"/>
  <c r="L516" i="222" s="1"/>
  <c r="K854" i="222"/>
  <c r="L854" i="222" s="1"/>
  <c r="K683" i="222"/>
  <c r="L683" i="222" s="1"/>
  <c r="K703" i="222"/>
  <c r="L703" i="222" s="1"/>
  <c r="K630" i="222"/>
  <c r="L630" i="222" s="1"/>
  <c r="K647" i="222"/>
  <c r="L647" i="222" s="1"/>
  <c r="K779" i="222"/>
  <c r="L779" i="222" s="1"/>
  <c r="K734" i="222"/>
  <c r="L734" i="222" s="1"/>
  <c r="K857" i="222"/>
  <c r="L857" i="222" s="1"/>
  <c r="K951" i="222"/>
  <c r="L951" i="222" s="1"/>
  <c r="K586" i="222"/>
  <c r="L586" i="222" s="1"/>
  <c r="K563" i="222"/>
  <c r="L563" i="222" s="1"/>
  <c r="K679" i="222"/>
  <c r="L679" i="222" s="1"/>
  <c r="K628" i="222"/>
  <c r="L628" i="222" s="1"/>
  <c r="K874" i="222"/>
  <c r="L874" i="222" s="1"/>
  <c r="K909" i="222"/>
  <c r="L909" i="222" s="1"/>
  <c r="K713" i="222"/>
  <c r="L713" i="222" s="1"/>
  <c r="K651" i="222"/>
  <c r="L651" i="222" s="1"/>
  <c r="K518" i="222"/>
  <c r="L518" i="222" s="1"/>
  <c r="K566" i="222"/>
  <c r="L566" i="222" s="1"/>
  <c r="K494" i="222"/>
  <c r="L494" i="222" s="1"/>
  <c r="K918" i="222"/>
  <c r="L918" i="222" s="1"/>
  <c r="K867" i="222"/>
  <c r="L867" i="222" s="1"/>
  <c r="K576" i="222"/>
  <c r="L576" i="222" s="1"/>
  <c r="K896" i="222"/>
  <c r="L896" i="222" s="1"/>
  <c r="K921" i="222"/>
  <c r="L921" i="222" s="1"/>
  <c r="K948" i="222"/>
  <c r="L948" i="222" s="1"/>
  <c r="K770" i="222"/>
  <c r="L770" i="222" s="1"/>
  <c r="K531" i="222"/>
  <c r="L531" i="222" s="1"/>
  <c r="K884" i="222"/>
  <c r="L884" i="222" s="1"/>
  <c r="K886" i="222"/>
  <c r="L886" i="222" s="1"/>
  <c r="K505" i="222"/>
  <c r="L505" i="222" s="1"/>
  <c r="K550" i="222"/>
  <c r="L550" i="222" s="1"/>
  <c r="K728" i="222"/>
  <c r="L728" i="222" s="1"/>
  <c r="K575" i="222"/>
  <c r="L575" i="222" s="1"/>
  <c r="K711" i="222"/>
  <c r="L711" i="222" s="1"/>
  <c r="K561" i="222"/>
  <c r="L561" i="222" s="1"/>
  <c r="K601" i="222"/>
  <c r="L601" i="222" s="1"/>
  <c r="K633" i="222"/>
  <c r="L633" i="222" s="1"/>
  <c r="K569" i="222"/>
  <c r="L569" i="222" s="1"/>
  <c r="K580" i="222"/>
  <c r="L580" i="222" s="1"/>
  <c r="K662" i="222"/>
  <c r="L662" i="222" s="1"/>
  <c r="K687" i="222"/>
  <c r="L687" i="222" s="1"/>
  <c r="K614" i="222"/>
  <c r="L614" i="222" s="1"/>
  <c r="K511" i="222"/>
  <c r="L511" i="222" s="1"/>
  <c r="K847" i="222"/>
  <c r="L847" i="222" s="1"/>
  <c r="K705" i="222"/>
  <c r="L705" i="222" s="1"/>
  <c r="K786" i="222"/>
  <c r="L786" i="222" s="1"/>
  <c r="K935" i="222"/>
  <c r="L935" i="222" s="1"/>
  <c r="K868" i="222"/>
  <c r="L868" i="222" s="1"/>
  <c r="K578" i="222"/>
  <c r="L578" i="222" s="1"/>
  <c r="K524" i="222"/>
  <c r="L524" i="222" s="1"/>
  <c r="K571" i="222"/>
  <c r="L571" i="222" s="1"/>
  <c r="K898" i="222"/>
  <c r="L898" i="222" s="1"/>
  <c r="K814" i="222"/>
  <c r="L814" i="222" s="1"/>
  <c r="K509" i="222"/>
  <c r="L509" i="222" s="1"/>
  <c r="K905" i="222"/>
  <c r="L905" i="222" s="1"/>
  <c r="K520" i="222"/>
  <c r="L520" i="222" s="1"/>
  <c r="K838" i="222"/>
  <c r="L838" i="222" s="1"/>
  <c r="K835" i="222"/>
  <c r="L835" i="222" s="1"/>
  <c r="K900" i="222"/>
  <c r="L900" i="222" s="1"/>
  <c r="K924" i="222"/>
  <c r="L924" i="222" s="1"/>
  <c r="K604" i="222"/>
  <c r="L604" i="222" s="1"/>
  <c r="K671" i="222"/>
  <c r="L671" i="222" s="1"/>
  <c r="K929" i="222"/>
  <c r="L929" i="222" s="1"/>
  <c r="K750" i="222"/>
  <c r="L750" i="222" s="1"/>
  <c r="K649" i="222"/>
  <c r="L649" i="222" s="1"/>
  <c r="K631" i="222"/>
  <c r="L631" i="222" s="1"/>
  <c r="K916" i="222"/>
  <c r="L916" i="222" s="1"/>
  <c r="K753" i="222"/>
  <c r="L753" i="222" s="1"/>
  <c r="K497" i="222"/>
  <c r="L497" i="222" s="1"/>
  <c r="K489" i="222"/>
  <c r="L489" i="222" s="1"/>
  <c r="K517" i="222"/>
  <c r="L517" i="222" s="1"/>
  <c r="L41" i="221"/>
  <c r="G3" i="221"/>
  <c r="H27" i="221"/>
  <c r="H30" i="221"/>
  <c r="H16" i="221"/>
  <c r="H29" i="221"/>
  <c r="H13" i="221"/>
  <c r="H38" i="221"/>
  <c r="H21" i="221"/>
  <c r="H36" i="221"/>
  <c r="H9" i="221"/>
  <c r="H34" i="221"/>
  <c r="H22" i="221"/>
  <c r="K22" i="221" s="1"/>
  <c r="H31" i="221"/>
  <c r="H14" i="221"/>
  <c r="H24" i="221"/>
  <c r="H28" i="221"/>
  <c r="H10" i="221"/>
  <c r="H18" i="221"/>
  <c r="H32" i="221"/>
  <c r="F172" i="222"/>
  <c r="H172" i="222" s="1"/>
  <c r="F441" i="222"/>
  <c r="H441" i="222" s="1"/>
  <c r="F454" i="222"/>
  <c r="H454" i="222" s="1"/>
  <c r="F210" i="222"/>
  <c r="H210" i="222" s="1"/>
  <c r="F433" i="222"/>
  <c r="H433" i="222" s="1"/>
  <c r="F359" i="222"/>
  <c r="H359" i="222" s="1"/>
  <c r="F68" i="222"/>
  <c r="H68" i="222" s="1"/>
  <c r="F361" i="222"/>
  <c r="H361" i="222" s="1"/>
  <c r="F256" i="222"/>
  <c r="H256" i="222" s="1"/>
  <c r="F134" i="222"/>
  <c r="H134" i="222" s="1"/>
  <c r="F285" i="222"/>
  <c r="H285" i="222" s="1"/>
  <c r="F14" i="222"/>
  <c r="H14" i="222" s="1"/>
  <c r="F178" i="222"/>
  <c r="H178" i="222" s="1"/>
  <c r="F369" i="222"/>
  <c r="H369" i="222" s="1"/>
  <c r="F303" i="222"/>
  <c r="H303" i="222" s="1"/>
  <c r="F112" i="222"/>
  <c r="H112" i="222" s="1"/>
  <c r="F367" i="222"/>
  <c r="H367" i="222" s="1"/>
  <c r="F186" i="222"/>
  <c r="H186" i="222" s="1"/>
  <c r="F422" i="222"/>
  <c r="H422" i="222" s="1"/>
  <c r="F221" i="222"/>
  <c r="H221" i="222" s="1"/>
  <c r="F466" i="222"/>
  <c r="H466" i="222" s="1"/>
  <c r="F60" i="222"/>
  <c r="H60" i="222" s="1"/>
  <c r="F351" i="222"/>
  <c r="H351" i="222" s="1"/>
  <c r="F428" i="222"/>
  <c r="H428" i="222" s="1"/>
  <c r="F353" i="222"/>
  <c r="H353" i="222" s="1"/>
  <c r="F252" i="222"/>
  <c r="H252" i="222" s="1"/>
  <c r="F170" i="222"/>
  <c r="H170" i="222" s="1"/>
  <c r="F146" i="222"/>
  <c r="H146" i="222" s="1"/>
  <c r="F47" i="222"/>
  <c r="H47" i="222" s="1"/>
  <c r="F100" i="222"/>
  <c r="H100" i="222" s="1"/>
  <c r="F406" i="222"/>
  <c r="H406" i="222" s="1"/>
  <c r="F437" i="222"/>
  <c r="H437" i="222" s="1"/>
  <c r="F271" i="222"/>
  <c r="H271" i="222" s="1"/>
  <c r="F269" i="222"/>
  <c r="H269" i="222" s="1"/>
  <c r="F204" i="222"/>
  <c r="H204" i="222" s="1"/>
  <c r="F184" i="222"/>
  <c r="H184" i="222" s="1"/>
  <c r="F90" i="222"/>
  <c r="H90" i="222" s="1"/>
  <c r="F145" i="222"/>
  <c r="H145" i="222" s="1"/>
  <c r="F470" i="222"/>
  <c r="H470" i="222" s="1"/>
  <c r="F448" i="222"/>
  <c r="H448" i="222" s="1"/>
  <c r="F313" i="222"/>
  <c r="H313" i="222" s="1"/>
  <c r="F257" i="222"/>
  <c r="H257" i="222" s="1"/>
  <c r="F29" i="222"/>
  <c r="H29" i="222" s="1"/>
  <c r="F450" i="222"/>
  <c r="H450" i="222" s="1"/>
  <c r="F412" i="222"/>
  <c r="H412" i="222" s="1"/>
  <c r="F224" i="222"/>
  <c r="H224" i="222" s="1"/>
  <c r="F166" i="222"/>
  <c r="H166" i="222" s="1"/>
  <c r="F152" i="222"/>
  <c r="H152" i="222" s="1"/>
  <c r="F41" i="222"/>
  <c r="H41" i="222" s="1"/>
  <c r="F34" i="222"/>
  <c r="H34" i="222" s="1"/>
  <c r="F53" i="222"/>
  <c r="H53" i="222" s="1"/>
  <c r="F331" i="222"/>
  <c r="H331" i="222" s="1"/>
  <c r="F421" i="222"/>
  <c r="H421" i="222" s="1"/>
  <c r="F333" i="222"/>
  <c r="H333" i="222" s="1"/>
  <c r="F225" i="222"/>
  <c r="H225" i="222" s="1"/>
  <c r="F156" i="222"/>
  <c r="H156" i="222" s="1"/>
  <c r="F119" i="222"/>
  <c r="H119" i="222" s="1"/>
  <c r="F104" i="222"/>
  <c r="H104" i="222" s="1"/>
  <c r="F80" i="222"/>
  <c r="H80" i="222" s="1"/>
  <c r="F459" i="222"/>
  <c r="H459" i="222" s="1"/>
  <c r="F431" i="222"/>
  <c r="H431" i="222" s="1"/>
  <c r="F254" i="222"/>
  <c r="H254" i="222" s="1"/>
  <c r="F148" i="222"/>
  <c r="H148" i="222" s="1"/>
  <c r="F471" i="222"/>
  <c r="H471" i="222" s="1"/>
  <c r="F57" i="222"/>
  <c r="H57" i="222" s="1"/>
  <c r="F141" i="222"/>
  <c r="H141" i="222" s="1"/>
  <c r="F44" i="222"/>
  <c r="H44" i="222" s="1"/>
  <c r="F86" i="222"/>
  <c r="H86" i="222" s="1"/>
  <c r="F46" i="222"/>
  <c r="H46" i="222" s="1"/>
  <c r="F180" i="222"/>
  <c r="H180" i="222" s="1"/>
  <c r="F160" i="222"/>
  <c r="H160" i="222" s="1"/>
  <c r="F200" i="222"/>
  <c r="H200" i="222" s="1"/>
  <c r="F168" i="222"/>
  <c r="H168" i="222" s="1"/>
  <c r="F268" i="222"/>
  <c r="H268" i="222" s="1"/>
  <c r="F259" i="222"/>
  <c r="H259" i="222" s="1"/>
  <c r="F262" i="222"/>
  <c r="H262" i="222" s="1"/>
  <c r="F415" i="222"/>
  <c r="H415" i="222" s="1"/>
  <c r="F436" i="222"/>
  <c r="H436" i="222" s="1"/>
  <c r="F452" i="222"/>
  <c r="H452" i="222" s="1"/>
  <c r="F375" i="222"/>
  <c r="H375" i="222" s="1"/>
  <c r="F307" i="222"/>
  <c r="H307" i="222" s="1"/>
  <c r="F462" i="222"/>
  <c r="H462" i="222" s="1"/>
  <c r="F96" i="222"/>
  <c r="H96" i="222" s="1"/>
  <c r="F22" i="222"/>
  <c r="H22" i="222" s="1"/>
  <c r="F11" i="222"/>
  <c r="H11" i="222" s="1"/>
  <c r="F143" i="222"/>
  <c r="H143" i="222" s="1"/>
  <c r="F144" i="222"/>
  <c r="H144" i="222" s="1"/>
  <c r="F223" i="222"/>
  <c r="H223" i="222" s="1"/>
  <c r="F165" i="222"/>
  <c r="H165" i="222" s="1"/>
  <c r="F265" i="222"/>
  <c r="H265" i="222" s="1"/>
  <c r="F251" i="222"/>
  <c r="H251" i="222" s="1"/>
  <c r="F301" i="222"/>
  <c r="H301" i="222" s="1"/>
  <c r="F349" i="222"/>
  <c r="H349" i="222" s="1"/>
  <c r="F405" i="222"/>
  <c r="H405" i="222" s="1"/>
  <c r="F427" i="222"/>
  <c r="H427" i="222" s="1"/>
  <c r="F445" i="222"/>
  <c r="H445" i="222" s="1"/>
  <c r="F347" i="222"/>
  <c r="H347" i="222" s="1"/>
  <c r="F473" i="222"/>
  <c r="H473" i="222" s="1"/>
  <c r="K473" i="222" s="1"/>
  <c r="F62" i="222"/>
  <c r="H62" i="222" s="1"/>
  <c r="F149" i="222"/>
  <c r="H149" i="222" s="1"/>
  <c r="F50" i="222"/>
  <c r="H50" i="222" s="1"/>
  <c r="F94" i="222"/>
  <c r="H94" i="222" s="1"/>
  <c r="F76" i="222"/>
  <c r="H76" i="222" s="1"/>
  <c r="F198" i="222"/>
  <c r="H198" i="222" s="1"/>
  <c r="F192" i="222"/>
  <c r="H192" i="222" s="1"/>
  <c r="F208" i="222"/>
  <c r="H208" i="222" s="1"/>
  <c r="F190" i="222"/>
  <c r="H190" i="222" s="1"/>
  <c r="F273" i="222"/>
  <c r="H273" i="222" s="1"/>
  <c r="F321" i="222"/>
  <c r="H321" i="222" s="1"/>
  <c r="F279" i="222"/>
  <c r="H279" i="222" s="1"/>
  <c r="F417" i="222"/>
  <c r="H417" i="222" s="1"/>
  <c r="F438" i="222"/>
  <c r="H438" i="222" s="1"/>
  <c r="F319" i="222"/>
  <c r="H319" i="222" s="1"/>
  <c r="F410" i="222"/>
  <c r="H410" i="222" s="1"/>
  <c r="F467" i="222"/>
  <c r="H467" i="222" s="1"/>
  <c r="F70" i="222"/>
  <c r="H70" i="222" s="1"/>
  <c r="F13" i="222"/>
  <c r="H13" i="222" s="1"/>
  <c r="F78" i="222"/>
  <c r="H78" i="222" s="1"/>
  <c r="F102" i="222"/>
  <c r="H102" i="222" s="1"/>
  <c r="F110" i="222"/>
  <c r="H110" i="222" s="1"/>
  <c r="F206" i="222"/>
  <c r="H206" i="222" s="1"/>
  <c r="F155" i="222"/>
  <c r="H155" i="222" s="1"/>
  <c r="F216" i="222"/>
  <c r="H216" i="222" s="1"/>
  <c r="F222" i="222"/>
  <c r="H222" i="222" s="1"/>
  <c r="F281" i="222"/>
  <c r="H281" i="222" s="1"/>
  <c r="F329" i="222"/>
  <c r="H329" i="222" s="1"/>
  <c r="F295" i="222"/>
  <c r="H295" i="222" s="1"/>
  <c r="F420" i="222"/>
  <c r="H420" i="222" s="1"/>
  <c r="F440" i="222"/>
  <c r="H440" i="222" s="1"/>
  <c r="F327" i="222"/>
  <c r="H327" i="222" s="1"/>
  <c r="F418" i="222"/>
  <c r="H418" i="222" s="1"/>
  <c r="F460" i="222"/>
  <c r="H460" i="222" s="1"/>
  <c r="F40" i="222"/>
  <c r="H40" i="222" s="1"/>
  <c r="F126" i="222"/>
  <c r="H126" i="222" s="1"/>
  <c r="F30" i="222"/>
  <c r="H30" i="222" s="1"/>
  <c r="F64" i="222"/>
  <c r="H64" i="222" s="1"/>
  <c r="F36" i="222"/>
  <c r="H36" i="222" s="1"/>
  <c r="F153" i="222"/>
  <c r="H153" i="222" s="1"/>
  <c r="F258" i="222"/>
  <c r="H258" i="222" s="1"/>
  <c r="F182" i="222"/>
  <c r="H182" i="222" s="1"/>
  <c r="F161" i="222"/>
  <c r="H161" i="222" s="1"/>
  <c r="F255" i="222"/>
  <c r="H255" i="222" s="1"/>
  <c r="F317" i="222"/>
  <c r="H317" i="222" s="1"/>
  <c r="F365" i="222"/>
  <c r="H365" i="222" s="1"/>
  <c r="F411" i="222"/>
  <c r="H411" i="222" s="1"/>
  <c r="F432" i="222"/>
  <c r="H432" i="222" s="1"/>
  <c r="F449" i="222"/>
  <c r="H449" i="222" s="1"/>
  <c r="F363" i="222"/>
  <c r="H363" i="222" s="1"/>
  <c r="F469" i="222"/>
  <c r="H469" i="222" s="1"/>
  <c r="F84" i="222"/>
  <c r="H84" i="222" s="1"/>
  <c r="F17" i="222"/>
  <c r="H17" i="222" s="1"/>
  <c r="F108" i="222"/>
  <c r="H108" i="222" s="1"/>
  <c r="F116" i="222"/>
  <c r="H116" i="222" s="1"/>
  <c r="F127" i="222"/>
  <c r="H127" i="222" s="1"/>
  <c r="F214" i="222"/>
  <c r="H214" i="222" s="1"/>
  <c r="F162" i="222"/>
  <c r="H162" i="222" s="1"/>
  <c r="F228" i="222"/>
  <c r="H228" i="222" s="1"/>
  <c r="F229" i="222"/>
  <c r="H229" i="222" s="1"/>
  <c r="F289" i="222"/>
  <c r="H289" i="222" s="1"/>
  <c r="F337" i="222"/>
  <c r="H337" i="222" s="1"/>
  <c r="F311" i="222"/>
  <c r="H311" i="222" s="1"/>
  <c r="F423" i="222"/>
  <c r="H423" i="222" s="1"/>
  <c r="F442" i="222"/>
  <c r="H442" i="222" s="1"/>
  <c r="F335" i="222"/>
  <c r="H335" i="222" s="1"/>
  <c r="F426" i="222"/>
  <c r="H426" i="222" s="1"/>
  <c r="F463" i="222"/>
  <c r="H463" i="222" s="1"/>
  <c r="F92" i="222"/>
  <c r="H92" i="222" s="1"/>
  <c r="F21" i="222"/>
  <c r="H21" i="222" s="1"/>
  <c r="F131" i="222"/>
  <c r="H131" i="222" s="1"/>
  <c r="F130" i="222"/>
  <c r="H130" i="222" s="1"/>
  <c r="F140" i="222"/>
  <c r="H140" i="222" s="1"/>
  <c r="F220" i="222"/>
  <c r="H220" i="222" s="1"/>
  <c r="F164" i="222"/>
  <c r="H164" i="222" s="1"/>
  <c r="F250" i="222"/>
  <c r="H250" i="222" s="1"/>
  <c r="F232" i="222"/>
  <c r="H232" i="222" s="1"/>
  <c r="F297" i="222"/>
  <c r="H297" i="222" s="1"/>
  <c r="F345" i="222"/>
  <c r="H345" i="222" s="1"/>
  <c r="F404" i="222"/>
  <c r="H404" i="222" s="1"/>
  <c r="F425" i="222"/>
  <c r="H425" i="222" s="1"/>
  <c r="F444" i="222"/>
  <c r="H444" i="222" s="1"/>
  <c r="F343" i="222"/>
  <c r="H343" i="222" s="1"/>
  <c r="F446" i="222"/>
  <c r="H446" i="222" s="1"/>
  <c r="F407" i="222"/>
  <c r="H407" i="222" s="1"/>
  <c r="F305" i="222"/>
  <c r="H305" i="222" s="1"/>
  <c r="F266" i="222"/>
  <c r="H266" i="222" s="1"/>
  <c r="F226" i="222"/>
  <c r="H226" i="222" s="1"/>
  <c r="F9" i="222"/>
  <c r="H9" i="222" s="1"/>
  <c r="F25" i="222"/>
  <c r="H25" i="222" s="1"/>
  <c r="F465" i="222"/>
  <c r="H465" i="222" s="1"/>
  <c r="F261" i="222"/>
  <c r="H261" i="222" s="1"/>
  <c r="F416" i="222"/>
  <c r="H416" i="222" s="1"/>
  <c r="F263" i="222"/>
  <c r="H263" i="222" s="1"/>
  <c r="F169" i="222"/>
  <c r="H169" i="222" s="1"/>
  <c r="F188" i="222"/>
  <c r="H188" i="222" s="1"/>
  <c r="F72" i="222"/>
  <c r="H72" i="222" s="1"/>
  <c r="F49" i="222"/>
  <c r="H49" i="222" s="1"/>
  <c r="F58" i="222"/>
  <c r="H58" i="222" s="1"/>
  <c r="F434" i="222"/>
  <c r="H434" i="222" s="1"/>
  <c r="F409" i="222"/>
  <c r="H409" i="222" s="1"/>
  <c r="F157" i="222"/>
  <c r="H157" i="222" s="1"/>
  <c r="F32" i="222"/>
  <c r="H32" i="222" s="1"/>
  <c r="F39" i="222"/>
  <c r="H39" i="222" s="1"/>
  <c r="F464" i="222"/>
  <c r="H464" i="222" s="1"/>
  <c r="F66" i="222"/>
  <c r="H66" i="222" s="1"/>
  <c r="F12" i="222"/>
  <c r="H12" i="222" s="1"/>
  <c r="F74" i="222"/>
  <c r="H74" i="222" s="1"/>
  <c r="F98" i="222"/>
  <c r="H98" i="222" s="1"/>
  <c r="F106" i="222"/>
  <c r="H106" i="222" s="1"/>
  <c r="F202" i="222"/>
  <c r="H202" i="222" s="1"/>
  <c r="F151" i="222"/>
  <c r="H151" i="222" s="1"/>
  <c r="F212" i="222"/>
  <c r="H212" i="222" s="1"/>
  <c r="F194" i="222"/>
  <c r="H194" i="222" s="1"/>
  <c r="F277" i="222"/>
  <c r="H277" i="222" s="1"/>
  <c r="F325" i="222"/>
  <c r="H325" i="222" s="1"/>
  <c r="F287" i="222"/>
  <c r="H287" i="222" s="1"/>
  <c r="F419" i="222"/>
  <c r="H419" i="222" s="1"/>
  <c r="F439" i="222"/>
  <c r="H439" i="222" s="1"/>
  <c r="F323" i="222"/>
  <c r="H323" i="222" s="1"/>
  <c r="F414" i="222"/>
  <c r="H414" i="222" s="1"/>
  <c r="F275" i="222"/>
  <c r="H275" i="222" s="1"/>
  <c r="F456" i="222"/>
  <c r="H456" i="222" s="1"/>
  <c r="F260" i="222"/>
  <c r="H260" i="222" s="1"/>
  <c r="F215" i="222"/>
  <c r="H215" i="222" s="1"/>
  <c r="F207" i="222"/>
  <c r="H207" i="222" s="1"/>
  <c r="F213" i="222"/>
  <c r="H213" i="222" s="1"/>
  <c r="F197" i="222"/>
  <c r="H197" i="222" s="1"/>
  <c r="F183" i="222"/>
  <c r="H183" i="222" s="1"/>
  <c r="F272" i="222"/>
  <c r="H272" i="222" s="1"/>
  <c r="F199" i="222"/>
  <c r="H199" i="222" s="1"/>
  <c r="F181" i="222"/>
  <c r="H181" i="222" s="1"/>
  <c r="F113" i="222"/>
  <c r="H113" i="222" s="1"/>
  <c r="F99" i="222"/>
  <c r="H99" i="222" s="1"/>
  <c r="F83" i="222"/>
  <c r="H83" i="222" s="1"/>
  <c r="F65" i="222"/>
  <c r="H65" i="222" s="1"/>
  <c r="F105" i="222"/>
  <c r="H105" i="222" s="1"/>
  <c r="F75" i="222"/>
  <c r="H75" i="222" s="1"/>
  <c r="F101" i="222"/>
  <c r="H101" i="222" s="1"/>
  <c r="F85" i="222"/>
  <c r="H85" i="222" s="1"/>
  <c r="F71" i="222"/>
  <c r="H71" i="222" s="1"/>
  <c r="F55" i="222"/>
  <c r="H55" i="222" s="1"/>
  <c r="F399" i="222"/>
  <c r="H399" i="222" s="1"/>
  <c r="F391" i="222"/>
  <c r="H391" i="222" s="1"/>
  <c r="F383" i="222"/>
  <c r="H383" i="222" s="1"/>
  <c r="F374" i="222"/>
  <c r="H374" i="222" s="1"/>
  <c r="F358" i="222"/>
  <c r="H358" i="222" s="1"/>
  <c r="F342" i="222"/>
  <c r="H342" i="222" s="1"/>
  <c r="F326" i="222"/>
  <c r="H326" i="222" s="1"/>
  <c r="F310" i="222"/>
  <c r="H310" i="222" s="1"/>
  <c r="F294" i="222"/>
  <c r="H294" i="222" s="1"/>
  <c r="F270" i="222"/>
  <c r="H270" i="222" s="1"/>
  <c r="F132" i="222"/>
  <c r="H132" i="222" s="1"/>
  <c r="F282" i="222"/>
  <c r="H282" i="222" s="1"/>
  <c r="F401" i="222"/>
  <c r="H401" i="222" s="1"/>
  <c r="F393" i="222"/>
  <c r="H393" i="222" s="1"/>
  <c r="F385" i="222"/>
  <c r="H385" i="222" s="1"/>
  <c r="F377" i="222"/>
  <c r="H377" i="222" s="1"/>
  <c r="F362" i="222"/>
  <c r="H362" i="222" s="1"/>
  <c r="F346" i="222"/>
  <c r="H346" i="222" s="1"/>
  <c r="F330" i="222"/>
  <c r="H330" i="222" s="1"/>
  <c r="F314" i="222"/>
  <c r="H314" i="222" s="1"/>
  <c r="F298" i="222"/>
  <c r="H298" i="222" s="1"/>
  <c r="F278" i="222"/>
  <c r="H278" i="222" s="1"/>
  <c r="F243" i="222"/>
  <c r="H243" i="222" s="1"/>
  <c r="F235" i="222"/>
  <c r="H235" i="222" s="1"/>
  <c r="F245" i="222"/>
  <c r="H245" i="222" s="1"/>
  <c r="F237" i="222"/>
  <c r="H237" i="222" s="1"/>
  <c r="F242" i="222"/>
  <c r="H242" i="222" s="1"/>
  <c r="F234" i="222"/>
  <c r="H234" i="222" s="1"/>
  <c r="F137" i="222"/>
  <c r="H137" i="222" s="1"/>
  <c r="F24" i="222"/>
  <c r="H24" i="222" s="1"/>
  <c r="F125" i="222"/>
  <c r="H125" i="222" s="1"/>
  <c r="F19" i="222"/>
  <c r="H19" i="222" s="1"/>
  <c r="F8" i="222"/>
  <c r="H8" i="222" s="1"/>
  <c r="F413" i="222"/>
  <c r="H413" i="222" s="1"/>
  <c r="F461" i="222"/>
  <c r="H461" i="222" s="1"/>
  <c r="F299" i="222"/>
  <c r="H299" i="222" s="1"/>
  <c r="F88" i="222"/>
  <c r="H88" i="222" s="1"/>
  <c r="F18" i="222"/>
  <c r="H18" i="222" s="1"/>
  <c r="F123" i="222"/>
  <c r="H123" i="222" s="1"/>
  <c r="F122" i="222"/>
  <c r="H122" i="222" s="1"/>
  <c r="F139" i="222"/>
  <c r="H139" i="222" s="1"/>
  <c r="F218" i="222"/>
  <c r="H218" i="222" s="1"/>
  <c r="F163" i="222"/>
  <c r="H163" i="222" s="1"/>
  <c r="F233" i="222"/>
  <c r="H233" i="222" s="1"/>
  <c r="F231" i="222"/>
  <c r="H231" i="222" s="1"/>
  <c r="F293" i="222"/>
  <c r="H293" i="222" s="1"/>
  <c r="F341" i="222"/>
  <c r="H341" i="222" s="1"/>
  <c r="F403" i="222"/>
  <c r="H403" i="222" s="1"/>
  <c r="F424" i="222"/>
  <c r="H424" i="222" s="1"/>
  <c r="F443" i="222"/>
  <c r="H443" i="222" s="1"/>
  <c r="F339" i="222"/>
  <c r="H339" i="222" s="1"/>
  <c r="F430" i="222"/>
  <c r="H430" i="222" s="1"/>
  <c r="F291" i="222"/>
  <c r="H291" i="222" s="1"/>
  <c r="F264" i="222"/>
  <c r="H264" i="222" s="1"/>
  <c r="F457" i="222"/>
  <c r="H457" i="222" s="1"/>
  <c r="F315" i="222"/>
  <c r="H315" i="222" s="1"/>
  <c r="F455" i="222"/>
  <c r="H455" i="222" s="1"/>
  <c r="F209" i="222"/>
  <c r="H209" i="222" s="1"/>
  <c r="F179" i="222"/>
  <c r="H179" i="222" s="1"/>
  <c r="F284" i="222"/>
  <c r="H284" i="222" s="1"/>
  <c r="F193" i="222"/>
  <c r="H193" i="222" s="1"/>
  <c r="F177" i="222"/>
  <c r="H177" i="222" s="1"/>
  <c r="F195" i="222"/>
  <c r="H195" i="222" s="1"/>
  <c r="F95" i="222"/>
  <c r="H95" i="222" s="1"/>
  <c r="F61" i="222"/>
  <c r="H61" i="222" s="1"/>
  <c r="F115" i="222"/>
  <c r="H115" i="222" s="1"/>
  <c r="F97" i="222"/>
  <c r="H97" i="222" s="1"/>
  <c r="F81" i="222"/>
  <c r="H81" i="222" s="1"/>
  <c r="F67" i="222"/>
  <c r="H67" i="222" s="1"/>
  <c r="F348" i="222"/>
  <c r="H348" i="222" s="1"/>
  <c r="F300" i="222"/>
  <c r="H300" i="222" s="1"/>
  <c r="F390" i="222"/>
  <c r="H390" i="222" s="1"/>
  <c r="F382" i="222"/>
  <c r="H382" i="222" s="1"/>
  <c r="F324" i="222"/>
  <c r="H324" i="222" s="1"/>
  <c r="F308" i="222"/>
  <c r="H308" i="222" s="1"/>
  <c r="F396" i="222"/>
  <c r="H396" i="222" s="1"/>
  <c r="F388" i="222"/>
  <c r="H388" i="222" s="1"/>
  <c r="F380" i="222"/>
  <c r="H380" i="222" s="1"/>
  <c r="F368" i="222"/>
  <c r="H368" i="222" s="1"/>
  <c r="F352" i="222"/>
  <c r="H352" i="222" s="1"/>
  <c r="F336" i="222"/>
  <c r="H336" i="222" s="1"/>
  <c r="F320" i="222"/>
  <c r="H320" i="222" s="1"/>
  <c r="F304" i="222"/>
  <c r="H304" i="222" s="1"/>
  <c r="F288" i="222"/>
  <c r="H288" i="222" s="1"/>
  <c r="F402" i="222"/>
  <c r="H402" i="222" s="1"/>
  <c r="F394" i="222"/>
  <c r="H394" i="222" s="1"/>
  <c r="F356" i="222"/>
  <c r="H356" i="222" s="1"/>
  <c r="F248" i="222"/>
  <c r="H248" i="222" s="1"/>
  <c r="F240" i="222"/>
  <c r="H240" i="222" s="1"/>
  <c r="F158" i="222"/>
  <c r="H158" i="222" s="1"/>
  <c r="F128" i="222"/>
  <c r="H128" i="222" s="1"/>
  <c r="F52" i="222"/>
  <c r="H52" i="222" s="1"/>
  <c r="F136" i="222"/>
  <c r="H136" i="222" s="1"/>
  <c r="F121" i="222"/>
  <c r="H121" i="222" s="1"/>
  <c r="F43" i="222"/>
  <c r="H43" i="222" s="1"/>
  <c r="F33" i="222"/>
  <c r="H33" i="222" s="1"/>
  <c r="F35" i="222"/>
  <c r="H35" i="222" s="1"/>
  <c r="F28" i="222"/>
  <c r="H28" i="222" s="1"/>
  <c r="F15" i="222"/>
  <c r="H15" i="222" s="1"/>
  <c r="F468" i="222"/>
  <c r="H468" i="222" s="1"/>
  <c r="F54" i="222"/>
  <c r="H54" i="222" s="1"/>
  <c r="F135" i="222"/>
  <c r="H135" i="222" s="1"/>
  <c r="F38" i="222"/>
  <c r="H38" i="222" s="1"/>
  <c r="F82" i="222"/>
  <c r="H82" i="222" s="1"/>
  <c r="F42" i="222"/>
  <c r="H42" i="222" s="1"/>
  <c r="F176" i="222"/>
  <c r="H176" i="222" s="1"/>
  <c r="F196" i="222"/>
  <c r="H196" i="222" s="1"/>
  <c r="F167" i="222"/>
  <c r="H167" i="222" s="1"/>
  <c r="F267" i="222"/>
  <c r="H267" i="222" s="1"/>
  <c r="F373" i="222"/>
  <c r="H373" i="222" s="1"/>
  <c r="F451" i="222"/>
  <c r="H451" i="222" s="1"/>
  <c r="F472" i="222"/>
  <c r="H472" i="222" s="1"/>
  <c r="F458" i="222"/>
  <c r="H458" i="222" s="1"/>
  <c r="F114" i="222"/>
  <c r="H114" i="222" s="1"/>
  <c r="F26" i="222"/>
  <c r="H26" i="222" s="1"/>
  <c r="F48" i="222"/>
  <c r="H48" i="222" s="1"/>
  <c r="F10" i="222"/>
  <c r="H10" i="222" s="1"/>
  <c r="F147" i="222"/>
  <c r="H147" i="222" s="1"/>
  <c r="F230" i="222"/>
  <c r="H230" i="222" s="1"/>
  <c r="F174" i="222"/>
  <c r="H174" i="222" s="1"/>
  <c r="F154" i="222"/>
  <c r="H154" i="222" s="1"/>
  <c r="F253" i="222"/>
  <c r="H253" i="222" s="1"/>
  <c r="F309" i="222"/>
  <c r="H309" i="222" s="1"/>
  <c r="F357" i="222"/>
  <c r="H357" i="222" s="1"/>
  <c r="F408" i="222"/>
  <c r="H408" i="222" s="1"/>
  <c r="F429" i="222"/>
  <c r="H429" i="222" s="1"/>
  <c r="F447" i="222"/>
  <c r="H447" i="222" s="1"/>
  <c r="F355" i="222"/>
  <c r="H355" i="222" s="1"/>
  <c r="F283" i="222"/>
  <c r="H283" i="222" s="1"/>
  <c r="F219" i="222"/>
  <c r="H219" i="222" s="1"/>
  <c r="F211" i="222"/>
  <c r="H211" i="222" s="1"/>
  <c r="F203" i="222"/>
  <c r="H203" i="222" s="1"/>
  <c r="F205" i="222"/>
  <c r="H205" i="222" s="1"/>
  <c r="F175" i="222"/>
  <c r="H175" i="222" s="1"/>
  <c r="F280" i="222"/>
  <c r="H280" i="222" s="1"/>
  <c r="F189" i="222"/>
  <c r="H189" i="222" s="1"/>
  <c r="F173" i="222"/>
  <c r="H173" i="222" s="1"/>
  <c r="F191" i="222"/>
  <c r="H191" i="222" s="1"/>
  <c r="F91" i="222"/>
  <c r="H91" i="222" s="1"/>
  <c r="F93" i="222"/>
  <c r="H93" i="222" s="1"/>
  <c r="F63" i="222"/>
  <c r="H63" i="222" s="1"/>
  <c r="F111" i="222"/>
  <c r="H111" i="222" s="1"/>
  <c r="F77" i="222"/>
  <c r="H77" i="222" s="1"/>
  <c r="F395" i="222"/>
  <c r="H395" i="222" s="1"/>
  <c r="F387" i="222"/>
  <c r="H387" i="222" s="1"/>
  <c r="F379" i="222"/>
  <c r="H379" i="222" s="1"/>
  <c r="F366" i="222"/>
  <c r="H366" i="222" s="1"/>
  <c r="F350" i="222"/>
  <c r="H350" i="222" s="1"/>
  <c r="F334" i="222"/>
  <c r="H334" i="222" s="1"/>
  <c r="F318" i="222"/>
  <c r="H318" i="222" s="1"/>
  <c r="F302" i="222"/>
  <c r="H302" i="222" s="1"/>
  <c r="F286" i="222"/>
  <c r="H286" i="222" s="1"/>
  <c r="F138" i="222"/>
  <c r="H138" i="222" s="1"/>
  <c r="F124" i="222"/>
  <c r="H124" i="222" s="1"/>
  <c r="F274" i="222"/>
  <c r="H274" i="222" s="1"/>
  <c r="F397" i="222"/>
  <c r="H397" i="222" s="1"/>
  <c r="F389" i="222"/>
  <c r="H389" i="222" s="1"/>
  <c r="F381" i="222"/>
  <c r="H381" i="222" s="1"/>
  <c r="F370" i="222"/>
  <c r="H370" i="222" s="1"/>
  <c r="F354" i="222"/>
  <c r="H354" i="222" s="1"/>
  <c r="F338" i="222"/>
  <c r="H338" i="222" s="1"/>
  <c r="F322" i="222"/>
  <c r="H322" i="222" s="1"/>
  <c r="F306" i="222"/>
  <c r="H306" i="222" s="1"/>
  <c r="F290" i="222"/>
  <c r="H290" i="222" s="1"/>
  <c r="F247" i="222"/>
  <c r="H247" i="222" s="1"/>
  <c r="F239" i="222"/>
  <c r="H239" i="222" s="1"/>
  <c r="F249" i="222"/>
  <c r="H249" i="222" s="1"/>
  <c r="F241" i="222"/>
  <c r="H241" i="222" s="1"/>
  <c r="F246" i="222"/>
  <c r="H246" i="222" s="1"/>
  <c r="F238" i="222"/>
  <c r="H238" i="222" s="1"/>
  <c r="F150" i="222"/>
  <c r="H150" i="222" s="1"/>
  <c r="F51" i="222"/>
  <c r="H51" i="222" s="1"/>
  <c r="F133" i="222"/>
  <c r="H133" i="222" s="1"/>
  <c r="F45" i="222"/>
  <c r="H45" i="222" s="1"/>
  <c r="F27" i="222"/>
  <c r="H27" i="222" s="1"/>
  <c r="F159" i="222"/>
  <c r="H159" i="222" s="1"/>
  <c r="F227" i="222"/>
  <c r="H227" i="222" s="1"/>
  <c r="F435" i="222"/>
  <c r="H435" i="222" s="1"/>
  <c r="F371" i="222"/>
  <c r="H371" i="222" s="1"/>
  <c r="F453" i="222"/>
  <c r="H453" i="222" s="1"/>
  <c r="F201" i="222"/>
  <c r="H201" i="222" s="1"/>
  <c r="F171" i="222"/>
  <c r="H171" i="222" s="1"/>
  <c r="F103" i="222"/>
  <c r="H103" i="222" s="1"/>
  <c r="F69" i="222"/>
  <c r="H69" i="222" s="1"/>
  <c r="F89" i="222"/>
  <c r="H89" i="222" s="1"/>
  <c r="F73" i="222"/>
  <c r="H73" i="222" s="1"/>
  <c r="F372" i="222"/>
  <c r="H372" i="222" s="1"/>
  <c r="F316" i="222"/>
  <c r="H316" i="222" s="1"/>
  <c r="F400" i="222"/>
  <c r="H400" i="222" s="1"/>
  <c r="F360" i="222"/>
  <c r="H360" i="222" s="1"/>
  <c r="F296" i="222"/>
  <c r="H296" i="222" s="1"/>
  <c r="F364" i="222"/>
  <c r="H364" i="222" s="1"/>
  <c r="F129" i="222"/>
  <c r="H129" i="222" s="1"/>
  <c r="F37" i="222"/>
  <c r="H37" i="222" s="1"/>
  <c r="K37" i="222" s="1"/>
  <c r="F23" i="222"/>
  <c r="H23" i="222" s="1"/>
  <c r="F187" i="222"/>
  <c r="H187" i="222" s="1"/>
  <c r="F59" i="222"/>
  <c r="H59" i="222" s="1"/>
  <c r="F340" i="222"/>
  <c r="H340" i="222" s="1"/>
  <c r="F392" i="222"/>
  <c r="H392" i="222" s="1"/>
  <c r="F344" i="222"/>
  <c r="H344" i="222" s="1"/>
  <c r="F20" i="222"/>
  <c r="H20" i="222" s="1"/>
  <c r="F117" i="222"/>
  <c r="H117" i="222" s="1"/>
  <c r="F87" i="222"/>
  <c r="H87" i="222" s="1"/>
  <c r="F79" i="222"/>
  <c r="H79" i="222" s="1"/>
  <c r="F107" i="222"/>
  <c r="H107" i="222" s="1"/>
  <c r="F378" i="222"/>
  <c r="H378" i="222" s="1"/>
  <c r="F376" i="222"/>
  <c r="H376" i="222" s="1"/>
  <c r="F312" i="222"/>
  <c r="H312" i="222" s="1"/>
  <c r="F398" i="222"/>
  <c r="H398" i="222" s="1"/>
  <c r="F244" i="222"/>
  <c r="H244" i="222" s="1"/>
  <c r="F31" i="222"/>
  <c r="H31" i="222" s="1"/>
  <c r="F236" i="222"/>
  <c r="H236" i="222" s="1"/>
  <c r="F332" i="222"/>
  <c r="H332" i="222" s="1"/>
  <c r="F142" i="222"/>
  <c r="H142" i="222" s="1"/>
  <c r="F276" i="222"/>
  <c r="H276" i="222" s="1"/>
  <c r="F185" i="222"/>
  <c r="H185" i="222" s="1"/>
  <c r="F109" i="222"/>
  <c r="H109" i="222" s="1"/>
  <c r="F386" i="222"/>
  <c r="H386" i="222" s="1"/>
  <c r="F384" i="222"/>
  <c r="H384" i="222" s="1"/>
  <c r="F328" i="222"/>
  <c r="H328" i="222" s="1"/>
  <c r="F120" i="222"/>
  <c r="H120" i="222" s="1"/>
  <c r="F56" i="222"/>
  <c r="H56" i="222" s="1"/>
  <c r="F16" i="222"/>
  <c r="H16" i="222" s="1"/>
  <c r="F217" i="222"/>
  <c r="H217" i="222" s="1"/>
  <c r="F292" i="222"/>
  <c r="H292" i="222" s="1"/>
  <c r="H26" i="221"/>
  <c r="H20" i="221"/>
  <c r="H58" i="221"/>
  <c r="H17" i="221"/>
  <c r="H39" i="221"/>
  <c r="H70" i="221"/>
  <c r="H23" i="221"/>
  <c r="H12" i="221"/>
  <c r="H25" i="221"/>
  <c r="H40" i="221"/>
  <c r="H35" i="221"/>
  <c r="H8" i="221"/>
  <c r="H61" i="221"/>
  <c r="H78" i="221"/>
  <c r="H86" i="221"/>
  <c r="H59" i="221"/>
  <c r="H82" i="221"/>
  <c r="H79" i="221"/>
  <c r="H67" i="221"/>
  <c r="H57" i="221"/>
  <c r="H64" i="221"/>
  <c r="H75" i="221"/>
  <c r="H74" i="221"/>
  <c r="H83" i="221"/>
  <c r="H87" i="221"/>
  <c r="H60" i="221"/>
  <c r="H69" i="221"/>
  <c r="H81" i="221"/>
  <c r="H65" i="221"/>
  <c r="H63" i="221"/>
  <c r="H71" i="221"/>
  <c r="H66" i="221"/>
  <c r="H68" i="221"/>
  <c r="H73" i="221"/>
  <c r="H89" i="221"/>
  <c r="H85" i="221"/>
  <c r="H77" i="221"/>
  <c r="H62" i="221"/>
  <c r="H80" i="221"/>
  <c r="H76" i="221"/>
  <c r="H72" i="221"/>
  <c r="H88" i="221"/>
  <c r="H84" i="221"/>
  <c r="H56" i="221"/>
  <c r="B121" i="220"/>
  <c r="D121" i="220"/>
  <c r="B122" i="220"/>
  <c r="D122" i="220"/>
  <c r="B123" i="220"/>
  <c r="D123" i="220"/>
  <c r="B124" i="220"/>
  <c r="D124" i="220"/>
  <c r="B125" i="220"/>
  <c r="D125" i="220"/>
  <c r="B126" i="220"/>
  <c r="D126" i="220"/>
  <c r="B127" i="220"/>
  <c r="D127" i="220"/>
  <c r="B128" i="220"/>
  <c r="D128" i="220"/>
  <c r="B129" i="220"/>
  <c r="D129" i="220"/>
  <c r="B130" i="220"/>
  <c r="D130" i="220"/>
  <c r="B131" i="220"/>
  <c r="D131" i="220"/>
  <c r="B132" i="220"/>
  <c r="D132" i="220"/>
  <c r="B133" i="220"/>
  <c r="D133" i="220"/>
  <c r="B134" i="220"/>
  <c r="D134" i="220"/>
  <c r="B135" i="220"/>
  <c r="D135" i="220"/>
  <c r="B136" i="220"/>
  <c r="D136" i="220"/>
  <c r="B137" i="220"/>
  <c r="D137" i="220"/>
  <c r="B138" i="220"/>
  <c r="D138" i="220"/>
  <c r="B139" i="220"/>
  <c r="D139" i="220"/>
  <c r="B140" i="220"/>
  <c r="D140" i="220"/>
  <c r="B141" i="220"/>
  <c r="D141" i="220"/>
  <c r="B142" i="220"/>
  <c r="D142" i="220"/>
  <c r="B143" i="220"/>
  <c r="D143" i="220"/>
  <c r="B144" i="220"/>
  <c r="D144" i="220"/>
  <c r="B145" i="220"/>
  <c r="D145" i="220"/>
  <c r="B146" i="220"/>
  <c r="D146" i="220"/>
  <c r="B147" i="220"/>
  <c r="D147" i="220"/>
  <c r="B148" i="220"/>
  <c r="D148" i="220"/>
  <c r="B149" i="220"/>
  <c r="D149" i="220"/>
  <c r="B150" i="220"/>
  <c r="D150" i="220"/>
  <c r="B151" i="220"/>
  <c r="D151" i="220"/>
  <c r="B152" i="220"/>
  <c r="D152" i="220"/>
  <c r="B153" i="220"/>
  <c r="D153" i="220"/>
  <c r="B154" i="220"/>
  <c r="D154" i="220"/>
  <c r="B155" i="220"/>
  <c r="D155" i="220"/>
  <c r="B156" i="220"/>
  <c r="D156" i="220"/>
  <c r="B157" i="220"/>
  <c r="D157" i="220"/>
  <c r="B158" i="220"/>
  <c r="D158" i="220"/>
  <c r="B159" i="220"/>
  <c r="D159" i="220"/>
  <c r="B160" i="220"/>
  <c r="D160" i="220"/>
  <c r="B161" i="220"/>
  <c r="D161" i="220"/>
  <c r="B162" i="220"/>
  <c r="D162" i="220"/>
  <c r="B163" i="220"/>
  <c r="D163" i="220"/>
  <c r="B164" i="220"/>
  <c r="D164" i="220"/>
  <c r="B165" i="220"/>
  <c r="D165" i="220"/>
  <c r="B166" i="220"/>
  <c r="D166" i="220"/>
  <c r="B167" i="220"/>
  <c r="D167" i="220"/>
  <c r="B168" i="220"/>
  <c r="D168" i="220"/>
  <c r="B169" i="220"/>
  <c r="D169" i="220"/>
  <c r="B170" i="220"/>
  <c r="D170" i="220"/>
  <c r="B171" i="220"/>
  <c r="D171" i="220"/>
  <c r="B172" i="220"/>
  <c r="D172" i="220"/>
  <c r="B173" i="220"/>
  <c r="D173" i="220"/>
  <c r="B174" i="220"/>
  <c r="D174" i="220"/>
  <c r="B175" i="220"/>
  <c r="D175" i="220"/>
  <c r="B176" i="220"/>
  <c r="D176" i="220"/>
  <c r="B177" i="220"/>
  <c r="D177" i="220"/>
  <c r="B178" i="220"/>
  <c r="D178" i="220"/>
  <c r="B179" i="220"/>
  <c r="D179" i="220"/>
  <c r="B180" i="220"/>
  <c r="D180" i="220"/>
  <c r="B181" i="220"/>
  <c r="D181" i="220"/>
  <c r="B182" i="220"/>
  <c r="D182" i="220"/>
  <c r="B183" i="220"/>
  <c r="D183" i="220"/>
  <c r="B184" i="220"/>
  <c r="D184" i="220"/>
  <c r="B185" i="220"/>
  <c r="D185" i="220"/>
  <c r="B186" i="220"/>
  <c r="D186" i="220"/>
  <c r="B187" i="220"/>
  <c r="D187" i="220"/>
  <c r="B188" i="220"/>
  <c r="D188" i="220"/>
  <c r="B189" i="220"/>
  <c r="D189" i="220"/>
  <c r="B190" i="220"/>
  <c r="D190" i="220"/>
  <c r="B191" i="220"/>
  <c r="D191" i="220"/>
  <c r="B192" i="220"/>
  <c r="D192" i="220"/>
  <c r="B193" i="220"/>
  <c r="D193" i="220"/>
  <c r="B194" i="220"/>
  <c r="D194" i="220"/>
  <c r="B195" i="220"/>
  <c r="D195" i="220"/>
  <c r="B196" i="220"/>
  <c r="D196" i="220"/>
  <c r="B197" i="220"/>
  <c r="D197" i="220"/>
  <c r="B198" i="220"/>
  <c r="D198" i="220"/>
  <c r="B199" i="220"/>
  <c r="D199" i="220"/>
  <c r="B200" i="220"/>
  <c r="D200" i="220"/>
  <c r="B201" i="220"/>
  <c r="D201" i="220"/>
  <c r="B202" i="220"/>
  <c r="D202" i="220"/>
  <c r="B203" i="220"/>
  <c r="D203" i="220"/>
  <c r="B204" i="220"/>
  <c r="D204" i="220"/>
  <c r="B205" i="220"/>
  <c r="D205" i="220"/>
  <c r="B206" i="220"/>
  <c r="D206" i="220"/>
  <c r="B207" i="220"/>
  <c r="D207" i="220"/>
  <c r="B208" i="220"/>
  <c r="D208" i="220"/>
  <c r="B209" i="220"/>
  <c r="D209" i="220"/>
  <c r="B210" i="220"/>
  <c r="D210" i="220"/>
  <c r="B211" i="220"/>
  <c r="D211" i="220"/>
  <c r="B212" i="220"/>
  <c r="D212" i="220"/>
  <c r="B213" i="220"/>
  <c r="D213" i="220"/>
  <c r="B214" i="220"/>
  <c r="D214" i="220"/>
  <c r="B215" i="220"/>
  <c r="D215" i="220"/>
  <c r="B216" i="220"/>
  <c r="D216" i="220"/>
  <c r="B217" i="220"/>
  <c r="D217" i="220"/>
  <c r="B9" i="220"/>
  <c r="D9" i="220"/>
  <c r="B10" i="220"/>
  <c r="D10" i="220"/>
  <c r="B11" i="220"/>
  <c r="D11" i="220"/>
  <c r="B12" i="220"/>
  <c r="D12" i="220"/>
  <c r="B13" i="220"/>
  <c r="D13" i="220"/>
  <c r="B14" i="220"/>
  <c r="D14" i="220"/>
  <c r="B15" i="220"/>
  <c r="D15" i="220"/>
  <c r="B16" i="220"/>
  <c r="D16" i="220"/>
  <c r="B17" i="220"/>
  <c r="D17" i="220"/>
  <c r="B18" i="220"/>
  <c r="D18" i="220"/>
  <c r="B19" i="220"/>
  <c r="D19" i="220"/>
  <c r="B20" i="220"/>
  <c r="D20" i="220"/>
  <c r="B21" i="220"/>
  <c r="D21" i="220"/>
  <c r="B22" i="220"/>
  <c r="D22" i="220"/>
  <c r="B23" i="220"/>
  <c r="D23" i="220"/>
  <c r="B24" i="220"/>
  <c r="D24" i="220"/>
  <c r="B25" i="220"/>
  <c r="D25" i="220"/>
  <c r="B26" i="220"/>
  <c r="D26" i="220"/>
  <c r="B27" i="220"/>
  <c r="D27" i="220"/>
  <c r="B28" i="220"/>
  <c r="D28" i="220"/>
  <c r="B29" i="220"/>
  <c r="D29" i="220"/>
  <c r="B30" i="220"/>
  <c r="D30" i="220"/>
  <c r="B31" i="220"/>
  <c r="D31" i="220"/>
  <c r="B32" i="220"/>
  <c r="D32" i="220"/>
  <c r="B33" i="220"/>
  <c r="D33" i="220"/>
  <c r="B34" i="220"/>
  <c r="D34" i="220"/>
  <c r="B35" i="220"/>
  <c r="D35" i="220"/>
  <c r="B36" i="220"/>
  <c r="D36" i="220"/>
  <c r="B37" i="220"/>
  <c r="D37" i="220"/>
  <c r="B38" i="220"/>
  <c r="D38" i="220"/>
  <c r="B39" i="220"/>
  <c r="D39" i="220"/>
  <c r="B40" i="220"/>
  <c r="D40" i="220"/>
  <c r="B41" i="220"/>
  <c r="D41" i="220"/>
  <c r="B42" i="220"/>
  <c r="D42" i="220"/>
  <c r="B43" i="220"/>
  <c r="D43" i="220"/>
  <c r="B44" i="220"/>
  <c r="D44" i="220"/>
  <c r="B45" i="220"/>
  <c r="D45" i="220"/>
  <c r="B46" i="220"/>
  <c r="D46" i="220"/>
  <c r="B47" i="220"/>
  <c r="D47" i="220"/>
  <c r="B48" i="220"/>
  <c r="D48" i="220"/>
  <c r="B49" i="220"/>
  <c r="D49" i="220"/>
  <c r="B50" i="220"/>
  <c r="D50" i="220"/>
  <c r="B51" i="220"/>
  <c r="D51" i="220"/>
  <c r="B52" i="220"/>
  <c r="D52" i="220"/>
  <c r="B53" i="220"/>
  <c r="D53" i="220"/>
  <c r="B54" i="220"/>
  <c r="D54" i="220"/>
  <c r="B55" i="220"/>
  <c r="D55" i="220"/>
  <c r="B56" i="220"/>
  <c r="D56" i="220"/>
  <c r="B57" i="220"/>
  <c r="D57" i="220"/>
  <c r="B58" i="220"/>
  <c r="D58" i="220"/>
  <c r="B59" i="220"/>
  <c r="D59" i="220"/>
  <c r="B60" i="220"/>
  <c r="D60" i="220"/>
  <c r="B61" i="220"/>
  <c r="D61" i="220"/>
  <c r="B62" i="220"/>
  <c r="D62" i="220"/>
  <c r="B63" i="220"/>
  <c r="D63" i="220"/>
  <c r="B64" i="220"/>
  <c r="D64" i="220"/>
  <c r="B65" i="220"/>
  <c r="D65" i="220"/>
  <c r="B66" i="220"/>
  <c r="D66" i="220"/>
  <c r="B67" i="220"/>
  <c r="D67" i="220"/>
  <c r="B68" i="220"/>
  <c r="D68" i="220"/>
  <c r="B69" i="220"/>
  <c r="D69" i="220"/>
  <c r="B70" i="220"/>
  <c r="D70" i="220"/>
  <c r="B71" i="220"/>
  <c r="D71" i="220"/>
  <c r="B72" i="220"/>
  <c r="D72" i="220"/>
  <c r="B73" i="220"/>
  <c r="D73" i="220"/>
  <c r="B74" i="220"/>
  <c r="D74" i="220"/>
  <c r="B75" i="220"/>
  <c r="D75" i="220"/>
  <c r="B76" i="220"/>
  <c r="D76" i="220"/>
  <c r="B77" i="220"/>
  <c r="D77" i="220"/>
  <c r="B78" i="220"/>
  <c r="D78" i="220"/>
  <c r="B79" i="220"/>
  <c r="D79" i="220"/>
  <c r="B80" i="220"/>
  <c r="D80" i="220"/>
  <c r="B81" i="220"/>
  <c r="D81" i="220"/>
  <c r="B82" i="220"/>
  <c r="D82" i="220"/>
  <c r="B83" i="220"/>
  <c r="D83" i="220"/>
  <c r="B84" i="220"/>
  <c r="D84" i="220"/>
  <c r="B85" i="220"/>
  <c r="D85" i="220"/>
  <c r="B86" i="220"/>
  <c r="D86" i="220"/>
  <c r="B87" i="220"/>
  <c r="D87" i="220"/>
  <c r="B88" i="220"/>
  <c r="D88" i="220"/>
  <c r="B89" i="220"/>
  <c r="D89" i="220"/>
  <c r="B90" i="220"/>
  <c r="D90" i="220"/>
  <c r="B91" i="220"/>
  <c r="D91" i="220"/>
  <c r="B92" i="220"/>
  <c r="D92" i="220"/>
  <c r="B93" i="220"/>
  <c r="D93" i="220"/>
  <c r="B94" i="220"/>
  <c r="D94" i="220"/>
  <c r="B95" i="220"/>
  <c r="D95" i="220"/>
  <c r="B96" i="220"/>
  <c r="D96" i="220"/>
  <c r="B97" i="220"/>
  <c r="D97" i="220"/>
  <c r="B98" i="220"/>
  <c r="D98" i="220"/>
  <c r="B99" i="220"/>
  <c r="D99" i="220"/>
  <c r="B100" i="220"/>
  <c r="D100" i="220"/>
  <c r="B101" i="220"/>
  <c r="D101" i="220"/>
  <c r="B102" i="220"/>
  <c r="D102" i="220"/>
  <c r="B103" i="220"/>
  <c r="D103" i="220"/>
  <c r="B104" i="220"/>
  <c r="D104" i="220"/>
  <c r="B105" i="220"/>
  <c r="D105" i="220"/>
  <c r="F77" i="226" l="1"/>
  <c r="G77" i="226" s="1"/>
  <c r="C78" i="226"/>
  <c r="B79" i="226"/>
  <c r="A80" i="226"/>
  <c r="K23" i="221"/>
  <c r="L23" i="221" s="1"/>
  <c r="K468" i="222"/>
  <c r="L468" i="222" s="1"/>
  <c r="K275" i="222"/>
  <c r="L275" i="222" s="1"/>
  <c r="K262" i="222"/>
  <c r="L262" i="222" s="1"/>
  <c r="K309" i="222"/>
  <c r="L309" i="222" s="1"/>
  <c r="K383" i="222"/>
  <c r="L383" i="222" s="1"/>
  <c r="K62" i="222"/>
  <c r="L62" i="222" s="1"/>
  <c r="K12" i="221"/>
  <c r="L12" i="221" s="1"/>
  <c r="K120" i="222"/>
  <c r="L120" i="222" s="1"/>
  <c r="K398" i="222"/>
  <c r="L398" i="222" s="1"/>
  <c r="K59" i="222"/>
  <c r="L59" i="222" s="1"/>
  <c r="K89" i="222"/>
  <c r="L89" i="222" s="1"/>
  <c r="K133" i="222"/>
  <c r="L133" i="222" s="1"/>
  <c r="K338" i="222"/>
  <c r="L338" i="222" s="1"/>
  <c r="K334" i="222"/>
  <c r="L334" i="222" s="1"/>
  <c r="K173" i="222"/>
  <c r="L173" i="222" s="1"/>
  <c r="K408" i="222"/>
  <c r="L408" i="222" s="1"/>
  <c r="K458" i="222"/>
  <c r="L458" i="222" s="1"/>
  <c r="K54" i="222"/>
  <c r="L54" i="222" s="1"/>
  <c r="K240" i="222"/>
  <c r="L240" i="222" s="1"/>
  <c r="K388" i="222"/>
  <c r="L388" i="222" s="1"/>
  <c r="K61" i="222"/>
  <c r="L61" i="222" s="1"/>
  <c r="K291" i="222"/>
  <c r="L291" i="222" s="1"/>
  <c r="K139" i="222"/>
  <c r="L139" i="222" s="1"/>
  <c r="K137" i="222"/>
  <c r="L137" i="222" s="1"/>
  <c r="K362" i="222"/>
  <c r="L362" i="222" s="1"/>
  <c r="K358" i="222"/>
  <c r="L358" i="222" s="1"/>
  <c r="K83" i="222"/>
  <c r="L83" i="222" s="1"/>
  <c r="K456" i="222"/>
  <c r="L456" i="222" s="1"/>
  <c r="K202" i="222"/>
  <c r="L202" i="222" s="1"/>
  <c r="K58" i="222"/>
  <c r="L58" i="222" s="1"/>
  <c r="K266" i="222"/>
  <c r="L266" i="222" s="1"/>
  <c r="K164" i="222"/>
  <c r="L164" i="222" s="1"/>
  <c r="K311" i="222"/>
  <c r="L311" i="222" s="1"/>
  <c r="K469" i="222"/>
  <c r="L469" i="222" s="1"/>
  <c r="K36" i="222"/>
  <c r="L36" i="222" s="1"/>
  <c r="K281" i="222"/>
  <c r="L281" i="222" s="1"/>
  <c r="K319" i="222"/>
  <c r="L319" i="222" s="1"/>
  <c r="K50" i="222"/>
  <c r="L50" i="222" s="1"/>
  <c r="K165" i="222"/>
  <c r="L165" i="222" s="1"/>
  <c r="K415" i="222"/>
  <c r="L415" i="222" s="1"/>
  <c r="K57" i="222"/>
  <c r="L57" i="222" s="1"/>
  <c r="K421" i="222"/>
  <c r="L421" i="222" s="1"/>
  <c r="K313" i="222"/>
  <c r="L313" i="222" s="1"/>
  <c r="K47" i="222"/>
  <c r="L47" i="222" s="1"/>
  <c r="K367" i="222"/>
  <c r="L367" i="222" s="1"/>
  <c r="K433" i="222"/>
  <c r="L433" i="222" s="1"/>
  <c r="K187" i="222"/>
  <c r="L187" i="222" s="1"/>
  <c r="K95" i="222"/>
  <c r="L95" i="222" s="1"/>
  <c r="K106" i="222"/>
  <c r="L106" i="222" s="1"/>
  <c r="K222" i="222"/>
  <c r="L222" i="222" s="1"/>
  <c r="K448" i="222"/>
  <c r="L448" i="222" s="1"/>
  <c r="K23" i="222"/>
  <c r="L23" i="222" s="1"/>
  <c r="K123" i="222"/>
  <c r="L123" i="222" s="1"/>
  <c r="K407" i="222"/>
  <c r="L407" i="222" s="1"/>
  <c r="K144" i="222"/>
  <c r="L144" i="222" s="1"/>
  <c r="K39" i="221"/>
  <c r="L39" i="221" s="1"/>
  <c r="K386" i="222"/>
  <c r="L386" i="222" s="1"/>
  <c r="K378" i="222"/>
  <c r="L378" i="222" s="1"/>
  <c r="K171" i="222"/>
  <c r="L171" i="222" s="1"/>
  <c r="K238" i="222"/>
  <c r="L238" i="222" s="1"/>
  <c r="K381" i="222"/>
  <c r="L381" i="222" s="1"/>
  <c r="K379" i="222"/>
  <c r="L379" i="222" s="1"/>
  <c r="K175" i="222"/>
  <c r="L175" i="222" s="1"/>
  <c r="K253" i="222"/>
  <c r="L253" i="222" s="1"/>
  <c r="K373" i="222"/>
  <c r="L373" i="222" s="1"/>
  <c r="K28" i="222"/>
  <c r="L28" i="222" s="1"/>
  <c r="K394" i="222"/>
  <c r="L394" i="222" s="1"/>
  <c r="K324" i="222"/>
  <c r="L324" i="222" s="1"/>
  <c r="K177" i="222"/>
  <c r="L177" i="222" s="1"/>
  <c r="K443" i="222"/>
  <c r="L443" i="222" s="1"/>
  <c r="K18" i="222"/>
  <c r="L18" i="222" s="1"/>
  <c r="K237" i="222"/>
  <c r="L237" i="222" s="1"/>
  <c r="K393" i="222"/>
  <c r="L393" i="222" s="1"/>
  <c r="K391" i="222"/>
  <c r="L391" i="222" s="1"/>
  <c r="K181" i="222"/>
  <c r="L181" i="222" s="1"/>
  <c r="K323" i="222"/>
  <c r="L323" i="222" s="1"/>
  <c r="K74" i="222"/>
  <c r="L74" i="222" s="1"/>
  <c r="K188" i="222"/>
  <c r="L188" i="222" s="1"/>
  <c r="K446" i="222"/>
  <c r="L446" i="222" s="1"/>
  <c r="K130" i="222"/>
  <c r="L130" i="222" s="1"/>
  <c r="K229" i="222"/>
  <c r="L229" i="222" s="1"/>
  <c r="K432" i="222"/>
  <c r="L432" i="222" s="1"/>
  <c r="K126" i="222"/>
  <c r="L126" i="222" s="1"/>
  <c r="K155" i="222"/>
  <c r="L155" i="222" s="1"/>
  <c r="K279" i="222"/>
  <c r="L279" i="222" s="1"/>
  <c r="K143" i="222"/>
  <c r="L143" i="222" s="1"/>
  <c r="K268" i="222"/>
  <c r="L268" i="222" s="1"/>
  <c r="K254" i="222"/>
  <c r="L254" i="222" s="1"/>
  <c r="K34" i="222"/>
  <c r="L34" i="222" s="1"/>
  <c r="K145" i="222"/>
  <c r="L145" i="222" s="1"/>
  <c r="K252" i="222"/>
  <c r="L252" i="222" s="1"/>
  <c r="K369" i="222"/>
  <c r="L369" i="222" s="1"/>
  <c r="K441" i="222"/>
  <c r="L441" i="222" s="1"/>
  <c r="K36" i="221"/>
  <c r="L36" i="221" s="1"/>
  <c r="K51" i="222"/>
  <c r="L51" i="222" s="1"/>
  <c r="K396" i="222"/>
  <c r="L396" i="222" s="1"/>
  <c r="K337" i="222"/>
  <c r="L337" i="222" s="1"/>
  <c r="K15" i="222"/>
  <c r="L15" i="222" s="1"/>
  <c r="K98" i="222"/>
  <c r="L98" i="222" s="1"/>
  <c r="K53" i="222"/>
  <c r="L53" i="222" s="1"/>
  <c r="K17" i="221"/>
  <c r="L17" i="221" s="1"/>
  <c r="K109" i="222"/>
  <c r="L109" i="222" s="1"/>
  <c r="K107" i="222"/>
  <c r="L107" i="222" s="1"/>
  <c r="K129" i="222"/>
  <c r="L129" i="222" s="1"/>
  <c r="K201" i="222"/>
  <c r="L201" i="222" s="1"/>
  <c r="K246" i="222"/>
  <c r="L246" i="222" s="1"/>
  <c r="K389" i="222"/>
  <c r="L389" i="222" s="1"/>
  <c r="K387" i="222"/>
  <c r="L387" i="222" s="1"/>
  <c r="K205" i="222"/>
  <c r="L205" i="222" s="1"/>
  <c r="K154" i="222"/>
  <c r="L154" i="222" s="1"/>
  <c r="K267" i="222"/>
  <c r="L267" i="222" s="1"/>
  <c r="K35" i="222"/>
  <c r="L35" i="222" s="1"/>
  <c r="K402" i="222"/>
  <c r="L402" i="222" s="1"/>
  <c r="K382" i="222"/>
  <c r="L382" i="222" s="1"/>
  <c r="K193" i="222"/>
  <c r="L193" i="222" s="1"/>
  <c r="K424" i="222"/>
  <c r="L424" i="222" s="1"/>
  <c r="K88" i="222"/>
  <c r="L88" i="222" s="1"/>
  <c r="K245" i="222"/>
  <c r="L245" i="222" s="1"/>
  <c r="K401" i="222"/>
  <c r="L401" i="222" s="1"/>
  <c r="K399" i="222"/>
  <c r="L399" i="222" s="1"/>
  <c r="K199" i="222"/>
  <c r="L199" i="222" s="1"/>
  <c r="K439" i="222"/>
  <c r="L439" i="222" s="1"/>
  <c r="K12" i="222"/>
  <c r="L12" i="222" s="1"/>
  <c r="K169" i="222"/>
  <c r="L169" i="222" s="1"/>
  <c r="K343" i="222"/>
  <c r="L343" i="222" s="1"/>
  <c r="K131" i="222"/>
  <c r="L131" i="222" s="1"/>
  <c r="K228" i="222"/>
  <c r="L228" i="222" s="1"/>
  <c r="K411" i="222"/>
  <c r="L411" i="222" s="1"/>
  <c r="K40" i="222"/>
  <c r="L40" i="222" s="1"/>
  <c r="K206" i="222"/>
  <c r="L206" i="222" s="1"/>
  <c r="K321" i="222"/>
  <c r="L321" i="222" s="1"/>
  <c r="K347" i="222"/>
  <c r="L347" i="222" s="1"/>
  <c r="K11" i="222"/>
  <c r="L11" i="222" s="1"/>
  <c r="K168" i="222"/>
  <c r="L168" i="222" s="1"/>
  <c r="K431" i="222"/>
  <c r="L431" i="222" s="1"/>
  <c r="K41" i="222"/>
  <c r="L41" i="222" s="1"/>
  <c r="K90" i="222"/>
  <c r="L90" i="222" s="1"/>
  <c r="K353" i="222"/>
  <c r="L353" i="222" s="1"/>
  <c r="K178" i="222"/>
  <c r="L178" i="222" s="1"/>
  <c r="K172" i="222"/>
  <c r="L172" i="222" s="1"/>
  <c r="K21" i="221"/>
  <c r="L21" i="221" s="1"/>
  <c r="K328" i="222"/>
  <c r="L328" i="222" s="1"/>
  <c r="K472" i="222"/>
  <c r="L472" i="222" s="1"/>
  <c r="K374" i="222"/>
  <c r="L374" i="222" s="1"/>
  <c r="K149" i="222"/>
  <c r="L149" i="222" s="1"/>
  <c r="K280" i="222"/>
  <c r="L280" i="222" s="1"/>
  <c r="K385" i="222"/>
  <c r="L385" i="222" s="1"/>
  <c r="K417" i="222"/>
  <c r="L417" i="222" s="1"/>
  <c r="K185" i="222"/>
  <c r="L185" i="222" s="1"/>
  <c r="K79" i="222"/>
  <c r="L79" i="222" s="1"/>
  <c r="K364" i="222"/>
  <c r="L364" i="222" s="1"/>
  <c r="K453" i="222"/>
  <c r="L453" i="222" s="1"/>
  <c r="K241" i="222"/>
  <c r="L241" i="222" s="1"/>
  <c r="K397" i="222"/>
  <c r="L397" i="222" s="1"/>
  <c r="K395" i="222"/>
  <c r="L395" i="222" s="1"/>
  <c r="K203" i="222"/>
  <c r="L203" i="222" s="1"/>
  <c r="K174" i="222"/>
  <c r="L174" i="222" s="1"/>
  <c r="K167" i="222"/>
  <c r="L167" i="222" s="1"/>
  <c r="K33" i="222"/>
  <c r="L33" i="222" s="1"/>
  <c r="K288" i="222"/>
  <c r="L288" i="222" s="1"/>
  <c r="K390" i="222"/>
  <c r="L390" i="222" s="1"/>
  <c r="K284" i="222"/>
  <c r="L284" i="222" s="1"/>
  <c r="K403" i="222"/>
  <c r="L403" i="222" s="1"/>
  <c r="K299" i="222"/>
  <c r="L299" i="222" s="1"/>
  <c r="K235" i="222"/>
  <c r="L235" i="222" s="1"/>
  <c r="K282" i="222"/>
  <c r="L282" i="222" s="1"/>
  <c r="K55" i="222"/>
  <c r="L55" i="222" s="1"/>
  <c r="K272" i="222"/>
  <c r="L272" i="222" s="1"/>
  <c r="K419" i="222"/>
  <c r="L419" i="222" s="1"/>
  <c r="K66" i="222"/>
  <c r="L66" i="222" s="1"/>
  <c r="K263" i="222"/>
  <c r="L263" i="222" s="1"/>
  <c r="K444" i="222"/>
  <c r="L444" i="222" s="1"/>
  <c r="K21" i="222"/>
  <c r="L21" i="222" s="1"/>
  <c r="K162" i="222"/>
  <c r="L162" i="222" s="1"/>
  <c r="K365" i="222"/>
  <c r="L365" i="222" s="1"/>
  <c r="K460" i="222"/>
  <c r="L460" i="222" s="1"/>
  <c r="K110" i="222"/>
  <c r="L110" i="222" s="1"/>
  <c r="K273" i="222"/>
  <c r="L273" i="222" s="1"/>
  <c r="K445" i="222"/>
  <c r="L445" i="222" s="1"/>
  <c r="K22" i="222"/>
  <c r="L22" i="222" s="1"/>
  <c r="K200" i="222"/>
  <c r="L200" i="222" s="1"/>
  <c r="K459" i="222"/>
  <c r="L459" i="222" s="1"/>
  <c r="K152" i="222"/>
  <c r="L152" i="222" s="1"/>
  <c r="K184" i="222"/>
  <c r="L184" i="222" s="1"/>
  <c r="K428" i="222"/>
  <c r="L428" i="222" s="1"/>
  <c r="K14" i="222"/>
  <c r="L14" i="222" s="1"/>
  <c r="K32" i="221"/>
  <c r="L32" i="221" s="1"/>
  <c r="K38" i="221"/>
  <c r="L38" i="221" s="1"/>
  <c r="K357" i="222"/>
  <c r="L357" i="222" s="1"/>
  <c r="K99" i="222"/>
  <c r="L99" i="222" s="1"/>
  <c r="K331" i="222"/>
  <c r="L331" i="222" s="1"/>
  <c r="K370" i="222"/>
  <c r="L370" i="222" s="1"/>
  <c r="K242" i="222"/>
  <c r="L242" i="222" s="1"/>
  <c r="K449" i="222"/>
  <c r="L449" i="222" s="1"/>
  <c r="K303" i="222"/>
  <c r="L303" i="222" s="1"/>
  <c r="K20" i="221"/>
  <c r="L20" i="221" s="1"/>
  <c r="K276" i="222"/>
  <c r="L276" i="222" s="1"/>
  <c r="K87" i="222"/>
  <c r="L87" i="222" s="1"/>
  <c r="K296" i="222"/>
  <c r="L296" i="222" s="1"/>
  <c r="K371" i="222"/>
  <c r="L371" i="222" s="1"/>
  <c r="K249" i="222"/>
  <c r="L249" i="222" s="1"/>
  <c r="K274" i="222"/>
  <c r="L274" i="222" s="1"/>
  <c r="K77" i="222"/>
  <c r="L77" i="222" s="1"/>
  <c r="K211" i="222"/>
  <c r="L211" i="222" s="1"/>
  <c r="K230" i="222"/>
  <c r="L230" i="222" s="1"/>
  <c r="K196" i="222"/>
  <c r="L196" i="222" s="1"/>
  <c r="K43" i="222"/>
  <c r="L43" i="222" s="1"/>
  <c r="K304" i="222"/>
  <c r="L304" i="222" s="1"/>
  <c r="K300" i="222"/>
  <c r="L300" i="222" s="1"/>
  <c r="K179" i="222"/>
  <c r="L179" i="222" s="1"/>
  <c r="K341" i="222"/>
  <c r="L341" i="222" s="1"/>
  <c r="K461" i="222"/>
  <c r="L461" i="222" s="1"/>
  <c r="K243" i="222"/>
  <c r="L243" i="222" s="1"/>
  <c r="K132" i="222"/>
  <c r="L132" i="222" s="1"/>
  <c r="K71" i="222"/>
  <c r="L71" i="222" s="1"/>
  <c r="K183" i="222"/>
  <c r="L183" i="222" s="1"/>
  <c r="K287" i="222"/>
  <c r="L287" i="222" s="1"/>
  <c r="K464" i="222"/>
  <c r="L464" i="222" s="1"/>
  <c r="K416" i="222"/>
  <c r="L416" i="222" s="1"/>
  <c r="K425" i="222"/>
  <c r="L425" i="222" s="1"/>
  <c r="K92" i="222"/>
  <c r="L92" i="222" s="1"/>
  <c r="K214" i="222"/>
  <c r="L214" i="222" s="1"/>
  <c r="K317" i="222"/>
  <c r="L317" i="222" s="1"/>
  <c r="K418" i="222"/>
  <c r="L418" i="222" s="1"/>
  <c r="K102" i="222"/>
  <c r="L102" i="222" s="1"/>
  <c r="K190" i="222"/>
  <c r="L190" i="222" s="1"/>
  <c r="K427" i="222"/>
  <c r="L427" i="222" s="1"/>
  <c r="K96" i="222"/>
  <c r="L96" i="222" s="1"/>
  <c r="K160" i="222"/>
  <c r="L160" i="222" s="1"/>
  <c r="K80" i="222"/>
  <c r="L80" i="222" s="1"/>
  <c r="K166" i="222"/>
  <c r="L166" i="222" s="1"/>
  <c r="K204" i="222"/>
  <c r="L204" i="222" s="1"/>
  <c r="K351" i="222"/>
  <c r="L351" i="222" s="1"/>
  <c r="K285" i="222"/>
  <c r="L285" i="222" s="1"/>
  <c r="K18" i="221"/>
  <c r="L18" i="221" s="1"/>
  <c r="K13" i="221"/>
  <c r="L13" i="221" s="1"/>
  <c r="K350" i="222"/>
  <c r="L350" i="222" s="1"/>
  <c r="K377" i="222"/>
  <c r="L377" i="222" s="1"/>
  <c r="K64" i="222"/>
  <c r="L64" i="222" s="1"/>
  <c r="K210" i="222"/>
  <c r="L210" i="222" s="1"/>
  <c r="K356" i="222"/>
  <c r="L356" i="222" s="1"/>
  <c r="K289" i="222"/>
  <c r="L289" i="222" s="1"/>
  <c r="K26" i="221"/>
  <c r="L26" i="221" s="1"/>
  <c r="K142" i="222"/>
  <c r="L142" i="222" s="1"/>
  <c r="K117" i="222"/>
  <c r="L117" i="222" s="1"/>
  <c r="K360" i="222"/>
  <c r="L360" i="222" s="1"/>
  <c r="K435" i="222"/>
  <c r="L435" i="222" s="1"/>
  <c r="K239" i="222"/>
  <c r="L239" i="222" s="1"/>
  <c r="K124" i="222"/>
  <c r="L124" i="222" s="1"/>
  <c r="K111" i="222"/>
  <c r="L111" i="222" s="1"/>
  <c r="K219" i="222"/>
  <c r="L219" i="222" s="1"/>
  <c r="K147" i="222"/>
  <c r="L147" i="222" s="1"/>
  <c r="K176" i="222"/>
  <c r="L176" i="222" s="1"/>
  <c r="K121" i="222"/>
  <c r="L121" i="222" s="1"/>
  <c r="K320" i="222"/>
  <c r="L320" i="222" s="1"/>
  <c r="K348" i="222"/>
  <c r="L348" i="222" s="1"/>
  <c r="K209" i="222"/>
  <c r="L209" i="222" s="1"/>
  <c r="K293" i="222"/>
  <c r="L293" i="222" s="1"/>
  <c r="K413" i="222"/>
  <c r="L413" i="222" s="1"/>
  <c r="K278" i="222"/>
  <c r="L278" i="222" s="1"/>
  <c r="K270" i="222"/>
  <c r="L270" i="222" s="1"/>
  <c r="K85" i="222"/>
  <c r="L85" i="222" s="1"/>
  <c r="K197" i="222"/>
  <c r="L197" i="222" s="1"/>
  <c r="K325" i="222"/>
  <c r="L325" i="222" s="1"/>
  <c r="K39" i="222"/>
  <c r="L39" i="222" s="1"/>
  <c r="K261" i="222"/>
  <c r="L261" i="222" s="1"/>
  <c r="K404" i="222"/>
  <c r="L404" i="222" s="1"/>
  <c r="K463" i="222"/>
  <c r="L463" i="222" s="1"/>
  <c r="K127" i="222"/>
  <c r="L127" i="222" s="1"/>
  <c r="K255" i="222"/>
  <c r="L255" i="222" s="1"/>
  <c r="K327" i="222"/>
  <c r="L327" i="222" s="1"/>
  <c r="K78" i="222"/>
  <c r="L78" i="222" s="1"/>
  <c r="K208" i="222"/>
  <c r="L208" i="222" s="1"/>
  <c r="K405" i="222"/>
  <c r="L405" i="222" s="1"/>
  <c r="K462" i="222"/>
  <c r="L462" i="222" s="1"/>
  <c r="K180" i="222"/>
  <c r="L180" i="222" s="1"/>
  <c r="K104" i="222"/>
  <c r="L104" i="222" s="1"/>
  <c r="K224" i="222"/>
  <c r="L224" i="222" s="1"/>
  <c r="K269" i="222"/>
  <c r="L269" i="222" s="1"/>
  <c r="K60" i="222"/>
  <c r="L60" i="222" s="1"/>
  <c r="K134" i="222"/>
  <c r="L134" i="222" s="1"/>
  <c r="K10" i="221"/>
  <c r="L10" i="221" s="1"/>
  <c r="K29" i="221"/>
  <c r="L29" i="221" s="1"/>
  <c r="K189" i="222"/>
  <c r="L189" i="222" s="1"/>
  <c r="K122" i="222"/>
  <c r="L122" i="222" s="1"/>
  <c r="K220" i="222"/>
  <c r="L220" i="222" s="1"/>
  <c r="K223" i="222"/>
  <c r="L223" i="222" s="1"/>
  <c r="K146" i="222"/>
  <c r="L146" i="222" s="1"/>
  <c r="K150" i="222"/>
  <c r="L150" i="222" s="1"/>
  <c r="K308" i="222"/>
  <c r="L308" i="222" s="1"/>
  <c r="K414" i="222"/>
  <c r="L414" i="222" s="1"/>
  <c r="K30" i="222"/>
  <c r="L30" i="222" s="1"/>
  <c r="K170" i="222"/>
  <c r="L170" i="222" s="1"/>
  <c r="K9" i="221"/>
  <c r="L9" i="221" s="1"/>
  <c r="K8" i="221"/>
  <c r="L8" i="221" s="1"/>
  <c r="K292" i="222"/>
  <c r="L292" i="222" s="1"/>
  <c r="K332" i="222"/>
  <c r="L332" i="222" s="1"/>
  <c r="K20" i="222"/>
  <c r="L20" i="222" s="1"/>
  <c r="K400" i="222"/>
  <c r="L400" i="222" s="1"/>
  <c r="K227" i="222"/>
  <c r="L227" i="222" s="1"/>
  <c r="K247" i="222"/>
  <c r="L247" i="222" s="1"/>
  <c r="K138" i="222"/>
  <c r="L138" i="222" s="1"/>
  <c r="K63" i="222"/>
  <c r="L63" i="222" s="1"/>
  <c r="K283" i="222"/>
  <c r="L283" i="222" s="1"/>
  <c r="K10" i="222"/>
  <c r="L10" i="222" s="1"/>
  <c r="K42" i="222"/>
  <c r="L42" i="222" s="1"/>
  <c r="K136" i="222"/>
  <c r="L136" i="222" s="1"/>
  <c r="K336" i="222"/>
  <c r="L336" i="222" s="1"/>
  <c r="K67" i="222"/>
  <c r="L67" i="222" s="1"/>
  <c r="K455" i="222"/>
  <c r="L455" i="222" s="1"/>
  <c r="K231" i="222"/>
  <c r="L231" i="222" s="1"/>
  <c r="K8" i="222"/>
  <c r="L8" i="222" s="1"/>
  <c r="K298" i="222"/>
  <c r="L298" i="222" s="1"/>
  <c r="K294" i="222"/>
  <c r="L294" i="222" s="1"/>
  <c r="K101" i="222"/>
  <c r="L101" i="222" s="1"/>
  <c r="K213" i="222"/>
  <c r="L213" i="222" s="1"/>
  <c r="K277" i="222"/>
  <c r="L277" i="222" s="1"/>
  <c r="K32" i="222"/>
  <c r="L32" i="222" s="1"/>
  <c r="K465" i="222"/>
  <c r="L465" i="222" s="1"/>
  <c r="K345" i="222"/>
  <c r="L345" i="222" s="1"/>
  <c r="K426" i="222"/>
  <c r="L426" i="222" s="1"/>
  <c r="K116" i="222"/>
  <c r="L116" i="222" s="1"/>
  <c r="K161" i="222"/>
  <c r="L161" i="222" s="1"/>
  <c r="K440" i="222"/>
  <c r="L440" i="222" s="1"/>
  <c r="K13" i="222"/>
  <c r="L13" i="222" s="1"/>
  <c r="K192" i="222"/>
  <c r="L192" i="222" s="1"/>
  <c r="K349" i="222"/>
  <c r="L349" i="222" s="1"/>
  <c r="K307" i="222"/>
  <c r="L307" i="222" s="1"/>
  <c r="K46" i="222"/>
  <c r="L46" i="222" s="1"/>
  <c r="K119" i="222"/>
  <c r="L119" i="222" s="1"/>
  <c r="K412" i="222"/>
  <c r="L412" i="222" s="1"/>
  <c r="K271" i="222"/>
  <c r="L271" i="222" s="1"/>
  <c r="K466" i="222"/>
  <c r="L466" i="222" s="1"/>
  <c r="K256" i="222"/>
  <c r="L256" i="222" s="1"/>
  <c r="K28" i="221"/>
  <c r="L28" i="221" s="1"/>
  <c r="K16" i="221"/>
  <c r="L16" i="221" s="1"/>
  <c r="K312" i="222"/>
  <c r="L312" i="222" s="1"/>
  <c r="K430" i="222"/>
  <c r="L430" i="222" s="1"/>
  <c r="K305" i="222"/>
  <c r="L305" i="222" s="1"/>
  <c r="K438" i="222"/>
  <c r="L438" i="222" s="1"/>
  <c r="K112" i="222"/>
  <c r="L112" i="222" s="1"/>
  <c r="K384" i="222"/>
  <c r="L384" i="222" s="1"/>
  <c r="K366" i="222"/>
  <c r="L366" i="222" s="1"/>
  <c r="K339" i="222"/>
  <c r="L339" i="222" s="1"/>
  <c r="K140" i="222"/>
  <c r="L140" i="222" s="1"/>
  <c r="K148" i="222"/>
  <c r="L148" i="222" s="1"/>
  <c r="K35" i="221"/>
  <c r="L35" i="221" s="1"/>
  <c r="K217" i="222"/>
  <c r="L217" i="222" s="1"/>
  <c r="K236" i="222"/>
  <c r="L236" i="222" s="1"/>
  <c r="K344" i="222"/>
  <c r="L344" i="222" s="1"/>
  <c r="K316" i="222"/>
  <c r="L316" i="222" s="1"/>
  <c r="K159" i="222"/>
  <c r="L159" i="222" s="1"/>
  <c r="K290" i="222"/>
  <c r="L290" i="222" s="1"/>
  <c r="K286" i="222"/>
  <c r="L286" i="222" s="1"/>
  <c r="K93" i="222"/>
  <c r="L93" i="222" s="1"/>
  <c r="K355" i="222"/>
  <c r="L355" i="222" s="1"/>
  <c r="K48" i="222"/>
  <c r="L48" i="222" s="1"/>
  <c r="K82" i="222"/>
  <c r="L82" i="222" s="1"/>
  <c r="K52" i="222"/>
  <c r="L52" i="222" s="1"/>
  <c r="K352" i="222"/>
  <c r="L352" i="222" s="1"/>
  <c r="K81" i="222"/>
  <c r="L81" i="222" s="1"/>
  <c r="K315" i="222"/>
  <c r="L315" i="222" s="1"/>
  <c r="K233" i="222"/>
  <c r="L233" i="222" s="1"/>
  <c r="K19" i="222"/>
  <c r="L19" i="222" s="1"/>
  <c r="K314" i="222"/>
  <c r="L314" i="222" s="1"/>
  <c r="K310" i="222"/>
  <c r="L310" i="222" s="1"/>
  <c r="K75" i="222"/>
  <c r="L75" i="222" s="1"/>
  <c r="K207" i="222"/>
  <c r="L207" i="222" s="1"/>
  <c r="K194" i="222"/>
  <c r="L194" i="222" s="1"/>
  <c r="K157" i="222"/>
  <c r="L157" i="222" s="1"/>
  <c r="K25" i="222"/>
  <c r="L25" i="222" s="1"/>
  <c r="K297" i="222"/>
  <c r="L297" i="222" s="1"/>
  <c r="K335" i="222"/>
  <c r="L335" i="222" s="1"/>
  <c r="K108" i="222"/>
  <c r="L108" i="222" s="1"/>
  <c r="K182" i="222"/>
  <c r="L182" i="222" s="1"/>
  <c r="K420" i="222"/>
  <c r="L420" i="222" s="1"/>
  <c r="K70" i="222"/>
  <c r="L70" i="222" s="1"/>
  <c r="K198" i="222"/>
  <c r="L198" i="222" s="1"/>
  <c r="K301" i="222"/>
  <c r="L301" i="222" s="1"/>
  <c r="K375" i="222"/>
  <c r="L375" i="222" s="1"/>
  <c r="K86" i="222"/>
  <c r="L86" i="222" s="1"/>
  <c r="K156" i="222"/>
  <c r="L156" i="222" s="1"/>
  <c r="K450" i="222"/>
  <c r="L450" i="222" s="1"/>
  <c r="K437" i="222"/>
  <c r="L437" i="222" s="1"/>
  <c r="K221" i="222"/>
  <c r="L221" i="222" s="1"/>
  <c r="K361" i="222"/>
  <c r="L361" i="222" s="1"/>
  <c r="K24" i="221"/>
  <c r="L24" i="221" s="1"/>
  <c r="K30" i="221"/>
  <c r="L30" i="221" s="1"/>
  <c r="K354" i="222"/>
  <c r="L354" i="222" s="1"/>
  <c r="K248" i="222"/>
  <c r="L248" i="222" s="1"/>
  <c r="K49" i="222"/>
  <c r="L49" i="222" s="1"/>
  <c r="K471" i="222"/>
  <c r="L471" i="222" s="1"/>
  <c r="K34" i="221"/>
  <c r="L34" i="221" s="1"/>
  <c r="K103" i="222"/>
  <c r="L103" i="222" s="1"/>
  <c r="K195" i="222"/>
  <c r="L195" i="222" s="1"/>
  <c r="K72" i="222"/>
  <c r="L72" i="222" s="1"/>
  <c r="K216" i="222"/>
  <c r="L216" i="222" s="1"/>
  <c r="K470" i="222"/>
  <c r="L470" i="222" s="1"/>
  <c r="K454" i="222"/>
  <c r="L454" i="222" s="1"/>
  <c r="K40" i="221"/>
  <c r="L40" i="221" s="1"/>
  <c r="K16" i="222"/>
  <c r="L16" i="222" s="1"/>
  <c r="K31" i="222"/>
  <c r="L31" i="222" s="1"/>
  <c r="K392" i="222"/>
  <c r="L392" i="222" s="1"/>
  <c r="K372" i="222"/>
  <c r="L372" i="222" s="1"/>
  <c r="K27" i="222"/>
  <c r="L27" i="222" s="1"/>
  <c r="K306" i="222"/>
  <c r="L306" i="222" s="1"/>
  <c r="K302" i="222"/>
  <c r="L302" i="222" s="1"/>
  <c r="K91" i="222"/>
  <c r="L91" i="222" s="1"/>
  <c r="K447" i="222"/>
  <c r="L447" i="222" s="1"/>
  <c r="K26" i="222"/>
  <c r="L26" i="222" s="1"/>
  <c r="K38" i="222"/>
  <c r="L38" i="222" s="1"/>
  <c r="K128" i="222"/>
  <c r="L128" i="222" s="1"/>
  <c r="K368" i="222"/>
  <c r="L368" i="222" s="1"/>
  <c r="K97" i="222"/>
  <c r="L97" i="222" s="1"/>
  <c r="K457" i="222"/>
  <c r="L457" i="222" s="1"/>
  <c r="K163" i="222"/>
  <c r="L163" i="222" s="1"/>
  <c r="K125" i="222"/>
  <c r="L125" i="222" s="1"/>
  <c r="K330" i="222"/>
  <c r="L330" i="222" s="1"/>
  <c r="K326" i="222"/>
  <c r="L326" i="222" s="1"/>
  <c r="K105" i="222"/>
  <c r="L105" i="222" s="1"/>
  <c r="K215" i="222"/>
  <c r="L215" i="222" s="1"/>
  <c r="K212" i="222"/>
  <c r="L212" i="222" s="1"/>
  <c r="K409" i="222"/>
  <c r="L409" i="222" s="1"/>
  <c r="K9" i="222"/>
  <c r="L9" i="222" s="1"/>
  <c r="K232" i="222"/>
  <c r="L232" i="222" s="1"/>
  <c r="K442" i="222"/>
  <c r="L442" i="222" s="1"/>
  <c r="K17" i="222"/>
  <c r="L17" i="222" s="1"/>
  <c r="K258" i="222"/>
  <c r="L258" i="222" s="1"/>
  <c r="K295" i="222"/>
  <c r="L295" i="222" s="1"/>
  <c r="K467" i="222"/>
  <c r="L467" i="222" s="1"/>
  <c r="K76" i="222"/>
  <c r="L76" i="222" s="1"/>
  <c r="K251" i="222"/>
  <c r="L251" i="222" s="1"/>
  <c r="K452" i="222"/>
  <c r="L452" i="222" s="1"/>
  <c r="K44" i="222"/>
  <c r="L44" i="222" s="1"/>
  <c r="K225" i="222"/>
  <c r="L225" i="222" s="1"/>
  <c r="K29" i="222"/>
  <c r="L29" i="222" s="1"/>
  <c r="K406" i="222"/>
  <c r="L406" i="222" s="1"/>
  <c r="K422" i="222"/>
  <c r="L422" i="222" s="1"/>
  <c r="K68" i="222"/>
  <c r="L68" i="222" s="1"/>
  <c r="K14" i="221"/>
  <c r="L14" i="221" s="1"/>
  <c r="K27" i="221"/>
  <c r="L27" i="221" s="1"/>
  <c r="K69" i="222"/>
  <c r="L69" i="222" s="1"/>
  <c r="K234" i="222"/>
  <c r="L234" i="222" s="1"/>
  <c r="K363" i="222"/>
  <c r="L363" i="222" s="1"/>
  <c r="K376" i="222"/>
  <c r="L376" i="222" s="1"/>
  <c r="K451" i="222"/>
  <c r="L451" i="222" s="1"/>
  <c r="K113" i="222"/>
  <c r="L113" i="222" s="1"/>
  <c r="K259" i="222"/>
  <c r="L259" i="222" s="1"/>
  <c r="K25" i="221"/>
  <c r="L25" i="221" s="1"/>
  <c r="K56" i="222"/>
  <c r="L56" i="222" s="1"/>
  <c r="K244" i="222"/>
  <c r="L244" i="222" s="1"/>
  <c r="K340" i="222"/>
  <c r="L340" i="222" s="1"/>
  <c r="K73" i="222"/>
  <c r="L73" i="222" s="1"/>
  <c r="K45" i="222"/>
  <c r="L45" i="222" s="1"/>
  <c r="K322" i="222"/>
  <c r="L322" i="222" s="1"/>
  <c r="K318" i="222"/>
  <c r="L318" i="222" s="1"/>
  <c r="K191" i="222"/>
  <c r="L191" i="222" s="1"/>
  <c r="K429" i="222"/>
  <c r="L429" i="222" s="1"/>
  <c r="K114" i="222"/>
  <c r="L114" i="222" s="1"/>
  <c r="K135" i="222"/>
  <c r="L135" i="222" s="1"/>
  <c r="K158" i="222"/>
  <c r="L158" i="222" s="1"/>
  <c r="K380" i="222"/>
  <c r="L380" i="222" s="1"/>
  <c r="K115" i="222"/>
  <c r="L115" i="222" s="1"/>
  <c r="K264" i="222"/>
  <c r="L264" i="222" s="1"/>
  <c r="K218" i="222"/>
  <c r="L218" i="222" s="1"/>
  <c r="K24" i="222"/>
  <c r="L24" i="222" s="1"/>
  <c r="K346" i="222"/>
  <c r="L346" i="222" s="1"/>
  <c r="K342" i="222"/>
  <c r="L342" i="222" s="1"/>
  <c r="K65" i="222"/>
  <c r="L65" i="222" s="1"/>
  <c r="K260" i="222"/>
  <c r="L260" i="222" s="1"/>
  <c r="K151" i="222"/>
  <c r="L151" i="222" s="1"/>
  <c r="K434" i="222"/>
  <c r="L434" i="222" s="1"/>
  <c r="K226" i="222"/>
  <c r="L226" i="222" s="1"/>
  <c r="K250" i="222"/>
  <c r="L250" i="222" s="1"/>
  <c r="K423" i="222"/>
  <c r="L423" i="222" s="1"/>
  <c r="K84" i="222"/>
  <c r="L84" i="222" s="1"/>
  <c r="K153" i="222"/>
  <c r="L153" i="222" s="1"/>
  <c r="K329" i="222"/>
  <c r="L329" i="222" s="1"/>
  <c r="K410" i="222"/>
  <c r="L410" i="222" s="1"/>
  <c r="K94" i="222"/>
  <c r="L94" i="222" s="1"/>
  <c r="K265" i="222"/>
  <c r="L265" i="222" s="1"/>
  <c r="K436" i="222"/>
  <c r="L436" i="222" s="1"/>
  <c r="K141" i="222"/>
  <c r="L141" i="222" s="1"/>
  <c r="K333" i="222"/>
  <c r="L333" i="222" s="1"/>
  <c r="K257" i="222"/>
  <c r="L257" i="222" s="1"/>
  <c r="K100" i="222"/>
  <c r="L100" i="222" s="1"/>
  <c r="K186" i="222"/>
  <c r="L186" i="222" s="1"/>
  <c r="K359" i="222"/>
  <c r="L359" i="222" s="1"/>
  <c r="K31" i="221"/>
  <c r="L31" i="221" s="1"/>
  <c r="L954" i="222"/>
  <c r="L5" i="222" s="1"/>
  <c r="K59" i="221"/>
  <c r="L59" i="221" s="1"/>
  <c r="K87" i="221"/>
  <c r="L87" i="221" s="1"/>
  <c r="K73" i="221"/>
  <c r="L73" i="221" s="1"/>
  <c r="K75" i="221"/>
  <c r="L75" i="221" s="1"/>
  <c r="K61" i="221"/>
  <c r="L61" i="221" s="1"/>
  <c r="K68" i="221"/>
  <c r="L68" i="221" s="1"/>
  <c r="K64" i="221"/>
  <c r="L64" i="221" s="1"/>
  <c r="K57" i="221"/>
  <c r="L57" i="221" s="1"/>
  <c r="K81" i="221"/>
  <c r="L81" i="221" s="1"/>
  <c r="K56" i="221"/>
  <c r="L56" i="221" s="1"/>
  <c r="K66" i="221"/>
  <c r="L66" i="221" s="1"/>
  <c r="K84" i="221"/>
  <c r="L84" i="221" s="1"/>
  <c r="K71" i="221"/>
  <c r="L71" i="221" s="1"/>
  <c r="K67" i="221"/>
  <c r="L67" i="221" s="1"/>
  <c r="K88" i="221"/>
  <c r="L88" i="221" s="1"/>
  <c r="K79" i="221"/>
  <c r="L79" i="221" s="1"/>
  <c r="K70" i="221"/>
  <c r="L70" i="221" s="1"/>
  <c r="K63" i="221"/>
  <c r="L63" i="221" s="1"/>
  <c r="K72" i="221"/>
  <c r="L72" i="221" s="1"/>
  <c r="K65" i="221"/>
  <c r="L65" i="221" s="1"/>
  <c r="K82" i="221"/>
  <c r="L82" i="221" s="1"/>
  <c r="K69" i="221"/>
  <c r="L69" i="221" s="1"/>
  <c r="K86" i="221"/>
  <c r="L86" i="221" s="1"/>
  <c r="K58" i="221"/>
  <c r="L58" i="221" s="1"/>
  <c r="K80" i="221"/>
  <c r="L80" i="221" s="1"/>
  <c r="K62" i="221"/>
  <c r="L62" i="221" s="1"/>
  <c r="K60" i="221"/>
  <c r="L60" i="221" s="1"/>
  <c r="K78" i="221"/>
  <c r="L78" i="221" s="1"/>
  <c r="K76" i="221"/>
  <c r="L76" i="221" s="1"/>
  <c r="K77" i="221"/>
  <c r="L77" i="221" s="1"/>
  <c r="K85" i="221"/>
  <c r="L85" i="221" s="1"/>
  <c r="K83" i="221"/>
  <c r="L83" i="221" s="1"/>
  <c r="K89" i="221"/>
  <c r="L89" i="221" s="1"/>
  <c r="K74" i="221"/>
  <c r="L74" i="221" s="1"/>
  <c r="L22" i="221"/>
  <c r="G4" i="221"/>
  <c r="L473" i="222"/>
  <c r="G3" i="222"/>
  <c r="G4" i="222" s="1"/>
  <c r="L37" i="222"/>
  <c r="D120" i="220"/>
  <c r="B120" i="220"/>
  <c r="E113" i="220"/>
  <c r="E111" i="220"/>
  <c r="E110" i="220"/>
  <c r="E109" i="220"/>
  <c r="D8" i="220"/>
  <c r="B8" i="220"/>
  <c r="F78" i="226" l="1"/>
  <c r="G78" i="226" s="1"/>
  <c r="C79" i="226"/>
  <c r="B80" i="226"/>
  <c r="A81" i="226"/>
  <c r="L42" i="221"/>
  <c r="L4" i="221" s="1"/>
  <c r="L90" i="221"/>
  <c r="L474" i="222"/>
  <c r="L4" i="222" s="1"/>
  <c r="C19" i="220"/>
  <c r="E19" i="220" s="1"/>
  <c r="C31" i="220"/>
  <c r="E31" i="220" s="1"/>
  <c r="C43" i="220"/>
  <c r="E43" i="220" s="1"/>
  <c r="C55" i="220"/>
  <c r="E55" i="220" s="1"/>
  <c r="C67" i="220"/>
  <c r="E67" i="220" s="1"/>
  <c r="C79" i="220"/>
  <c r="E79" i="220" s="1"/>
  <c r="C91" i="220"/>
  <c r="E91" i="220" s="1"/>
  <c r="C103" i="220"/>
  <c r="E103" i="220" s="1"/>
  <c r="C49" i="220"/>
  <c r="E49" i="220" s="1"/>
  <c r="C15" i="220"/>
  <c r="E15" i="220" s="1"/>
  <c r="C99" i="220"/>
  <c r="E99" i="220" s="1"/>
  <c r="C76" i="220"/>
  <c r="E76" i="220" s="1"/>
  <c r="C20" i="220"/>
  <c r="E20" i="220" s="1"/>
  <c r="C32" i="220"/>
  <c r="E32" i="220" s="1"/>
  <c r="C44" i="220"/>
  <c r="E44" i="220" s="1"/>
  <c r="C56" i="220"/>
  <c r="E56" i="220" s="1"/>
  <c r="C68" i="220"/>
  <c r="E68" i="220" s="1"/>
  <c r="C80" i="220"/>
  <c r="E80" i="220" s="1"/>
  <c r="C92" i="220"/>
  <c r="E92" i="220" s="1"/>
  <c r="C104" i="220"/>
  <c r="E104" i="220" s="1"/>
  <c r="C8" i="220"/>
  <c r="E8" i="220" s="1"/>
  <c r="C61" i="220"/>
  <c r="E61" i="220" s="1"/>
  <c r="C86" i="220"/>
  <c r="E86" i="220" s="1"/>
  <c r="C51" i="220"/>
  <c r="E51" i="220" s="1"/>
  <c r="C87" i="220"/>
  <c r="E87" i="220" s="1"/>
  <c r="C52" i="220"/>
  <c r="E52" i="220" s="1"/>
  <c r="C53" i="220"/>
  <c r="E53" i="220" s="1"/>
  <c r="C30" i="220"/>
  <c r="E30" i="220" s="1"/>
  <c r="C9" i="220"/>
  <c r="E9" i="220" s="1"/>
  <c r="C21" i="220"/>
  <c r="E21" i="220" s="1"/>
  <c r="C33" i="220"/>
  <c r="E33" i="220" s="1"/>
  <c r="C45" i="220"/>
  <c r="E45" i="220" s="1"/>
  <c r="C57" i="220"/>
  <c r="E57" i="220" s="1"/>
  <c r="C69" i="220"/>
  <c r="E69" i="220" s="1"/>
  <c r="C81" i="220"/>
  <c r="E81" i="220" s="1"/>
  <c r="C93" i="220"/>
  <c r="E93" i="220" s="1"/>
  <c r="C105" i="220"/>
  <c r="E105" i="220" s="1"/>
  <c r="C94" i="220"/>
  <c r="E94" i="220" s="1"/>
  <c r="C73" i="220"/>
  <c r="E73" i="220" s="1"/>
  <c r="C74" i="220"/>
  <c r="E74" i="220" s="1"/>
  <c r="C27" i="220"/>
  <c r="E27" i="220" s="1"/>
  <c r="C40" i="220"/>
  <c r="E40" i="220" s="1"/>
  <c r="C65" i="220"/>
  <c r="E65" i="220" s="1"/>
  <c r="C101" i="220"/>
  <c r="E101" i="220" s="1"/>
  <c r="C66" i="220"/>
  <c r="E66" i="220" s="1"/>
  <c r="C10" i="220"/>
  <c r="E10" i="220" s="1"/>
  <c r="C22" i="220"/>
  <c r="E22" i="220" s="1"/>
  <c r="C34" i="220"/>
  <c r="E34" i="220" s="1"/>
  <c r="C46" i="220"/>
  <c r="E46" i="220" s="1"/>
  <c r="C58" i="220"/>
  <c r="E58" i="220" s="1"/>
  <c r="C70" i="220"/>
  <c r="E70" i="220" s="1"/>
  <c r="C82" i="220"/>
  <c r="E82" i="220" s="1"/>
  <c r="C62" i="220"/>
  <c r="E62" i="220" s="1"/>
  <c r="C75" i="220"/>
  <c r="E75" i="220" s="1"/>
  <c r="C16" i="220"/>
  <c r="E16" i="220" s="1"/>
  <c r="C77" i="220"/>
  <c r="E77" i="220" s="1"/>
  <c r="C42" i="220"/>
  <c r="E42" i="220" s="1"/>
  <c r="C11" i="220"/>
  <c r="E11" i="220" s="1"/>
  <c r="C23" i="220"/>
  <c r="E23" i="220" s="1"/>
  <c r="C35" i="220"/>
  <c r="E35" i="220" s="1"/>
  <c r="C47" i="220"/>
  <c r="E47" i="220" s="1"/>
  <c r="C59" i="220"/>
  <c r="E59" i="220" s="1"/>
  <c r="C71" i="220"/>
  <c r="E71" i="220" s="1"/>
  <c r="C83" i="220"/>
  <c r="E83" i="220" s="1"/>
  <c r="C95" i="220"/>
  <c r="E95" i="220" s="1"/>
  <c r="C37" i="220"/>
  <c r="E37" i="220" s="1"/>
  <c r="C85" i="220"/>
  <c r="E85" i="220" s="1"/>
  <c r="C100" i="220"/>
  <c r="E100" i="220" s="1"/>
  <c r="C29" i="220"/>
  <c r="E29" i="220" s="1"/>
  <c r="C78" i="220"/>
  <c r="E78" i="220" s="1"/>
  <c r="C12" i="220"/>
  <c r="E12" i="220" s="1"/>
  <c r="C24" i="220"/>
  <c r="E24" i="220" s="1"/>
  <c r="C36" i="220"/>
  <c r="E36" i="220" s="1"/>
  <c r="C48" i="220"/>
  <c r="E48" i="220" s="1"/>
  <c r="C60" i="220"/>
  <c r="E60" i="220" s="1"/>
  <c r="C72" i="220"/>
  <c r="E72" i="220" s="1"/>
  <c r="C84" i="220"/>
  <c r="E84" i="220" s="1"/>
  <c r="C96" i="220"/>
  <c r="E96" i="220" s="1"/>
  <c r="C25" i="220"/>
  <c r="E25" i="220" s="1"/>
  <c r="C97" i="220"/>
  <c r="E97" i="220" s="1"/>
  <c r="C39" i="220"/>
  <c r="E39" i="220" s="1"/>
  <c r="C88" i="220"/>
  <c r="E88" i="220" s="1"/>
  <c r="C17" i="220"/>
  <c r="E17" i="220" s="1"/>
  <c r="C13" i="220"/>
  <c r="E13" i="220" s="1"/>
  <c r="C41" i="220"/>
  <c r="E41" i="220" s="1"/>
  <c r="C14" i="220"/>
  <c r="E14" i="220" s="1"/>
  <c r="C26" i="220"/>
  <c r="E26" i="220" s="1"/>
  <c r="C38" i="220"/>
  <c r="E38" i="220" s="1"/>
  <c r="C50" i="220"/>
  <c r="E50" i="220" s="1"/>
  <c r="C98" i="220"/>
  <c r="E98" i="220" s="1"/>
  <c r="C63" i="220"/>
  <c r="E63" i="220" s="1"/>
  <c r="C64" i="220"/>
  <c r="E64" i="220" s="1"/>
  <c r="C102" i="220"/>
  <c r="E102" i="220" s="1"/>
  <c r="C28" i="220"/>
  <c r="E28" i="220" s="1"/>
  <c r="C89" i="220"/>
  <c r="E89" i="220" s="1"/>
  <c r="C18" i="220"/>
  <c r="E18" i="220" s="1"/>
  <c r="C90" i="220"/>
  <c r="E90" i="220" s="1"/>
  <c r="C54" i="220"/>
  <c r="E54" i="220" s="1"/>
  <c r="D117" i="220"/>
  <c r="D116" i="220"/>
  <c r="F13" i="220"/>
  <c r="F14" i="220"/>
  <c r="F29" i="220"/>
  <c r="F9" i="220"/>
  <c r="F10" i="220"/>
  <c r="F21" i="220"/>
  <c r="F22" i="220"/>
  <c r="F15" i="220"/>
  <c r="F16" i="220"/>
  <c r="F20" i="220"/>
  <c r="F26" i="220"/>
  <c r="F36" i="220"/>
  <c r="F41" i="220"/>
  <c r="F42" i="220"/>
  <c r="F58" i="220"/>
  <c r="F59" i="220"/>
  <c r="F60" i="220"/>
  <c r="F61" i="220"/>
  <c r="F62" i="220"/>
  <c r="F63" i="220"/>
  <c r="F64" i="220"/>
  <c r="F65" i="220"/>
  <c r="F66" i="220"/>
  <c r="F67" i="220"/>
  <c r="F68" i="220"/>
  <c r="F69" i="220"/>
  <c r="F70" i="220"/>
  <c r="F71" i="220"/>
  <c r="F72" i="220"/>
  <c r="F104" i="220"/>
  <c r="F33" i="220"/>
  <c r="F49" i="220"/>
  <c r="F54" i="220"/>
  <c r="F12" i="220"/>
  <c r="F24" i="220"/>
  <c r="F30" i="220"/>
  <c r="F40" i="220"/>
  <c r="F45" i="220"/>
  <c r="F46" i="220"/>
  <c r="F56" i="220"/>
  <c r="F57" i="220"/>
  <c r="F98" i="220"/>
  <c r="F11" i="220"/>
  <c r="F18" i="220"/>
  <c r="F23" i="220"/>
  <c r="F34" i="220"/>
  <c r="F44" i="220"/>
  <c r="F50" i="220"/>
  <c r="F55" i="220"/>
  <c r="F48" i="220"/>
  <c r="F53" i="220"/>
  <c r="F100" i="220"/>
  <c r="F52" i="220"/>
  <c r="F102" i="220"/>
  <c r="F28" i="220"/>
  <c r="F38" i="220"/>
  <c r="F32" i="220"/>
  <c r="F37" i="220"/>
  <c r="F103" i="220"/>
  <c r="F96" i="220"/>
  <c r="F92" i="220"/>
  <c r="F88" i="220"/>
  <c r="F84" i="220"/>
  <c r="F80" i="220"/>
  <c r="F76" i="220"/>
  <c r="F51" i="220"/>
  <c r="F39" i="220"/>
  <c r="F31" i="220"/>
  <c r="F73" i="220"/>
  <c r="F101" i="220"/>
  <c r="F95" i="220"/>
  <c r="F91" i="220"/>
  <c r="F87" i="220"/>
  <c r="F83" i="220"/>
  <c r="F79" i="220"/>
  <c r="F75" i="220"/>
  <c r="F81" i="220"/>
  <c r="F25" i="220"/>
  <c r="F47" i="220"/>
  <c r="F99" i="220"/>
  <c r="F94" i="220"/>
  <c r="F90" i="220"/>
  <c r="F86" i="220"/>
  <c r="F82" i="220"/>
  <c r="F78" i="220"/>
  <c r="F74" i="220"/>
  <c r="F43" i="220"/>
  <c r="F19" i="220"/>
  <c r="F35" i="220"/>
  <c r="F17" i="220"/>
  <c r="F77" i="220"/>
  <c r="F105" i="220"/>
  <c r="F97" i="220"/>
  <c r="F93" i="220"/>
  <c r="F89" i="220"/>
  <c r="F85" i="220"/>
  <c r="F27" i="220"/>
  <c r="C194" i="220"/>
  <c r="E194" i="220" s="1"/>
  <c r="C196" i="220"/>
  <c r="E196" i="220" s="1"/>
  <c r="C198" i="220"/>
  <c r="E198" i="220" s="1"/>
  <c r="C134" i="220"/>
  <c r="E134" i="220" s="1"/>
  <c r="C173" i="220"/>
  <c r="E173" i="220" s="1"/>
  <c r="C177" i="220"/>
  <c r="E177" i="220" s="1"/>
  <c r="C169" i="220"/>
  <c r="E169" i="220" s="1"/>
  <c r="C138" i="220"/>
  <c r="E138" i="220" s="1"/>
  <c r="C122" i="220"/>
  <c r="E122" i="220" s="1"/>
  <c r="C141" i="220"/>
  <c r="E141" i="220" s="1"/>
  <c r="C180" i="220"/>
  <c r="E180" i="220" s="1"/>
  <c r="C206" i="220"/>
  <c r="E206" i="220" s="1"/>
  <c r="C149" i="220"/>
  <c r="E149" i="220" s="1"/>
  <c r="C165" i="220"/>
  <c r="E165" i="220" s="1"/>
  <c r="C184" i="220"/>
  <c r="E184" i="220" s="1"/>
  <c r="C153" i="220"/>
  <c r="E153" i="220" s="1"/>
  <c r="C126" i="220"/>
  <c r="E126" i="220" s="1"/>
  <c r="C163" i="220"/>
  <c r="E163" i="220" s="1"/>
  <c r="C182" i="220"/>
  <c r="E182" i="220" s="1"/>
  <c r="C146" i="220"/>
  <c r="E146" i="220" s="1"/>
  <c r="C171" i="220"/>
  <c r="E171" i="220" s="1"/>
  <c r="C216" i="220"/>
  <c r="E216" i="220" s="1"/>
  <c r="C139" i="220"/>
  <c r="E139" i="220" s="1"/>
  <c r="C192" i="220"/>
  <c r="E192" i="220" s="1"/>
  <c r="C147" i="220"/>
  <c r="E147" i="220" s="1"/>
  <c r="C185" i="220"/>
  <c r="E185" i="220" s="1"/>
  <c r="C181" i="220"/>
  <c r="E181" i="220" s="1"/>
  <c r="C132" i="220"/>
  <c r="E132" i="220" s="1"/>
  <c r="C124" i="220"/>
  <c r="E124" i="220" s="1"/>
  <c r="C152" i="220"/>
  <c r="E152" i="220" s="1"/>
  <c r="C136" i="220"/>
  <c r="E136" i="220" s="1"/>
  <c r="C174" i="220"/>
  <c r="E174" i="220" s="1"/>
  <c r="C137" i="220"/>
  <c r="E137" i="220" s="1"/>
  <c r="C204" i="220"/>
  <c r="E204" i="220" s="1"/>
  <c r="C135" i="220"/>
  <c r="E135" i="220" s="1"/>
  <c r="C166" i="220"/>
  <c r="E166" i="220" s="1"/>
  <c r="C150" i="220"/>
  <c r="E150" i="220" s="1"/>
  <c r="C142" i="220"/>
  <c r="E142" i="220" s="1"/>
  <c r="C159" i="220"/>
  <c r="E159" i="220" s="1"/>
  <c r="C131" i="220"/>
  <c r="E131" i="220" s="1"/>
  <c r="C214" i="220"/>
  <c r="E214" i="220" s="1"/>
  <c r="C123" i="220"/>
  <c r="E123" i="220" s="1"/>
  <c r="C212" i="220"/>
  <c r="E212" i="220" s="1"/>
  <c r="C191" i="220"/>
  <c r="E191" i="220" s="1"/>
  <c r="C125" i="220"/>
  <c r="E125" i="220" s="1"/>
  <c r="C189" i="220"/>
  <c r="E189" i="220" s="1"/>
  <c r="C193" i="220"/>
  <c r="E193" i="220" s="1"/>
  <c r="C156" i="220"/>
  <c r="E156" i="220" s="1"/>
  <c r="C140" i="220"/>
  <c r="E140" i="220" s="1"/>
  <c r="C188" i="220"/>
  <c r="E188" i="220" s="1"/>
  <c r="C211" i="220"/>
  <c r="E211" i="220" s="1"/>
  <c r="C170" i="220"/>
  <c r="E170" i="220" s="1"/>
  <c r="C127" i="220"/>
  <c r="E127" i="220" s="1"/>
  <c r="C202" i="220"/>
  <c r="E202" i="220" s="1"/>
  <c r="C217" i="220"/>
  <c r="E217" i="220" s="1"/>
  <c r="C161" i="220"/>
  <c r="E161" i="220" s="1"/>
  <c r="C145" i="220"/>
  <c r="E145" i="220" s="1"/>
  <c r="C186" i="220"/>
  <c r="E186" i="220" s="1"/>
  <c r="C130" i="220"/>
  <c r="E130" i="220" s="1"/>
  <c r="C215" i="220"/>
  <c r="E215" i="220" s="1"/>
  <c r="C154" i="220"/>
  <c r="E154" i="220" s="1"/>
  <c r="C213" i="220"/>
  <c r="E213" i="220" s="1"/>
  <c r="C133" i="220"/>
  <c r="E133" i="220" s="1"/>
  <c r="C208" i="220"/>
  <c r="E208" i="220" s="1"/>
  <c r="C210" i="220"/>
  <c r="E210" i="220" s="1"/>
  <c r="C121" i="220"/>
  <c r="E121" i="220" s="1"/>
  <c r="C197" i="220"/>
  <c r="E197" i="220" s="1"/>
  <c r="C175" i="220"/>
  <c r="E175" i="220" s="1"/>
  <c r="C187" i="220"/>
  <c r="E187" i="220" s="1"/>
  <c r="C183" i="220"/>
  <c r="E183" i="220" s="1"/>
  <c r="C179" i="220"/>
  <c r="E179" i="220" s="1"/>
  <c r="C168" i="220"/>
  <c r="E168" i="220" s="1"/>
  <c r="C128" i="220"/>
  <c r="E128" i="220" s="1"/>
  <c r="C172" i="220"/>
  <c r="E172" i="220" s="1"/>
  <c r="C160" i="220"/>
  <c r="E160" i="220" s="1"/>
  <c r="C144" i="220"/>
  <c r="E144" i="220" s="1"/>
  <c r="C209" i="220"/>
  <c r="E209" i="220" s="1"/>
  <c r="C157" i="220"/>
  <c r="E157" i="220" s="1"/>
  <c r="C162" i="220"/>
  <c r="E162" i="220" s="1"/>
  <c r="C200" i="220"/>
  <c r="E200" i="220" s="1"/>
  <c r="C199" i="220"/>
  <c r="E199" i="220" s="1"/>
  <c r="C158" i="220"/>
  <c r="E158" i="220" s="1"/>
  <c r="C143" i="220"/>
  <c r="E143" i="220" s="1"/>
  <c r="C178" i="220"/>
  <c r="E178" i="220" s="1"/>
  <c r="C190" i="220"/>
  <c r="E190" i="220" s="1"/>
  <c r="C151" i="220"/>
  <c r="E151" i="220" s="1"/>
  <c r="C195" i="220"/>
  <c r="E195" i="220" s="1"/>
  <c r="C129" i="220"/>
  <c r="E129" i="220" s="1"/>
  <c r="C207" i="220"/>
  <c r="E207" i="220" s="1"/>
  <c r="C203" i="220"/>
  <c r="E203" i="220" s="1"/>
  <c r="C155" i="220"/>
  <c r="E155" i="220" s="1"/>
  <c r="C205" i="220"/>
  <c r="E205" i="220" s="1"/>
  <c r="C176" i="220"/>
  <c r="E176" i="220" s="1"/>
  <c r="C201" i="220"/>
  <c r="E201" i="220" s="1"/>
  <c r="C167" i="220"/>
  <c r="E167" i="220" s="1"/>
  <c r="C164" i="220"/>
  <c r="E164" i="220" s="1"/>
  <c r="C148" i="220"/>
  <c r="E148" i="220" s="1"/>
  <c r="F8" i="220"/>
  <c r="C120" i="220"/>
  <c r="E120" i="220" s="1"/>
  <c r="F79" i="226" l="1"/>
  <c r="G79" i="226" s="1"/>
  <c r="C80" i="226"/>
  <c r="B81" i="226"/>
  <c r="A82" i="226"/>
  <c r="L5" i="221"/>
  <c r="H69" i="220"/>
  <c r="K69" i="220" s="1"/>
  <c r="H64" i="220"/>
  <c r="K64" i="220" s="1"/>
  <c r="H88" i="220"/>
  <c r="K88" i="220" s="1"/>
  <c r="H51" i="220"/>
  <c r="K51" i="220" s="1"/>
  <c r="H98" i="220"/>
  <c r="K98" i="220" s="1"/>
  <c r="H32" i="220"/>
  <c r="K32" i="220" s="1"/>
  <c r="H104" i="220"/>
  <c r="K104" i="220" s="1"/>
  <c r="H41" i="220"/>
  <c r="K41" i="220" s="1"/>
  <c r="H55" i="220"/>
  <c r="K55" i="220" s="1"/>
  <c r="H42" i="220"/>
  <c r="K42" i="220" s="1"/>
  <c r="H14" i="220"/>
  <c r="K14" i="220" s="1"/>
  <c r="H16" i="220"/>
  <c r="K16" i="220" s="1"/>
  <c r="H22" i="220"/>
  <c r="K22" i="220" s="1"/>
  <c r="H12" i="220"/>
  <c r="K12" i="220" s="1"/>
  <c r="H93" i="220"/>
  <c r="K93" i="220" s="1"/>
  <c r="H45" i="220"/>
  <c r="K45" i="220" s="1"/>
  <c r="H34" i="220"/>
  <c r="K34" i="220" s="1"/>
  <c r="H21" i="220"/>
  <c r="K21" i="220" s="1"/>
  <c r="H61" i="220"/>
  <c r="K61" i="220" s="1"/>
  <c r="H47" i="220"/>
  <c r="K47" i="220" s="1"/>
  <c r="H46" i="220"/>
  <c r="K46" i="220" s="1"/>
  <c r="H66" i="220"/>
  <c r="K66" i="220" s="1"/>
  <c r="H37" i="220"/>
  <c r="K37" i="220" s="1"/>
  <c r="H102" i="220"/>
  <c r="K102" i="220" s="1"/>
  <c r="H17" i="220"/>
  <c r="K17" i="220" s="1"/>
  <c r="H20" i="220"/>
  <c r="K20" i="220" s="1"/>
  <c r="H65" i="220"/>
  <c r="K65" i="220" s="1"/>
  <c r="H48" i="220"/>
  <c r="K48" i="220" s="1"/>
  <c r="H90" i="220"/>
  <c r="K90" i="220" s="1"/>
  <c r="H27" i="220"/>
  <c r="K27" i="220" s="1"/>
  <c r="H35" i="220"/>
  <c r="K35" i="220" s="1"/>
  <c r="H52" i="220"/>
  <c r="K52" i="220" s="1"/>
  <c r="H13" i="220"/>
  <c r="K13" i="220" s="1"/>
  <c r="H40" i="220"/>
  <c r="K40" i="220" s="1"/>
  <c r="H56" i="220"/>
  <c r="K56" i="220" s="1"/>
  <c r="H10" i="220"/>
  <c r="K10" i="220" s="1"/>
  <c r="H15" i="220"/>
  <c r="K15" i="220" s="1"/>
  <c r="H73" i="220"/>
  <c r="K73" i="220" s="1"/>
  <c r="H99" i="220"/>
  <c r="K99" i="220" s="1"/>
  <c r="H72" i="220"/>
  <c r="K72" i="220" s="1"/>
  <c r="H68" i="220"/>
  <c r="K68" i="220" s="1"/>
  <c r="H60" i="220"/>
  <c r="K60" i="220" s="1"/>
  <c r="H54" i="220"/>
  <c r="K54" i="220" s="1"/>
  <c r="H57" i="220"/>
  <c r="K57" i="220" s="1"/>
  <c r="H23" i="220"/>
  <c r="K23" i="220" s="1"/>
  <c r="H81" i="220"/>
  <c r="K81" i="220" s="1"/>
  <c r="H76" i="220"/>
  <c r="K76" i="220" s="1"/>
  <c r="H92" i="220"/>
  <c r="K92" i="220" s="1"/>
  <c r="G127" i="220"/>
  <c r="G139" i="220"/>
  <c r="G157" i="220"/>
  <c r="G177" i="220"/>
  <c r="G142" i="220"/>
  <c r="G159" i="220"/>
  <c r="G194" i="220"/>
  <c r="G126" i="220"/>
  <c r="G147" i="220"/>
  <c r="G198" i="220"/>
  <c r="G123" i="220"/>
  <c r="G207" i="220"/>
  <c r="G170" i="220"/>
  <c r="G182" i="220"/>
  <c r="G195" i="220"/>
  <c r="G200" i="220"/>
  <c r="G148" i="220"/>
  <c r="G185" i="220"/>
  <c r="G124" i="220"/>
  <c r="G189" i="220"/>
  <c r="G171" i="220"/>
  <c r="G197" i="220"/>
  <c r="G183" i="220"/>
  <c r="G172" i="220"/>
  <c r="G137" i="220"/>
  <c r="G162" i="220"/>
  <c r="G164" i="220"/>
  <c r="G132" i="220"/>
  <c r="G129" i="220"/>
  <c r="G125" i="220"/>
  <c r="G131" i="220"/>
  <c r="G145" i="220"/>
  <c r="G161" i="220"/>
  <c r="G199" i="220"/>
  <c r="G146" i="220"/>
  <c r="G166" i="220"/>
  <c r="G196" i="220"/>
  <c r="G130" i="220"/>
  <c r="G155" i="220"/>
  <c r="G202" i="220"/>
  <c r="G135" i="220"/>
  <c r="G215" i="220"/>
  <c r="G180" i="220"/>
  <c r="G150" i="220"/>
  <c r="G205" i="220"/>
  <c r="G201" i="220"/>
  <c r="G214" i="220"/>
  <c r="G181" i="220"/>
  <c r="G152" i="220"/>
  <c r="G209" i="220"/>
  <c r="G156" i="220"/>
  <c r="G175" i="220"/>
  <c r="G179" i="220"/>
  <c r="G160" i="220"/>
  <c r="G120" i="220"/>
  <c r="G138" i="220"/>
  <c r="G169" i="220"/>
  <c r="G121" i="220"/>
  <c r="G143" i="220"/>
  <c r="G191" i="220"/>
  <c r="G211" i="220"/>
  <c r="G173" i="220"/>
  <c r="G210" i="220"/>
  <c r="G128" i="220"/>
  <c r="G134" i="220"/>
  <c r="G149" i="220"/>
  <c r="G165" i="220"/>
  <c r="G206" i="220"/>
  <c r="G151" i="220"/>
  <c r="G174" i="220"/>
  <c r="G203" i="220"/>
  <c r="G133" i="220"/>
  <c r="G163" i="220"/>
  <c r="G204" i="220"/>
  <c r="G178" i="220"/>
  <c r="G141" i="220"/>
  <c r="G188" i="220"/>
  <c r="G184" i="220"/>
  <c r="G176" i="220"/>
  <c r="G167" i="220"/>
  <c r="G213" i="220"/>
  <c r="G216" i="220"/>
  <c r="G136" i="220"/>
  <c r="G212" i="220"/>
  <c r="G140" i="220"/>
  <c r="G208" i="220"/>
  <c r="G168" i="220"/>
  <c r="G144" i="220"/>
  <c r="G122" i="220"/>
  <c r="G153" i="220"/>
  <c r="G154" i="220"/>
  <c r="G190" i="220"/>
  <c r="G186" i="220"/>
  <c r="G158" i="220"/>
  <c r="G217" i="220"/>
  <c r="G192" i="220"/>
  <c r="G193" i="220"/>
  <c r="G187" i="220"/>
  <c r="H8" i="220"/>
  <c r="K8" i="220" s="1"/>
  <c r="F123" i="220"/>
  <c r="F158" i="220"/>
  <c r="F178" i="220"/>
  <c r="F182" i="220"/>
  <c r="F186" i="220"/>
  <c r="F207" i="220"/>
  <c r="F216" i="220"/>
  <c r="F129" i="220"/>
  <c r="F147" i="220"/>
  <c r="F156" i="220"/>
  <c r="F191" i="220"/>
  <c r="F202" i="220"/>
  <c r="F211" i="220"/>
  <c r="F131" i="220"/>
  <c r="F145" i="220"/>
  <c r="F161" i="220"/>
  <c r="F199" i="220"/>
  <c r="F217" i="220"/>
  <c r="F194" i="220"/>
  <c r="F174" i="220"/>
  <c r="F154" i="220"/>
  <c r="F166" i="220"/>
  <c r="F128" i="220"/>
  <c r="F124" i="220"/>
  <c r="F132" i="220"/>
  <c r="H132" i="220" s="1"/>
  <c r="K132" i="220" s="1"/>
  <c r="F135" i="220"/>
  <c r="H135" i="220" s="1"/>
  <c r="K135" i="220" s="1"/>
  <c r="F162" i="220"/>
  <c r="F179" i="220"/>
  <c r="F183" i="220"/>
  <c r="F187" i="220"/>
  <c r="F208" i="220"/>
  <c r="F121" i="220"/>
  <c r="F130" i="220"/>
  <c r="F148" i="220"/>
  <c r="F160" i="220"/>
  <c r="F192" i="220"/>
  <c r="F204" i="220"/>
  <c r="F212" i="220"/>
  <c r="F134" i="220"/>
  <c r="F149" i="220"/>
  <c r="F165" i="220"/>
  <c r="F200" i="220"/>
  <c r="F142" i="220"/>
  <c r="F146" i="220"/>
  <c r="F193" i="220"/>
  <c r="F159" i="220"/>
  <c r="F144" i="220"/>
  <c r="F136" i="220"/>
  <c r="F172" i="220"/>
  <c r="F141" i="220"/>
  <c r="F170" i="220"/>
  <c r="F180" i="220"/>
  <c r="H180" i="220" s="1"/>
  <c r="K180" i="220" s="1"/>
  <c r="F184" i="220"/>
  <c r="F188" i="220"/>
  <c r="F214" i="220"/>
  <c r="F125" i="220"/>
  <c r="F133" i="220"/>
  <c r="H133" i="220" s="1"/>
  <c r="K133" i="220" s="1"/>
  <c r="F152" i="220"/>
  <c r="H152" i="220" s="1"/>
  <c r="K152" i="220" s="1"/>
  <c r="F163" i="220"/>
  <c r="F198" i="220"/>
  <c r="F205" i="220"/>
  <c r="F122" i="220"/>
  <c r="H122" i="220" s="1"/>
  <c r="K122" i="220" s="1"/>
  <c r="F138" i="220"/>
  <c r="F153" i="220"/>
  <c r="F169" i="220"/>
  <c r="F206" i="220"/>
  <c r="F171" i="220"/>
  <c r="F151" i="220"/>
  <c r="F197" i="220"/>
  <c r="F190" i="220"/>
  <c r="F195" i="220"/>
  <c r="F203" i="220"/>
  <c r="F167" i="220"/>
  <c r="F120" i="220"/>
  <c r="F150" i="220"/>
  <c r="F173" i="220"/>
  <c r="F181" i="220"/>
  <c r="F185" i="220"/>
  <c r="F189" i="220"/>
  <c r="F215" i="220"/>
  <c r="F126" i="220"/>
  <c r="F143" i="220"/>
  <c r="F155" i="220"/>
  <c r="F164" i="220"/>
  <c r="H164" i="220" s="1"/>
  <c r="K164" i="220" s="1"/>
  <c r="F201" i="220"/>
  <c r="F210" i="220"/>
  <c r="F127" i="220"/>
  <c r="H127" i="220" s="1"/>
  <c r="K127" i="220" s="1"/>
  <c r="F140" i="220"/>
  <c r="F157" i="220"/>
  <c r="F177" i="220"/>
  <c r="F209" i="220"/>
  <c r="F175" i="220"/>
  <c r="F137" i="220"/>
  <c r="F213" i="220"/>
  <c r="F196" i="220"/>
  <c r="F168" i="220"/>
  <c r="H168" i="220" s="1"/>
  <c r="K168" i="220" s="1"/>
  <c r="F176" i="220"/>
  <c r="F139" i="220"/>
  <c r="H33" i="220"/>
  <c r="K33" i="220" s="1"/>
  <c r="H84" i="220"/>
  <c r="K84" i="220" s="1"/>
  <c r="H28" i="220"/>
  <c r="K28" i="220" s="1"/>
  <c r="H11" i="220"/>
  <c r="K11" i="220" s="1"/>
  <c r="H70" i="220"/>
  <c r="K70" i="220" s="1"/>
  <c r="H26" i="220"/>
  <c r="K26" i="220" s="1"/>
  <c r="H58" i="220"/>
  <c r="K58" i="220" s="1"/>
  <c r="H29" i="220"/>
  <c r="K29" i="220" s="1"/>
  <c r="H62" i="220"/>
  <c r="K62" i="220" s="1"/>
  <c r="H24" i="220"/>
  <c r="K24" i="220" s="1"/>
  <c r="H53" i="220"/>
  <c r="K53" i="220" s="1"/>
  <c r="H43" i="220"/>
  <c r="K43" i="220" s="1"/>
  <c r="H79" i="220"/>
  <c r="K79" i="220" s="1"/>
  <c r="H44" i="220"/>
  <c r="K44" i="220" s="1"/>
  <c r="H91" i="220"/>
  <c r="K91" i="220" s="1"/>
  <c r="H105" i="220"/>
  <c r="K105" i="220" s="1"/>
  <c r="H19" i="220"/>
  <c r="K19" i="220" s="1"/>
  <c r="H100" i="220"/>
  <c r="K100" i="220" s="1"/>
  <c r="H67" i="220"/>
  <c r="K67" i="220" s="1"/>
  <c r="H59" i="220"/>
  <c r="K59" i="220" s="1"/>
  <c r="H38" i="220"/>
  <c r="K38" i="220" s="1"/>
  <c r="H50" i="220"/>
  <c r="K50" i="220" s="1"/>
  <c r="H30" i="220"/>
  <c r="K30" i="220" s="1"/>
  <c r="H49" i="220"/>
  <c r="K49" i="220" s="1"/>
  <c r="H85" i="220"/>
  <c r="K85" i="220" s="1"/>
  <c r="H18" i="220"/>
  <c r="K18" i="220" s="1"/>
  <c r="H9" i="220"/>
  <c r="K9" i="220" s="1"/>
  <c r="H36" i="220"/>
  <c r="K36" i="220" s="1"/>
  <c r="H96" i="220"/>
  <c r="K96" i="220" s="1"/>
  <c r="H71" i="220"/>
  <c r="K71" i="220" s="1"/>
  <c r="H63" i="220"/>
  <c r="K63" i="220" s="1"/>
  <c r="H82" i="220"/>
  <c r="K82" i="220" s="1"/>
  <c r="H75" i="220"/>
  <c r="K75" i="220" s="1"/>
  <c r="H31" i="220"/>
  <c r="K31" i="220" s="1"/>
  <c r="H80" i="220"/>
  <c r="K80" i="220" s="1"/>
  <c r="H89" i="220"/>
  <c r="K89" i="220" s="1"/>
  <c r="H77" i="220"/>
  <c r="K77" i="220" s="1"/>
  <c r="H86" i="220"/>
  <c r="K86" i="220" s="1"/>
  <c r="H95" i="220"/>
  <c r="K95" i="220" s="1"/>
  <c r="H39" i="220"/>
  <c r="K39" i="220" s="1"/>
  <c r="H103" i="220"/>
  <c r="K103" i="220" s="1"/>
  <c r="H74" i="220"/>
  <c r="K74" i="220" s="1"/>
  <c r="H25" i="220"/>
  <c r="K25" i="220" s="1"/>
  <c r="H83" i="220"/>
  <c r="K83" i="220" s="1"/>
  <c r="H101" i="220"/>
  <c r="K101" i="220" s="1"/>
  <c r="H97" i="220"/>
  <c r="K97" i="220" s="1"/>
  <c r="H78" i="220"/>
  <c r="K78" i="220" s="1"/>
  <c r="H94" i="220"/>
  <c r="K94" i="220" s="1"/>
  <c r="H87" i="220"/>
  <c r="K87" i="220" s="1"/>
  <c r="B42" i="175"/>
  <c r="D42" i="175"/>
  <c r="B43" i="175"/>
  <c r="D43" i="175"/>
  <c r="B44" i="175"/>
  <c r="D44" i="175"/>
  <c r="B45" i="175"/>
  <c r="D45" i="175"/>
  <c r="B46" i="175"/>
  <c r="D46" i="175"/>
  <c r="B47" i="175"/>
  <c r="D47" i="175"/>
  <c r="B48" i="175"/>
  <c r="D48" i="175"/>
  <c r="B49" i="175"/>
  <c r="D49" i="175"/>
  <c r="B50" i="175"/>
  <c r="D50" i="175"/>
  <c r="B51" i="175"/>
  <c r="D51" i="175"/>
  <c r="B52" i="175"/>
  <c r="D52" i="175"/>
  <c r="B53" i="175"/>
  <c r="D53" i="175"/>
  <c r="B54" i="175"/>
  <c r="D54" i="175"/>
  <c r="B55" i="175"/>
  <c r="D55" i="175"/>
  <c r="B56" i="175"/>
  <c r="D56" i="175"/>
  <c r="B57" i="175"/>
  <c r="D57" i="175"/>
  <c r="B58" i="175"/>
  <c r="D58" i="175"/>
  <c r="B59" i="175"/>
  <c r="D59" i="175"/>
  <c r="B9" i="175"/>
  <c r="C9" i="175" s="1"/>
  <c r="E9" i="175" s="1"/>
  <c r="B10" i="175"/>
  <c r="C10" i="175" s="1"/>
  <c r="E10" i="175" s="1"/>
  <c r="B11" i="175"/>
  <c r="C11" i="175" s="1"/>
  <c r="E11" i="175" s="1"/>
  <c r="B12" i="175"/>
  <c r="C12" i="175" s="1"/>
  <c r="E12" i="175" s="1"/>
  <c r="B13" i="175"/>
  <c r="C13" i="175" s="1"/>
  <c r="E13" i="175" s="1"/>
  <c r="B14" i="175"/>
  <c r="C14" i="175" s="1"/>
  <c r="E14" i="175" s="1"/>
  <c r="B15" i="175"/>
  <c r="C15" i="175" s="1"/>
  <c r="E15" i="175" s="1"/>
  <c r="B16" i="175"/>
  <c r="C16" i="175" s="1"/>
  <c r="E16" i="175" s="1"/>
  <c r="B17" i="175"/>
  <c r="C17" i="175" s="1"/>
  <c r="E17" i="175" s="1"/>
  <c r="B18" i="175"/>
  <c r="C18" i="175" s="1"/>
  <c r="E18" i="175" s="1"/>
  <c r="B19" i="175"/>
  <c r="C19" i="175" s="1"/>
  <c r="E19" i="175" s="1"/>
  <c r="B20" i="175"/>
  <c r="C20" i="175" s="1"/>
  <c r="E20" i="175" s="1"/>
  <c r="B21" i="175"/>
  <c r="C21" i="175" s="1"/>
  <c r="E21" i="175" s="1"/>
  <c r="B22" i="175"/>
  <c r="C22" i="175" s="1"/>
  <c r="E22" i="175" s="1"/>
  <c r="B23" i="175"/>
  <c r="C23" i="175" s="1"/>
  <c r="E23" i="175" s="1"/>
  <c r="B24" i="175"/>
  <c r="C24" i="175" s="1"/>
  <c r="E24" i="175" s="1"/>
  <c r="B25" i="175"/>
  <c r="C25" i="175" s="1"/>
  <c r="E25" i="175" s="1"/>
  <c r="B26" i="175"/>
  <c r="C26" i="175" s="1"/>
  <c r="E26" i="175" s="1"/>
  <c r="B35" i="214"/>
  <c r="D35" i="214"/>
  <c r="B36" i="214"/>
  <c r="D36" i="214"/>
  <c r="B37" i="214"/>
  <c r="D37" i="214"/>
  <c r="B38" i="214"/>
  <c r="D38" i="214"/>
  <c r="B39" i="214"/>
  <c r="D39" i="214"/>
  <c r="B40" i="214"/>
  <c r="D40" i="214"/>
  <c r="B41" i="214"/>
  <c r="D41" i="214"/>
  <c r="B42" i="214"/>
  <c r="D42" i="214"/>
  <c r="B43" i="214"/>
  <c r="D43" i="214"/>
  <c r="B44" i="214"/>
  <c r="D44" i="214"/>
  <c r="B45" i="214"/>
  <c r="D45" i="214"/>
  <c r="B9" i="214"/>
  <c r="B10" i="214"/>
  <c r="B11" i="214"/>
  <c r="B12" i="214"/>
  <c r="B13" i="214"/>
  <c r="B14" i="214"/>
  <c r="B15" i="214"/>
  <c r="B16" i="214"/>
  <c r="B17" i="214"/>
  <c r="B18" i="214"/>
  <c r="B19" i="214"/>
  <c r="D34" i="214"/>
  <c r="B34" i="214"/>
  <c r="E27" i="214"/>
  <c r="D31" i="214" s="1"/>
  <c r="E25" i="214"/>
  <c r="D30" i="214" s="1"/>
  <c r="E24" i="214"/>
  <c r="E23" i="214"/>
  <c r="D8" i="214"/>
  <c r="B8" i="214"/>
  <c r="B9" i="213"/>
  <c r="D9" i="213"/>
  <c r="B10" i="213"/>
  <c r="D10" i="213"/>
  <c r="B11" i="213"/>
  <c r="D11" i="213"/>
  <c r="B12" i="213"/>
  <c r="D12" i="213"/>
  <c r="B13" i="213"/>
  <c r="D13" i="213"/>
  <c r="B14" i="213"/>
  <c r="D14" i="213"/>
  <c r="B15" i="213"/>
  <c r="D15" i="213"/>
  <c r="B16" i="213"/>
  <c r="D16" i="213"/>
  <c r="B17" i="213"/>
  <c r="D17" i="213"/>
  <c r="B18" i="213"/>
  <c r="D18" i="213"/>
  <c r="B19" i="213"/>
  <c r="D19" i="213"/>
  <c r="B20" i="213"/>
  <c r="D20" i="213"/>
  <c r="B21" i="213"/>
  <c r="D21" i="213"/>
  <c r="B22" i="213"/>
  <c r="D22" i="213"/>
  <c r="B23" i="213"/>
  <c r="D23" i="213"/>
  <c r="B39" i="213"/>
  <c r="D39" i="213"/>
  <c r="B40" i="213"/>
  <c r="D40" i="213"/>
  <c r="B41" i="213"/>
  <c r="D41" i="213"/>
  <c r="B42" i="213"/>
  <c r="D42" i="213"/>
  <c r="B43" i="213"/>
  <c r="D43" i="213"/>
  <c r="B44" i="213"/>
  <c r="D44" i="213"/>
  <c r="B45" i="213"/>
  <c r="D45" i="213"/>
  <c r="B46" i="213"/>
  <c r="D46" i="213"/>
  <c r="B47" i="213"/>
  <c r="D47" i="213"/>
  <c r="B48" i="213"/>
  <c r="D48" i="213"/>
  <c r="B49" i="213"/>
  <c r="D49" i="213"/>
  <c r="B50" i="213"/>
  <c r="D50" i="213"/>
  <c r="B51" i="213"/>
  <c r="D51" i="213"/>
  <c r="B52" i="213"/>
  <c r="D52" i="213"/>
  <c r="B53" i="213"/>
  <c r="D53" i="213"/>
  <c r="D38" i="213"/>
  <c r="B38" i="213"/>
  <c r="E31" i="213"/>
  <c r="D35" i="213" s="1"/>
  <c r="E29" i="213"/>
  <c r="D34" i="213" s="1"/>
  <c r="E28" i="213"/>
  <c r="E27" i="213"/>
  <c r="D8" i="213"/>
  <c r="B8" i="213"/>
  <c r="B57" i="211"/>
  <c r="D57" i="211"/>
  <c r="B58" i="211"/>
  <c r="D58" i="211"/>
  <c r="B59" i="211"/>
  <c r="D59" i="211"/>
  <c r="B60" i="211"/>
  <c r="D60" i="211"/>
  <c r="B61" i="211"/>
  <c r="D61" i="211"/>
  <c r="B62" i="211"/>
  <c r="D62" i="211"/>
  <c r="B63" i="211"/>
  <c r="D63" i="211"/>
  <c r="B64" i="211"/>
  <c r="D64" i="211"/>
  <c r="B65" i="211"/>
  <c r="D65" i="211"/>
  <c r="B66" i="211"/>
  <c r="D66" i="211"/>
  <c r="B67" i="211"/>
  <c r="D67" i="211"/>
  <c r="B68" i="211"/>
  <c r="D68" i="211"/>
  <c r="B69" i="211"/>
  <c r="D69" i="211"/>
  <c r="B70" i="211"/>
  <c r="D70" i="211"/>
  <c r="B71" i="211"/>
  <c r="D71" i="211"/>
  <c r="B72" i="211"/>
  <c r="D72" i="211"/>
  <c r="B73" i="211"/>
  <c r="D73" i="211"/>
  <c r="B74" i="211"/>
  <c r="D74" i="211"/>
  <c r="B75" i="211"/>
  <c r="D75" i="211"/>
  <c r="B76" i="211"/>
  <c r="D76" i="211"/>
  <c r="B77" i="211"/>
  <c r="D77" i="211"/>
  <c r="B78" i="211"/>
  <c r="D78" i="211"/>
  <c r="B79" i="211"/>
  <c r="D79" i="211"/>
  <c r="B80" i="211"/>
  <c r="D80" i="211"/>
  <c r="B81" i="211"/>
  <c r="D81" i="211"/>
  <c r="B82" i="211"/>
  <c r="D82" i="211"/>
  <c r="B83" i="211"/>
  <c r="D83" i="211"/>
  <c r="B84" i="211"/>
  <c r="D84" i="211"/>
  <c r="B85" i="211"/>
  <c r="D85" i="211"/>
  <c r="B86" i="211"/>
  <c r="D86" i="211"/>
  <c r="B87" i="211"/>
  <c r="D87" i="211"/>
  <c r="B88" i="211"/>
  <c r="D88" i="211"/>
  <c r="B89" i="211"/>
  <c r="D89" i="211"/>
  <c r="B9" i="211"/>
  <c r="C9" i="211" s="1"/>
  <c r="E9" i="211" s="1"/>
  <c r="B10" i="211"/>
  <c r="C10" i="211" s="1"/>
  <c r="E10" i="211" s="1"/>
  <c r="B11" i="211"/>
  <c r="C11" i="211" s="1"/>
  <c r="E11" i="211" s="1"/>
  <c r="B12" i="211"/>
  <c r="C12" i="211" s="1"/>
  <c r="E12" i="211" s="1"/>
  <c r="B13" i="211"/>
  <c r="C13" i="211" s="1"/>
  <c r="E13" i="211" s="1"/>
  <c r="B14" i="211"/>
  <c r="C14" i="211" s="1"/>
  <c r="E14" i="211" s="1"/>
  <c r="B15" i="211"/>
  <c r="C15" i="211" s="1"/>
  <c r="E15" i="211" s="1"/>
  <c r="B16" i="211"/>
  <c r="C16" i="211" s="1"/>
  <c r="E16" i="211" s="1"/>
  <c r="B17" i="211"/>
  <c r="C17" i="211" s="1"/>
  <c r="E17" i="211" s="1"/>
  <c r="B18" i="211"/>
  <c r="C18" i="211" s="1"/>
  <c r="E18" i="211" s="1"/>
  <c r="B19" i="211"/>
  <c r="C19" i="211" s="1"/>
  <c r="E19" i="211" s="1"/>
  <c r="B20" i="211"/>
  <c r="C20" i="211" s="1"/>
  <c r="E20" i="211" s="1"/>
  <c r="B21" i="211"/>
  <c r="C21" i="211" s="1"/>
  <c r="E21" i="211" s="1"/>
  <c r="B22" i="211"/>
  <c r="C22" i="211" s="1"/>
  <c r="E22" i="211" s="1"/>
  <c r="B23" i="211"/>
  <c r="C23" i="211" s="1"/>
  <c r="E23" i="211" s="1"/>
  <c r="B24" i="211"/>
  <c r="C24" i="211" s="1"/>
  <c r="E24" i="211" s="1"/>
  <c r="B25" i="211"/>
  <c r="C25" i="211" s="1"/>
  <c r="E25" i="211" s="1"/>
  <c r="B26" i="211"/>
  <c r="C26" i="211" s="1"/>
  <c r="E26" i="211" s="1"/>
  <c r="B27" i="211"/>
  <c r="C27" i="211" s="1"/>
  <c r="E27" i="211" s="1"/>
  <c r="B28" i="211"/>
  <c r="C28" i="211" s="1"/>
  <c r="E28" i="211" s="1"/>
  <c r="B29" i="211"/>
  <c r="C29" i="211" s="1"/>
  <c r="E29" i="211" s="1"/>
  <c r="B30" i="211"/>
  <c r="C30" i="211" s="1"/>
  <c r="E30" i="211" s="1"/>
  <c r="B31" i="211"/>
  <c r="C31" i="211" s="1"/>
  <c r="E31" i="211" s="1"/>
  <c r="B32" i="211"/>
  <c r="C32" i="211" s="1"/>
  <c r="E32" i="211" s="1"/>
  <c r="B33" i="211"/>
  <c r="C33" i="211" s="1"/>
  <c r="E33" i="211" s="1"/>
  <c r="B34" i="211"/>
  <c r="C34" i="211" s="1"/>
  <c r="E34" i="211" s="1"/>
  <c r="B35" i="211"/>
  <c r="C35" i="211" s="1"/>
  <c r="E35" i="211" s="1"/>
  <c r="B36" i="211"/>
  <c r="C36" i="211" s="1"/>
  <c r="E36" i="211" s="1"/>
  <c r="B37" i="211"/>
  <c r="C37" i="211" s="1"/>
  <c r="E37" i="211" s="1"/>
  <c r="B38" i="211"/>
  <c r="C38" i="211" s="1"/>
  <c r="E38" i="211" s="1"/>
  <c r="B39" i="211"/>
  <c r="C39" i="211" s="1"/>
  <c r="E39" i="211" s="1"/>
  <c r="B40" i="211"/>
  <c r="C40" i="211" s="1"/>
  <c r="E40" i="211" s="1"/>
  <c r="B41" i="211"/>
  <c r="C41" i="211" s="1"/>
  <c r="E41" i="211" s="1"/>
  <c r="D56" i="211"/>
  <c r="B56" i="211"/>
  <c r="E49" i="211"/>
  <c r="D53" i="211" s="1"/>
  <c r="E47" i="211"/>
  <c r="D52" i="211" s="1"/>
  <c r="E46" i="211"/>
  <c r="E45" i="211"/>
  <c r="D8" i="211"/>
  <c r="B8" i="211"/>
  <c r="C8" i="211" s="1"/>
  <c r="E8" i="211" s="1"/>
  <c r="B9" i="209"/>
  <c r="C9" i="209" s="1"/>
  <c r="E9" i="209" s="1"/>
  <c r="B10" i="209"/>
  <c r="C10" i="209" s="1"/>
  <c r="E10" i="209" s="1"/>
  <c r="B11" i="209"/>
  <c r="C11" i="209" s="1"/>
  <c r="E11" i="209" s="1"/>
  <c r="B12" i="209"/>
  <c r="C12" i="209" s="1"/>
  <c r="E12" i="209" s="1"/>
  <c r="B13" i="209"/>
  <c r="C13" i="209" s="1"/>
  <c r="E13" i="209" s="1"/>
  <c r="B14" i="209"/>
  <c r="C14" i="209" s="1"/>
  <c r="E14" i="209" s="1"/>
  <c r="B15" i="209"/>
  <c r="C15" i="209" s="1"/>
  <c r="E15" i="209" s="1"/>
  <c r="B16" i="209"/>
  <c r="C16" i="209" s="1"/>
  <c r="E16" i="209" s="1"/>
  <c r="B17" i="209"/>
  <c r="C17" i="209" s="1"/>
  <c r="E17" i="209" s="1"/>
  <c r="B18" i="209"/>
  <c r="C18" i="209" s="1"/>
  <c r="E18" i="209" s="1"/>
  <c r="B19" i="209"/>
  <c r="C19" i="209" s="1"/>
  <c r="E19" i="209" s="1"/>
  <c r="B20" i="209"/>
  <c r="C20" i="209" s="1"/>
  <c r="E20" i="209" s="1"/>
  <c r="B21" i="209"/>
  <c r="C21" i="209" s="1"/>
  <c r="E21" i="209" s="1"/>
  <c r="B22" i="209"/>
  <c r="C22" i="209" s="1"/>
  <c r="E22" i="209" s="1"/>
  <c r="B23" i="209"/>
  <c r="C23" i="209" s="1"/>
  <c r="E23" i="209" s="1"/>
  <c r="B24" i="209"/>
  <c r="C24" i="209" s="1"/>
  <c r="E24" i="209" s="1"/>
  <c r="B25" i="209"/>
  <c r="C25" i="209" s="1"/>
  <c r="E25" i="209" s="1"/>
  <c r="B26" i="209"/>
  <c r="C26" i="209" s="1"/>
  <c r="E26" i="209" s="1"/>
  <c r="B27" i="209"/>
  <c r="C27" i="209" s="1"/>
  <c r="E27" i="209" s="1"/>
  <c r="B28" i="209"/>
  <c r="C28" i="209" s="1"/>
  <c r="E28" i="209" s="1"/>
  <c r="B29" i="209"/>
  <c r="C29" i="209" s="1"/>
  <c r="E29" i="209" s="1"/>
  <c r="B30" i="209"/>
  <c r="C30" i="209" s="1"/>
  <c r="E30" i="209" s="1"/>
  <c r="B31" i="209"/>
  <c r="C31" i="209" s="1"/>
  <c r="E31" i="209" s="1"/>
  <c r="B32" i="209"/>
  <c r="C32" i="209" s="1"/>
  <c r="E32" i="209" s="1"/>
  <c r="B33" i="209"/>
  <c r="C33" i="209" s="1"/>
  <c r="E33" i="209" s="1"/>
  <c r="B34" i="209"/>
  <c r="C34" i="209" s="1"/>
  <c r="E34" i="209" s="1"/>
  <c r="B35" i="209"/>
  <c r="C35" i="209" s="1"/>
  <c r="E35" i="209" s="1"/>
  <c r="B36" i="209"/>
  <c r="C36" i="209" s="1"/>
  <c r="E36" i="209" s="1"/>
  <c r="B37" i="209"/>
  <c r="C37" i="209" s="1"/>
  <c r="E37" i="209" s="1"/>
  <c r="B38" i="209"/>
  <c r="C38" i="209" s="1"/>
  <c r="E38" i="209" s="1"/>
  <c r="B39" i="209"/>
  <c r="C39" i="209" s="1"/>
  <c r="E39" i="209" s="1"/>
  <c r="B40" i="209"/>
  <c r="C40" i="209" s="1"/>
  <c r="E40" i="209" s="1"/>
  <c r="B41" i="209"/>
  <c r="C41" i="209" s="1"/>
  <c r="E41" i="209" s="1"/>
  <c r="B42" i="209"/>
  <c r="C42" i="209" s="1"/>
  <c r="E42" i="209" s="1"/>
  <c r="B43" i="209"/>
  <c r="C43" i="209" s="1"/>
  <c r="E43" i="209" s="1"/>
  <c r="B44" i="209"/>
  <c r="C44" i="209" s="1"/>
  <c r="E44" i="209" s="1"/>
  <c r="B60" i="209"/>
  <c r="D60" i="209"/>
  <c r="B61" i="209"/>
  <c r="D61" i="209"/>
  <c r="B62" i="209"/>
  <c r="D62" i="209"/>
  <c r="B63" i="209"/>
  <c r="D63" i="209"/>
  <c r="B64" i="209"/>
  <c r="D64" i="209"/>
  <c r="B65" i="209"/>
  <c r="D65" i="209"/>
  <c r="B66" i="209"/>
  <c r="D66" i="209"/>
  <c r="B67" i="209"/>
  <c r="D67" i="209"/>
  <c r="B68" i="209"/>
  <c r="D68" i="209"/>
  <c r="B69" i="209"/>
  <c r="D69" i="209"/>
  <c r="B70" i="209"/>
  <c r="D70" i="209"/>
  <c r="B71" i="209"/>
  <c r="D71" i="209"/>
  <c r="B72" i="209"/>
  <c r="D72" i="209"/>
  <c r="B73" i="209"/>
  <c r="D73" i="209"/>
  <c r="B74" i="209"/>
  <c r="D74" i="209"/>
  <c r="B75" i="209"/>
  <c r="D75" i="209"/>
  <c r="B76" i="209"/>
  <c r="D76" i="209"/>
  <c r="B77" i="209"/>
  <c r="D77" i="209"/>
  <c r="B78" i="209"/>
  <c r="D78" i="209"/>
  <c r="B79" i="209"/>
  <c r="D79" i="209"/>
  <c r="B80" i="209"/>
  <c r="D80" i="209"/>
  <c r="B81" i="209"/>
  <c r="D81" i="209"/>
  <c r="B82" i="209"/>
  <c r="D82" i="209"/>
  <c r="B83" i="209"/>
  <c r="D83" i="209"/>
  <c r="B84" i="209"/>
  <c r="D84" i="209"/>
  <c r="B85" i="209"/>
  <c r="D85" i="209"/>
  <c r="B86" i="209"/>
  <c r="D86" i="209"/>
  <c r="B87" i="209"/>
  <c r="D87" i="209"/>
  <c r="B88" i="209"/>
  <c r="D88" i="209"/>
  <c r="B89" i="209"/>
  <c r="D89" i="209"/>
  <c r="B90" i="209"/>
  <c r="D90" i="209"/>
  <c r="B91" i="209"/>
  <c r="D91" i="209"/>
  <c r="B92" i="209"/>
  <c r="D92" i="209"/>
  <c r="B93" i="209"/>
  <c r="D93" i="209"/>
  <c r="B94" i="209"/>
  <c r="D94" i="209"/>
  <c r="B95" i="209"/>
  <c r="D95" i="209"/>
  <c r="D59" i="209"/>
  <c r="B59" i="209"/>
  <c r="E52" i="209"/>
  <c r="D56" i="209" s="1"/>
  <c r="E50" i="209"/>
  <c r="D55" i="209" s="1"/>
  <c r="E49" i="209"/>
  <c r="E48" i="209"/>
  <c r="D8" i="209"/>
  <c r="B8" i="209"/>
  <c r="C8" i="209" s="1"/>
  <c r="E8" i="209" s="1"/>
  <c r="B9" i="208"/>
  <c r="C9" i="208" s="1"/>
  <c r="E9" i="208" s="1"/>
  <c r="B10" i="208"/>
  <c r="C10" i="208" s="1"/>
  <c r="E10" i="208" s="1"/>
  <c r="B11" i="208"/>
  <c r="C11" i="208" s="1"/>
  <c r="E11" i="208" s="1"/>
  <c r="B12" i="208"/>
  <c r="C12" i="208" s="1"/>
  <c r="E12" i="208" s="1"/>
  <c r="B13" i="208"/>
  <c r="C13" i="208" s="1"/>
  <c r="E13" i="208" s="1"/>
  <c r="B14" i="208"/>
  <c r="C14" i="208" s="1"/>
  <c r="E14" i="208" s="1"/>
  <c r="B15" i="208"/>
  <c r="C15" i="208" s="1"/>
  <c r="E15" i="208" s="1"/>
  <c r="B16" i="208"/>
  <c r="C16" i="208" s="1"/>
  <c r="E16" i="208" s="1"/>
  <c r="B17" i="208"/>
  <c r="C17" i="208" s="1"/>
  <c r="E17" i="208" s="1"/>
  <c r="B18" i="208"/>
  <c r="C18" i="208" s="1"/>
  <c r="E18" i="208" s="1"/>
  <c r="B19" i="208"/>
  <c r="C19" i="208" s="1"/>
  <c r="E19" i="208" s="1"/>
  <c r="B20" i="208"/>
  <c r="C20" i="208" s="1"/>
  <c r="E20" i="208" s="1"/>
  <c r="B21" i="208"/>
  <c r="C21" i="208" s="1"/>
  <c r="E21" i="208" s="1"/>
  <c r="B22" i="208"/>
  <c r="C22" i="208" s="1"/>
  <c r="E22" i="208" s="1"/>
  <c r="B23" i="208"/>
  <c r="C23" i="208" s="1"/>
  <c r="E23" i="208" s="1"/>
  <c r="B24" i="208"/>
  <c r="C24" i="208" s="1"/>
  <c r="E24" i="208" s="1"/>
  <c r="B25" i="208"/>
  <c r="C25" i="208" s="1"/>
  <c r="E25" i="208" s="1"/>
  <c r="B26" i="208"/>
  <c r="C26" i="208" s="1"/>
  <c r="E26" i="208" s="1"/>
  <c r="B27" i="208"/>
  <c r="C27" i="208" s="1"/>
  <c r="E27" i="208" s="1"/>
  <c r="B28" i="208"/>
  <c r="C28" i="208" s="1"/>
  <c r="E28" i="208" s="1"/>
  <c r="B29" i="208"/>
  <c r="C29" i="208" s="1"/>
  <c r="E29" i="208" s="1"/>
  <c r="B30" i="208"/>
  <c r="C30" i="208" s="1"/>
  <c r="E30" i="208" s="1"/>
  <c r="B31" i="208"/>
  <c r="C31" i="208" s="1"/>
  <c r="E31" i="208" s="1"/>
  <c r="B32" i="208"/>
  <c r="C32" i="208" s="1"/>
  <c r="E32" i="208" s="1"/>
  <c r="B33" i="208"/>
  <c r="C33" i="208" s="1"/>
  <c r="E33" i="208" s="1"/>
  <c r="B34" i="208"/>
  <c r="C34" i="208" s="1"/>
  <c r="E34" i="208" s="1"/>
  <c r="B35" i="208"/>
  <c r="C35" i="208" s="1"/>
  <c r="E35" i="208" s="1"/>
  <c r="B36" i="208"/>
  <c r="C36" i="208" s="1"/>
  <c r="E36" i="208" s="1"/>
  <c r="B37" i="208"/>
  <c r="C37" i="208" s="1"/>
  <c r="E37" i="208" s="1"/>
  <c r="B38" i="208"/>
  <c r="C38" i="208" s="1"/>
  <c r="E38" i="208" s="1"/>
  <c r="B39" i="208"/>
  <c r="C39" i="208" s="1"/>
  <c r="E39" i="208" s="1"/>
  <c r="B40" i="208"/>
  <c r="C40" i="208" s="1"/>
  <c r="E40" i="208" s="1"/>
  <c r="B56" i="208"/>
  <c r="D56" i="208"/>
  <c r="B57" i="208"/>
  <c r="D57" i="208"/>
  <c r="B58" i="208"/>
  <c r="D58" i="208"/>
  <c r="B59" i="208"/>
  <c r="D59" i="208"/>
  <c r="B60" i="208"/>
  <c r="D60" i="208"/>
  <c r="B61" i="208"/>
  <c r="D61" i="208"/>
  <c r="B62" i="208"/>
  <c r="D62" i="208"/>
  <c r="B63" i="208"/>
  <c r="D63" i="208"/>
  <c r="B64" i="208"/>
  <c r="D64" i="208"/>
  <c r="B65" i="208"/>
  <c r="D65" i="208"/>
  <c r="B66" i="208"/>
  <c r="D66" i="208"/>
  <c r="B67" i="208"/>
  <c r="D67" i="208"/>
  <c r="B68" i="208"/>
  <c r="D68" i="208"/>
  <c r="B69" i="208"/>
  <c r="D69" i="208"/>
  <c r="B70" i="208"/>
  <c r="D70" i="208"/>
  <c r="B71" i="208"/>
  <c r="D71" i="208"/>
  <c r="B72" i="208"/>
  <c r="D72" i="208"/>
  <c r="B73" i="208"/>
  <c r="D73" i="208"/>
  <c r="B74" i="208"/>
  <c r="D74" i="208"/>
  <c r="B75" i="208"/>
  <c r="D75" i="208"/>
  <c r="B76" i="208"/>
  <c r="D76" i="208"/>
  <c r="B77" i="208"/>
  <c r="D77" i="208"/>
  <c r="B78" i="208"/>
  <c r="D78" i="208"/>
  <c r="B79" i="208"/>
  <c r="D79" i="208"/>
  <c r="B80" i="208"/>
  <c r="D80" i="208"/>
  <c r="B81" i="208"/>
  <c r="D81" i="208"/>
  <c r="B82" i="208"/>
  <c r="D82" i="208"/>
  <c r="B83" i="208"/>
  <c r="D83" i="208"/>
  <c r="B84" i="208"/>
  <c r="D84" i="208"/>
  <c r="B85" i="208"/>
  <c r="D85" i="208"/>
  <c r="B86" i="208"/>
  <c r="D86" i="208"/>
  <c r="B87" i="208"/>
  <c r="D87" i="208"/>
  <c r="D55" i="208"/>
  <c r="B55" i="208"/>
  <c r="E48" i="208"/>
  <c r="D52" i="208" s="1"/>
  <c r="E46" i="208"/>
  <c r="D51" i="208" s="1"/>
  <c r="E45" i="208"/>
  <c r="E44" i="208"/>
  <c r="D8" i="208"/>
  <c r="B8" i="208"/>
  <c r="C8" i="208" s="1"/>
  <c r="E8" i="208" s="1"/>
  <c r="B9" i="207"/>
  <c r="C9" i="207" s="1"/>
  <c r="E9" i="207" s="1"/>
  <c r="B10" i="207"/>
  <c r="C10" i="207" s="1"/>
  <c r="E10" i="207" s="1"/>
  <c r="B11" i="207"/>
  <c r="C11" i="207" s="1"/>
  <c r="E11" i="207" s="1"/>
  <c r="B12" i="207"/>
  <c r="C12" i="207" s="1"/>
  <c r="E12" i="207" s="1"/>
  <c r="B13" i="207"/>
  <c r="C13" i="207" s="1"/>
  <c r="E13" i="207" s="1"/>
  <c r="B14" i="207"/>
  <c r="C14" i="207" s="1"/>
  <c r="E14" i="207" s="1"/>
  <c r="B15" i="207"/>
  <c r="C15" i="207" s="1"/>
  <c r="E15" i="207" s="1"/>
  <c r="B16" i="207"/>
  <c r="C16" i="207" s="1"/>
  <c r="E16" i="207" s="1"/>
  <c r="B17" i="207"/>
  <c r="C17" i="207" s="1"/>
  <c r="E17" i="207" s="1"/>
  <c r="B18" i="207"/>
  <c r="C18" i="207" s="1"/>
  <c r="E18" i="207" s="1"/>
  <c r="B19" i="207"/>
  <c r="C19" i="207" s="1"/>
  <c r="E19" i="207" s="1"/>
  <c r="B20" i="207"/>
  <c r="C20" i="207" s="1"/>
  <c r="E20" i="207" s="1"/>
  <c r="B21" i="207"/>
  <c r="C21" i="207" s="1"/>
  <c r="E21" i="207" s="1"/>
  <c r="B22" i="207"/>
  <c r="C22" i="207" s="1"/>
  <c r="E22" i="207" s="1"/>
  <c r="B23" i="207"/>
  <c r="C23" i="207" s="1"/>
  <c r="E23" i="207" s="1"/>
  <c r="B24" i="207"/>
  <c r="C24" i="207" s="1"/>
  <c r="E24" i="207" s="1"/>
  <c r="B25" i="207"/>
  <c r="C25" i="207" s="1"/>
  <c r="E25" i="207" s="1"/>
  <c r="B26" i="207"/>
  <c r="C26" i="207" s="1"/>
  <c r="E26" i="207" s="1"/>
  <c r="B27" i="207"/>
  <c r="C27" i="207" s="1"/>
  <c r="E27" i="207" s="1"/>
  <c r="B28" i="207"/>
  <c r="C28" i="207" s="1"/>
  <c r="E28" i="207" s="1"/>
  <c r="B29" i="207"/>
  <c r="C29" i="207" s="1"/>
  <c r="E29" i="207" s="1"/>
  <c r="B30" i="207"/>
  <c r="C30" i="207" s="1"/>
  <c r="E30" i="207" s="1"/>
  <c r="B31" i="207"/>
  <c r="C31" i="207" s="1"/>
  <c r="E31" i="207" s="1"/>
  <c r="B32" i="207"/>
  <c r="C32" i="207" s="1"/>
  <c r="E32" i="207" s="1"/>
  <c r="B33" i="207"/>
  <c r="C33" i="207" s="1"/>
  <c r="E33" i="207" s="1"/>
  <c r="B34" i="207"/>
  <c r="C34" i="207" s="1"/>
  <c r="E34" i="207" s="1"/>
  <c r="B35" i="207"/>
  <c r="C35" i="207" s="1"/>
  <c r="E35" i="207" s="1"/>
  <c r="B36" i="207"/>
  <c r="C36" i="207" s="1"/>
  <c r="E36" i="207" s="1"/>
  <c r="B37" i="207"/>
  <c r="C37" i="207" s="1"/>
  <c r="E37" i="207" s="1"/>
  <c r="B38" i="207"/>
  <c r="C38" i="207" s="1"/>
  <c r="E38" i="207" s="1"/>
  <c r="B39" i="207"/>
  <c r="C39" i="207" s="1"/>
  <c r="E39" i="207" s="1"/>
  <c r="B40" i="207"/>
  <c r="C40" i="207" s="1"/>
  <c r="E40" i="207" s="1"/>
  <c r="B41" i="207"/>
  <c r="C41" i="207" s="1"/>
  <c r="E41" i="207" s="1"/>
  <c r="B42" i="207"/>
  <c r="C42" i="207" s="1"/>
  <c r="E42" i="207" s="1"/>
  <c r="B43" i="207"/>
  <c r="C43" i="207" s="1"/>
  <c r="E43" i="207" s="1"/>
  <c r="B44" i="207"/>
  <c r="C44" i="207" s="1"/>
  <c r="E44" i="207" s="1"/>
  <c r="B45" i="207"/>
  <c r="C45" i="207" s="1"/>
  <c r="E45" i="207" s="1"/>
  <c r="B61" i="207"/>
  <c r="D61" i="207"/>
  <c r="B62" i="207"/>
  <c r="D62" i="207"/>
  <c r="B63" i="207"/>
  <c r="D63" i="207"/>
  <c r="B64" i="207"/>
  <c r="D64" i="207"/>
  <c r="B65" i="207"/>
  <c r="D65" i="207"/>
  <c r="B66" i="207"/>
  <c r="D66" i="207"/>
  <c r="B67" i="207"/>
  <c r="D67" i="207"/>
  <c r="B68" i="207"/>
  <c r="D68" i="207"/>
  <c r="B69" i="207"/>
  <c r="D69" i="207"/>
  <c r="B70" i="207"/>
  <c r="D70" i="207"/>
  <c r="B71" i="207"/>
  <c r="D71" i="207"/>
  <c r="B72" i="207"/>
  <c r="D72" i="207"/>
  <c r="B73" i="207"/>
  <c r="D73" i="207"/>
  <c r="B74" i="207"/>
  <c r="D74" i="207"/>
  <c r="B75" i="207"/>
  <c r="D75" i="207"/>
  <c r="B76" i="207"/>
  <c r="D76" i="207"/>
  <c r="B77" i="207"/>
  <c r="D77" i="207"/>
  <c r="B78" i="207"/>
  <c r="D78" i="207"/>
  <c r="B79" i="207"/>
  <c r="D79" i="207"/>
  <c r="B80" i="207"/>
  <c r="D80" i="207"/>
  <c r="B81" i="207"/>
  <c r="D81" i="207"/>
  <c r="B82" i="207"/>
  <c r="D82" i="207"/>
  <c r="B83" i="207"/>
  <c r="D83" i="207"/>
  <c r="B84" i="207"/>
  <c r="D84" i="207"/>
  <c r="B85" i="207"/>
  <c r="D85" i="207"/>
  <c r="B86" i="207"/>
  <c r="D86" i="207"/>
  <c r="B87" i="207"/>
  <c r="D87" i="207"/>
  <c r="B88" i="207"/>
  <c r="D88" i="207"/>
  <c r="B89" i="207"/>
  <c r="D89" i="207"/>
  <c r="B90" i="207"/>
  <c r="D90" i="207"/>
  <c r="B91" i="207"/>
  <c r="D91" i="207"/>
  <c r="B92" i="207"/>
  <c r="D92" i="207"/>
  <c r="B93" i="207"/>
  <c r="D93" i="207"/>
  <c r="B94" i="207"/>
  <c r="D94" i="207"/>
  <c r="B95" i="207"/>
  <c r="D95" i="207"/>
  <c r="B96" i="207"/>
  <c r="D96" i="207"/>
  <c r="B97" i="207"/>
  <c r="D97" i="207"/>
  <c r="D60" i="207"/>
  <c r="B60" i="207"/>
  <c r="E53" i="207"/>
  <c r="D57" i="207" s="1"/>
  <c r="E51" i="207"/>
  <c r="D56" i="207" s="1"/>
  <c r="F66" i="207" s="1"/>
  <c r="E50" i="207"/>
  <c r="E49" i="207"/>
  <c r="D8" i="207"/>
  <c r="B8" i="207"/>
  <c r="C8" i="207" s="1"/>
  <c r="E8" i="207" s="1"/>
  <c r="B9" i="205"/>
  <c r="C9" i="205" s="1"/>
  <c r="E9" i="205" s="1"/>
  <c r="B10" i="205"/>
  <c r="C10" i="205" s="1"/>
  <c r="E10" i="205" s="1"/>
  <c r="B11" i="205"/>
  <c r="C11" i="205" s="1"/>
  <c r="E11" i="205" s="1"/>
  <c r="B12" i="205"/>
  <c r="C12" i="205" s="1"/>
  <c r="E12" i="205" s="1"/>
  <c r="B13" i="205"/>
  <c r="C13" i="205" s="1"/>
  <c r="E13" i="205" s="1"/>
  <c r="B14" i="205"/>
  <c r="C14" i="205" s="1"/>
  <c r="E14" i="205" s="1"/>
  <c r="B15" i="205"/>
  <c r="C15" i="205" s="1"/>
  <c r="E15" i="205" s="1"/>
  <c r="B16" i="205"/>
  <c r="C16" i="205" s="1"/>
  <c r="E16" i="205" s="1"/>
  <c r="B17" i="205"/>
  <c r="C17" i="205" s="1"/>
  <c r="E17" i="205" s="1"/>
  <c r="B18" i="205"/>
  <c r="C18" i="205" s="1"/>
  <c r="E18" i="205" s="1"/>
  <c r="B19" i="205"/>
  <c r="C19" i="205" s="1"/>
  <c r="E19" i="205" s="1"/>
  <c r="B20" i="205"/>
  <c r="C20" i="205" s="1"/>
  <c r="E20" i="205" s="1"/>
  <c r="B21" i="205"/>
  <c r="C21" i="205" s="1"/>
  <c r="E21" i="205" s="1"/>
  <c r="B22" i="205"/>
  <c r="C22" i="205" s="1"/>
  <c r="E22" i="205" s="1"/>
  <c r="B23" i="205"/>
  <c r="C23" i="205" s="1"/>
  <c r="E23" i="205" s="1"/>
  <c r="B24" i="205"/>
  <c r="C24" i="205" s="1"/>
  <c r="E24" i="205" s="1"/>
  <c r="B25" i="205"/>
  <c r="C25" i="205" s="1"/>
  <c r="E25" i="205" s="1"/>
  <c r="B26" i="205"/>
  <c r="C26" i="205" s="1"/>
  <c r="E26" i="205" s="1"/>
  <c r="B27" i="205"/>
  <c r="C27" i="205" s="1"/>
  <c r="E27" i="205" s="1"/>
  <c r="B28" i="205"/>
  <c r="C28" i="205" s="1"/>
  <c r="E28" i="205" s="1"/>
  <c r="B29" i="205"/>
  <c r="C29" i="205" s="1"/>
  <c r="E29" i="205" s="1"/>
  <c r="B30" i="205"/>
  <c r="C30" i="205" s="1"/>
  <c r="E30" i="205" s="1"/>
  <c r="B31" i="205"/>
  <c r="C31" i="205" s="1"/>
  <c r="E31" i="205" s="1"/>
  <c r="B32" i="205"/>
  <c r="C32" i="205" s="1"/>
  <c r="E32" i="205" s="1"/>
  <c r="B33" i="205"/>
  <c r="C33" i="205" s="1"/>
  <c r="E33" i="205" s="1"/>
  <c r="B34" i="205"/>
  <c r="C34" i="205" s="1"/>
  <c r="E34" i="205" s="1"/>
  <c r="B35" i="205"/>
  <c r="C35" i="205" s="1"/>
  <c r="E35" i="205" s="1"/>
  <c r="B36" i="205"/>
  <c r="C36" i="205" s="1"/>
  <c r="E36" i="205" s="1"/>
  <c r="B37" i="205"/>
  <c r="C37" i="205" s="1"/>
  <c r="E37" i="205" s="1"/>
  <c r="B53" i="205"/>
  <c r="D53" i="205"/>
  <c r="B54" i="205"/>
  <c r="D54" i="205"/>
  <c r="B55" i="205"/>
  <c r="D55" i="205"/>
  <c r="B56" i="205"/>
  <c r="D56" i="205"/>
  <c r="B57" i="205"/>
  <c r="D57" i="205"/>
  <c r="B58" i="205"/>
  <c r="D58" i="205"/>
  <c r="B59" i="205"/>
  <c r="D59" i="205"/>
  <c r="B60" i="205"/>
  <c r="D60" i="205"/>
  <c r="B61" i="205"/>
  <c r="D61" i="205"/>
  <c r="B62" i="205"/>
  <c r="D62" i="205"/>
  <c r="B63" i="205"/>
  <c r="D63" i="205"/>
  <c r="B64" i="205"/>
  <c r="D64" i="205"/>
  <c r="B65" i="205"/>
  <c r="D65" i="205"/>
  <c r="B66" i="205"/>
  <c r="D66" i="205"/>
  <c r="B67" i="205"/>
  <c r="D67" i="205"/>
  <c r="B68" i="205"/>
  <c r="D68" i="205"/>
  <c r="B69" i="205"/>
  <c r="D69" i="205"/>
  <c r="B70" i="205"/>
  <c r="D70" i="205"/>
  <c r="B71" i="205"/>
  <c r="D71" i="205"/>
  <c r="B72" i="205"/>
  <c r="D72" i="205"/>
  <c r="B73" i="205"/>
  <c r="D73" i="205"/>
  <c r="B74" i="205"/>
  <c r="D74" i="205"/>
  <c r="B75" i="205"/>
  <c r="D75" i="205"/>
  <c r="B76" i="205"/>
  <c r="D76" i="205"/>
  <c r="B77" i="205"/>
  <c r="D77" i="205"/>
  <c r="B78" i="205"/>
  <c r="D78" i="205"/>
  <c r="B79" i="205"/>
  <c r="D79" i="205"/>
  <c r="B80" i="205"/>
  <c r="D80" i="205"/>
  <c r="B81" i="205"/>
  <c r="D81" i="205"/>
  <c r="D52" i="205"/>
  <c r="B52" i="205"/>
  <c r="E45" i="205"/>
  <c r="D49" i="205" s="1"/>
  <c r="E43" i="205"/>
  <c r="D48" i="205" s="1"/>
  <c r="E42" i="205"/>
  <c r="E41" i="205"/>
  <c r="D8" i="205"/>
  <c r="B8" i="205"/>
  <c r="C8" i="205" s="1"/>
  <c r="E8" i="205" s="1"/>
  <c r="E26" i="204"/>
  <c r="B9" i="204"/>
  <c r="C9" i="204" s="1"/>
  <c r="E9" i="204" s="1"/>
  <c r="B10" i="204"/>
  <c r="C10" i="204" s="1"/>
  <c r="E10" i="204" s="1"/>
  <c r="B11" i="204"/>
  <c r="C11" i="204" s="1"/>
  <c r="E11" i="204" s="1"/>
  <c r="B12" i="204"/>
  <c r="C12" i="204" s="1"/>
  <c r="E12" i="204" s="1"/>
  <c r="B13" i="204"/>
  <c r="C13" i="204" s="1"/>
  <c r="E13" i="204" s="1"/>
  <c r="B14" i="204"/>
  <c r="C14" i="204" s="1"/>
  <c r="E14" i="204" s="1"/>
  <c r="B15" i="204"/>
  <c r="C15" i="204" s="1"/>
  <c r="E15" i="204" s="1"/>
  <c r="B16" i="204"/>
  <c r="C16" i="204" s="1"/>
  <c r="E16" i="204" s="1"/>
  <c r="B17" i="204"/>
  <c r="C17" i="204" s="1"/>
  <c r="E17" i="204" s="1"/>
  <c r="B18" i="204"/>
  <c r="C18" i="204" s="1"/>
  <c r="E18" i="204" s="1"/>
  <c r="B19" i="204"/>
  <c r="C19" i="204" s="1"/>
  <c r="E19" i="204" s="1"/>
  <c r="B20" i="204"/>
  <c r="C20" i="204" s="1"/>
  <c r="E20" i="204" s="1"/>
  <c r="B21" i="204"/>
  <c r="C21" i="204" s="1"/>
  <c r="E21" i="204" s="1"/>
  <c r="B22" i="204"/>
  <c r="C22" i="204" s="1"/>
  <c r="E22" i="204" s="1"/>
  <c r="B38" i="204"/>
  <c r="D38" i="204"/>
  <c r="B39" i="204"/>
  <c r="D39" i="204"/>
  <c r="B40" i="204"/>
  <c r="D40" i="204"/>
  <c r="B41" i="204"/>
  <c r="D41" i="204"/>
  <c r="B42" i="204"/>
  <c r="D42" i="204"/>
  <c r="B43" i="204"/>
  <c r="D43" i="204"/>
  <c r="B44" i="204"/>
  <c r="D44" i="204"/>
  <c r="B45" i="204"/>
  <c r="D45" i="204"/>
  <c r="B46" i="204"/>
  <c r="D46" i="204"/>
  <c r="B47" i="204"/>
  <c r="C47" i="204" s="1"/>
  <c r="D47" i="204"/>
  <c r="B48" i="204"/>
  <c r="D48" i="204"/>
  <c r="B49" i="204"/>
  <c r="D49" i="204"/>
  <c r="B50" i="204"/>
  <c r="D50" i="204"/>
  <c r="B51" i="204"/>
  <c r="D51" i="204"/>
  <c r="D37" i="204"/>
  <c r="B37" i="204"/>
  <c r="E30" i="204"/>
  <c r="D34" i="204" s="1"/>
  <c r="E28" i="204"/>
  <c r="D33" i="204" s="1"/>
  <c r="E27" i="204"/>
  <c r="B8" i="204"/>
  <c r="C8" i="204" s="1"/>
  <c r="E8" i="204" s="1"/>
  <c r="B41" i="203"/>
  <c r="D41" i="203"/>
  <c r="B42" i="203"/>
  <c r="D42" i="203"/>
  <c r="B43" i="203"/>
  <c r="D43" i="203"/>
  <c r="B44" i="203"/>
  <c r="D44" i="203"/>
  <c r="B45" i="203"/>
  <c r="D45" i="203"/>
  <c r="B46" i="203"/>
  <c r="D46" i="203"/>
  <c r="B47" i="203"/>
  <c r="D47" i="203"/>
  <c r="B48" i="203"/>
  <c r="D48" i="203"/>
  <c r="B49" i="203"/>
  <c r="D49" i="203"/>
  <c r="B50" i="203"/>
  <c r="D50" i="203"/>
  <c r="B51" i="203"/>
  <c r="D51" i="203"/>
  <c r="B52" i="203"/>
  <c r="D52" i="203"/>
  <c r="B53" i="203"/>
  <c r="D53" i="203"/>
  <c r="B54" i="203"/>
  <c r="D54" i="203"/>
  <c r="B55" i="203"/>
  <c r="D55" i="203"/>
  <c r="B56" i="203"/>
  <c r="D56" i="203"/>
  <c r="B57" i="203"/>
  <c r="D57" i="203"/>
  <c r="B9" i="203"/>
  <c r="C9" i="203" s="1"/>
  <c r="E9" i="203" s="1"/>
  <c r="D9" i="203"/>
  <c r="B10" i="203"/>
  <c r="C10" i="203" s="1"/>
  <c r="E10" i="203" s="1"/>
  <c r="D10" i="203"/>
  <c r="B11" i="203"/>
  <c r="C11" i="203" s="1"/>
  <c r="E11" i="203" s="1"/>
  <c r="D11" i="203"/>
  <c r="B12" i="203"/>
  <c r="C12" i="203" s="1"/>
  <c r="E12" i="203" s="1"/>
  <c r="D12" i="203"/>
  <c r="B13" i="203"/>
  <c r="C13" i="203" s="1"/>
  <c r="E13" i="203" s="1"/>
  <c r="D13" i="203"/>
  <c r="B14" i="203"/>
  <c r="C14" i="203" s="1"/>
  <c r="E14" i="203" s="1"/>
  <c r="D14" i="203"/>
  <c r="B15" i="203"/>
  <c r="C15" i="203" s="1"/>
  <c r="E15" i="203" s="1"/>
  <c r="D15" i="203"/>
  <c r="B16" i="203"/>
  <c r="C16" i="203" s="1"/>
  <c r="E16" i="203" s="1"/>
  <c r="D16" i="203"/>
  <c r="B17" i="203"/>
  <c r="C17" i="203" s="1"/>
  <c r="E17" i="203" s="1"/>
  <c r="D17" i="203"/>
  <c r="B18" i="203"/>
  <c r="C18" i="203" s="1"/>
  <c r="E18" i="203" s="1"/>
  <c r="D18" i="203"/>
  <c r="B19" i="203"/>
  <c r="C19" i="203" s="1"/>
  <c r="E19" i="203" s="1"/>
  <c r="D19" i="203"/>
  <c r="B20" i="203"/>
  <c r="C20" i="203" s="1"/>
  <c r="E20" i="203" s="1"/>
  <c r="D20" i="203"/>
  <c r="B21" i="203"/>
  <c r="C21" i="203" s="1"/>
  <c r="E21" i="203" s="1"/>
  <c r="D21" i="203"/>
  <c r="B22" i="203"/>
  <c r="C22" i="203" s="1"/>
  <c r="E22" i="203" s="1"/>
  <c r="D22" i="203"/>
  <c r="B23" i="203"/>
  <c r="C23" i="203" s="1"/>
  <c r="E23" i="203" s="1"/>
  <c r="D23" i="203"/>
  <c r="B24" i="203"/>
  <c r="C24" i="203" s="1"/>
  <c r="E24" i="203" s="1"/>
  <c r="D24" i="203"/>
  <c r="B25" i="203"/>
  <c r="C25" i="203" s="1"/>
  <c r="E25" i="203" s="1"/>
  <c r="D25" i="203"/>
  <c r="D40" i="203"/>
  <c r="B40" i="203"/>
  <c r="E33" i="203"/>
  <c r="D37" i="203" s="1"/>
  <c r="E31" i="203"/>
  <c r="D36" i="203" s="1"/>
  <c r="F40" i="203" s="1"/>
  <c r="E30" i="203"/>
  <c r="E29" i="203"/>
  <c r="D8" i="203"/>
  <c r="B8" i="203"/>
  <c r="C8" i="203" s="1"/>
  <c r="E8" i="203" s="1"/>
  <c r="B9" i="202"/>
  <c r="C9" i="202" s="1"/>
  <c r="E9" i="202" s="1"/>
  <c r="D9" i="202"/>
  <c r="B10" i="202"/>
  <c r="C10" i="202" s="1"/>
  <c r="E10" i="202" s="1"/>
  <c r="D10" i="202"/>
  <c r="B11" i="202"/>
  <c r="C11" i="202" s="1"/>
  <c r="E11" i="202" s="1"/>
  <c r="D11" i="202"/>
  <c r="B12" i="202"/>
  <c r="C12" i="202" s="1"/>
  <c r="E12" i="202" s="1"/>
  <c r="D12" i="202"/>
  <c r="B13" i="202"/>
  <c r="C13" i="202" s="1"/>
  <c r="E13" i="202" s="1"/>
  <c r="D13" i="202"/>
  <c r="B14" i="202"/>
  <c r="C14" i="202" s="1"/>
  <c r="E14" i="202" s="1"/>
  <c r="D14" i="202"/>
  <c r="B15" i="202"/>
  <c r="C15" i="202" s="1"/>
  <c r="E15" i="202" s="1"/>
  <c r="D15" i="202"/>
  <c r="B16" i="202"/>
  <c r="C16" i="202" s="1"/>
  <c r="E16" i="202" s="1"/>
  <c r="D16" i="202"/>
  <c r="B17" i="202"/>
  <c r="C17" i="202" s="1"/>
  <c r="E17" i="202" s="1"/>
  <c r="D17" i="202"/>
  <c r="B18" i="202"/>
  <c r="C18" i="202" s="1"/>
  <c r="E18" i="202" s="1"/>
  <c r="D18" i="202"/>
  <c r="B19" i="202"/>
  <c r="C19" i="202" s="1"/>
  <c r="E19" i="202" s="1"/>
  <c r="D19" i="202"/>
  <c r="B20" i="202"/>
  <c r="C20" i="202" s="1"/>
  <c r="E20" i="202" s="1"/>
  <c r="D20" i="202"/>
  <c r="B21" i="202"/>
  <c r="C21" i="202" s="1"/>
  <c r="E21" i="202" s="1"/>
  <c r="D21" i="202"/>
  <c r="B22" i="202"/>
  <c r="C22" i="202" s="1"/>
  <c r="E22" i="202" s="1"/>
  <c r="D22" i="202"/>
  <c r="B23" i="202"/>
  <c r="C23" i="202" s="1"/>
  <c r="E23" i="202" s="1"/>
  <c r="D23" i="202"/>
  <c r="B24" i="202"/>
  <c r="C24" i="202" s="1"/>
  <c r="E24" i="202" s="1"/>
  <c r="D24" i="202"/>
  <c r="B25" i="202"/>
  <c r="C25" i="202" s="1"/>
  <c r="E25" i="202" s="1"/>
  <c r="D25" i="202"/>
  <c r="B26" i="202"/>
  <c r="C26" i="202" s="1"/>
  <c r="E26" i="202" s="1"/>
  <c r="D26" i="202"/>
  <c r="B27" i="202"/>
  <c r="C27" i="202" s="1"/>
  <c r="E27" i="202" s="1"/>
  <c r="D27" i="202"/>
  <c r="B28" i="202"/>
  <c r="C28" i="202" s="1"/>
  <c r="E28" i="202" s="1"/>
  <c r="D28" i="202"/>
  <c r="B29" i="202"/>
  <c r="C29" i="202" s="1"/>
  <c r="E29" i="202" s="1"/>
  <c r="D29" i="202"/>
  <c r="B30" i="202"/>
  <c r="C30" i="202" s="1"/>
  <c r="E30" i="202" s="1"/>
  <c r="D30" i="202"/>
  <c r="B31" i="202"/>
  <c r="C31" i="202" s="1"/>
  <c r="E31" i="202" s="1"/>
  <c r="D31" i="202"/>
  <c r="B32" i="202"/>
  <c r="C32" i="202" s="1"/>
  <c r="E32" i="202" s="1"/>
  <c r="D32" i="202"/>
  <c r="B33" i="202"/>
  <c r="C33" i="202" s="1"/>
  <c r="E33" i="202" s="1"/>
  <c r="D33" i="202"/>
  <c r="B34" i="202"/>
  <c r="C34" i="202" s="1"/>
  <c r="E34" i="202" s="1"/>
  <c r="D34" i="202"/>
  <c r="B35" i="202"/>
  <c r="C35" i="202" s="1"/>
  <c r="E35" i="202" s="1"/>
  <c r="D35" i="202"/>
  <c r="B36" i="202"/>
  <c r="C36" i="202" s="1"/>
  <c r="E36" i="202" s="1"/>
  <c r="D36" i="202"/>
  <c r="B52" i="202"/>
  <c r="D52" i="202"/>
  <c r="B53" i="202"/>
  <c r="D53" i="202"/>
  <c r="B54" i="202"/>
  <c r="D54" i="202"/>
  <c r="B55" i="202"/>
  <c r="D55" i="202"/>
  <c r="B56" i="202"/>
  <c r="D56" i="202"/>
  <c r="B57" i="202"/>
  <c r="D57" i="202"/>
  <c r="B58" i="202"/>
  <c r="D58" i="202"/>
  <c r="B59" i="202"/>
  <c r="D59" i="202"/>
  <c r="B60" i="202"/>
  <c r="D60" i="202"/>
  <c r="B61" i="202"/>
  <c r="D61" i="202"/>
  <c r="B62" i="202"/>
  <c r="D62" i="202"/>
  <c r="B63" i="202"/>
  <c r="D63" i="202"/>
  <c r="B64" i="202"/>
  <c r="D64" i="202"/>
  <c r="B65" i="202"/>
  <c r="D65" i="202"/>
  <c r="B66" i="202"/>
  <c r="D66" i="202"/>
  <c r="B67" i="202"/>
  <c r="D67" i="202"/>
  <c r="B68" i="202"/>
  <c r="D68" i="202"/>
  <c r="B69" i="202"/>
  <c r="D69" i="202"/>
  <c r="B70" i="202"/>
  <c r="D70" i="202"/>
  <c r="B71" i="202"/>
  <c r="D71" i="202"/>
  <c r="B72" i="202"/>
  <c r="D72" i="202"/>
  <c r="B73" i="202"/>
  <c r="D73" i="202"/>
  <c r="B74" i="202"/>
  <c r="D74" i="202"/>
  <c r="B75" i="202"/>
  <c r="D75" i="202"/>
  <c r="B76" i="202"/>
  <c r="D76" i="202"/>
  <c r="B77" i="202"/>
  <c r="D77" i="202"/>
  <c r="B78" i="202"/>
  <c r="D78" i="202"/>
  <c r="B79" i="202"/>
  <c r="D79" i="202"/>
  <c r="D51" i="202"/>
  <c r="B51" i="202"/>
  <c r="E44" i="202"/>
  <c r="D48" i="202" s="1"/>
  <c r="E42" i="202"/>
  <c r="D47" i="202" s="1"/>
  <c r="E41" i="202"/>
  <c r="E40" i="202"/>
  <c r="D8" i="202"/>
  <c r="B8" i="202"/>
  <c r="C8" i="202" s="1"/>
  <c r="E8" i="202" s="1"/>
  <c r="B52" i="201"/>
  <c r="D52" i="201"/>
  <c r="B53" i="201"/>
  <c r="D53" i="201"/>
  <c r="B54" i="201"/>
  <c r="D54" i="201"/>
  <c r="B55" i="201"/>
  <c r="D55" i="201"/>
  <c r="B56" i="201"/>
  <c r="D56" i="201"/>
  <c r="B57" i="201"/>
  <c r="D57" i="201"/>
  <c r="B58" i="201"/>
  <c r="D58" i="201"/>
  <c r="B59" i="201"/>
  <c r="D59" i="201"/>
  <c r="B60" i="201"/>
  <c r="D60" i="201"/>
  <c r="B61" i="201"/>
  <c r="D61" i="201"/>
  <c r="B62" i="201"/>
  <c r="D62" i="201"/>
  <c r="B63" i="201"/>
  <c r="D63" i="201"/>
  <c r="B64" i="201"/>
  <c r="D64" i="201"/>
  <c r="B65" i="201"/>
  <c r="D65" i="201"/>
  <c r="B66" i="201"/>
  <c r="D66" i="201"/>
  <c r="B67" i="201"/>
  <c r="D67" i="201"/>
  <c r="B68" i="201"/>
  <c r="D68" i="201"/>
  <c r="B69" i="201"/>
  <c r="D69" i="201"/>
  <c r="B70" i="201"/>
  <c r="D70" i="201"/>
  <c r="B71" i="201"/>
  <c r="D71" i="201"/>
  <c r="B72" i="201"/>
  <c r="D72" i="201"/>
  <c r="B73" i="201"/>
  <c r="D73" i="201"/>
  <c r="B74" i="201"/>
  <c r="D74" i="201"/>
  <c r="B75" i="201"/>
  <c r="D75" i="201"/>
  <c r="B76" i="201"/>
  <c r="D76" i="201"/>
  <c r="B77" i="201"/>
  <c r="D77" i="201"/>
  <c r="B78" i="201"/>
  <c r="D78" i="201"/>
  <c r="B79" i="201"/>
  <c r="D79" i="201"/>
  <c r="B9" i="201"/>
  <c r="C9" i="201" s="1"/>
  <c r="E9" i="201" s="1"/>
  <c r="B10" i="201"/>
  <c r="C10" i="201" s="1"/>
  <c r="E10" i="201" s="1"/>
  <c r="B11" i="201"/>
  <c r="C11" i="201" s="1"/>
  <c r="E11" i="201" s="1"/>
  <c r="B12" i="201"/>
  <c r="C12" i="201" s="1"/>
  <c r="E12" i="201" s="1"/>
  <c r="B13" i="201"/>
  <c r="C13" i="201" s="1"/>
  <c r="E13" i="201" s="1"/>
  <c r="B14" i="201"/>
  <c r="C14" i="201" s="1"/>
  <c r="E14" i="201" s="1"/>
  <c r="B15" i="201"/>
  <c r="C15" i="201" s="1"/>
  <c r="E15" i="201" s="1"/>
  <c r="B16" i="201"/>
  <c r="C16" i="201" s="1"/>
  <c r="E16" i="201" s="1"/>
  <c r="B17" i="201"/>
  <c r="C17" i="201" s="1"/>
  <c r="E17" i="201" s="1"/>
  <c r="B18" i="201"/>
  <c r="C18" i="201" s="1"/>
  <c r="E18" i="201" s="1"/>
  <c r="B19" i="201"/>
  <c r="C19" i="201" s="1"/>
  <c r="E19" i="201" s="1"/>
  <c r="B20" i="201"/>
  <c r="C20" i="201" s="1"/>
  <c r="E20" i="201" s="1"/>
  <c r="B21" i="201"/>
  <c r="C21" i="201" s="1"/>
  <c r="E21" i="201" s="1"/>
  <c r="B22" i="201"/>
  <c r="C22" i="201" s="1"/>
  <c r="E22" i="201" s="1"/>
  <c r="B23" i="201"/>
  <c r="C23" i="201" s="1"/>
  <c r="E23" i="201" s="1"/>
  <c r="B24" i="201"/>
  <c r="C24" i="201" s="1"/>
  <c r="E24" i="201" s="1"/>
  <c r="B25" i="201"/>
  <c r="C25" i="201" s="1"/>
  <c r="E25" i="201" s="1"/>
  <c r="B26" i="201"/>
  <c r="C26" i="201" s="1"/>
  <c r="E26" i="201" s="1"/>
  <c r="B27" i="201"/>
  <c r="C27" i="201" s="1"/>
  <c r="E27" i="201" s="1"/>
  <c r="B28" i="201"/>
  <c r="C28" i="201" s="1"/>
  <c r="E28" i="201" s="1"/>
  <c r="B29" i="201"/>
  <c r="C29" i="201" s="1"/>
  <c r="E29" i="201" s="1"/>
  <c r="B30" i="201"/>
  <c r="C30" i="201" s="1"/>
  <c r="E30" i="201" s="1"/>
  <c r="B31" i="201"/>
  <c r="C31" i="201" s="1"/>
  <c r="E31" i="201" s="1"/>
  <c r="B32" i="201"/>
  <c r="C32" i="201" s="1"/>
  <c r="E32" i="201" s="1"/>
  <c r="B33" i="201"/>
  <c r="C33" i="201" s="1"/>
  <c r="E33" i="201" s="1"/>
  <c r="B34" i="201"/>
  <c r="C34" i="201" s="1"/>
  <c r="E34" i="201" s="1"/>
  <c r="B35" i="201"/>
  <c r="C35" i="201" s="1"/>
  <c r="E35" i="201" s="1"/>
  <c r="B36" i="201"/>
  <c r="C36" i="201" s="1"/>
  <c r="E36" i="201" s="1"/>
  <c r="D51" i="201"/>
  <c r="B51" i="201"/>
  <c r="E44" i="201"/>
  <c r="D48" i="201" s="1"/>
  <c r="E42" i="201"/>
  <c r="D47" i="201" s="1"/>
  <c r="E41" i="201"/>
  <c r="E40" i="201"/>
  <c r="D8" i="201"/>
  <c r="B8" i="201"/>
  <c r="C8" i="201" s="1"/>
  <c r="E8" i="201" s="1"/>
  <c r="B58" i="200"/>
  <c r="D58" i="200"/>
  <c r="B59" i="200"/>
  <c r="D59" i="200"/>
  <c r="B60" i="200"/>
  <c r="D60" i="200"/>
  <c r="B61" i="200"/>
  <c r="D61" i="200"/>
  <c r="B62" i="200"/>
  <c r="D62" i="200"/>
  <c r="B63" i="200"/>
  <c r="D63" i="200"/>
  <c r="B64" i="200"/>
  <c r="D64" i="200"/>
  <c r="B65" i="200"/>
  <c r="D65" i="200"/>
  <c r="B66" i="200"/>
  <c r="D66" i="200"/>
  <c r="B67" i="200"/>
  <c r="D67" i="200"/>
  <c r="B68" i="200"/>
  <c r="D68" i="200"/>
  <c r="B69" i="200"/>
  <c r="D69" i="200"/>
  <c r="B70" i="200"/>
  <c r="D70" i="200"/>
  <c r="B71" i="200"/>
  <c r="D71" i="200"/>
  <c r="B72" i="200"/>
  <c r="D72" i="200"/>
  <c r="B73" i="200"/>
  <c r="D73" i="200"/>
  <c r="B74" i="200"/>
  <c r="D74" i="200"/>
  <c r="B75" i="200"/>
  <c r="D75" i="200"/>
  <c r="B76" i="200"/>
  <c r="D76" i="200"/>
  <c r="B77" i="200"/>
  <c r="D77" i="200"/>
  <c r="B78" i="200"/>
  <c r="D78" i="200"/>
  <c r="B79" i="200"/>
  <c r="D79" i="200"/>
  <c r="B80" i="200"/>
  <c r="D80" i="200"/>
  <c r="B81" i="200"/>
  <c r="D81" i="200"/>
  <c r="B82" i="200"/>
  <c r="D82" i="200"/>
  <c r="B83" i="200"/>
  <c r="D83" i="200"/>
  <c r="B84" i="200"/>
  <c r="D84" i="200"/>
  <c r="B85" i="200"/>
  <c r="D85" i="200"/>
  <c r="B86" i="200"/>
  <c r="D86" i="200"/>
  <c r="B87" i="200"/>
  <c r="D87" i="200"/>
  <c r="B88" i="200"/>
  <c r="D88" i="200"/>
  <c r="B89" i="200"/>
  <c r="D89" i="200"/>
  <c r="B90" i="200"/>
  <c r="D90" i="200"/>
  <c r="B91" i="200"/>
  <c r="D91" i="200"/>
  <c r="B9" i="200"/>
  <c r="C9" i="200" s="1"/>
  <c r="E9" i="200" s="1"/>
  <c r="B10" i="200"/>
  <c r="C10" i="200" s="1"/>
  <c r="E10" i="200" s="1"/>
  <c r="B11" i="200"/>
  <c r="C11" i="200" s="1"/>
  <c r="E11" i="200" s="1"/>
  <c r="B12" i="200"/>
  <c r="C12" i="200" s="1"/>
  <c r="E12" i="200" s="1"/>
  <c r="B13" i="200"/>
  <c r="C13" i="200" s="1"/>
  <c r="E13" i="200" s="1"/>
  <c r="B14" i="200"/>
  <c r="C14" i="200" s="1"/>
  <c r="E14" i="200" s="1"/>
  <c r="B15" i="200"/>
  <c r="C15" i="200" s="1"/>
  <c r="E15" i="200" s="1"/>
  <c r="B16" i="200"/>
  <c r="C16" i="200" s="1"/>
  <c r="E16" i="200" s="1"/>
  <c r="B17" i="200"/>
  <c r="C17" i="200" s="1"/>
  <c r="E17" i="200" s="1"/>
  <c r="B18" i="200"/>
  <c r="C18" i="200" s="1"/>
  <c r="E18" i="200" s="1"/>
  <c r="B19" i="200"/>
  <c r="C19" i="200" s="1"/>
  <c r="E19" i="200" s="1"/>
  <c r="B20" i="200"/>
  <c r="C20" i="200" s="1"/>
  <c r="E20" i="200" s="1"/>
  <c r="B21" i="200"/>
  <c r="C21" i="200" s="1"/>
  <c r="E21" i="200" s="1"/>
  <c r="B22" i="200"/>
  <c r="C22" i="200" s="1"/>
  <c r="E22" i="200" s="1"/>
  <c r="B23" i="200"/>
  <c r="C23" i="200" s="1"/>
  <c r="E23" i="200" s="1"/>
  <c r="B24" i="200"/>
  <c r="C24" i="200" s="1"/>
  <c r="E24" i="200" s="1"/>
  <c r="B25" i="200"/>
  <c r="C25" i="200" s="1"/>
  <c r="E25" i="200" s="1"/>
  <c r="B26" i="200"/>
  <c r="C26" i="200" s="1"/>
  <c r="E26" i="200" s="1"/>
  <c r="B27" i="200"/>
  <c r="C27" i="200" s="1"/>
  <c r="E27" i="200" s="1"/>
  <c r="B28" i="200"/>
  <c r="C28" i="200" s="1"/>
  <c r="E28" i="200" s="1"/>
  <c r="B29" i="200"/>
  <c r="C29" i="200" s="1"/>
  <c r="E29" i="200" s="1"/>
  <c r="B30" i="200"/>
  <c r="C30" i="200" s="1"/>
  <c r="E30" i="200" s="1"/>
  <c r="B31" i="200"/>
  <c r="C31" i="200" s="1"/>
  <c r="E31" i="200" s="1"/>
  <c r="B32" i="200"/>
  <c r="C32" i="200" s="1"/>
  <c r="E32" i="200" s="1"/>
  <c r="B33" i="200"/>
  <c r="C33" i="200" s="1"/>
  <c r="E33" i="200" s="1"/>
  <c r="B34" i="200"/>
  <c r="C34" i="200" s="1"/>
  <c r="E34" i="200" s="1"/>
  <c r="B35" i="200"/>
  <c r="C35" i="200" s="1"/>
  <c r="E35" i="200" s="1"/>
  <c r="B36" i="200"/>
  <c r="C36" i="200" s="1"/>
  <c r="E36" i="200" s="1"/>
  <c r="B37" i="200"/>
  <c r="C37" i="200" s="1"/>
  <c r="E37" i="200" s="1"/>
  <c r="B38" i="200"/>
  <c r="C38" i="200" s="1"/>
  <c r="E38" i="200" s="1"/>
  <c r="B39" i="200"/>
  <c r="C39" i="200" s="1"/>
  <c r="E39" i="200" s="1"/>
  <c r="B40" i="200"/>
  <c r="C40" i="200" s="1"/>
  <c r="E40" i="200" s="1"/>
  <c r="B41" i="200"/>
  <c r="C41" i="200" s="1"/>
  <c r="E41" i="200" s="1"/>
  <c r="B42" i="200"/>
  <c r="C42" i="200" s="1"/>
  <c r="E42" i="200" s="1"/>
  <c r="D57" i="200"/>
  <c r="B57" i="200"/>
  <c r="E50" i="200"/>
  <c r="D54" i="200" s="1"/>
  <c r="E48" i="200"/>
  <c r="D53" i="200" s="1"/>
  <c r="E47" i="200"/>
  <c r="E46" i="200"/>
  <c r="D8" i="200"/>
  <c r="B8" i="200"/>
  <c r="C8" i="200" s="1"/>
  <c r="E8" i="200" s="1"/>
  <c r="B57" i="199"/>
  <c r="D57" i="199"/>
  <c r="B58" i="199"/>
  <c r="D58" i="199"/>
  <c r="B59" i="199"/>
  <c r="D59" i="199"/>
  <c r="B60" i="199"/>
  <c r="D60" i="199"/>
  <c r="B61" i="199"/>
  <c r="D61" i="199"/>
  <c r="B62" i="199"/>
  <c r="D62" i="199"/>
  <c r="B63" i="199"/>
  <c r="D63" i="199"/>
  <c r="B64" i="199"/>
  <c r="D64" i="199"/>
  <c r="B65" i="199"/>
  <c r="D65" i="199"/>
  <c r="B66" i="199"/>
  <c r="D66" i="199"/>
  <c r="B67" i="199"/>
  <c r="D67" i="199"/>
  <c r="B68" i="199"/>
  <c r="D68" i="199"/>
  <c r="B69" i="199"/>
  <c r="D69" i="199"/>
  <c r="B70" i="199"/>
  <c r="D70" i="199"/>
  <c r="B71" i="199"/>
  <c r="D71" i="199"/>
  <c r="B72" i="199"/>
  <c r="D72" i="199"/>
  <c r="B73" i="199"/>
  <c r="D73" i="199"/>
  <c r="B74" i="199"/>
  <c r="D74" i="199"/>
  <c r="B75" i="199"/>
  <c r="D75" i="199"/>
  <c r="B76" i="199"/>
  <c r="D76" i="199"/>
  <c r="B77" i="199"/>
  <c r="D77" i="199"/>
  <c r="B78" i="199"/>
  <c r="D78" i="199"/>
  <c r="B79" i="199"/>
  <c r="D79" i="199"/>
  <c r="B80" i="199"/>
  <c r="D80" i="199"/>
  <c r="B81" i="199"/>
  <c r="D81" i="199"/>
  <c r="B82" i="199"/>
  <c r="D82" i="199"/>
  <c r="B83" i="199"/>
  <c r="D83" i="199"/>
  <c r="B84" i="199"/>
  <c r="D84" i="199"/>
  <c r="B85" i="199"/>
  <c r="D85" i="199"/>
  <c r="B86" i="199"/>
  <c r="D86" i="199"/>
  <c r="B87" i="199"/>
  <c r="D87" i="199"/>
  <c r="B88" i="199"/>
  <c r="D88" i="199"/>
  <c r="B89" i="199"/>
  <c r="D89" i="199"/>
  <c r="B9" i="199"/>
  <c r="C9" i="199" s="1"/>
  <c r="E9" i="199" s="1"/>
  <c r="B10" i="199"/>
  <c r="C10" i="199" s="1"/>
  <c r="E10" i="199" s="1"/>
  <c r="B11" i="199"/>
  <c r="C11" i="199" s="1"/>
  <c r="E11" i="199" s="1"/>
  <c r="B12" i="199"/>
  <c r="C12" i="199" s="1"/>
  <c r="E12" i="199" s="1"/>
  <c r="B13" i="199"/>
  <c r="C13" i="199" s="1"/>
  <c r="E13" i="199" s="1"/>
  <c r="B14" i="199"/>
  <c r="C14" i="199" s="1"/>
  <c r="E14" i="199" s="1"/>
  <c r="B15" i="199"/>
  <c r="C15" i="199" s="1"/>
  <c r="E15" i="199" s="1"/>
  <c r="B16" i="199"/>
  <c r="C16" i="199" s="1"/>
  <c r="E16" i="199" s="1"/>
  <c r="B17" i="199"/>
  <c r="C17" i="199" s="1"/>
  <c r="E17" i="199" s="1"/>
  <c r="B18" i="199"/>
  <c r="C18" i="199" s="1"/>
  <c r="E18" i="199" s="1"/>
  <c r="B19" i="199"/>
  <c r="C19" i="199" s="1"/>
  <c r="E19" i="199" s="1"/>
  <c r="B20" i="199"/>
  <c r="C20" i="199" s="1"/>
  <c r="E20" i="199" s="1"/>
  <c r="B21" i="199"/>
  <c r="C21" i="199" s="1"/>
  <c r="E21" i="199" s="1"/>
  <c r="B22" i="199"/>
  <c r="C22" i="199" s="1"/>
  <c r="E22" i="199" s="1"/>
  <c r="B23" i="199"/>
  <c r="C23" i="199" s="1"/>
  <c r="E23" i="199" s="1"/>
  <c r="B24" i="199"/>
  <c r="C24" i="199" s="1"/>
  <c r="E24" i="199" s="1"/>
  <c r="B25" i="199"/>
  <c r="C25" i="199" s="1"/>
  <c r="E25" i="199" s="1"/>
  <c r="B26" i="199"/>
  <c r="C26" i="199" s="1"/>
  <c r="E26" i="199" s="1"/>
  <c r="B27" i="199"/>
  <c r="C27" i="199" s="1"/>
  <c r="E27" i="199" s="1"/>
  <c r="B28" i="199"/>
  <c r="C28" i="199" s="1"/>
  <c r="E28" i="199" s="1"/>
  <c r="B29" i="199"/>
  <c r="C29" i="199" s="1"/>
  <c r="E29" i="199" s="1"/>
  <c r="B30" i="199"/>
  <c r="C30" i="199" s="1"/>
  <c r="E30" i="199" s="1"/>
  <c r="B31" i="199"/>
  <c r="C31" i="199" s="1"/>
  <c r="E31" i="199" s="1"/>
  <c r="B32" i="199"/>
  <c r="C32" i="199" s="1"/>
  <c r="E32" i="199" s="1"/>
  <c r="B33" i="199"/>
  <c r="C33" i="199" s="1"/>
  <c r="E33" i="199" s="1"/>
  <c r="B34" i="199"/>
  <c r="C34" i="199" s="1"/>
  <c r="E34" i="199" s="1"/>
  <c r="B35" i="199"/>
  <c r="C35" i="199" s="1"/>
  <c r="E35" i="199" s="1"/>
  <c r="B36" i="199"/>
  <c r="C36" i="199" s="1"/>
  <c r="E36" i="199" s="1"/>
  <c r="B37" i="199"/>
  <c r="C37" i="199" s="1"/>
  <c r="E37" i="199" s="1"/>
  <c r="B38" i="199"/>
  <c r="C38" i="199" s="1"/>
  <c r="E38" i="199" s="1"/>
  <c r="B39" i="199"/>
  <c r="C39" i="199" s="1"/>
  <c r="E39" i="199" s="1"/>
  <c r="B40" i="199"/>
  <c r="C40" i="199" s="1"/>
  <c r="E40" i="199" s="1"/>
  <c r="B41" i="199"/>
  <c r="C41" i="199" s="1"/>
  <c r="E41" i="199" s="1"/>
  <c r="D56" i="199"/>
  <c r="B56" i="199"/>
  <c r="E49" i="199"/>
  <c r="D53" i="199" s="1"/>
  <c r="G64" i="199" s="1"/>
  <c r="E47" i="199"/>
  <c r="D52" i="199" s="1"/>
  <c r="E46" i="199"/>
  <c r="E45" i="199"/>
  <c r="D8" i="199"/>
  <c r="B8" i="199"/>
  <c r="C8" i="199" s="1"/>
  <c r="E8" i="199" s="1"/>
  <c r="B54" i="198"/>
  <c r="D54" i="198"/>
  <c r="B55" i="198"/>
  <c r="D55" i="198"/>
  <c r="B56" i="198"/>
  <c r="D56" i="198"/>
  <c r="B57" i="198"/>
  <c r="D57" i="198"/>
  <c r="B58" i="198"/>
  <c r="D58" i="198"/>
  <c r="B59" i="198"/>
  <c r="D59" i="198"/>
  <c r="B60" i="198"/>
  <c r="D60" i="198"/>
  <c r="B61" i="198"/>
  <c r="D61" i="198"/>
  <c r="B62" i="198"/>
  <c r="D62" i="198"/>
  <c r="B63" i="198"/>
  <c r="D63" i="198"/>
  <c r="B64" i="198"/>
  <c r="D64" i="198"/>
  <c r="B65" i="198"/>
  <c r="D65" i="198"/>
  <c r="B66" i="198"/>
  <c r="D66" i="198"/>
  <c r="B67" i="198"/>
  <c r="D67" i="198"/>
  <c r="B68" i="198"/>
  <c r="D68" i="198"/>
  <c r="B69" i="198"/>
  <c r="D69" i="198"/>
  <c r="B70" i="198"/>
  <c r="D70" i="198"/>
  <c r="B71" i="198"/>
  <c r="D71" i="198"/>
  <c r="B72" i="198"/>
  <c r="D72" i="198"/>
  <c r="B73" i="198"/>
  <c r="D73" i="198"/>
  <c r="B74" i="198"/>
  <c r="D74" i="198"/>
  <c r="B75" i="198"/>
  <c r="D75" i="198"/>
  <c r="B76" i="198"/>
  <c r="D76" i="198"/>
  <c r="B77" i="198"/>
  <c r="D77" i="198"/>
  <c r="B78" i="198"/>
  <c r="D78" i="198"/>
  <c r="B79" i="198"/>
  <c r="D79" i="198"/>
  <c r="B80" i="198"/>
  <c r="D80" i="198"/>
  <c r="B81" i="198"/>
  <c r="D81" i="198"/>
  <c r="B82" i="198"/>
  <c r="D82" i="198"/>
  <c r="B83" i="198"/>
  <c r="D83" i="198"/>
  <c r="B9" i="198"/>
  <c r="C9" i="198" s="1"/>
  <c r="E9" i="198" s="1"/>
  <c r="B10" i="198"/>
  <c r="C10" i="198" s="1"/>
  <c r="E10" i="198" s="1"/>
  <c r="B11" i="198"/>
  <c r="C11" i="198" s="1"/>
  <c r="E11" i="198" s="1"/>
  <c r="B12" i="198"/>
  <c r="C12" i="198" s="1"/>
  <c r="E12" i="198" s="1"/>
  <c r="B13" i="198"/>
  <c r="C13" i="198" s="1"/>
  <c r="E13" i="198" s="1"/>
  <c r="B14" i="198"/>
  <c r="C14" i="198" s="1"/>
  <c r="E14" i="198" s="1"/>
  <c r="B15" i="198"/>
  <c r="C15" i="198" s="1"/>
  <c r="E15" i="198" s="1"/>
  <c r="B16" i="198"/>
  <c r="C16" i="198" s="1"/>
  <c r="E16" i="198" s="1"/>
  <c r="B17" i="198"/>
  <c r="C17" i="198" s="1"/>
  <c r="E17" i="198" s="1"/>
  <c r="B18" i="198"/>
  <c r="C18" i="198" s="1"/>
  <c r="E18" i="198" s="1"/>
  <c r="B19" i="198"/>
  <c r="C19" i="198" s="1"/>
  <c r="E19" i="198" s="1"/>
  <c r="B20" i="198"/>
  <c r="C20" i="198" s="1"/>
  <c r="E20" i="198" s="1"/>
  <c r="B21" i="198"/>
  <c r="C21" i="198" s="1"/>
  <c r="E21" i="198" s="1"/>
  <c r="B22" i="198"/>
  <c r="C22" i="198" s="1"/>
  <c r="E22" i="198" s="1"/>
  <c r="B23" i="198"/>
  <c r="C23" i="198" s="1"/>
  <c r="E23" i="198" s="1"/>
  <c r="B24" i="198"/>
  <c r="C24" i="198" s="1"/>
  <c r="E24" i="198" s="1"/>
  <c r="B25" i="198"/>
  <c r="C25" i="198" s="1"/>
  <c r="E25" i="198" s="1"/>
  <c r="B26" i="198"/>
  <c r="C26" i="198" s="1"/>
  <c r="E26" i="198" s="1"/>
  <c r="B27" i="198"/>
  <c r="C27" i="198" s="1"/>
  <c r="E27" i="198" s="1"/>
  <c r="B28" i="198"/>
  <c r="C28" i="198" s="1"/>
  <c r="E28" i="198" s="1"/>
  <c r="B29" i="198"/>
  <c r="C29" i="198" s="1"/>
  <c r="E29" i="198" s="1"/>
  <c r="B30" i="198"/>
  <c r="C30" i="198" s="1"/>
  <c r="E30" i="198" s="1"/>
  <c r="B31" i="198"/>
  <c r="C31" i="198" s="1"/>
  <c r="E31" i="198" s="1"/>
  <c r="B32" i="198"/>
  <c r="C32" i="198" s="1"/>
  <c r="E32" i="198" s="1"/>
  <c r="B33" i="198"/>
  <c r="C33" i="198" s="1"/>
  <c r="E33" i="198" s="1"/>
  <c r="B34" i="198"/>
  <c r="C34" i="198" s="1"/>
  <c r="E34" i="198" s="1"/>
  <c r="B35" i="198"/>
  <c r="C35" i="198" s="1"/>
  <c r="E35" i="198" s="1"/>
  <c r="B36" i="198"/>
  <c r="C36" i="198" s="1"/>
  <c r="E36" i="198" s="1"/>
  <c r="B37" i="198"/>
  <c r="C37" i="198" s="1"/>
  <c r="E37" i="198" s="1"/>
  <c r="B38" i="198"/>
  <c r="C38" i="198" s="1"/>
  <c r="E38" i="198" s="1"/>
  <c r="D53" i="198"/>
  <c r="B53" i="198"/>
  <c r="E46" i="198"/>
  <c r="D50" i="198" s="1"/>
  <c r="E44" i="198"/>
  <c r="D49" i="198" s="1"/>
  <c r="E43" i="198"/>
  <c r="E42" i="198"/>
  <c r="D8" i="198"/>
  <c r="B8" i="198"/>
  <c r="C8" i="198" s="1"/>
  <c r="E8" i="198" s="1"/>
  <c r="B59" i="197"/>
  <c r="D59" i="197"/>
  <c r="B60" i="197"/>
  <c r="D60" i="197"/>
  <c r="B61" i="197"/>
  <c r="D61" i="197"/>
  <c r="B62" i="197"/>
  <c r="D62" i="197"/>
  <c r="B63" i="197"/>
  <c r="D63" i="197"/>
  <c r="B64" i="197"/>
  <c r="D64" i="197"/>
  <c r="B65" i="197"/>
  <c r="D65" i="197"/>
  <c r="B66" i="197"/>
  <c r="D66" i="197"/>
  <c r="B67" i="197"/>
  <c r="D67" i="197"/>
  <c r="B68" i="197"/>
  <c r="D68" i="197"/>
  <c r="B69" i="197"/>
  <c r="D69" i="197"/>
  <c r="B70" i="197"/>
  <c r="D70" i="197"/>
  <c r="B71" i="197"/>
  <c r="D71" i="197"/>
  <c r="B72" i="197"/>
  <c r="D72" i="197"/>
  <c r="B73" i="197"/>
  <c r="D73" i="197"/>
  <c r="B74" i="197"/>
  <c r="D74" i="197"/>
  <c r="B75" i="197"/>
  <c r="D75" i="197"/>
  <c r="B76" i="197"/>
  <c r="D76" i="197"/>
  <c r="B77" i="197"/>
  <c r="D77" i="197"/>
  <c r="B78" i="197"/>
  <c r="D78" i="197"/>
  <c r="B79" i="197"/>
  <c r="D79" i="197"/>
  <c r="B80" i="197"/>
  <c r="D80" i="197"/>
  <c r="B81" i="197"/>
  <c r="D81" i="197"/>
  <c r="B82" i="197"/>
  <c r="D82" i="197"/>
  <c r="B83" i="197"/>
  <c r="D83" i="197"/>
  <c r="B84" i="197"/>
  <c r="D84" i="197"/>
  <c r="B85" i="197"/>
  <c r="D85" i="197"/>
  <c r="B86" i="197"/>
  <c r="D86" i="197"/>
  <c r="B87" i="197"/>
  <c r="D87" i="197"/>
  <c r="B88" i="197"/>
  <c r="D88" i="197"/>
  <c r="B89" i="197"/>
  <c r="D89" i="197"/>
  <c r="B90" i="197"/>
  <c r="D90" i="197"/>
  <c r="B91" i="197"/>
  <c r="D91" i="197"/>
  <c r="B92" i="197"/>
  <c r="D92" i="197"/>
  <c r="B93" i="197"/>
  <c r="D93" i="197"/>
  <c r="B9" i="197"/>
  <c r="C9" i="197" s="1"/>
  <c r="E9" i="197" s="1"/>
  <c r="B10" i="197"/>
  <c r="C10" i="197" s="1"/>
  <c r="E10" i="197" s="1"/>
  <c r="B11" i="197"/>
  <c r="C11" i="197" s="1"/>
  <c r="E11" i="197" s="1"/>
  <c r="B12" i="197"/>
  <c r="C12" i="197" s="1"/>
  <c r="E12" i="197" s="1"/>
  <c r="B13" i="197"/>
  <c r="C13" i="197" s="1"/>
  <c r="E13" i="197" s="1"/>
  <c r="B14" i="197"/>
  <c r="C14" i="197" s="1"/>
  <c r="E14" i="197" s="1"/>
  <c r="B15" i="197"/>
  <c r="C15" i="197" s="1"/>
  <c r="E15" i="197" s="1"/>
  <c r="B16" i="197"/>
  <c r="C16" i="197" s="1"/>
  <c r="E16" i="197" s="1"/>
  <c r="B17" i="197"/>
  <c r="C17" i="197" s="1"/>
  <c r="E17" i="197" s="1"/>
  <c r="B18" i="197"/>
  <c r="C18" i="197" s="1"/>
  <c r="E18" i="197" s="1"/>
  <c r="B19" i="197"/>
  <c r="C19" i="197" s="1"/>
  <c r="E19" i="197" s="1"/>
  <c r="B20" i="197"/>
  <c r="C20" i="197" s="1"/>
  <c r="E20" i="197" s="1"/>
  <c r="B21" i="197"/>
  <c r="C21" i="197" s="1"/>
  <c r="E21" i="197" s="1"/>
  <c r="B22" i="197"/>
  <c r="C22" i="197" s="1"/>
  <c r="E22" i="197" s="1"/>
  <c r="B23" i="197"/>
  <c r="C23" i="197" s="1"/>
  <c r="E23" i="197" s="1"/>
  <c r="B24" i="197"/>
  <c r="C24" i="197" s="1"/>
  <c r="E24" i="197" s="1"/>
  <c r="B25" i="197"/>
  <c r="C25" i="197" s="1"/>
  <c r="E25" i="197" s="1"/>
  <c r="B26" i="197"/>
  <c r="C26" i="197" s="1"/>
  <c r="E26" i="197" s="1"/>
  <c r="B27" i="197"/>
  <c r="C27" i="197" s="1"/>
  <c r="E27" i="197" s="1"/>
  <c r="B28" i="197"/>
  <c r="C28" i="197" s="1"/>
  <c r="E28" i="197" s="1"/>
  <c r="B29" i="197"/>
  <c r="C29" i="197" s="1"/>
  <c r="E29" i="197" s="1"/>
  <c r="B30" i="197"/>
  <c r="C30" i="197" s="1"/>
  <c r="E30" i="197" s="1"/>
  <c r="B31" i="197"/>
  <c r="C31" i="197" s="1"/>
  <c r="E31" i="197" s="1"/>
  <c r="B32" i="197"/>
  <c r="C32" i="197" s="1"/>
  <c r="E32" i="197" s="1"/>
  <c r="B33" i="197"/>
  <c r="C33" i="197" s="1"/>
  <c r="E33" i="197" s="1"/>
  <c r="B34" i="197"/>
  <c r="C34" i="197" s="1"/>
  <c r="E34" i="197" s="1"/>
  <c r="B35" i="197"/>
  <c r="C35" i="197" s="1"/>
  <c r="E35" i="197" s="1"/>
  <c r="B36" i="197"/>
  <c r="C36" i="197" s="1"/>
  <c r="E36" i="197" s="1"/>
  <c r="B37" i="197"/>
  <c r="C37" i="197" s="1"/>
  <c r="E37" i="197" s="1"/>
  <c r="B38" i="197"/>
  <c r="C38" i="197" s="1"/>
  <c r="E38" i="197" s="1"/>
  <c r="B39" i="197"/>
  <c r="C39" i="197" s="1"/>
  <c r="E39" i="197" s="1"/>
  <c r="B40" i="197"/>
  <c r="C40" i="197" s="1"/>
  <c r="E40" i="197" s="1"/>
  <c r="B41" i="197"/>
  <c r="C41" i="197" s="1"/>
  <c r="E41" i="197" s="1"/>
  <c r="B42" i="197"/>
  <c r="C42" i="197" s="1"/>
  <c r="E42" i="197" s="1"/>
  <c r="B43" i="197"/>
  <c r="C43" i="197" s="1"/>
  <c r="E43" i="197" s="1"/>
  <c r="D58" i="197"/>
  <c r="B58" i="197"/>
  <c r="E51" i="197"/>
  <c r="D55" i="197" s="1"/>
  <c r="E49" i="197"/>
  <c r="D54" i="197" s="1"/>
  <c r="E48" i="197"/>
  <c r="E47" i="197"/>
  <c r="C65" i="197" s="1"/>
  <c r="D8" i="197"/>
  <c r="B8" i="197"/>
  <c r="C8" i="197" s="1"/>
  <c r="E8" i="197" s="1"/>
  <c r="B51" i="196"/>
  <c r="D51" i="196"/>
  <c r="B52" i="196"/>
  <c r="D52" i="196"/>
  <c r="B53" i="196"/>
  <c r="D53" i="196"/>
  <c r="B54" i="196"/>
  <c r="D54" i="196"/>
  <c r="B55" i="196"/>
  <c r="D55" i="196"/>
  <c r="B56" i="196"/>
  <c r="D56" i="196"/>
  <c r="B57" i="196"/>
  <c r="D57" i="196"/>
  <c r="B58" i="196"/>
  <c r="D58" i="196"/>
  <c r="B59" i="196"/>
  <c r="D59" i="196"/>
  <c r="B60" i="196"/>
  <c r="D60" i="196"/>
  <c r="B61" i="196"/>
  <c r="D61" i="196"/>
  <c r="B62" i="196"/>
  <c r="D62" i="196"/>
  <c r="B63" i="196"/>
  <c r="D63" i="196"/>
  <c r="B64" i="196"/>
  <c r="D64" i="196"/>
  <c r="B65" i="196"/>
  <c r="D65" i="196"/>
  <c r="B66" i="196"/>
  <c r="D66" i="196"/>
  <c r="B67" i="196"/>
  <c r="D67" i="196"/>
  <c r="B68" i="196"/>
  <c r="D68" i="196"/>
  <c r="B69" i="196"/>
  <c r="D69" i="196"/>
  <c r="B70" i="196"/>
  <c r="D70" i="196"/>
  <c r="B71" i="196"/>
  <c r="D71" i="196"/>
  <c r="B72" i="196"/>
  <c r="D72" i="196"/>
  <c r="B73" i="196"/>
  <c r="D73" i="196"/>
  <c r="B74" i="196"/>
  <c r="D74" i="196"/>
  <c r="B75" i="196"/>
  <c r="D75" i="196"/>
  <c r="B76" i="196"/>
  <c r="D76" i="196"/>
  <c r="B77" i="196"/>
  <c r="D77" i="196"/>
  <c r="B9" i="196"/>
  <c r="C9" i="196" s="1"/>
  <c r="E9" i="196" s="1"/>
  <c r="B10" i="196"/>
  <c r="C10" i="196" s="1"/>
  <c r="E10" i="196" s="1"/>
  <c r="B11" i="196"/>
  <c r="C11" i="196" s="1"/>
  <c r="E11" i="196" s="1"/>
  <c r="B12" i="196"/>
  <c r="C12" i="196" s="1"/>
  <c r="E12" i="196" s="1"/>
  <c r="B13" i="196"/>
  <c r="C13" i="196" s="1"/>
  <c r="E13" i="196" s="1"/>
  <c r="B14" i="196"/>
  <c r="C14" i="196" s="1"/>
  <c r="E14" i="196" s="1"/>
  <c r="B15" i="196"/>
  <c r="C15" i="196" s="1"/>
  <c r="E15" i="196" s="1"/>
  <c r="B16" i="196"/>
  <c r="C16" i="196" s="1"/>
  <c r="E16" i="196" s="1"/>
  <c r="B17" i="196"/>
  <c r="C17" i="196" s="1"/>
  <c r="E17" i="196" s="1"/>
  <c r="B18" i="196"/>
  <c r="C18" i="196" s="1"/>
  <c r="E18" i="196" s="1"/>
  <c r="B19" i="196"/>
  <c r="C19" i="196" s="1"/>
  <c r="E19" i="196" s="1"/>
  <c r="B20" i="196"/>
  <c r="C20" i="196" s="1"/>
  <c r="E20" i="196" s="1"/>
  <c r="B21" i="196"/>
  <c r="C21" i="196" s="1"/>
  <c r="E21" i="196" s="1"/>
  <c r="B22" i="196"/>
  <c r="C22" i="196" s="1"/>
  <c r="E22" i="196" s="1"/>
  <c r="B23" i="196"/>
  <c r="C23" i="196" s="1"/>
  <c r="E23" i="196" s="1"/>
  <c r="B24" i="196"/>
  <c r="C24" i="196" s="1"/>
  <c r="E24" i="196" s="1"/>
  <c r="B25" i="196"/>
  <c r="C25" i="196" s="1"/>
  <c r="E25" i="196" s="1"/>
  <c r="B26" i="196"/>
  <c r="C26" i="196" s="1"/>
  <c r="E26" i="196" s="1"/>
  <c r="B27" i="196"/>
  <c r="C27" i="196" s="1"/>
  <c r="E27" i="196" s="1"/>
  <c r="B28" i="196"/>
  <c r="C28" i="196" s="1"/>
  <c r="E28" i="196" s="1"/>
  <c r="B29" i="196"/>
  <c r="C29" i="196" s="1"/>
  <c r="E29" i="196" s="1"/>
  <c r="B30" i="196"/>
  <c r="C30" i="196" s="1"/>
  <c r="E30" i="196" s="1"/>
  <c r="B31" i="196"/>
  <c r="C31" i="196" s="1"/>
  <c r="E31" i="196" s="1"/>
  <c r="B32" i="196"/>
  <c r="C32" i="196" s="1"/>
  <c r="E32" i="196" s="1"/>
  <c r="B33" i="196"/>
  <c r="C33" i="196" s="1"/>
  <c r="E33" i="196" s="1"/>
  <c r="B34" i="196"/>
  <c r="C34" i="196" s="1"/>
  <c r="E34" i="196" s="1"/>
  <c r="B35" i="196"/>
  <c r="C35" i="196" s="1"/>
  <c r="E35" i="196" s="1"/>
  <c r="D50" i="196"/>
  <c r="B50" i="196"/>
  <c r="E43" i="196"/>
  <c r="D47" i="196" s="1"/>
  <c r="E41" i="196"/>
  <c r="D46" i="196" s="1"/>
  <c r="E40" i="196"/>
  <c r="E39" i="196"/>
  <c r="D8" i="196"/>
  <c r="B8" i="196"/>
  <c r="C8" i="196" s="1"/>
  <c r="E8" i="196" s="1"/>
  <c r="B62" i="195"/>
  <c r="D62" i="195"/>
  <c r="B63" i="195"/>
  <c r="D63" i="195"/>
  <c r="B64" i="195"/>
  <c r="D64" i="195"/>
  <c r="B65" i="195"/>
  <c r="D65" i="195"/>
  <c r="B66" i="195"/>
  <c r="D66" i="195"/>
  <c r="B67" i="195"/>
  <c r="D67" i="195"/>
  <c r="B68" i="195"/>
  <c r="D68" i="195"/>
  <c r="B69" i="195"/>
  <c r="D69" i="195"/>
  <c r="B70" i="195"/>
  <c r="D70" i="195"/>
  <c r="B71" i="195"/>
  <c r="D71" i="195"/>
  <c r="B72" i="195"/>
  <c r="D72" i="195"/>
  <c r="B73" i="195"/>
  <c r="D73" i="195"/>
  <c r="B74" i="195"/>
  <c r="D74" i="195"/>
  <c r="B75" i="195"/>
  <c r="D75" i="195"/>
  <c r="B76" i="195"/>
  <c r="D76" i="195"/>
  <c r="B77" i="195"/>
  <c r="D77" i="195"/>
  <c r="B78" i="195"/>
  <c r="D78" i="195"/>
  <c r="B79" i="195"/>
  <c r="D79" i="195"/>
  <c r="B80" i="195"/>
  <c r="D80" i="195"/>
  <c r="B81" i="195"/>
  <c r="D81" i="195"/>
  <c r="B82" i="195"/>
  <c r="D82" i="195"/>
  <c r="B83" i="195"/>
  <c r="D83" i="195"/>
  <c r="B84" i="195"/>
  <c r="D84" i="195"/>
  <c r="B85" i="195"/>
  <c r="D85" i="195"/>
  <c r="B86" i="195"/>
  <c r="D86" i="195"/>
  <c r="B87" i="195"/>
  <c r="D87" i="195"/>
  <c r="B88" i="195"/>
  <c r="D88" i="195"/>
  <c r="B89" i="195"/>
  <c r="D89" i="195"/>
  <c r="B90" i="195"/>
  <c r="D90" i="195"/>
  <c r="B91" i="195"/>
  <c r="D91" i="195"/>
  <c r="B92" i="195"/>
  <c r="D92" i="195"/>
  <c r="B93" i="195"/>
  <c r="D93" i="195"/>
  <c r="B94" i="195"/>
  <c r="D94" i="195"/>
  <c r="B95" i="195"/>
  <c r="D95" i="195"/>
  <c r="B96" i="195"/>
  <c r="D96" i="195"/>
  <c r="B97" i="195"/>
  <c r="D97" i="195"/>
  <c r="B98" i="195"/>
  <c r="D98" i="195"/>
  <c r="B99" i="195"/>
  <c r="D99" i="195"/>
  <c r="B9" i="195"/>
  <c r="C9" i="195" s="1"/>
  <c r="E9" i="195" s="1"/>
  <c r="B10" i="195"/>
  <c r="C10" i="195" s="1"/>
  <c r="E10" i="195" s="1"/>
  <c r="B11" i="195"/>
  <c r="C11" i="195" s="1"/>
  <c r="E11" i="195" s="1"/>
  <c r="B12" i="195"/>
  <c r="C12" i="195" s="1"/>
  <c r="E12" i="195" s="1"/>
  <c r="B13" i="195"/>
  <c r="C13" i="195" s="1"/>
  <c r="E13" i="195" s="1"/>
  <c r="B14" i="195"/>
  <c r="C14" i="195" s="1"/>
  <c r="E14" i="195" s="1"/>
  <c r="B15" i="195"/>
  <c r="C15" i="195" s="1"/>
  <c r="E15" i="195" s="1"/>
  <c r="B16" i="195"/>
  <c r="C16" i="195" s="1"/>
  <c r="E16" i="195" s="1"/>
  <c r="B17" i="195"/>
  <c r="C17" i="195" s="1"/>
  <c r="E17" i="195" s="1"/>
  <c r="B18" i="195"/>
  <c r="C18" i="195" s="1"/>
  <c r="E18" i="195" s="1"/>
  <c r="B19" i="195"/>
  <c r="C19" i="195" s="1"/>
  <c r="E19" i="195" s="1"/>
  <c r="B20" i="195"/>
  <c r="C20" i="195" s="1"/>
  <c r="E20" i="195" s="1"/>
  <c r="B21" i="195"/>
  <c r="C21" i="195" s="1"/>
  <c r="E21" i="195" s="1"/>
  <c r="B22" i="195"/>
  <c r="C22" i="195" s="1"/>
  <c r="E22" i="195" s="1"/>
  <c r="B23" i="195"/>
  <c r="C23" i="195" s="1"/>
  <c r="E23" i="195" s="1"/>
  <c r="B24" i="195"/>
  <c r="C24" i="195" s="1"/>
  <c r="E24" i="195" s="1"/>
  <c r="B25" i="195"/>
  <c r="C25" i="195" s="1"/>
  <c r="E25" i="195" s="1"/>
  <c r="B26" i="195"/>
  <c r="C26" i="195" s="1"/>
  <c r="E26" i="195" s="1"/>
  <c r="B27" i="195"/>
  <c r="C27" i="195" s="1"/>
  <c r="E27" i="195" s="1"/>
  <c r="B28" i="195"/>
  <c r="C28" i="195" s="1"/>
  <c r="E28" i="195" s="1"/>
  <c r="B29" i="195"/>
  <c r="C29" i="195" s="1"/>
  <c r="E29" i="195" s="1"/>
  <c r="B30" i="195"/>
  <c r="C30" i="195" s="1"/>
  <c r="E30" i="195" s="1"/>
  <c r="B31" i="195"/>
  <c r="C31" i="195" s="1"/>
  <c r="E31" i="195" s="1"/>
  <c r="B32" i="195"/>
  <c r="C32" i="195" s="1"/>
  <c r="E32" i="195" s="1"/>
  <c r="B33" i="195"/>
  <c r="C33" i="195" s="1"/>
  <c r="E33" i="195" s="1"/>
  <c r="B34" i="195"/>
  <c r="C34" i="195" s="1"/>
  <c r="E34" i="195" s="1"/>
  <c r="B35" i="195"/>
  <c r="C35" i="195" s="1"/>
  <c r="E35" i="195" s="1"/>
  <c r="B36" i="195"/>
  <c r="C36" i="195" s="1"/>
  <c r="E36" i="195" s="1"/>
  <c r="B37" i="195"/>
  <c r="C37" i="195" s="1"/>
  <c r="E37" i="195" s="1"/>
  <c r="B38" i="195"/>
  <c r="C38" i="195" s="1"/>
  <c r="E38" i="195" s="1"/>
  <c r="B39" i="195"/>
  <c r="C39" i="195" s="1"/>
  <c r="E39" i="195" s="1"/>
  <c r="B40" i="195"/>
  <c r="C40" i="195" s="1"/>
  <c r="E40" i="195" s="1"/>
  <c r="B41" i="195"/>
  <c r="C41" i="195" s="1"/>
  <c r="E41" i="195" s="1"/>
  <c r="B42" i="195"/>
  <c r="C42" i="195" s="1"/>
  <c r="E42" i="195" s="1"/>
  <c r="B43" i="195"/>
  <c r="C43" i="195" s="1"/>
  <c r="E43" i="195" s="1"/>
  <c r="B44" i="195"/>
  <c r="C44" i="195" s="1"/>
  <c r="E44" i="195" s="1"/>
  <c r="B45" i="195"/>
  <c r="C45" i="195" s="1"/>
  <c r="E45" i="195" s="1"/>
  <c r="B46" i="195"/>
  <c r="C46" i="195" s="1"/>
  <c r="E46" i="195" s="1"/>
  <c r="D61" i="195"/>
  <c r="B61" i="195"/>
  <c r="E54" i="195"/>
  <c r="D58" i="195" s="1"/>
  <c r="E52" i="195"/>
  <c r="D57" i="195" s="1"/>
  <c r="E51" i="195"/>
  <c r="E50" i="195"/>
  <c r="D8" i="195"/>
  <c r="B8" i="195"/>
  <c r="C8" i="195" s="1"/>
  <c r="E8" i="195" s="1"/>
  <c r="B62" i="194"/>
  <c r="D62" i="194"/>
  <c r="B63" i="194"/>
  <c r="D63" i="194"/>
  <c r="B64" i="194"/>
  <c r="D64" i="194"/>
  <c r="B65" i="194"/>
  <c r="D65" i="194"/>
  <c r="B66" i="194"/>
  <c r="D66" i="194"/>
  <c r="B67" i="194"/>
  <c r="D67" i="194"/>
  <c r="B68" i="194"/>
  <c r="D68" i="194"/>
  <c r="B69" i="194"/>
  <c r="D69" i="194"/>
  <c r="B70" i="194"/>
  <c r="D70" i="194"/>
  <c r="B71" i="194"/>
  <c r="D71" i="194"/>
  <c r="B72" i="194"/>
  <c r="D72" i="194"/>
  <c r="B73" i="194"/>
  <c r="D73" i="194"/>
  <c r="B74" i="194"/>
  <c r="D74" i="194"/>
  <c r="B75" i="194"/>
  <c r="D75" i="194"/>
  <c r="B76" i="194"/>
  <c r="D76" i="194"/>
  <c r="B77" i="194"/>
  <c r="D77" i="194"/>
  <c r="B78" i="194"/>
  <c r="D78" i="194"/>
  <c r="B79" i="194"/>
  <c r="D79" i="194"/>
  <c r="B80" i="194"/>
  <c r="D80" i="194"/>
  <c r="B81" i="194"/>
  <c r="D81" i="194"/>
  <c r="B82" i="194"/>
  <c r="D82" i="194"/>
  <c r="B83" i="194"/>
  <c r="D83" i="194"/>
  <c r="B84" i="194"/>
  <c r="D84" i="194"/>
  <c r="B85" i="194"/>
  <c r="D85" i="194"/>
  <c r="B86" i="194"/>
  <c r="D86" i="194"/>
  <c r="B87" i="194"/>
  <c r="D87" i="194"/>
  <c r="B88" i="194"/>
  <c r="D88" i="194"/>
  <c r="B89" i="194"/>
  <c r="D89" i="194"/>
  <c r="B90" i="194"/>
  <c r="D90" i="194"/>
  <c r="B91" i="194"/>
  <c r="D91" i="194"/>
  <c r="B92" i="194"/>
  <c r="D92" i="194"/>
  <c r="B93" i="194"/>
  <c r="D93" i="194"/>
  <c r="B94" i="194"/>
  <c r="D94" i="194"/>
  <c r="B95" i="194"/>
  <c r="D95" i="194"/>
  <c r="B96" i="194"/>
  <c r="D96" i="194"/>
  <c r="B97" i="194"/>
  <c r="D97" i="194"/>
  <c r="B98" i="194"/>
  <c r="D98" i="194"/>
  <c r="B99" i="194"/>
  <c r="D99" i="194"/>
  <c r="B9" i="194"/>
  <c r="C9" i="194" s="1"/>
  <c r="E9" i="194" s="1"/>
  <c r="B10" i="194"/>
  <c r="C10" i="194" s="1"/>
  <c r="E10" i="194" s="1"/>
  <c r="B11" i="194"/>
  <c r="C11" i="194" s="1"/>
  <c r="E11" i="194" s="1"/>
  <c r="B12" i="194"/>
  <c r="C12" i="194" s="1"/>
  <c r="E12" i="194" s="1"/>
  <c r="B13" i="194"/>
  <c r="C13" i="194" s="1"/>
  <c r="E13" i="194" s="1"/>
  <c r="B14" i="194"/>
  <c r="C14" i="194" s="1"/>
  <c r="E14" i="194" s="1"/>
  <c r="B15" i="194"/>
  <c r="C15" i="194" s="1"/>
  <c r="E15" i="194" s="1"/>
  <c r="B16" i="194"/>
  <c r="C16" i="194" s="1"/>
  <c r="E16" i="194" s="1"/>
  <c r="B17" i="194"/>
  <c r="C17" i="194" s="1"/>
  <c r="E17" i="194" s="1"/>
  <c r="B18" i="194"/>
  <c r="C18" i="194" s="1"/>
  <c r="E18" i="194" s="1"/>
  <c r="B19" i="194"/>
  <c r="C19" i="194" s="1"/>
  <c r="E19" i="194" s="1"/>
  <c r="B20" i="194"/>
  <c r="C20" i="194" s="1"/>
  <c r="E20" i="194" s="1"/>
  <c r="B21" i="194"/>
  <c r="C21" i="194" s="1"/>
  <c r="E21" i="194" s="1"/>
  <c r="B22" i="194"/>
  <c r="C22" i="194" s="1"/>
  <c r="E22" i="194" s="1"/>
  <c r="B23" i="194"/>
  <c r="C23" i="194" s="1"/>
  <c r="E23" i="194" s="1"/>
  <c r="B24" i="194"/>
  <c r="C24" i="194" s="1"/>
  <c r="E24" i="194" s="1"/>
  <c r="B25" i="194"/>
  <c r="C25" i="194" s="1"/>
  <c r="E25" i="194" s="1"/>
  <c r="B26" i="194"/>
  <c r="C26" i="194" s="1"/>
  <c r="E26" i="194" s="1"/>
  <c r="B27" i="194"/>
  <c r="C27" i="194" s="1"/>
  <c r="E27" i="194" s="1"/>
  <c r="B28" i="194"/>
  <c r="C28" i="194" s="1"/>
  <c r="E28" i="194" s="1"/>
  <c r="B29" i="194"/>
  <c r="C29" i="194" s="1"/>
  <c r="E29" i="194" s="1"/>
  <c r="B30" i="194"/>
  <c r="C30" i="194" s="1"/>
  <c r="E30" i="194" s="1"/>
  <c r="B31" i="194"/>
  <c r="C31" i="194" s="1"/>
  <c r="E31" i="194" s="1"/>
  <c r="B32" i="194"/>
  <c r="C32" i="194" s="1"/>
  <c r="E32" i="194" s="1"/>
  <c r="B33" i="194"/>
  <c r="C33" i="194" s="1"/>
  <c r="E33" i="194" s="1"/>
  <c r="B34" i="194"/>
  <c r="C34" i="194" s="1"/>
  <c r="E34" i="194" s="1"/>
  <c r="B35" i="194"/>
  <c r="C35" i="194" s="1"/>
  <c r="E35" i="194" s="1"/>
  <c r="B36" i="194"/>
  <c r="C36" i="194" s="1"/>
  <c r="E36" i="194" s="1"/>
  <c r="B37" i="194"/>
  <c r="C37" i="194" s="1"/>
  <c r="E37" i="194" s="1"/>
  <c r="B38" i="194"/>
  <c r="C38" i="194" s="1"/>
  <c r="E38" i="194" s="1"/>
  <c r="B39" i="194"/>
  <c r="C39" i="194" s="1"/>
  <c r="E39" i="194" s="1"/>
  <c r="B40" i="194"/>
  <c r="C40" i="194" s="1"/>
  <c r="E40" i="194" s="1"/>
  <c r="B41" i="194"/>
  <c r="C41" i="194" s="1"/>
  <c r="E41" i="194" s="1"/>
  <c r="B42" i="194"/>
  <c r="C42" i="194" s="1"/>
  <c r="E42" i="194" s="1"/>
  <c r="B43" i="194"/>
  <c r="C43" i="194" s="1"/>
  <c r="E43" i="194" s="1"/>
  <c r="B44" i="194"/>
  <c r="C44" i="194" s="1"/>
  <c r="E44" i="194" s="1"/>
  <c r="B45" i="194"/>
  <c r="C45" i="194" s="1"/>
  <c r="E45" i="194" s="1"/>
  <c r="B46" i="194"/>
  <c r="C46" i="194" s="1"/>
  <c r="E46" i="194" s="1"/>
  <c r="D61" i="194"/>
  <c r="B61" i="194"/>
  <c r="E54" i="194"/>
  <c r="D58" i="194" s="1"/>
  <c r="G74" i="194" s="1"/>
  <c r="E52" i="194"/>
  <c r="D57" i="194" s="1"/>
  <c r="E51" i="194"/>
  <c r="E50" i="194"/>
  <c r="C70" i="194" s="1"/>
  <c r="D8" i="194"/>
  <c r="B8" i="194"/>
  <c r="C8" i="194" s="1"/>
  <c r="E8" i="194" s="1"/>
  <c r="B61" i="193"/>
  <c r="D61" i="193"/>
  <c r="B62" i="193"/>
  <c r="D62" i="193"/>
  <c r="B63" i="193"/>
  <c r="D63" i="193"/>
  <c r="B64" i="193"/>
  <c r="D64" i="193"/>
  <c r="B65" i="193"/>
  <c r="D65" i="193"/>
  <c r="B66" i="193"/>
  <c r="D66" i="193"/>
  <c r="B67" i="193"/>
  <c r="D67" i="193"/>
  <c r="B68" i="193"/>
  <c r="D68" i="193"/>
  <c r="B69" i="193"/>
  <c r="D69" i="193"/>
  <c r="B70" i="193"/>
  <c r="D70" i="193"/>
  <c r="B71" i="193"/>
  <c r="D71" i="193"/>
  <c r="B72" i="193"/>
  <c r="D72" i="193"/>
  <c r="B73" i="193"/>
  <c r="D73" i="193"/>
  <c r="B74" i="193"/>
  <c r="D74" i="193"/>
  <c r="B75" i="193"/>
  <c r="D75" i="193"/>
  <c r="B76" i="193"/>
  <c r="D76" i="193"/>
  <c r="B77" i="193"/>
  <c r="D77" i="193"/>
  <c r="B78" i="193"/>
  <c r="D78" i="193"/>
  <c r="B79" i="193"/>
  <c r="D79" i="193"/>
  <c r="B80" i="193"/>
  <c r="D80" i="193"/>
  <c r="B81" i="193"/>
  <c r="D81" i="193"/>
  <c r="B82" i="193"/>
  <c r="D82" i="193"/>
  <c r="B83" i="193"/>
  <c r="D83" i="193"/>
  <c r="B84" i="193"/>
  <c r="D84" i="193"/>
  <c r="B85" i="193"/>
  <c r="D85" i="193"/>
  <c r="B86" i="193"/>
  <c r="D86" i="193"/>
  <c r="B87" i="193"/>
  <c r="D87" i="193"/>
  <c r="B88" i="193"/>
  <c r="D88" i="193"/>
  <c r="B89" i="193"/>
  <c r="D89" i="193"/>
  <c r="B90" i="193"/>
  <c r="D90" i="193"/>
  <c r="B91" i="193"/>
  <c r="D91" i="193"/>
  <c r="B92" i="193"/>
  <c r="D92" i="193"/>
  <c r="B93" i="193"/>
  <c r="D93" i="193"/>
  <c r="B94" i="193"/>
  <c r="D94" i="193"/>
  <c r="B95" i="193"/>
  <c r="D95" i="193"/>
  <c r="B96" i="193"/>
  <c r="D96" i="193"/>
  <c r="B97" i="193"/>
  <c r="D97" i="193"/>
  <c r="B9" i="193"/>
  <c r="C9" i="193" s="1"/>
  <c r="E9" i="193" s="1"/>
  <c r="B10" i="193"/>
  <c r="C10" i="193" s="1"/>
  <c r="E10" i="193" s="1"/>
  <c r="B11" i="193"/>
  <c r="C11" i="193" s="1"/>
  <c r="E11" i="193" s="1"/>
  <c r="B12" i="193"/>
  <c r="C12" i="193" s="1"/>
  <c r="E12" i="193" s="1"/>
  <c r="B13" i="193"/>
  <c r="C13" i="193" s="1"/>
  <c r="E13" i="193" s="1"/>
  <c r="B14" i="193"/>
  <c r="C14" i="193" s="1"/>
  <c r="E14" i="193" s="1"/>
  <c r="B15" i="193"/>
  <c r="C15" i="193" s="1"/>
  <c r="E15" i="193" s="1"/>
  <c r="B16" i="193"/>
  <c r="C16" i="193" s="1"/>
  <c r="E16" i="193" s="1"/>
  <c r="B17" i="193"/>
  <c r="C17" i="193" s="1"/>
  <c r="E17" i="193" s="1"/>
  <c r="B18" i="193"/>
  <c r="C18" i="193" s="1"/>
  <c r="E18" i="193" s="1"/>
  <c r="B19" i="193"/>
  <c r="C19" i="193" s="1"/>
  <c r="E19" i="193" s="1"/>
  <c r="B20" i="193"/>
  <c r="C20" i="193" s="1"/>
  <c r="E20" i="193" s="1"/>
  <c r="B21" i="193"/>
  <c r="C21" i="193" s="1"/>
  <c r="E21" i="193" s="1"/>
  <c r="B22" i="193"/>
  <c r="C22" i="193" s="1"/>
  <c r="E22" i="193" s="1"/>
  <c r="B23" i="193"/>
  <c r="C23" i="193" s="1"/>
  <c r="E23" i="193" s="1"/>
  <c r="B24" i="193"/>
  <c r="C24" i="193" s="1"/>
  <c r="E24" i="193" s="1"/>
  <c r="B25" i="193"/>
  <c r="C25" i="193" s="1"/>
  <c r="E25" i="193" s="1"/>
  <c r="B26" i="193"/>
  <c r="C26" i="193" s="1"/>
  <c r="E26" i="193" s="1"/>
  <c r="B27" i="193"/>
  <c r="C27" i="193" s="1"/>
  <c r="E27" i="193" s="1"/>
  <c r="B28" i="193"/>
  <c r="C28" i="193" s="1"/>
  <c r="E28" i="193" s="1"/>
  <c r="B29" i="193"/>
  <c r="C29" i="193" s="1"/>
  <c r="E29" i="193" s="1"/>
  <c r="B30" i="193"/>
  <c r="C30" i="193" s="1"/>
  <c r="E30" i="193" s="1"/>
  <c r="B31" i="193"/>
  <c r="C31" i="193" s="1"/>
  <c r="E31" i="193" s="1"/>
  <c r="B32" i="193"/>
  <c r="C32" i="193" s="1"/>
  <c r="E32" i="193" s="1"/>
  <c r="B33" i="193"/>
  <c r="C33" i="193" s="1"/>
  <c r="E33" i="193" s="1"/>
  <c r="B34" i="193"/>
  <c r="C34" i="193" s="1"/>
  <c r="E34" i="193" s="1"/>
  <c r="B35" i="193"/>
  <c r="C35" i="193" s="1"/>
  <c r="E35" i="193" s="1"/>
  <c r="B36" i="193"/>
  <c r="C36" i="193" s="1"/>
  <c r="E36" i="193" s="1"/>
  <c r="B37" i="193"/>
  <c r="C37" i="193" s="1"/>
  <c r="E37" i="193" s="1"/>
  <c r="B38" i="193"/>
  <c r="C38" i="193" s="1"/>
  <c r="E38" i="193" s="1"/>
  <c r="B39" i="193"/>
  <c r="C39" i="193" s="1"/>
  <c r="E39" i="193" s="1"/>
  <c r="B40" i="193"/>
  <c r="C40" i="193" s="1"/>
  <c r="E40" i="193" s="1"/>
  <c r="B41" i="193"/>
  <c r="C41" i="193" s="1"/>
  <c r="E41" i="193" s="1"/>
  <c r="B42" i="193"/>
  <c r="C42" i="193" s="1"/>
  <c r="E42" i="193" s="1"/>
  <c r="B43" i="193"/>
  <c r="C43" i="193" s="1"/>
  <c r="E43" i="193" s="1"/>
  <c r="B44" i="193"/>
  <c r="C44" i="193" s="1"/>
  <c r="E44" i="193" s="1"/>
  <c r="B45" i="193"/>
  <c r="C45" i="193" s="1"/>
  <c r="E45" i="193" s="1"/>
  <c r="D60" i="193"/>
  <c r="B60" i="193"/>
  <c r="E53" i="193"/>
  <c r="D57" i="193" s="1"/>
  <c r="E51" i="193"/>
  <c r="D56" i="193" s="1"/>
  <c r="E50" i="193"/>
  <c r="E49" i="193"/>
  <c r="C70" i="193" s="1"/>
  <c r="D8" i="193"/>
  <c r="B8" i="193"/>
  <c r="C8" i="193" s="1"/>
  <c r="E8" i="193" s="1"/>
  <c r="B55" i="192"/>
  <c r="D55" i="192"/>
  <c r="B56" i="192"/>
  <c r="D56" i="192"/>
  <c r="B57" i="192"/>
  <c r="D57" i="192"/>
  <c r="B58" i="192"/>
  <c r="D58" i="192"/>
  <c r="B59" i="192"/>
  <c r="D59" i="192"/>
  <c r="B60" i="192"/>
  <c r="D60" i="192"/>
  <c r="B61" i="192"/>
  <c r="D61" i="192"/>
  <c r="B62" i="192"/>
  <c r="D62" i="192"/>
  <c r="B63" i="192"/>
  <c r="D63" i="192"/>
  <c r="B64" i="192"/>
  <c r="D64" i="192"/>
  <c r="B65" i="192"/>
  <c r="D65" i="192"/>
  <c r="B66" i="192"/>
  <c r="D66" i="192"/>
  <c r="B67" i="192"/>
  <c r="D67" i="192"/>
  <c r="B68" i="192"/>
  <c r="D68" i="192"/>
  <c r="B69" i="192"/>
  <c r="D69" i="192"/>
  <c r="B70" i="192"/>
  <c r="D70" i="192"/>
  <c r="B71" i="192"/>
  <c r="D71" i="192"/>
  <c r="B72" i="192"/>
  <c r="D72" i="192"/>
  <c r="B73" i="192"/>
  <c r="D73" i="192"/>
  <c r="B74" i="192"/>
  <c r="D74" i="192"/>
  <c r="B75" i="192"/>
  <c r="D75" i="192"/>
  <c r="B76" i="192"/>
  <c r="D76" i="192"/>
  <c r="B77" i="192"/>
  <c r="D77" i="192"/>
  <c r="B78" i="192"/>
  <c r="D78" i="192"/>
  <c r="B79" i="192"/>
  <c r="D79" i="192"/>
  <c r="B80" i="192"/>
  <c r="D80" i="192"/>
  <c r="B81" i="192"/>
  <c r="D81" i="192"/>
  <c r="B82" i="192"/>
  <c r="D82" i="192"/>
  <c r="B83" i="192"/>
  <c r="D83" i="192"/>
  <c r="B84" i="192"/>
  <c r="D84" i="192"/>
  <c r="B85" i="192"/>
  <c r="D85" i="192"/>
  <c r="B9" i="192"/>
  <c r="C9" i="192" s="1"/>
  <c r="E9" i="192" s="1"/>
  <c r="B10" i="192"/>
  <c r="C10" i="192" s="1"/>
  <c r="E10" i="192" s="1"/>
  <c r="B11" i="192"/>
  <c r="C11" i="192" s="1"/>
  <c r="E11" i="192" s="1"/>
  <c r="B12" i="192"/>
  <c r="C12" i="192" s="1"/>
  <c r="E12" i="192" s="1"/>
  <c r="B13" i="192"/>
  <c r="C13" i="192" s="1"/>
  <c r="E13" i="192" s="1"/>
  <c r="B14" i="192"/>
  <c r="C14" i="192" s="1"/>
  <c r="E14" i="192" s="1"/>
  <c r="B15" i="192"/>
  <c r="C15" i="192" s="1"/>
  <c r="E15" i="192" s="1"/>
  <c r="B16" i="192"/>
  <c r="C16" i="192" s="1"/>
  <c r="E16" i="192" s="1"/>
  <c r="B17" i="192"/>
  <c r="C17" i="192" s="1"/>
  <c r="E17" i="192" s="1"/>
  <c r="B18" i="192"/>
  <c r="C18" i="192" s="1"/>
  <c r="E18" i="192" s="1"/>
  <c r="B19" i="192"/>
  <c r="C19" i="192" s="1"/>
  <c r="E19" i="192" s="1"/>
  <c r="B20" i="192"/>
  <c r="C20" i="192" s="1"/>
  <c r="E20" i="192" s="1"/>
  <c r="B21" i="192"/>
  <c r="C21" i="192" s="1"/>
  <c r="E21" i="192" s="1"/>
  <c r="B22" i="192"/>
  <c r="C22" i="192" s="1"/>
  <c r="E22" i="192" s="1"/>
  <c r="B23" i="192"/>
  <c r="C23" i="192" s="1"/>
  <c r="E23" i="192" s="1"/>
  <c r="B24" i="192"/>
  <c r="C24" i="192" s="1"/>
  <c r="E24" i="192" s="1"/>
  <c r="B25" i="192"/>
  <c r="C25" i="192" s="1"/>
  <c r="E25" i="192" s="1"/>
  <c r="B26" i="192"/>
  <c r="C26" i="192" s="1"/>
  <c r="E26" i="192" s="1"/>
  <c r="B27" i="192"/>
  <c r="C27" i="192" s="1"/>
  <c r="E27" i="192" s="1"/>
  <c r="B28" i="192"/>
  <c r="C28" i="192" s="1"/>
  <c r="E28" i="192" s="1"/>
  <c r="B29" i="192"/>
  <c r="C29" i="192" s="1"/>
  <c r="E29" i="192" s="1"/>
  <c r="B30" i="192"/>
  <c r="C30" i="192" s="1"/>
  <c r="E30" i="192" s="1"/>
  <c r="B31" i="192"/>
  <c r="C31" i="192" s="1"/>
  <c r="E31" i="192" s="1"/>
  <c r="B32" i="192"/>
  <c r="C32" i="192" s="1"/>
  <c r="E32" i="192" s="1"/>
  <c r="B33" i="192"/>
  <c r="C33" i="192" s="1"/>
  <c r="E33" i="192" s="1"/>
  <c r="B34" i="192"/>
  <c r="C34" i="192" s="1"/>
  <c r="E34" i="192" s="1"/>
  <c r="B35" i="192"/>
  <c r="C35" i="192" s="1"/>
  <c r="E35" i="192" s="1"/>
  <c r="B36" i="192"/>
  <c r="C36" i="192" s="1"/>
  <c r="E36" i="192" s="1"/>
  <c r="B37" i="192"/>
  <c r="C37" i="192" s="1"/>
  <c r="E37" i="192" s="1"/>
  <c r="B38" i="192"/>
  <c r="C38" i="192" s="1"/>
  <c r="E38" i="192" s="1"/>
  <c r="B39" i="192"/>
  <c r="C39" i="192" s="1"/>
  <c r="E39" i="192" s="1"/>
  <c r="D54" i="192"/>
  <c r="B54" i="192"/>
  <c r="E47" i="192"/>
  <c r="D51" i="192" s="1"/>
  <c r="E45" i="192"/>
  <c r="D50" i="192" s="1"/>
  <c r="E44" i="192"/>
  <c r="E43" i="192"/>
  <c r="D8" i="192"/>
  <c r="B8" i="192"/>
  <c r="C8" i="192" s="1"/>
  <c r="E8" i="192" s="1"/>
  <c r="B49" i="191"/>
  <c r="D49" i="191"/>
  <c r="B50" i="191"/>
  <c r="D50" i="191"/>
  <c r="B51" i="191"/>
  <c r="D51" i="191"/>
  <c r="B52" i="191"/>
  <c r="D52" i="191"/>
  <c r="B53" i="191"/>
  <c r="D53" i="191"/>
  <c r="B54" i="191"/>
  <c r="D54" i="191"/>
  <c r="B55" i="191"/>
  <c r="D55" i="191"/>
  <c r="B56" i="191"/>
  <c r="D56" i="191"/>
  <c r="B57" i="191"/>
  <c r="D57" i="191"/>
  <c r="B58" i="191"/>
  <c r="D58" i="191"/>
  <c r="B59" i="191"/>
  <c r="D59" i="191"/>
  <c r="B60" i="191"/>
  <c r="D60" i="191"/>
  <c r="B61" i="191"/>
  <c r="D61" i="191"/>
  <c r="B62" i="191"/>
  <c r="D62" i="191"/>
  <c r="B63" i="191"/>
  <c r="D63" i="191"/>
  <c r="B64" i="191"/>
  <c r="D64" i="191"/>
  <c r="B65" i="191"/>
  <c r="D65" i="191"/>
  <c r="B66" i="191"/>
  <c r="D66" i="191"/>
  <c r="B67" i="191"/>
  <c r="D67" i="191"/>
  <c r="B68" i="191"/>
  <c r="D68" i="191"/>
  <c r="B69" i="191"/>
  <c r="D69" i="191"/>
  <c r="B70" i="191"/>
  <c r="D70" i="191"/>
  <c r="B71" i="191"/>
  <c r="D71" i="191"/>
  <c r="B72" i="191"/>
  <c r="D72" i="191"/>
  <c r="B73" i="191"/>
  <c r="D73" i="191"/>
  <c r="B9" i="191"/>
  <c r="C9" i="191" s="1"/>
  <c r="E9" i="191" s="1"/>
  <c r="B10" i="191"/>
  <c r="C10" i="191" s="1"/>
  <c r="E10" i="191" s="1"/>
  <c r="B11" i="191"/>
  <c r="C11" i="191" s="1"/>
  <c r="E11" i="191" s="1"/>
  <c r="B12" i="191"/>
  <c r="C12" i="191" s="1"/>
  <c r="E12" i="191" s="1"/>
  <c r="B13" i="191"/>
  <c r="C13" i="191" s="1"/>
  <c r="E13" i="191" s="1"/>
  <c r="B14" i="191"/>
  <c r="C14" i="191" s="1"/>
  <c r="E14" i="191" s="1"/>
  <c r="B15" i="191"/>
  <c r="C15" i="191" s="1"/>
  <c r="E15" i="191" s="1"/>
  <c r="B16" i="191"/>
  <c r="C16" i="191" s="1"/>
  <c r="E16" i="191" s="1"/>
  <c r="B17" i="191"/>
  <c r="C17" i="191" s="1"/>
  <c r="E17" i="191" s="1"/>
  <c r="B18" i="191"/>
  <c r="C18" i="191" s="1"/>
  <c r="E18" i="191" s="1"/>
  <c r="B19" i="191"/>
  <c r="C19" i="191" s="1"/>
  <c r="E19" i="191" s="1"/>
  <c r="B20" i="191"/>
  <c r="C20" i="191" s="1"/>
  <c r="E20" i="191" s="1"/>
  <c r="B21" i="191"/>
  <c r="C21" i="191" s="1"/>
  <c r="E21" i="191" s="1"/>
  <c r="B22" i="191"/>
  <c r="C22" i="191" s="1"/>
  <c r="E22" i="191" s="1"/>
  <c r="B23" i="191"/>
  <c r="C23" i="191" s="1"/>
  <c r="E23" i="191" s="1"/>
  <c r="B24" i="191"/>
  <c r="C24" i="191" s="1"/>
  <c r="E24" i="191" s="1"/>
  <c r="B25" i="191"/>
  <c r="C25" i="191" s="1"/>
  <c r="E25" i="191" s="1"/>
  <c r="B26" i="191"/>
  <c r="C26" i="191" s="1"/>
  <c r="E26" i="191" s="1"/>
  <c r="B27" i="191"/>
  <c r="C27" i="191" s="1"/>
  <c r="E27" i="191" s="1"/>
  <c r="B28" i="191"/>
  <c r="C28" i="191" s="1"/>
  <c r="E28" i="191" s="1"/>
  <c r="B29" i="191"/>
  <c r="C29" i="191" s="1"/>
  <c r="E29" i="191" s="1"/>
  <c r="B30" i="191"/>
  <c r="C30" i="191" s="1"/>
  <c r="E30" i="191" s="1"/>
  <c r="B31" i="191"/>
  <c r="C31" i="191" s="1"/>
  <c r="E31" i="191" s="1"/>
  <c r="B32" i="191"/>
  <c r="C32" i="191" s="1"/>
  <c r="E32" i="191" s="1"/>
  <c r="B33" i="191"/>
  <c r="C33" i="191" s="1"/>
  <c r="E33" i="191" s="1"/>
  <c r="D48" i="191"/>
  <c r="B48" i="191"/>
  <c r="E41" i="191"/>
  <c r="D45" i="191" s="1"/>
  <c r="E39" i="191"/>
  <c r="D44" i="191" s="1"/>
  <c r="E38" i="191"/>
  <c r="E37" i="191"/>
  <c r="D8" i="191"/>
  <c r="B8" i="191"/>
  <c r="C8" i="191" s="1"/>
  <c r="E8" i="191" s="1"/>
  <c r="B61" i="190"/>
  <c r="D61" i="190"/>
  <c r="B62" i="190"/>
  <c r="D62" i="190"/>
  <c r="B63" i="190"/>
  <c r="D63" i="190"/>
  <c r="B64" i="190"/>
  <c r="D64" i="190"/>
  <c r="B65" i="190"/>
  <c r="D65" i="190"/>
  <c r="B66" i="190"/>
  <c r="D66" i="190"/>
  <c r="B67" i="190"/>
  <c r="D67" i="190"/>
  <c r="B68" i="190"/>
  <c r="D68" i="190"/>
  <c r="B69" i="190"/>
  <c r="D69" i="190"/>
  <c r="B70" i="190"/>
  <c r="D70" i="190"/>
  <c r="B71" i="190"/>
  <c r="D71" i="190"/>
  <c r="B72" i="190"/>
  <c r="D72" i="190"/>
  <c r="B73" i="190"/>
  <c r="D73" i="190"/>
  <c r="B74" i="190"/>
  <c r="D74" i="190"/>
  <c r="B75" i="190"/>
  <c r="D75" i="190"/>
  <c r="B76" i="190"/>
  <c r="D76" i="190"/>
  <c r="B77" i="190"/>
  <c r="D77" i="190"/>
  <c r="B78" i="190"/>
  <c r="D78" i="190"/>
  <c r="B79" i="190"/>
  <c r="D79" i="190"/>
  <c r="B80" i="190"/>
  <c r="D80" i="190"/>
  <c r="B81" i="190"/>
  <c r="D81" i="190"/>
  <c r="B82" i="190"/>
  <c r="D82" i="190"/>
  <c r="B83" i="190"/>
  <c r="D83" i="190"/>
  <c r="B84" i="190"/>
  <c r="D84" i="190"/>
  <c r="B85" i="190"/>
  <c r="D85" i="190"/>
  <c r="B86" i="190"/>
  <c r="D86" i="190"/>
  <c r="B87" i="190"/>
  <c r="D87" i="190"/>
  <c r="B88" i="190"/>
  <c r="D88" i="190"/>
  <c r="B89" i="190"/>
  <c r="D89" i="190"/>
  <c r="B90" i="190"/>
  <c r="D90" i="190"/>
  <c r="B91" i="190"/>
  <c r="D91" i="190"/>
  <c r="B92" i="190"/>
  <c r="D92" i="190"/>
  <c r="B93" i="190"/>
  <c r="D93" i="190"/>
  <c r="B94" i="190"/>
  <c r="D94" i="190"/>
  <c r="B95" i="190"/>
  <c r="D95" i="190"/>
  <c r="B96" i="190"/>
  <c r="D96" i="190"/>
  <c r="B97" i="190"/>
  <c r="D97" i="190"/>
  <c r="B9" i="190"/>
  <c r="C9" i="190" s="1"/>
  <c r="E9" i="190" s="1"/>
  <c r="B10" i="190"/>
  <c r="C10" i="190" s="1"/>
  <c r="E10" i="190" s="1"/>
  <c r="B11" i="190"/>
  <c r="C11" i="190" s="1"/>
  <c r="E11" i="190" s="1"/>
  <c r="B12" i="190"/>
  <c r="C12" i="190" s="1"/>
  <c r="E12" i="190" s="1"/>
  <c r="B13" i="190"/>
  <c r="C13" i="190" s="1"/>
  <c r="E13" i="190" s="1"/>
  <c r="B14" i="190"/>
  <c r="C14" i="190" s="1"/>
  <c r="E14" i="190" s="1"/>
  <c r="B15" i="190"/>
  <c r="C15" i="190" s="1"/>
  <c r="E15" i="190" s="1"/>
  <c r="B16" i="190"/>
  <c r="C16" i="190" s="1"/>
  <c r="E16" i="190" s="1"/>
  <c r="B17" i="190"/>
  <c r="C17" i="190" s="1"/>
  <c r="E17" i="190" s="1"/>
  <c r="B18" i="190"/>
  <c r="C18" i="190" s="1"/>
  <c r="E18" i="190" s="1"/>
  <c r="B19" i="190"/>
  <c r="C19" i="190" s="1"/>
  <c r="E19" i="190" s="1"/>
  <c r="B20" i="190"/>
  <c r="C20" i="190" s="1"/>
  <c r="E20" i="190" s="1"/>
  <c r="B21" i="190"/>
  <c r="C21" i="190" s="1"/>
  <c r="E21" i="190" s="1"/>
  <c r="B22" i="190"/>
  <c r="C22" i="190" s="1"/>
  <c r="E22" i="190" s="1"/>
  <c r="B23" i="190"/>
  <c r="C23" i="190" s="1"/>
  <c r="E23" i="190" s="1"/>
  <c r="B24" i="190"/>
  <c r="C24" i="190" s="1"/>
  <c r="E24" i="190" s="1"/>
  <c r="B25" i="190"/>
  <c r="C25" i="190" s="1"/>
  <c r="E25" i="190" s="1"/>
  <c r="B26" i="190"/>
  <c r="C26" i="190" s="1"/>
  <c r="E26" i="190" s="1"/>
  <c r="B27" i="190"/>
  <c r="C27" i="190" s="1"/>
  <c r="E27" i="190" s="1"/>
  <c r="B28" i="190"/>
  <c r="C28" i="190" s="1"/>
  <c r="E28" i="190" s="1"/>
  <c r="B29" i="190"/>
  <c r="C29" i="190" s="1"/>
  <c r="E29" i="190" s="1"/>
  <c r="B30" i="190"/>
  <c r="C30" i="190" s="1"/>
  <c r="E30" i="190" s="1"/>
  <c r="B31" i="190"/>
  <c r="C31" i="190" s="1"/>
  <c r="E31" i="190" s="1"/>
  <c r="B32" i="190"/>
  <c r="C32" i="190" s="1"/>
  <c r="E32" i="190" s="1"/>
  <c r="B33" i="190"/>
  <c r="C33" i="190" s="1"/>
  <c r="E33" i="190" s="1"/>
  <c r="B34" i="190"/>
  <c r="C34" i="190" s="1"/>
  <c r="E34" i="190" s="1"/>
  <c r="B35" i="190"/>
  <c r="C35" i="190" s="1"/>
  <c r="E35" i="190" s="1"/>
  <c r="B36" i="190"/>
  <c r="C36" i="190" s="1"/>
  <c r="E36" i="190" s="1"/>
  <c r="B37" i="190"/>
  <c r="C37" i="190" s="1"/>
  <c r="E37" i="190" s="1"/>
  <c r="B38" i="190"/>
  <c r="C38" i="190" s="1"/>
  <c r="E38" i="190" s="1"/>
  <c r="B39" i="190"/>
  <c r="C39" i="190" s="1"/>
  <c r="E39" i="190" s="1"/>
  <c r="B40" i="190"/>
  <c r="C40" i="190" s="1"/>
  <c r="E40" i="190" s="1"/>
  <c r="B41" i="190"/>
  <c r="C41" i="190" s="1"/>
  <c r="E41" i="190" s="1"/>
  <c r="B42" i="190"/>
  <c r="C42" i="190" s="1"/>
  <c r="E42" i="190" s="1"/>
  <c r="B43" i="190"/>
  <c r="C43" i="190" s="1"/>
  <c r="E43" i="190" s="1"/>
  <c r="B44" i="190"/>
  <c r="C44" i="190" s="1"/>
  <c r="E44" i="190" s="1"/>
  <c r="B45" i="190"/>
  <c r="C45" i="190" s="1"/>
  <c r="E45" i="190" s="1"/>
  <c r="D60" i="190"/>
  <c r="B60" i="190"/>
  <c r="E53" i="190"/>
  <c r="D57" i="190" s="1"/>
  <c r="E51" i="190"/>
  <c r="D56" i="190" s="1"/>
  <c r="E50" i="190"/>
  <c r="E49" i="190"/>
  <c r="C68" i="190" s="1"/>
  <c r="D8" i="190"/>
  <c r="B8" i="190"/>
  <c r="C8" i="190" s="1"/>
  <c r="E8" i="190" s="1"/>
  <c r="B51" i="189"/>
  <c r="D51" i="189"/>
  <c r="B52" i="189"/>
  <c r="D52" i="189"/>
  <c r="B53" i="189"/>
  <c r="D53" i="189"/>
  <c r="B54" i="189"/>
  <c r="D54" i="189"/>
  <c r="B55" i="189"/>
  <c r="D55" i="189"/>
  <c r="B56" i="189"/>
  <c r="D56" i="189"/>
  <c r="B57" i="189"/>
  <c r="D57" i="189"/>
  <c r="B58" i="189"/>
  <c r="D58" i="189"/>
  <c r="B59" i="189"/>
  <c r="D59" i="189"/>
  <c r="B60" i="189"/>
  <c r="D60" i="189"/>
  <c r="B61" i="189"/>
  <c r="D61" i="189"/>
  <c r="B62" i="189"/>
  <c r="D62" i="189"/>
  <c r="B63" i="189"/>
  <c r="D63" i="189"/>
  <c r="B64" i="189"/>
  <c r="D64" i="189"/>
  <c r="B65" i="189"/>
  <c r="D65" i="189"/>
  <c r="B66" i="189"/>
  <c r="D66" i="189"/>
  <c r="B67" i="189"/>
  <c r="D67" i="189"/>
  <c r="B68" i="189"/>
  <c r="D68" i="189"/>
  <c r="B69" i="189"/>
  <c r="D69" i="189"/>
  <c r="B70" i="189"/>
  <c r="D70" i="189"/>
  <c r="B71" i="189"/>
  <c r="D71" i="189"/>
  <c r="B72" i="189"/>
  <c r="D72" i="189"/>
  <c r="B73" i="189"/>
  <c r="D73" i="189"/>
  <c r="B74" i="189"/>
  <c r="D74" i="189"/>
  <c r="B75" i="189"/>
  <c r="D75" i="189"/>
  <c r="B76" i="189"/>
  <c r="D76" i="189"/>
  <c r="B77" i="189"/>
  <c r="D77" i="189"/>
  <c r="B9" i="189"/>
  <c r="C9" i="189" s="1"/>
  <c r="E9" i="189" s="1"/>
  <c r="B10" i="189"/>
  <c r="C10" i="189" s="1"/>
  <c r="E10" i="189" s="1"/>
  <c r="B11" i="189"/>
  <c r="C11" i="189" s="1"/>
  <c r="E11" i="189" s="1"/>
  <c r="B12" i="189"/>
  <c r="C12" i="189" s="1"/>
  <c r="E12" i="189" s="1"/>
  <c r="B13" i="189"/>
  <c r="C13" i="189" s="1"/>
  <c r="E13" i="189" s="1"/>
  <c r="B14" i="189"/>
  <c r="C14" i="189" s="1"/>
  <c r="E14" i="189" s="1"/>
  <c r="B15" i="189"/>
  <c r="C15" i="189" s="1"/>
  <c r="E15" i="189" s="1"/>
  <c r="B16" i="189"/>
  <c r="C16" i="189" s="1"/>
  <c r="E16" i="189" s="1"/>
  <c r="B17" i="189"/>
  <c r="C17" i="189" s="1"/>
  <c r="E17" i="189" s="1"/>
  <c r="B18" i="189"/>
  <c r="C18" i="189" s="1"/>
  <c r="E18" i="189" s="1"/>
  <c r="B19" i="189"/>
  <c r="C19" i="189" s="1"/>
  <c r="E19" i="189" s="1"/>
  <c r="B20" i="189"/>
  <c r="C20" i="189" s="1"/>
  <c r="E20" i="189" s="1"/>
  <c r="B21" i="189"/>
  <c r="C21" i="189" s="1"/>
  <c r="E21" i="189" s="1"/>
  <c r="B22" i="189"/>
  <c r="C22" i="189" s="1"/>
  <c r="E22" i="189" s="1"/>
  <c r="B23" i="189"/>
  <c r="C23" i="189" s="1"/>
  <c r="E23" i="189" s="1"/>
  <c r="B24" i="189"/>
  <c r="C24" i="189" s="1"/>
  <c r="E24" i="189" s="1"/>
  <c r="B25" i="189"/>
  <c r="C25" i="189" s="1"/>
  <c r="E25" i="189" s="1"/>
  <c r="B26" i="189"/>
  <c r="C26" i="189" s="1"/>
  <c r="E26" i="189" s="1"/>
  <c r="B27" i="189"/>
  <c r="C27" i="189" s="1"/>
  <c r="E27" i="189" s="1"/>
  <c r="B28" i="189"/>
  <c r="C28" i="189" s="1"/>
  <c r="E28" i="189" s="1"/>
  <c r="B29" i="189"/>
  <c r="C29" i="189" s="1"/>
  <c r="E29" i="189" s="1"/>
  <c r="B30" i="189"/>
  <c r="C30" i="189" s="1"/>
  <c r="E30" i="189" s="1"/>
  <c r="B31" i="189"/>
  <c r="C31" i="189" s="1"/>
  <c r="E31" i="189" s="1"/>
  <c r="B32" i="189"/>
  <c r="C32" i="189" s="1"/>
  <c r="E32" i="189" s="1"/>
  <c r="B33" i="189"/>
  <c r="C33" i="189" s="1"/>
  <c r="E33" i="189" s="1"/>
  <c r="B34" i="189"/>
  <c r="C34" i="189" s="1"/>
  <c r="E34" i="189" s="1"/>
  <c r="B35" i="189"/>
  <c r="C35" i="189" s="1"/>
  <c r="E35" i="189" s="1"/>
  <c r="D50" i="189"/>
  <c r="B50" i="189"/>
  <c r="E43" i="189"/>
  <c r="D47" i="189" s="1"/>
  <c r="E41" i="189"/>
  <c r="D46" i="189" s="1"/>
  <c r="E40" i="189"/>
  <c r="E39" i="189"/>
  <c r="D8" i="189"/>
  <c r="B8" i="189"/>
  <c r="C8" i="189" s="1"/>
  <c r="E8" i="189" s="1"/>
  <c r="B58" i="188"/>
  <c r="D58" i="188"/>
  <c r="B59" i="188"/>
  <c r="D59" i="188"/>
  <c r="B60" i="188"/>
  <c r="D60" i="188"/>
  <c r="B61" i="188"/>
  <c r="D61" i="188"/>
  <c r="B62" i="188"/>
  <c r="D62" i="188"/>
  <c r="B63" i="188"/>
  <c r="D63" i="188"/>
  <c r="B64" i="188"/>
  <c r="D64" i="188"/>
  <c r="B65" i="188"/>
  <c r="D65" i="188"/>
  <c r="B66" i="188"/>
  <c r="D66" i="188"/>
  <c r="B67" i="188"/>
  <c r="D67" i="188"/>
  <c r="B68" i="188"/>
  <c r="D68" i="188"/>
  <c r="B69" i="188"/>
  <c r="D69" i="188"/>
  <c r="B70" i="188"/>
  <c r="D70" i="188"/>
  <c r="B71" i="188"/>
  <c r="D71" i="188"/>
  <c r="B72" i="188"/>
  <c r="D72" i="188"/>
  <c r="B73" i="188"/>
  <c r="D73" i="188"/>
  <c r="B74" i="188"/>
  <c r="D74" i="188"/>
  <c r="B75" i="188"/>
  <c r="D75" i="188"/>
  <c r="B76" i="188"/>
  <c r="D76" i="188"/>
  <c r="B77" i="188"/>
  <c r="D77" i="188"/>
  <c r="B78" i="188"/>
  <c r="D78" i="188"/>
  <c r="B79" i="188"/>
  <c r="D79" i="188"/>
  <c r="B80" i="188"/>
  <c r="D80" i="188"/>
  <c r="B81" i="188"/>
  <c r="D81" i="188"/>
  <c r="B82" i="188"/>
  <c r="D82" i="188"/>
  <c r="B83" i="188"/>
  <c r="D83" i="188"/>
  <c r="B84" i="188"/>
  <c r="D84" i="188"/>
  <c r="B85" i="188"/>
  <c r="D85" i="188"/>
  <c r="B86" i="188"/>
  <c r="D86" i="188"/>
  <c r="B87" i="188"/>
  <c r="D87" i="188"/>
  <c r="B88" i="188"/>
  <c r="D88" i="188"/>
  <c r="B89" i="188"/>
  <c r="D89" i="188"/>
  <c r="B90" i="188"/>
  <c r="D90" i="188"/>
  <c r="B91" i="188"/>
  <c r="D91" i="188"/>
  <c r="B9" i="188"/>
  <c r="C9" i="188" s="1"/>
  <c r="E9" i="188" s="1"/>
  <c r="B10" i="188"/>
  <c r="C10" i="188" s="1"/>
  <c r="E10" i="188" s="1"/>
  <c r="B11" i="188"/>
  <c r="C11" i="188" s="1"/>
  <c r="E11" i="188" s="1"/>
  <c r="B12" i="188"/>
  <c r="C12" i="188" s="1"/>
  <c r="E12" i="188" s="1"/>
  <c r="B13" i="188"/>
  <c r="C13" i="188" s="1"/>
  <c r="E13" i="188" s="1"/>
  <c r="B14" i="188"/>
  <c r="C14" i="188" s="1"/>
  <c r="E14" i="188" s="1"/>
  <c r="B15" i="188"/>
  <c r="C15" i="188" s="1"/>
  <c r="E15" i="188" s="1"/>
  <c r="B16" i="188"/>
  <c r="C16" i="188" s="1"/>
  <c r="E16" i="188" s="1"/>
  <c r="B17" i="188"/>
  <c r="C17" i="188" s="1"/>
  <c r="E17" i="188" s="1"/>
  <c r="B18" i="188"/>
  <c r="C18" i="188" s="1"/>
  <c r="E18" i="188" s="1"/>
  <c r="B19" i="188"/>
  <c r="C19" i="188" s="1"/>
  <c r="E19" i="188" s="1"/>
  <c r="B20" i="188"/>
  <c r="C20" i="188" s="1"/>
  <c r="E20" i="188" s="1"/>
  <c r="B21" i="188"/>
  <c r="C21" i="188" s="1"/>
  <c r="E21" i="188" s="1"/>
  <c r="B22" i="188"/>
  <c r="C22" i="188" s="1"/>
  <c r="E22" i="188" s="1"/>
  <c r="B23" i="188"/>
  <c r="C23" i="188" s="1"/>
  <c r="E23" i="188" s="1"/>
  <c r="B24" i="188"/>
  <c r="C24" i="188" s="1"/>
  <c r="E24" i="188" s="1"/>
  <c r="B25" i="188"/>
  <c r="C25" i="188" s="1"/>
  <c r="E25" i="188" s="1"/>
  <c r="B26" i="188"/>
  <c r="C26" i="188" s="1"/>
  <c r="E26" i="188" s="1"/>
  <c r="B27" i="188"/>
  <c r="C27" i="188" s="1"/>
  <c r="E27" i="188" s="1"/>
  <c r="B28" i="188"/>
  <c r="C28" i="188" s="1"/>
  <c r="E28" i="188" s="1"/>
  <c r="B29" i="188"/>
  <c r="C29" i="188" s="1"/>
  <c r="E29" i="188" s="1"/>
  <c r="B30" i="188"/>
  <c r="C30" i="188" s="1"/>
  <c r="E30" i="188" s="1"/>
  <c r="B31" i="188"/>
  <c r="C31" i="188" s="1"/>
  <c r="E31" i="188" s="1"/>
  <c r="B32" i="188"/>
  <c r="C32" i="188" s="1"/>
  <c r="E32" i="188" s="1"/>
  <c r="B33" i="188"/>
  <c r="C33" i="188" s="1"/>
  <c r="E33" i="188" s="1"/>
  <c r="B34" i="188"/>
  <c r="C34" i="188" s="1"/>
  <c r="E34" i="188" s="1"/>
  <c r="B35" i="188"/>
  <c r="C35" i="188" s="1"/>
  <c r="E35" i="188" s="1"/>
  <c r="B36" i="188"/>
  <c r="C36" i="188" s="1"/>
  <c r="E36" i="188" s="1"/>
  <c r="B37" i="188"/>
  <c r="C37" i="188" s="1"/>
  <c r="E37" i="188" s="1"/>
  <c r="B38" i="188"/>
  <c r="C38" i="188" s="1"/>
  <c r="E38" i="188" s="1"/>
  <c r="B39" i="188"/>
  <c r="C39" i="188" s="1"/>
  <c r="E39" i="188" s="1"/>
  <c r="B40" i="188"/>
  <c r="C40" i="188" s="1"/>
  <c r="E40" i="188" s="1"/>
  <c r="B41" i="188"/>
  <c r="C41" i="188" s="1"/>
  <c r="E41" i="188" s="1"/>
  <c r="B42" i="188"/>
  <c r="C42" i="188" s="1"/>
  <c r="E42" i="188" s="1"/>
  <c r="D57" i="188"/>
  <c r="B57" i="188"/>
  <c r="E50" i="188"/>
  <c r="D54" i="188" s="1"/>
  <c r="E48" i="188"/>
  <c r="D53" i="188" s="1"/>
  <c r="E47" i="188"/>
  <c r="E46" i="188"/>
  <c r="D8" i="188"/>
  <c r="B8" i="188"/>
  <c r="C8" i="188" s="1"/>
  <c r="E8" i="188" s="1"/>
  <c r="B59" i="187"/>
  <c r="D59" i="187"/>
  <c r="B60" i="187"/>
  <c r="D60" i="187"/>
  <c r="B61" i="187"/>
  <c r="D61" i="187"/>
  <c r="B62" i="187"/>
  <c r="D62" i="187"/>
  <c r="B63" i="187"/>
  <c r="D63" i="187"/>
  <c r="B64" i="187"/>
  <c r="D64" i="187"/>
  <c r="B65" i="187"/>
  <c r="D65" i="187"/>
  <c r="B66" i="187"/>
  <c r="D66" i="187"/>
  <c r="B67" i="187"/>
  <c r="D67" i="187"/>
  <c r="B68" i="187"/>
  <c r="D68" i="187"/>
  <c r="B69" i="187"/>
  <c r="D69" i="187"/>
  <c r="B70" i="187"/>
  <c r="D70" i="187"/>
  <c r="B71" i="187"/>
  <c r="D71" i="187"/>
  <c r="B72" i="187"/>
  <c r="D72" i="187"/>
  <c r="B73" i="187"/>
  <c r="D73" i="187"/>
  <c r="B74" i="187"/>
  <c r="D74" i="187"/>
  <c r="B75" i="187"/>
  <c r="D75" i="187"/>
  <c r="B76" i="187"/>
  <c r="D76" i="187"/>
  <c r="B77" i="187"/>
  <c r="D77" i="187"/>
  <c r="B78" i="187"/>
  <c r="D78" i="187"/>
  <c r="B79" i="187"/>
  <c r="D79" i="187"/>
  <c r="B80" i="187"/>
  <c r="D80" i="187"/>
  <c r="B81" i="187"/>
  <c r="D81" i="187"/>
  <c r="B82" i="187"/>
  <c r="D82" i="187"/>
  <c r="B83" i="187"/>
  <c r="D83" i="187"/>
  <c r="B84" i="187"/>
  <c r="D84" i="187"/>
  <c r="B85" i="187"/>
  <c r="D85" i="187"/>
  <c r="B86" i="187"/>
  <c r="D86" i="187"/>
  <c r="B87" i="187"/>
  <c r="D87" i="187"/>
  <c r="B88" i="187"/>
  <c r="D88" i="187"/>
  <c r="B89" i="187"/>
  <c r="D89" i="187"/>
  <c r="B90" i="187"/>
  <c r="D90" i="187"/>
  <c r="B91" i="187"/>
  <c r="D91" i="187"/>
  <c r="B92" i="187"/>
  <c r="D92" i="187"/>
  <c r="B93" i="187"/>
  <c r="D93" i="187"/>
  <c r="B9" i="187"/>
  <c r="C9" i="187" s="1"/>
  <c r="E9" i="187" s="1"/>
  <c r="B10" i="187"/>
  <c r="C10" i="187" s="1"/>
  <c r="E10" i="187" s="1"/>
  <c r="B11" i="187"/>
  <c r="C11" i="187" s="1"/>
  <c r="E11" i="187" s="1"/>
  <c r="B12" i="187"/>
  <c r="C12" i="187" s="1"/>
  <c r="E12" i="187" s="1"/>
  <c r="B13" i="187"/>
  <c r="C13" i="187" s="1"/>
  <c r="E13" i="187" s="1"/>
  <c r="B14" i="187"/>
  <c r="C14" i="187" s="1"/>
  <c r="E14" i="187" s="1"/>
  <c r="B15" i="187"/>
  <c r="C15" i="187" s="1"/>
  <c r="E15" i="187" s="1"/>
  <c r="B16" i="187"/>
  <c r="C16" i="187" s="1"/>
  <c r="E16" i="187" s="1"/>
  <c r="B17" i="187"/>
  <c r="C17" i="187" s="1"/>
  <c r="E17" i="187" s="1"/>
  <c r="B18" i="187"/>
  <c r="C18" i="187" s="1"/>
  <c r="E18" i="187" s="1"/>
  <c r="B19" i="187"/>
  <c r="C19" i="187" s="1"/>
  <c r="E19" i="187" s="1"/>
  <c r="B20" i="187"/>
  <c r="C20" i="187" s="1"/>
  <c r="E20" i="187" s="1"/>
  <c r="B21" i="187"/>
  <c r="C21" i="187" s="1"/>
  <c r="E21" i="187" s="1"/>
  <c r="B22" i="187"/>
  <c r="C22" i="187" s="1"/>
  <c r="E22" i="187" s="1"/>
  <c r="B23" i="187"/>
  <c r="C23" i="187" s="1"/>
  <c r="E23" i="187" s="1"/>
  <c r="B24" i="187"/>
  <c r="C24" i="187" s="1"/>
  <c r="E24" i="187" s="1"/>
  <c r="B25" i="187"/>
  <c r="C25" i="187" s="1"/>
  <c r="E25" i="187" s="1"/>
  <c r="B26" i="187"/>
  <c r="C26" i="187" s="1"/>
  <c r="E26" i="187" s="1"/>
  <c r="B27" i="187"/>
  <c r="C27" i="187" s="1"/>
  <c r="E27" i="187" s="1"/>
  <c r="B28" i="187"/>
  <c r="C28" i="187" s="1"/>
  <c r="E28" i="187" s="1"/>
  <c r="B29" i="187"/>
  <c r="C29" i="187" s="1"/>
  <c r="E29" i="187" s="1"/>
  <c r="B30" i="187"/>
  <c r="C30" i="187" s="1"/>
  <c r="E30" i="187" s="1"/>
  <c r="B31" i="187"/>
  <c r="C31" i="187" s="1"/>
  <c r="E31" i="187" s="1"/>
  <c r="B32" i="187"/>
  <c r="C32" i="187" s="1"/>
  <c r="E32" i="187" s="1"/>
  <c r="B33" i="187"/>
  <c r="C33" i="187" s="1"/>
  <c r="E33" i="187" s="1"/>
  <c r="B34" i="187"/>
  <c r="C34" i="187" s="1"/>
  <c r="E34" i="187" s="1"/>
  <c r="B35" i="187"/>
  <c r="C35" i="187" s="1"/>
  <c r="E35" i="187" s="1"/>
  <c r="B36" i="187"/>
  <c r="C36" i="187" s="1"/>
  <c r="E36" i="187" s="1"/>
  <c r="B37" i="187"/>
  <c r="C37" i="187" s="1"/>
  <c r="E37" i="187" s="1"/>
  <c r="B38" i="187"/>
  <c r="C38" i="187" s="1"/>
  <c r="E38" i="187" s="1"/>
  <c r="B39" i="187"/>
  <c r="C39" i="187" s="1"/>
  <c r="E39" i="187" s="1"/>
  <c r="B40" i="187"/>
  <c r="C40" i="187" s="1"/>
  <c r="E40" i="187" s="1"/>
  <c r="B41" i="187"/>
  <c r="C41" i="187" s="1"/>
  <c r="E41" i="187" s="1"/>
  <c r="B42" i="187"/>
  <c r="C42" i="187" s="1"/>
  <c r="E42" i="187" s="1"/>
  <c r="B43" i="187"/>
  <c r="C43" i="187" s="1"/>
  <c r="E43" i="187" s="1"/>
  <c r="D58" i="187"/>
  <c r="B58" i="187"/>
  <c r="E51" i="187"/>
  <c r="D55" i="187" s="1"/>
  <c r="E49" i="187"/>
  <c r="D54" i="187" s="1"/>
  <c r="E48" i="187"/>
  <c r="E47" i="187"/>
  <c r="D8" i="187"/>
  <c r="B8" i="187"/>
  <c r="C8" i="187" s="1"/>
  <c r="E8" i="187" s="1"/>
  <c r="B52" i="186"/>
  <c r="D52" i="186"/>
  <c r="B53" i="186"/>
  <c r="D53" i="186"/>
  <c r="B54" i="186"/>
  <c r="D54" i="186"/>
  <c r="B55" i="186"/>
  <c r="D55" i="186"/>
  <c r="B56" i="186"/>
  <c r="D56" i="186"/>
  <c r="B57" i="186"/>
  <c r="D57" i="186"/>
  <c r="B58" i="186"/>
  <c r="D58" i="186"/>
  <c r="B59" i="186"/>
  <c r="D59" i="186"/>
  <c r="B60" i="186"/>
  <c r="D60" i="186"/>
  <c r="B61" i="186"/>
  <c r="D61" i="186"/>
  <c r="B62" i="186"/>
  <c r="D62" i="186"/>
  <c r="B63" i="186"/>
  <c r="D63" i="186"/>
  <c r="B64" i="186"/>
  <c r="D64" i="186"/>
  <c r="B65" i="186"/>
  <c r="D65" i="186"/>
  <c r="B66" i="186"/>
  <c r="D66" i="186"/>
  <c r="B67" i="186"/>
  <c r="D67" i="186"/>
  <c r="B68" i="186"/>
  <c r="D68" i="186"/>
  <c r="B69" i="186"/>
  <c r="D69" i="186"/>
  <c r="B70" i="186"/>
  <c r="D70" i="186"/>
  <c r="B71" i="186"/>
  <c r="D71" i="186"/>
  <c r="B72" i="186"/>
  <c r="D72" i="186"/>
  <c r="B73" i="186"/>
  <c r="D73" i="186"/>
  <c r="B74" i="186"/>
  <c r="D74" i="186"/>
  <c r="B75" i="186"/>
  <c r="D75" i="186"/>
  <c r="B76" i="186"/>
  <c r="D76" i="186"/>
  <c r="B77" i="186"/>
  <c r="D77" i="186"/>
  <c r="B78" i="186"/>
  <c r="D78" i="186"/>
  <c r="B79" i="186"/>
  <c r="D79" i="186"/>
  <c r="B9" i="186"/>
  <c r="C9" i="186" s="1"/>
  <c r="E9" i="186" s="1"/>
  <c r="B10" i="186"/>
  <c r="C10" i="186" s="1"/>
  <c r="E10" i="186" s="1"/>
  <c r="B11" i="186"/>
  <c r="C11" i="186" s="1"/>
  <c r="E11" i="186" s="1"/>
  <c r="B12" i="186"/>
  <c r="C12" i="186" s="1"/>
  <c r="E12" i="186" s="1"/>
  <c r="B13" i="186"/>
  <c r="C13" i="186" s="1"/>
  <c r="E13" i="186" s="1"/>
  <c r="B14" i="186"/>
  <c r="C14" i="186" s="1"/>
  <c r="E14" i="186" s="1"/>
  <c r="B15" i="186"/>
  <c r="C15" i="186" s="1"/>
  <c r="E15" i="186" s="1"/>
  <c r="B16" i="186"/>
  <c r="C16" i="186" s="1"/>
  <c r="E16" i="186" s="1"/>
  <c r="B17" i="186"/>
  <c r="C17" i="186" s="1"/>
  <c r="E17" i="186" s="1"/>
  <c r="B18" i="186"/>
  <c r="C18" i="186" s="1"/>
  <c r="E18" i="186" s="1"/>
  <c r="B19" i="186"/>
  <c r="C19" i="186" s="1"/>
  <c r="E19" i="186" s="1"/>
  <c r="B20" i="186"/>
  <c r="C20" i="186" s="1"/>
  <c r="E20" i="186" s="1"/>
  <c r="B21" i="186"/>
  <c r="C21" i="186" s="1"/>
  <c r="E21" i="186" s="1"/>
  <c r="B22" i="186"/>
  <c r="C22" i="186" s="1"/>
  <c r="E22" i="186" s="1"/>
  <c r="B23" i="186"/>
  <c r="C23" i="186" s="1"/>
  <c r="E23" i="186" s="1"/>
  <c r="B24" i="186"/>
  <c r="C24" i="186" s="1"/>
  <c r="E24" i="186" s="1"/>
  <c r="B25" i="186"/>
  <c r="C25" i="186" s="1"/>
  <c r="E25" i="186" s="1"/>
  <c r="B26" i="186"/>
  <c r="C26" i="186" s="1"/>
  <c r="E26" i="186" s="1"/>
  <c r="B27" i="186"/>
  <c r="C27" i="186" s="1"/>
  <c r="E27" i="186" s="1"/>
  <c r="B28" i="186"/>
  <c r="C28" i="186" s="1"/>
  <c r="E28" i="186" s="1"/>
  <c r="B29" i="186"/>
  <c r="C29" i="186" s="1"/>
  <c r="E29" i="186" s="1"/>
  <c r="B30" i="186"/>
  <c r="C30" i="186" s="1"/>
  <c r="E30" i="186" s="1"/>
  <c r="B31" i="186"/>
  <c r="C31" i="186" s="1"/>
  <c r="E31" i="186" s="1"/>
  <c r="B32" i="186"/>
  <c r="C32" i="186" s="1"/>
  <c r="E32" i="186" s="1"/>
  <c r="B33" i="186"/>
  <c r="C33" i="186" s="1"/>
  <c r="E33" i="186" s="1"/>
  <c r="B34" i="186"/>
  <c r="C34" i="186" s="1"/>
  <c r="E34" i="186" s="1"/>
  <c r="B35" i="186"/>
  <c r="C35" i="186" s="1"/>
  <c r="E35" i="186" s="1"/>
  <c r="B36" i="186"/>
  <c r="C36" i="186" s="1"/>
  <c r="E36" i="186" s="1"/>
  <c r="D51" i="186"/>
  <c r="B51" i="186"/>
  <c r="E44" i="186"/>
  <c r="D48" i="186" s="1"/>
  <c r="E42" i="186"/>
  <c r="D47" i="186" s="1"/>
  <c r="E41" i="186"/>
  <c r="E40" i="186"/>
  <c r="D8" i="186"/>
  <c r="B8" i="186"/>
  <c r="C8" i="186" s="1"/>
  <c r="E8" i="186" s="1"/>
  <c r="F80" i="226" l="1"/>
  <c r="G80" i="226" s="1"/>
  <c r="C81" i="226"/>
  <c r="B82" i="226"/>
  <c r="A83" i="226"/>
  <c r="R35" i="202"/>
  <c r="Q35" i="202"/>
  <c r="R11" i="202"/>
  <c r="Q11" i="202"/>
  <c r="R25" i="202"/>
  <c r="Q25" i="202"/>
  <c r="R34" i="202"/>
  <c r="Q34" i="202"/>
  <c r="Q28" i="202"/>
  <c r="R28" i="202"/>
  <c r="R22" i="202"/>
  <c r="Q22" i="202"/>
  <c r="R16" i="202"/>
  <c r="Q16" i="202"/>
  <c r="R10" i="202"/>
  <c r="Q10" i="202"/>
  <c r="R29" i="202"/>
  <c r="Q29" i="202"/>
  <c r="R33" i="202"/>
  <c r="Q33" i="202"/>
  <c r="R27" i="202"/>
  <c r="Q27" i="202"/>
  <c r="R21" i="202"/>
  <c r="Q21" i="202"/>
  <c r="R15" i="202"/>
  <c r="Q15" i="202"/>
  <c r="R9" i="202"/>
  <c r="Q9" i="202"/>
  <c r="R23" i="202"/>
  <c r="Q23" i="202"/>
  <c r="Q32" i="202"/>
  <c r="R32" i="202"/>
  <c r="R26" i="202"/>
  <c r="Q26" i="202"/>
  <c r="Q20" i="202"/>
  <c r="R20" i="202"/>
  <c r="R14" i="202"/>
  <c r="Q14" i="202"/>
  <c r="R17" i="202"/>
  <c r="Q17" i="202"/>
  <c r="R31" i="202"/>
  <c r="Q31" i="202"/>
  <c r="R13" i="202"/>
  <c r="Q13" i="202"/>
  <c r="R19" i="202"/>
  <c r="Q19" i="202"/>
  <c r="R36" i="202"/>
  <c r="Q36" i="202"/>
  <c r="R30" i="202"/>
  <c r="Q30" i="202"/>
  <c r="Q24" i="202"/>
  <c r="R24" i="202"/>
  <c r="R18" i="202"/>
  <c r="Q18" i="202"/>
  <c r="Q12" i="202"/>
  <c r="R12" i="202"/>
  <c r="R8" i="202"/>
  <c r="Q8" i="202"/>
  <c r="L180" i="220"/>
  <c r="L127" i="220"/>
  <c r="L122" i="220"/>
  <c r="L135" i="220"/>
  <c r="L132" i="220"/>
  <c r="L168" i="220"/>
  <c r="L164" i="220"/>
  <c r="L152" i="220"/>
  <c r="L133" i="220"/>
  <c r="L74" i="220"/>
  <c r="L71" i="220"/>
  <c r="L100" i="220"/>
  <c r="L26" i="220"/>
  <c r="L76" i="220"/>
  <c r="L56" i="220"/>
  <c r="L37" i="220"/>
  <c r="L14" i="220"/>
  <c r="L103" i="220"/>
  <c r="L70" i="220"/>
  <c r="L66" i="220"/>
  <c r="L39" i="220"/>
  <c r="L11" i="220"/>
  <c r="L23" i="220"/>
  <c r="L13" i="220"/>
  <c r="L46" i="220"/>
  <c r="L55" i="220"/>
  <c r="L96" i="220"/>
  <c r="L42" i="220"/>
  <c r="L95" i="220"/>
  <c r="L9" i="220"/>
  <c r="L91" i="220"/>
  <c r="L28" i="220"/>
  <c r="L57" i="220"/>
  <c r="L52" i="220"/>
  <c r="L47" i="220"/>
  <c r="L41" i="220"/>
  <c r="L81" i="220"/>
  <c r="L86" i="220"/>
  <c r="L18" i="220"/>
  <c r="L44" i="220"/>
  <c r="L84" i="220"/>
  <c r="L54" i="220"/>
  <c r="L35" i="220"/>
  <c r="L61" i="220"/>
  <c r="L104" i="220"/>
  <c r="L19" i="220"/>
  <c r="L40" i="220"/>
  <c r="L87" i="220"/>
  <c r="L77" i="220"/>
  <c r="L85" i="220"/>
  <c r="L79" i="220"/>
  <c r="L33" i="220"/>
  <c r="L60" i="220"/>
  <c r="L27" i="220"/>
  <c r="L21" i="220"/>
  <c r="L32" i="220"/>
  <c r="L94" i="220"/>
  <c r="L89" i="220"/>
  <c r="L49" i="220"/>
  <c r="L43" i="220"/>
  <c r="L68" i="220"/>
  <c r="L90" i="220"/>
  <c r="L34" i="220"/>
  <c r="L98" i="220"/>
  <c r="L78" i="220"/>
  <c r="L80" i="220"/>
  <c r="L30" i="220"/>
  <c r="L53" i="220"/>
  <c r="L72" i="220"/>
  <c r="L48" i="220"/>
  <c r="L45" i="220"/>
  <c r="L51" i="220"/>
  <c r="L97" i="220"/>
  <c r="L31" i="220"/>
  <c r="L50" i="220"/>
  <c r="L24" i="220"/>
  <c r="L99" i="220"/>
  <c r="L65" i="220"/>
  <c r="L93" i="220"/>
  <c r="L88" i="220"/>
  <c r="L101" i="220"/>
  <c r="L75" i="220"/>
  <c r="L38" i="220"/>
  <c r="L62" i="220"/>
  <c r="L73" i="220"/>
  <c r="L20" i="220"/>
  <c r="L12" i="220"/>
  <c r="L64" i="220"/>
  <c r="L83" i="220"/>
  <c r="L82" i="220"/>
  <c r="L59" i="220"/>
  <c r="L29" i="220"/>
  <c r="L15" i="220"/>
  <c r="L17" i="220"/>
  <c r="L22" i="220"/>
  <c r="L69" i="220"/>
  <c r="L25" i="220"/>
  <c r="L63" i="220"/>
  <c r="L67" i="220"/>
  <c r="L58" i="220"/>
  <c r="L92" i="220"/>
  <c r="L10" i="220"/>
  <c r="L102" i="220"/>
  <c r="L16" i="220"/>
  <c r="L8" i="220"/>
  <c r="H196" i="220"/>
  <c r="K196" i="220" s="1"/>
  <c r="H209" i="220"/>
  <c r="K209" i="220" s="1"/>
  <c r="H170" i="220"/>
  <c r="K170" i="220" s="1"/>
  <c r="H146" i="220"/>
  <c r="K146" i="220" s="1"/>
  <c r="H171" i="220"/>
  <c r="K171" i="220" s="1"/>
  <c r="H181" i="220"/>
  <c r="K181" i="220" s="1"/>
  <c r="H172" i="220"/>
  <c r="K172" i="220" s="1"/>
  <c r="C72" i="207"/>
  <c r="F50" i="196"/>
  <c r="G50" i="196"/>
  <c r="F11" i="202"/>
  <c r="H11" i="202" s="1"/>
  <c r="L11" i="202" s="1"/>
  <c r="H216" i="220"/>
  <c r="K216" i="220" s="1"/>
  <c r="H142" i="220"/>
  <c r="K142" i="220" s="1"/>
  <c r="H213" i="220"/>
  <c r="K213" i="220" s="1"/>
  <c r="H148" i="220"/>
  <c r="K148" i="220" s="1"/>
  <c r="H167" i="220"/>
  <c r="K167" i="220" s="1"/>
  <c r="L105" i="220"/>
  <c r="G3" i="220"/>
  <c r="G4" i="220" s="1"/>
  <c r="L36" i="220"/>
  <c r="F10" i="211"/>
  <c r="H10" i="211" s="1"/>
  <c r="F61" i="195"/>
  <c r="C82" i="187"/>
  <c r="F10" i="187"/>
  <c r="H10" i="187" s="1"/>
  <c r="C94" i="209"/>
  <c r="F11" i="209"/>
  <c r="H11" i="209" s="1"/>
  <c r="H203" i="220"/>
  <c r="K203" i="220" s="1"/>
  <c r="H160" i="220"/>
  <c r="K160" i="220" s="1"/>
  <c r="H158" i="220"/>
  <c r="K158" i="220" s="1"/>
  <c r="C94" i="193"/>
  <c r="C60" i="200"/>
  <c r="E60" i="200" s="1"/>
  <c r="C90" i="209"/>
  <c r="C78" i="209"/>
  <c r="C66" i="209"/>
  <c r="F11" i="213"/>
  <c r="C64" i="199"/>
  <c r="G68" i="207"/>
  <c r="G57" i="200"/>
  <c r="C81" i="195"/>
  <c r="E81" i="195" s="1"/>
  <c r="F53" i="198"/>
  <c r="C42" i="203"/>
  <c r="G69" i="198"/>
  <c r="G39" i="213"/>
  <c r="C56" i="192"/>
  <c r="C78" i="193"/>
  <c r="F11" i="194"/>
  <c r="H11" i="194" s="1"/>
  <c r="C92" i="209"/>
  <c r="E92" i="209" s="1"/>
  <c r="C86" i="209"/>
  <c r="F57" i="188"/>
  <c r="F60" i="190"/>
  <c r="C88" i="209"/>
  <c r="E88" i="209" s="1"/>
  <c r="C70" i="209"/>
  <c r="E70" i="209" s="1"/>
  <c r="C96" i="193"/>
  <c r="C80" i="209"/>
  <c r="C62" i="209"/>
  <c r="G59" i="209"/>
  <c r="C80" i="193"/>
  <c r="F56" i="199"/>
  <c r="F51" i="201"/>
  <c r="F55" i="208"/>
  <c r="G51" i="201"/>
  <c r="C39" i="204"/>
  <c r="E39" i="204" s="1"/>
  <c r="C73" i="205"/>
  <c r="E73" i="205" s="1"/>
  <c r="H163" i="220"/>
  <c r="K163" i="220" s="1"/>
  <c r="H134" i="220"/>
  <c r="K134" i="220" s="1"/>
  <c r="G48" i="191"/>
  <c r="C69" i="198"/>
  <c r="G51" i="202"/>
  <c r="C63" i="208"/>
  <c r="C80" i="211"/>
  <c r="C41" i="214"/>
  <c r="H215" i="220"/>
  <c r="K215" i="220" s="1"/>
  <c r="H198" i="220"/>
  <c r="K198" i="220" s="1"/>
  <c r="H178" i="220"/>
  <c r="K178" i="220" s="1"/>
  <c r="H139" i="220"/>
  <c r="K139" i="220" s="1"/>
  <c r="G42" i="204"/>
  <c r="C45" i="214"/>
  <c r="E45" i="214" s="1"/>
  <c r="C52" i="189"/>
  <c r="E52" i="189" s="1"/>
  <c r="C55" i="186"/>
  <c r="F58" i="187"/>
  <c r="C86" i="188"/>
  <c r="G68" i="190"/>
  <c r="C52" i="191"/>
  <c r="G61" i="195"/>
  <c r="C81" i="198"/>
  <c r="E81" i="198" s="1"/>
  <c r="C56" i="201"/>
  <c r="E56" i="201" s="1"/>
  <c r="G40" i="203"/>
  <c r="C37" i="204"/>
  <c r="C43" i="204"/>
  <c r="C59" i="205"/>
  <c r="G55" i="208"/>
  <c r="C61" i="209"/>
  <c r="F56" i="211"/>
  <c r="C45" i="213"/>
  <c r="E45" i="213" s="1"/>
  <c r="H185" i="220"/>
  <c r="K185" i="220" s="1"/>
  <c r="G54" i="192"/>
  <c r="G58" i="197"/>
  <c r="G56" i="211"/>
  <c r="C88" i="211"/>
  <c r="E88" i="211" s="1"/>
  <c r="G34" i="214"/>
  <c r="H201" i="220"/>
  <c r="K201" i="220" s="1"/>
  <c r="H197" i="220"/>
  <c r="K197" i="220" s="1"/>
  <c r="H157" i="220"/>
  <c r="K157" i="220" s="1"/>
  <c r="F9" i="214"/>
  <c r="H9" i="214" s="1"/>
  <c r="H187" i="220"/>
  <c r="K187" i="220" s="1"/>
  <c r="H184" i="220"/>
  <c r="K184" i="220" s="1"/>
  <c r="H204" i="220"/>
  <c r="K204" i="220" s="1"/>
  <c r="H130" i="220"/>
  <c r="K130" i="220" s="1"/>
  <c r="H199" i="220"/>
  <c r="K199" i="220" s="1"/>
  <c r="H140" i="220"/>
  <c r="K140" i="220" s="1"/>
  <c r="H173" i="220"/>
  <c r="K173" i="220" s="1"/>
  <c r="H151" i="220"/>
  <c r="K151" i="220" s="1"/>
  <c r="H153" i="220"/>
  <c r="K153" i="220" s="1"/>
  <c r="H125" i="220"/>
  <c r="K125" i="220" s="1"/>
  <c r="H149" i="220"/>
  <c r="K149" i="220" s="1"/>
  <c r="H182" i="220"/>
  <c r="K182" i="220" s="1"/>
  <c r="H217" i="220"/>
  <c r="K217" i="220" s="1"/>
  <c r="H143" i="220"/>
  <c r="K143" i="220" s="1"/>
  <c r="H131" i="220"/>
  <c r="K131" i="220" s="1"/>
  <c r="H195" i="220"/>
  <c r="K195" i="220" s="1"/>
  <c r="H124" i="220"/>
  <c r="K124" i="220" s="1"/>
  <c r="H136" i="220"/>
  <c r="K136" i="220" s="1"/>
  <c r="H210" i="220"/>
  <c r="K210" i="220" s="1"/>
  <c r="H156" i="220"/>
  <c r="K156" i="220" s="1"/>
  <c r="H214" i="220"/>
  <c r="K214" i="220" s="1"/>
  <c r="H155" i="220"/>
  <c r="K155" i="220" s="1"/>
  <c r="H194" i="220"/>
  <c r="K194" i="220" s="1"/>
  <c r="H208" i="220"/>
  <c r="K208" i="220" s="1"/>
  <c r="H121" i="220"/>
  <c r="K121" i="220" s="1"/>
  <c r="H162" i="220"/>
  <c r="K162" i="220" s="1"/>
  <c r="H159" i="220"/>
  <c r="K159" i="220" s="1"/>
  <c r="H188" i="220"/>
  <c r="K188" i="220" s="1"/>
  <c r="H176" i="220"/>
  <c r="K176" i="220" s="1"/>
  <c r="H137" i="220"/>
  <c r="K137" i="220" s="1"/>
  <c r="H169" i="220"/>
  <c r="K169" i="220" s="1"/>
  <c r="H205" i="220"/>
  <c r="K205" i="220" s="1"/>
  <c r="H193" i="220"/>
  <c r="K193" i="220" s="1"/>
  <c r="H165" i="220"/>
  <c r="K165" i="220" s="1"/>
  <c r="H183" i="220"/>
  <c r="K183" i="220" s="1"/>
  <c r="H154" i="220"/>
  <c r="K154" i="220" s="1"/>
  <c r="H211" i="220"/>
  <c r="K211" i="220" s="1"/>
  <c r="H147" i="220"/>
  <c r="K147" i="220" s="1"/>
  <c r="H186" i="220"/>
  <c r="K186" i="220" s="1"/>
  <c r="H123" i="220"/>
  <c r="K123" i="220" s="1"/>
  <c r="H120" i="220"/>
  <c r="K120" i="220" s="1"/>
  <c r="H150" i="220"/>
  <c r="K150" i="220" s="1"/>
  <c r="H189" i="220"/>
  <c r="K189" i="220" s="1"/>
  <c r="H207" i="220"/>
  <c r="K207" i="220" s="1"/>
  <c r="H175" i="220"/>
  <c r="K175" i="220" s="1"/>
  <c r="H179" i="220"/>
  <c r="K179" i="220" s="1"/>
  <c r="H174" i="220"/>
  <c r="K174" i="220" s="1"/>
  <c r="H161" i="220"/>
  <c r="K161" i="220" s="1"/>
  <c r="H129" i="220"/>
  <c r="K129" i="220" s="1"/>
  <c r="H192" i="220"/>
  <c r="K192" i="220" s="1"/>
  <c r="H190" i="220"/>
  <c r="K190" i="220" s="1"/>
  <c r="H144" i="220"/>
  <c r="K144" i="220" s="1"/>
  <c r="H141" i="220"/>
  <c r="K141" i="220" s="1"/>
  <c r="H206" i="220"/>
  <c r="K206" i="220" s="1"/>
  <c r="H128" i="220"/>
  <c r="K128" i="220" s="1"/>
  <c r="H191" i="220"/>
  <c r="K191" i="220" s="1"/>
  <c r="H138" i="220"/>
  <c r="K138" i="220" s="1"/>
  <c r="H202" i="220"/>
  <c r="K202" i="220" s="1"/>
  <c r="H166" i="220"/>
  <c r="K166" i="220" s="1"/>
  <c r="H145" i="220"/>
  <c r="K145" i="220" s="1"/>
  <c r="H200" i="220"/>
  <c r="K200" i="220" s="1"/>
  <c r="H177" i="220"/>
  <c r="K177" i="220" s="1"/>
  <c r="H126" i="220"/>
  <c r="K126" i="220" s="1"/>
  <c r="H212" i="220"/>
  <c r="K212" i="220" s="1"/>
  <c r="F11" i="208"/>
  <c r="E80" i="211"/>
  <c r="E41" i="214"/>
  <c r="F14" i="214"/>
  <c r="G37" i="214"/>
  <c r="F15" i="214"/>
  <c r="C39" i="214"/>
  <c r="E39" i="214" s="1"/>
  <c r="G35" i="214"/>
  <c r="F18" i="214"/>
  <c r="F10" i="214"/>
  <c r="C37" i="214"/>
  <c r="E37" i="214" s="1"/>
  <c r="F19" i="214"/>
  <c r="F11" i="214"/>
  <c r="H11" i="214" s="1"/>
  <c r="C44" i="214"/>
  <c r="E44" i="214" s="1"/>
  <c r="F34" i="214"/>
  <c r="F43" i="214"/>
  <c r="F44" i="214"/>
  <c r="F45" i="214"/>
  <c r="F35" i="214"/>
  <c r="F37" i="214"/>
  <c r="F36" i="214"/>
  <c r="F38" i="214"/>
  <c r="F39" i="214"/>
  <c r="F40" i="214"/>
  <c r="F41" i="214"/>
  <c r="F42" i="214"/>
  <c r="F16" i="214"/>
  <c r="F12" i="214"/>
  <c r="G45" i="214"/>
  <c r="G43" i="214"/>
  <c r="C43" i="214"/>
  <c r="E43" i="214" s="1"/>
  <c r="C42" i="214"/>
  <c r="E42" i="214" s="1"/>
  <c r="C40" i="214"/>
  <c r="E40" i="214" s="1"/>
  <c r="C34" i="214"/>
  <c r="E34" i="214" s="1"/>
  <c r="F17" i="214"/>
  <c r="F13" i="214"/>
  <c r="G41" i="214"/>
  <c r="G39" i="214"/>
  <c r="C38" i="214"/>
  <c r="E38" i="214" s="1"/>
  <c r="C36" i="214"/>
  <c r="E36" i="214" s="1"/>
  <c r="C35" i="214"/>
  <c r="E35" i="214" s="1"/>
  <c r="G44" i="214"/>
  <c r="G40" i="214"/>
  <c r="G36" i="214"/>
  <c r="G42" i="214"/>
  <c r="G38" i="214"/>
  <c r="F8" i="214"/>
  <c r="F20" i="213"/>
  <c r="C38" i="213"/>
  <c r="E38" i="213" s="1"/>
  <c r="C53" i="213"/>
  <c r="E53" i="213" s="1"/>
  <c r="F16" i="213"/>
  <c r="F12" i="213"/>
  <c r="C49" i="213"/>
  <c r="E49" i="213" s="1"/>
  <c r="C43" i="213"/>
  <c r="E43" i="213" s="1"/>
  <c r="C41" i="213"/>
  <c r="E41" i="213" s="1"/>
  <c r="F21" i="213"/>
  <c r="F17" i="213"/>
  <c r="F13" i="213"/>
  <c r="F9" i="213"/>
  <c r="C51" i="213"/>
  <c r="E51" i="213" s="1"/>
  <c r="C52" i="213"/>
  <c r="E52" i="213" s="1"/>
  <c r="F22" i="213"/>
  <c r="F18" i="213"/>
  <c r="F14" i="213"/>
  <c r="F10" i="213"/>
  <c r="G38" i="213"/>
  <c r="G41" i="213"/>
  <c r="F23" i="213"/>
  <c r="F19" i="213"/>
  <c r="F15" i="213"/>
  <c r="F38" i="213"/>
  <c r="F47" i="213"/>
  <c r="F48" i="213"/>
  <c r="F49" i="213"/>
  <c r="F50" i="213"/>
  <c r="F51" i="213"/>
  <c r="F52" i="213"/>
  <c r="F53" i="213"/>
  <c r="F43" i="213"/>
  <c r="F45" i="213"/>
  <c r="F39" i="213"/>
  <c r="F40" i="213"/>
  <c r="F41" i="213"/>
  <c r="F42" i="213"/>
  <c r="F44" i="213"/>
  <c r="F46" i="213"/>
  <c r="G53" i="213"/>
  <c r="G51" i="213"/>
  <c r="C50" i="213"/>
  <c r="E50" i="213" s="1"/>
  <c r="C48" i="213"/>
  <c r="E48" i="213" s="1"/>
  <c r="G49" i="213"/>
  <c r="G47" i="213"/>
  <c r="C47" i="213"/>
  <c r="E47" i="213" s="1"/>
  <c r="C46" i="213"/>
  <c r="E46" i="213" s="1"/>
  <c r="C44" i="213"/>
  <c r="E44" i="213" s="1"/>
  <c r="G45" i="213"/>
  <c r="G43" i="213"/>
  <c r="C42" i="213"/>
  <c r="E42" i="213" s="1"/>
  <c r="C40" i="213"/>
  <c r="E40" i="213" s="1"/>
  <c r="C39" i="213"/>
  <c r="E39" i="213" s="1"/>
  <c r="G52" i="213"/>
  <c r="G48" i="213"/>
  <c r="G44" i="213"/>
  <c r="G40" i="213"/>
  <c r="G50" i="213"/>
  <c r="G46" i="213"/>
  <c r="G42" i="213"/>
  <c r="F8" i="213"/>
  <c r="C74" i="211"/>
  <c r="E74" i="211" s="1"/>
  <c r="C72" i="211"/>
  <c r="E72" i="211" s="1"/>
  <c r="F36" i="211"/>
  <c r="F20" i="211"/>
  <c r="F85" i="211"/>
  <c r="F84" i="211"/>
  <c r="F83" i="211"/>
  <c r="F82" i="211"/>
  <c r="G80" i="211"/>
  <c r="G78" i="211"/>
  <c r="C78" i="211"/>
  <c r="E78" i="211" s="1"/>
  <c r="C77" i="211"/>
  <c r="E77" i="211" s="1"/>
  <c r="C76" i="211"/>
  <c r="E76" i="211" s="1"/>
  <c r="C75" i="211"/>
  <c r="E75" i="211" s="1"/>
  <c r="C69" i="211"/>
  <c r="E69" i="211" s="1"/>
  <c r="C68" i="211"/>
  <c r="E68" i="211" s="1"/>
  <c r="C67" i="211"/>
  <c r="E67" i="211" s="1"/>
  <c r="F65" i="211"/>
  <c r="F64" i="211"/>
  <c r="F63" i="211"/>
  <c r="C61" i="211"/>
  <c r="E61" i="211" s="1"/>
  <c r="C60" i="211"/>
  <c r="E60" i="211" s="1"/>
  <c r="C59" i="211"/>
  <c r="E59" i="211" s="1"/>
  <c r="G57" i="211"/>
  <c r="F32" i="211"/>
  <c r="F16" i="211"/>
  <c r="C89" i="211"/>
  <c r="E89" i="211" s="1"/>
  <c r="C87" i="211"/>
  <c r="E87" i="211" s="1"/>
  <c r="F81" i="211"/>
  <c r="F80" i="211"/>
  <c r="F79" i="211"/>
  <c r="F78" i="211"/>
  <c r="G76" i="211"/>
  <c r="G74" i="211"/>
  <c r="C73" i="211"/>
  <c r="E73" i="211" s="1"/>
  <c r="C71" i="211"/>
  <c r="E71" i="211" s="1"/>
  <c r="C70" i="211"/>
  <c r="E70" i="211" s="1"/>
  <c r="G68" i="211"/>
  <c r="F66" i="211"/>
  <c r="C62" i="211"/>
  <c r="E62" i="211" s="1"/>
  <c r="G60" i="211"/>
  <c r="F58" i="211"/>
  <c r="F57" i="211"/>
  <c r="F28" i="211"/>
  <c r="H28" i="211" s="1"/>
  <c r="F12" i="211"/>
  <c r="G88" i="211"/>
  <c r="G86" i="211"/>
  <c r="C86" i="211"/>
  <c r="E86" i="211" s="1"/>
  <c r="C85" i="211"/>
  <c r="E85" i="211" s="1"/>
  <c r="C84" i="211"/>
  <c r="E84" i="211" s="1"/>
  <c r="C83" i="211"/>
  <c r="E83" i="211" s="1"/>
  <c r="F77" i="211"/>
  <c r="F76" i="211"/>
  <c r="F75" i="211"/>
  <c r="F74" i="211"/>
  <c r="G72" i="211"/>
  <c r="G70" i="211"/>
  <c r="F69" i="211"/>
  <c r="F68" i="211"/>
  <c r="F67" i="211"/>
  <c r="C65" i="211"/>
  <c r="E65" i="211" s="1"/>
  <c r="C64" i="211"/>
  <c r="E64" i="211" s="1"/>
  <c r="C63" i="211"/>
  <c r="E63" i="211" s="1"/>
  <c r="F61" i="211"/>
  <c r="F60" i="211"/>
  <c r="F59" i="211"/>
  <c r="F40" i="211"/>
  <c r="F24" i="211"/>
  <c r="F89" i="211"/>
  <c r="F88" i="211"/>
  <c r="F87" i="211"/>
  <c r="F86" i="211"/>
  <c r="G84" i="211"/>
  <c r="G82" i="211"/>
  <c r="C82" i="211"/>
  <c r="E82" i="211" s="1"/>
  <c r="C81" i="211"/>
  <c r="E81" i="211" s="1"/>
  <c r="C79" i="211"/>
  <c r="E79" i="211" s="1"/>
  <c r="F73" i="211"/>
  <c r="F72" i="211"/>
  <c r="F71" i="211"/>
  <c r="F70" i="211"/>
  <c r="C66" i="211"/>
  <c r="E66" i="211" s="1"/>
  <c r="G64" i="211"/>
  <c r="F62" i="211"/>
  <c r="C58" i="211"/>
  <c r="E58" i="211" s="1"/>
  <c r="C57" i="211"/>
  <c r="E57" i="211" s="1"/>
  <c r="G87" i="211"/>
  <c r="G83" i="211"/>
  <c r="G79" i="211"/>
  <c r="G75" i="211"/>
  <c r="G71" i="211"/>
  <c r="G67" i="211"/>
  <c r="G63" i="211"/>
  <c r="G59" i="211"/>
  <c r="G66" i="211"/>
  <c r="G62" i="211"/>
  <c r="G58" i="211"/>
  <c r="G89" i="211"/>
  <c r="G85" i="211"/>
  <c r="G81" i="211"/>
  <c r="G77" i="211"/>
  <c r="G73" i="211"/>
  <c r="G69" i="211"/>
  <c r="G65" i="211"/>
  <c r="G61" i="211"/>
  <c r="F41" i="211"/>
  <c r="F37" i="211"/>
  <c r="F33" i="211"/>
  <c r="F29" i="211"/>
  <c r="F25" i="211"/>
  <c r="F21" i="211"/>
  <c r="F17" i="211"/>
  <c r="F13" i="211"/>
  <c r="F9" i="211"/>
  <c r="F38" i="211"/>
  <c r="F34" i="211"/>
  <c r="F30" i="211"/>
  <c r="F26" i="211"/>
  <c r="F22" i="211"/>
  <c r="F18" i="211"/>
  <c r="F14" i="211"/>
  <c r="F8" i="211"/>
  <c r="C56" i="211"/>
  <c r="E56" i="211" s="1"/>
  <c r="F39" i="211"/>
  <c r="F35" i="211"/>
  <c r="F31" i="211"/>
  <c r="F27" i="211"/>
  <c r="F23" i="211"/>
  <c r="F19" i="211"/>
  <c r="F15" i="211"/>
  <c r="F11" i="211"/>
  <c r="F11" i="207"/>
  <c r="F42" i="209"/>
  <c r="F24" i="209"/>
  <c r="F34" i="209"/>
  <c r="F16" i="209"/>
  <c r="F20" i="209"/>
  <c r="F26" i="209"/>
  <c r="F12" i="209"/>
  <c r="E90" i="209"/>
  <c r="E86" i="209"/>
  <c r="E80" i="209"/>
  <c r="E78" i="209"/>
  <c r="E66" i="209"/>
  <c r="E62" i="209"/>
  <c r="C93" i="209"/>
  <c r="E93" i="209" s="1"/>
  <c r="F44" i="209"/>
  <c r="F43" i="209"/>
  <c r="H43" i="209" s="1"/>
  <c r="F37" i="209"/>
  <c r="F36" i="209"/>
  <c r="F35" i="209"/>
  <c r="F29" i="209"/>
  <c r="F28" i="209"/>
  <c r="F27" i="209"/>
  <c r="F21" i="209"/>
  <c r="F17" i="209"/>
  <c r="F13" i="209"/>
  <c r="F9" i="209"/>
  <c r="E61" i="209"/>
  <c r="C59" i="209"/>
  <c r="E59" i="209" s="1"/>
  <c r="C81" i="209"/>
  <c r="E81" i="209" s="1"/>
  <c r="C73" i="209"/>
  <c r="E73" i="209" s="1"/>
  <c r="F38" i="209"/>
  <c r="F30" i="209"/>
  <c r="F22" i="209"/>
  <c r="F18" i="209"/>
  <c r="F14" i="209"/>
  <c r="F10" i="209"/>
  <c r="E94" i="209"/>
  <c r="F41" i="209"/>
  <c r="F40" i="209"/>
  <c r="F39" i="209"/>
  <c r="F33" i="209"/>
  <c r="F32" i="209"/>
  <c r="F31" i="209"/>
  <c r="F25" i="209"/>
  <c r="F23" i="209"/>
  <c r="F19" i="209"/>
  <c r="F15" i="209"/>
  <c r="F59" i="209"/>
  <c r="F62" i="209"/>
  <c r="F63" i="209"/>
  <c r="F66" i="209"/>
  <c r="F67" i="209"/>
  <c r="F70" i="209"/>
  <c r="F71" i="209"/>
  <c r="F73" i="209"/>
  <c r="F78" i="209"/>
  <c r="F79" i="209"/>
  <c r="F84" i="209"/>
  <c r="F89" i="209"/>
  <c r="F93" i="209"/>
  <c r="F74" i="209"/>
  <c r="F75" i="209"/>
  <c r="F80" i="209"/>
  <c r="F85" i="209"/>
  <c r="F60" i="209"/>
  <c r="F76" i="209"/>
  <c r="F81" i="209"/>
  <c r="F86" i="209"/>
  <c r="F87" i="209"/>
  <c r="F90" i="209"/>
  <c r="F91" i="209"/>
  <c r="F94" i="209"/>
  <c r="F61" i="209"/>
  <c r="F64" i="209"/>
  <c r="F65" i="209"/>
  <c r="F68" i="209"/>
  <c r="F69" i="209"/>
  <c r="F72" i="209"/>
  <c r="F77" i="209"/>
  <c r="F82" i="209"/>
  <c r="F83" i="209"/>
  <c r="F88" i="209"/>
  <c r="F92" i="209"/>
  <c r="G94" i="209"/>
  <c r="G90" i="209"/>
  <c r="G86" i="209"/>
  <c r="C85" i="209"/>
  <c r="E85" i="209" s="1"/>
  <c r="G81" i="209"/>
  <c r="G76" i="209"/>
  <c r="C76" i="209"/>
  <c r="E76" i="209" s="1"/>
  <c r="C75" i="209"/>
  <c r="E75" i="209" s="1"/>
  <c r="C74" i="209"/>
  <c r="E74" i="209" s="1"/>
  <c r="G60" i="209"/>
  <c r="C89" i="209"/>
  <c r="E89" i="209" s="1"/>
  <c r="G85" i="209"/>
  <c r="G80" i="209"/>
  <c r="C79" i="209"/>
  <c r="E79" i="209" s="1"/>
  <c r="G74" i="209"/>
  <c r="C71" i="209"/>
  <c r="E71" i="209" s="1"/>
  <c r="C67" i="209"/>
  <c r="E67" i="209" s="1"/>
  <c r="C63" i="209"/>
  <c r="E63" i="209" s="1"/>
  <c r="G93" i="209"/>
  <c r="G89" i="209"/>
  <c r="G84" i="209"/>
  <c r="C84" i="209"/>
  <c r="E84" i="209" s="1"/>
  <c r="C83" i="209"/>
  <c r="E83" i="209" s="1"/>
  <c r="C82" i="209"/>
  <c r="E82" i="209" s="1"/>
  <c r="G78" i="209"/>
  <c r="C77" i="209"/>
  <c r="E77" i="209" s="1"/>
  <c r="G73" i="209"/>
  <c r="C72" i="209"/>
  <c r="E72" i="209" s="1"/>
  <c r="G70" i="209"/>
  <c r="C69" i="209"/>
  <c r="E69" i="209" s="1"/>
  <c r="C68" i="209"/>
  <c r="E68" i="209" s="1"/>
  <c r="G66" i="209"/>
  <c r="C65" i="209"/>
  <c r="E65" i="209" s="1"/>
  <c r="C64" i="209"/>
  <c r="E64" i="209" s="1"/>
  <c r="G62" i="209"/>
  <c r="G92" i="209"/>
  <c r="G88" i="209"/>
  <c r="C87" i="209"/>
  <c r="E87" i="209" s="1"/>
  <c r="G82" i="209"/>
  <c r="G77" i="209"/>
  <c r="G72" i="209"/>
  <c r="G69" i="209"/>
  <c r="G65" i="209"/>
  <c r="G61" i="209"/>
  <c r="C60" i="209"/>
  <c r="E60" i="209" s="1"/>
  <c r="C95" i="209"/>
  <c r="E95" i="209" s="1"/>
  <c r="G95" i="209"/>
  <c r="F95" i="209"/>
  <c r="C91" i="209"/>
  <c r="E91" i="209" s="1"/>
  <c r="G91" i="209"/>
  <c r="G68" i="209"/>
  <c r="G64" i="209"/>
  <c r="G87" i="209"/>
  <c r="G83" i="209"/>
  <c r="G79" i="209"/>
  <c r="G75" i="209"/>
  <c r="G71" i="209"/>
  <c r="G67" i="209"/>
  <c r="G63" i="209"/>
  <c r="F8" i="209"/>
  <c r="F12" i="201"/>
  <c r="E63" i="208"/>
  <c r="F40" i="208"/>
  <c r="F36" i="208"/>
  <c r="F32" i="208"/>
  <c r="F28" i="208"/>
  <c r="F24" i="208"/>
  <c r="F20" i="208"/>
  <c r="F16" i="208"/>
  <c r="F12" i="208"/>
  <c r="C83" i="208"/>
  <c r="E83" i="208" s="1"/>
  <c r="F37" i="208"/>
  <c r="H37" i="208" s="1"/>
  <c r="K37" i="208" s="1"/>
  <c r="F33" i="208"/>
  <c r="F29" i="208"/>
  <c r="F25" i="208"/>
  <c r="H25" i="208" s="1"/>
  <c r="F21" i="208"/>
  <c r="F17" i="208"/>
  <c r="F13" i="208"/>
  <c r="H13" i="208" s="1"/>
  <c r="F9" i="208"/>
  <c r="F38" i="208"/>
  <c r="F34" i="208"/>
  <c r="F30" i="208"/>
  <c r="F26" i="208"/>
  <c r="F22" i="208"/>
  <c r="F18" i="208"/>
  <c r="F14" i="208"/>
  <c r="F10" i="208"/>
  <c r="F39" i="208"/>
  <c r="F35" i="208"/>
  <c r="F31" i="208"/>
  <c r="F27" i="208"/>
  <c r="F23" i="208"/>
  <c r="F19" i="208"/>
  <c r="F15" i="208"/>
  <c r="F87" i="208"/>
  <c r="F86" i="208"/>
  <c r="C84" i="208"/>
  <c r="E84" i="208" s="1"/>
  <c r="C82" i="208"/>
  <c r="E82" i="208" s="1"/>
  <c r="F80" i="208"/>
  <c r="F79" i="208"/>
  <c r="F78" i="208"/>
  <c r="C76" i="208"/>
  <c r="E76" i="208" s="1"/>
  <c r="C75" i="208"/>
  <c r="E75" i="208" s="1"/>
  <c r="C74" i="208"/>
  <c r="E74" i="208" s="1"/>
  <c r="F72" i="208"/>
  <c r="F71" i="208"/>
  <c r="F70" i="208"/>
  <c r="C68" i="208"/>
  <c r="E68" i="208" s="1"/>
  <c r="C67" i="208"/>
  <c r="E67" i="208" s="1"/>
  <c r="C66" i="208"/>
  <c r="E66" i="208" s="1"/>
  <c r="F64" i="208"/>
  <c r="F63" i="208"/>
  <c r="F62" i="208"/>
  <c r="C60" i="208"/>
  <c r="E60" i="208" s="1"/>
  <c r="C59" i="208"/>
  <c r="E59" i="208" s="1"/>
  <c r="C58" i="208"/>
  <c r="E58" i="208" s="1"/>
  <c r="G56" i="208"/>
  <c r="C55" i="208"/>
  <c r="E55" i="208" s="1"/>
  <c r="C85" i="208"/>
  <c r="E85" i="208" s="1"/>
  <c r="G83" i="208"/>
  <c r="F81" i="208"/>
  <c r="C77" i="208"/>
  <c r="E77" i="208" s="1"/>
  <c r="G75" i="208"/>
  <c r="F73" i="208"/>
  <c r="C69" i="208"/>
  <c r="E69" i="208" s="1"/>
  <c r="G67" i="208"/>
  <c r="F65" i="208"/>
  <c r="C61" i="208"/>
  <c r="E61" i="208" s="1"/>
  <c r="G59" i="208"/>
  <c r="F57" i="208"/>
  <c r="F56" i="208"/>
  <c r="C87" i="208"/>
  <c r="E87" i="208" s="1"/>
  <c r="C86" i="208"/>
  <c r="E86" i="208" s="1"/>
  <c r="F84" i="208"/>
  <c r="F83" i="208"/>
  <c r="F82" i="208"/>
  <c r="C80" i="208"/>
  <c r="E80" i="208" s="1"/>
  <c r="C79" i="208"/>
  <c r="E79" i="208" s="1"/>
  <c r="C78" i="208"/>
  <c r="E78" i="208" s="1"/>
  <c r="F76" i="208"/>
  <c r="F75" i="208"/>
  <c r="F74" i="208"/>
  <c r="C72" i="208"/>
  <c r="E72" i="208" s="1"/>
  <c r="C71" i="208"/>
  <c r="E71" i="208" s="1"/>
  <c r="C70" i="208"/>
  <c r="E70" i="208" s="1"/>
  <c r="F68" i="208"/>
  <c r="F67" i="208"/>
  <c r="F66" i="208"/>
  <c r="C64" i="208"/>
  <c r="E64" i="208" s="1"/>
  <c r="C62" i="208"/>
  <c r="E62" i="208" s="1"/>
  <c r="F60" i="208"/>
  <c r="F59" i="208"/>
  <c r="F58" i="208"/>
  <c r="G87" i="208"/>
  <c r="F85" i="208"/>
  <c r="C81" i="208"/>
  <c r="E81" i="208" s="1"/>
  <c r="G79" i="208"/>
  <c r="F77" i="208"/>
  <c r="C73" i="208"/>
  <c r="E73" i="208" s="1"/>
  <c r="G71" i="208"/>
  <c r="F69" i="208"/>
  <c r="C65" i="208"/>
  <c r="E65" i="208" s="1"/>
  <c r="G63" i="208"/>
  <c r="F61" i="208"/>
  <c r="C57" i="208"/>
  <c r="E57" i="208" s="1"/>
  <c r="C56" i="208"/>
  <c r="E56" i="208" s="1"/>
  <c r="G86" i="208"/>
  <c r="G82" i="208"/>
  <c r="G78" i="208"/>
  <c r="G74" i="208"/>
  <c r="G70" i="208"/>
  <c r="G66" i="208"/>
  <c r="G62" i="208"/>
  <c r="G58" i="208"/>
  <c r="G85" i="208"/>
  <c r="G81" i="208"/>
  <c r="G77" i="208"/>
  <c r="G73" i="208"/>
  <c r="G69" i="208"/>
  <c r="G65" i="208"/>
  <c r="G61" i="208"/>
  <c r="G57" i="208"/>
  <c r="G84" i="208"/>
  <c r="G80" i="208"/>
  <c r="G76" i="208"/>
  <c r="G72" i="208"/>
  <c r="G68" i="208"/>
  <c r="G64" i="208"/>
  <c r="G60" i="208"/>
  <c r="F8" i="208"/>
  <c r="F11" i="203"/>
  <c r="E59" i="205"/>
  <c r="E72" i="207"/>
  <c r="F36" i="207"/>
  <c r="F20" i="207"/>
  <c r="F40" i="207"/>
  <c r="F24" i="207"/>
  <c r="F32" i="207"/>
  <c r="F16" i="207"/>
  <c r="F44" i="207"/>
  <c r="F28" i="207"/>
  <c r="F12" i="207"/>
  <c r="C91" i="207"/>
  <c r="E91" i="207" s="1"/>
  <c r="C75" i="207"/>
  <c r="E75" i="207" s="1"/>
  <c r="F45" i="207"/>
  <c r="F41" i="207"/>
  <c r="F37" i="207"/>
  <c r="F33" i="207"/>
  <c r="F29" i="207"/>
  <c r="F25" i="207"/>
  <c r="F21" i="207"/>
  <c r="F17" i="207"/>
  <c r="F13" i="207"/>
  <c r="F9" i="207"/>
  <c r="C95" i="207"/>
  <c r="E95" i="207" s="1"/>
  <c r="C83" i="207"/>
  <c r="E83" i="207" s="1"/>
  <c r="C80" i="207"/>
  <c r="E80" i="207" s="1"/>
  <c r="C76" i="207"/>
  <c r="E76" i="207" s="1"/>
  <c r="F42" i="207"/>
  <c r="F38" i="207"/>
  <c r="F34" i="207"/>
  <c r="F30" i="207"/>
  <c r="F26" i="207"/>
  <c r="F22" i="207"/>
  <c r="F18" i="207"/>
  <c r="F14" i="207"/>
  <c r="F10" i="207"/>
  <c r="C87" i="207"/>
  <c r="E87" i="207" s="1"/>
  <c r="F43" i="207"/>
  <c r="F39" i="207"/>
  <c r="F35" i="207"/>
  <c r="F31" i="207"/>
  <c r="F27" i="207"/>
  <c r="F23" i="207"/>
  <c r="F19" i="207"/>
  <c r="F15" i="207"/>
  <c r="F95" i="207"/>
  <c r="F94" i="207"/>
  <c r="F91" i="207"/>
  <c r="F90" i="207"/>
  <c r="F87" i="207"/>
  <c r="F86" i="207"/>
  <c r="G83" i="207"/>
  <c r="C82" i="207"/>
  <c r="E82" i="207" s="1"/>
  <c r="G80" i="207"/>
  <c r="F78" i="207"/>
  <c r="G75" i="207"/>
  <c r="C74" i="207"/>
  <c r="E74" i="207" s="1"/>
  <c r="G72" i="207"/>
  <c r="C71" i="207"/>
  <c r="E71" i="207" s="1"/>
  <c r="F69" i="207"/>
  <c r="F68" i="207"/>
  <c r="F67" i="207"/>
  <c r="C65" i="207"/>
  <c r="E65" i="207" s="1"/>
  <c r="C64" i="207"/>
  <c r="E64" i="207" s="1"/>
  <c r="C63" i="207"/>
  <c r="E63" i="207" s="1"/>
  <c r="G61" i="207"/>
  <c r="C60" i="207"/>
  <c r="E60" i="207" s="1"/>
  <c r="C97" i="207"/>
  <c r="E97" i="207" s="1"/>
  <c r="C96" i="207"/>
  <c r="E96" i="207" s="1"/>
  <c r="C93" i="207"/>
  <c r="E93" i="207" s="1"/>
  <c r="C92" i="207"/>
  <c r="E92" i="207" s="1"/>
  <c r="C89" i="207"/>
  <c r="E89" i="207" s="1"/>
  <c r="C88" i="207"/>
  <c r="E88" i="207" s="1"/>
  <c r="C85" i="207"/>
  <c r="E85" i="207" s="1"/>
  <c r="C84" i="207"/>
  <c r="E84" i="207" s="1"/>
  <c r="F83" i="207"/>
  <c r="F81" i="207"/>
  <c r="F80" i="207"/>
  <c r="C77" i="207"/>
  <c r="E77" i="207" s="1"/>
  <c r="F75" i="207"/>
  <c r="F73" i="207"/>
  <c r="F72" i="207"/>
  <c r="G71" i="207"/>
  <c r="F70" i="207"/>
  <c r="C66" i="207"/>
  <c r="E66" i="207" s="1"/>
  <c r="G64" i="207"/>
  <c r="F62" i="207"/>
  <c r="F61" i="207"/>
  <c r="G96" i="207"/>
  <c r="C94" i="207"/>
  <c r="E94" i="207" s="1"/>
  <c r="G92" i="207"/>
  <c r="C90" i="207"/>
  <c r="E90" i="207" s="1"/>
  <c r="G88" i="207"/>
  <c r="C86" i="207"/>
  <c r="E86" i="207" s="1"/>
  <c r="G84" i="207"/>
  <c r="F82" i="207"/>
  <c r="G79" i="207"/>
  <c r="C79" i="207"/>
  <c r="E79" i="207" s="1"/>
  <c r="C78" i="207"/>
  <c r="E78" i="207" s="1"/>
  <c r="G76" i="207"/>
  <c r="F74" i="207"/>
  <c r="F71" i="207"/>
  <c r="C69" i="207"/>
  <c r="E69" i="207" s="1"/>
  <c r="C68" i="207"/>
  <c r="E68" i="207" s="1"/>
  <c r="C67" i="207"/>
  <c r="E67" i="207" s="1"/>
  <c r="F65" i="207"/>
  <c r="F64" i="207"/>
  <c r="F63" i="207"/>
  <c r="F97" i="207"/>
  <c r="F96" i="207"/>
  <c r="G95" i="207"/>
  <c r="F93" i="207"/>
  <c r="F92" i="207"/>
  <c r="G91" i="207"/>
  <c r="F89" i="207"/>
  <c r="F88" i="207"/>
  <c r="G87" i="207"/>
  <c r="F85" i="207"/>
  <c r="F84" i="207"/>
  <c r="C81" i="207"/>
  <c r="E81" i="207" s="1"/>
  <c r="F79" i="207"/>
  <c r="F77" i="207"/>
  <c r="F76" i="207"/>
  <c r="C73" i="207"/>
  <c r="E73" i="207" s="1"/>
  <c r="C70" i="207"/>
  <c r="E70" i="207" s="1"/>
  <c r="C62" i="207"/>
  <c r="E62" i="207" s="1"/>
  <c r="C61" i="207"/>
  <c r="E61" i="207" s="1"/>
  <c r="G67" i="207"/>
  <c r="G63" i="207"/>
  <c r="G94" i="207"/>
  <c r="G90" i="207"/>
  <c r="G86" i="207"/>
  <c r="G82" i="207"/>
  <c r="G78" i="207"/>
  <c r="G74" i="207"/>
  <c r="G70" i="207"/>
  <c r="G66" i="207"/>
  <c r="G62" i="207"/>
  <c r="G97" i="207"/>
  <c r="G93" i="207"/>
  <c r="G89" i="207"/>
  <c r="G85" i="207"/>
  <c r="G81" i="207"/>
  <c r="G77" i="207"/>
  <c r="G73" i="207"/>
  <c r="G69" i="207"/>
  <c r="G65" i="207"/>
  <c r="G60" i="207"/>
  <c r="F60" i="207"/>
  <c r="F8" i="207"/>
  <c r="F8" i="205"/>
  <c r="C52" i="205"/>
  <c r="E52" i="205" s="1"/>
  <c r="C71" i="205"/>
  <c r="E71" i="205" s="1"/>
  <c r="F33" i="205"/>
  <c r="F32" i="205"/>
  <c r="F28" i="205"/>
  <c r="F24" i="205"/>
  <c r="F20" i="205"/>
  <c r="F16" i="205"/>
  <c r="F12" i="205"/>
  <c r="C67" i="205"/>
  <c r="E67" i="205" s="1"/>
  <c r="C63" i="205"/>
  <c r="E63" i="205" s="1"/>
  <c r="C57" i="205"/>
  <c r="E57" i="205" s="1"/>
  <c r="C55" i="205"/>
  <c r="E55" i="205" s="1"/>
  <c r="F34" i="205"/>
  <c r="F29" i="205"/>
  <c r="F25" i="205"/>
  <c r="F21" i="205"/>
  <c r="F17" i="205"/>
  <c r="F13" i="205"/>
  <c r="F9" i="205"/>
  <c r="C72" i="205"/>
  <c r="E72" i="205" s="1"/>
  <c r="F37" i="205"/>
  <c r="F36" i="205"/>
  <c r="F35" i="205"/>
  <c r="F30" i="205"/>
  <c r="F26" i="205"/>
  <c r="F22" i="205"/>
  <c r="F18" i="205"/>
  <c r="F14" i="205"/>
  <c r="F10" i="205"/>
  <c r="C79" i="205"/>
  <c r="E79" i="205" s="1"/>
  <c r="C77" i="205"/>
  <c r="E77" i="205" s="1"/>
  <c r="C75" i="205"/>
  <c r="E75" i="205" s="1"/>
  <c r="C70" i="205"/>
  <c r="E70" i="205" s="1"/>
  <c r="F31" i="205"/>
  <c r="F27" i="205"/>
  <c r="F23" i="205"/>
  <c r="F19" i="205"/>
  <c r="F15" i="205"/>
  <c r="F11" i="205"/>
  <c r="G52" i="205"/>
  <c r="G57" i="205"/>
  <c r="G59" i="205"/>
  <c r="G77" i="205"/>
  <c r="G79" i="205"/>
  <c r="G55" i="205"/>
  <c r="G61" i="205"/>
  <c r="G63" i="205"/>
  <c r="G65" i="205"/>
  <c r="G67" i="205"/>
  <c r="G81" i="205"/>
  <c r="G73" i="205"/>
  <c r="G75" i="205"/>
  <c r="G69" i="205"/>
  <c r="G71" i="205"/>
  <c r="G53" i="205"/>
  <c r="F52" i="205"/>
  <c r="F61" i="205"/>
  <c r="F62" i="205"/>
  <c r="F63" i="205"/>
  <c r="F65" i="205"/>
  <c r="F66" i="205"/>
  <c r="F67" i="205"/>
  <c r="F68" i="205"/>
  <c r="F81" i="205"/>
  <c r="F59" i="205"/>
  <c r="F69" i="205"/>
  <c r="F70" i="205"/>
  <c r="F71" i="205"/>
  <c r="F72" i="205"/>
  <c r="F57" i="205"/>
  <c r="F60" i="205"/>
  <c r="F77" i="205"/>
  <c r="F79" i="205"/>
  <c r="F53" i="205"/>
  <c r="F54" i="205"/>
  <c r="F55" i="205"/>
  <c r="F56" i="205"/>
  <c r="F73" i="205"/>
  <c r="F74" i="205"/>
  <c r="F75" i="205"/>
  <c r="F76" i="205"/>
  <c r="F58" i="205"/>
  <c r="F78" i="205"/>
  <c r="F80" i="205"/>
  <c r="C69" i="205"/>
  <c r="E69" i="205" s="1"/>
  <c r="C68" i="205"/>
  <c r="E68" i="205" s="1"/>
  <c r="C66" i="205"/>
  <c r="E66" i="205" s="1"/>
  <c r="C64" i="205"/>
  <c r="E64" i="205" s="1"/>
  <c r="C62" i="205"/>
  <c r="E62" i="205" s="1"/>
  <c r="C81" i="205"/>
  <c r="E81" i="205" s="1"/>
  <c r="C80" i="205"/>
  <c r="E80" i="205" s="1"/>
  <c r="C78" i="205"/>
  <c r="E78" i="205" s="1"/>
  <c r="C65" i="205"/>
  <c r="E65" i="205" s="1"/>
  <c r="C61" i="205"/>
  <c r="E61" i="205" s="1"/>
  <c r="C60" i="205"/>
  <c r="E60" i="205" s="1"/>
  <c r="C58" i="205"/>
  <c r="E58" i="205" s="1"/>
  <c r="C76" i="205"/>
  <c r="E76" i="205" s="1"/>
  <c r="C74" i="205"/>
  <c r="E74" i="205" s="1"/>
  <c r="C56" i="205"/>
  <c r="E56" i="205" s="1"/>
  <c r="C54" i="205"/>
  <c r="E54" i="205" s="1"/>
  <c r="C53" i="205"/>
  <c r="E53" i="205" s="1"/>
  <c r="G78" i="205"/>
  <c r="G74" i="205"/>
  <c r="G70" i="205"/>
  <c r="G66" i="205"/>
  <c r="G62" i="205"/>
  <c r="G58" i="205"/>
  <c r="G54" i="205"/>
  <c r="F64" i="205"/>
  <c r="G80" i="205"/>
  <c r="G76" i="205"/>
  <c r="G72" i="205"/>
  <c r="G68" i="205"/>
  <c r="G64" i="205"/>
  <c r="G60" i="205"/>
  <c r="G56" i="205"/>
  <c r="F11" i="204"/>
  <c r="G48" i="204"/>
  <c r="F42" i="204"/>
  <c r="F45" i="204"/>
  <c r="F39" i="204"/>
  <c r="F44" i="204"/>
  <c r="F50" i="204"/>
  <c r="E37" i="204"/>
  <c r="F20" i="204"/>
  <c r="F16" i="204"/>
  <c r="F12" i="204"/>
  <c r="E43" i="204"/>
  <c r="F21" i="204"/>
  <c r="F17" i="204"/>
  <c r="F13" i="204"/>
  <c r="F9" i="204"/>
  <c r="C50" i="204"/>
  <c r="E50" i="204" s="1"/>
  <c r="F22" i="204"/>
  <c r="F18" i="204"/>
  <c r="F14" i="204"/>
  <c r="F10" i="204"/>
  <c r="C51" i="204"/>
  <c r="E51" i="204" s="1"/>
  <c r="C48" i="204"/>
  <c r="E48" i="204" s="1"/>
  <c r="G43" i="204"/>
  <c r="C42" i="204"/>
  <c r="E42" i="204" s="1"/>
  <c r="C40" i="204"/>
  <c r="E40" i="204" s="1"/>
  <c r="G38" i="204"/>
  <c r="F19" i="204"/>
  <c r="F15" i="204"/>
  <c r="E47" i="204"/>
  <c r="F49" i="204"/>
  <c r="F48" i="204"/>
  <c r="G47" i="204"/>
  <c r="F43" i="204"/>
  <c r="C41" i="204"/>
  <c r="E41" i="204" s="1"/>
  <c r="F38" i="204"/>
  <c r="G37" i="204"/>
  <c r="G51" i="204"/>
  <c r="F47" i="204"/>
  <c r="G46" i="204"/>
  <c r="C46" i="204"/>
  <c r="E46" i="204" s="1"/>
  <c r="C45" i="204"/>
  <c r="E45" i="204" s="1"/>
  <c r="C44" i="204"/>
  <c r="E44" i="204" s="1"/>
  <c r="G40" i="204"/>
  <c r="F37" i="204"/>
  <c r="F51" i="204"/>
  <c r="G50" i="204"/>
  <c r="C49" i="204"/>
  <c r="E49" i="204" s="1"/>
  <c r="F46" i="204"/>
  <c r="G44" i="204"/>
  <c r="F41" i="204"/>
  <c r="F40" i="204"/>
  <c r="G39" i="204"/>
  <c r="C38" i="204"/>
  <c r="E38" i="204" s="1"/>
  <c r="G49" i="204"/>
  <c r="G45" i="204"/>
  <c r="G41" i="204"/>
  <c r="F8" i="204"/>
  <c r="F9" i="198"/>
  <c r="E42" i="203"/>
  <c r="C54" i="203"/>
  <c r="E54" i="203" s="1"/>
  <c r="C48" i="203"/>
  <c r="E48" i="203" s="1"/>
  <c r="C46" i="203"/>
  <c r="E46" i="203" s="1"/>
  <c r="G56" i="203"/>
  <c r="C56" i="203"/>
  <c r="E56" i="203" s="1"/>
  <c r="C55" i="203"/>
  <c r="E55" i="203" s="1"/>
  <c r="F51" i="203"/>
  <c r="F50" i="203"/>
  <c r="G48" i="203"/>
  <c r="C47" i="203"/>
  <c r="E47" i="203" s="1"/>
  <c r="F43" i="203"/>
  <c r="F42" i="203"/>
  <c r="F57" i="203"/>
  <c r="F56" i="203"/>
  <c r="G54" i="203"/>
  <c r="C53" i="203"/>
  <c r="E53" i="203" s="1"/>
  <c r="F49" i="203"/>
  <c r="F48" i="203"/>
  <c r="G46" i="203"/>
  <c r="C45" i="203"/>
  <c r="E45" i="203" s="1"/>
  <c r="F41" i="203"/>
  <c r="F55" i="203"/>
  <c r="F54" i="203"/>
  <c r="G52" i="203"/>
  <c r="C52" i="203"/>
  <c r="E52" i="203" s="1"/>
  <c r="C51" i="203"/>
  <c r="E51" i="203" s="1"/>
  <c r="F47" i="203"/>
  <c r="F46" i="203"/>
  <c r="G44" i="203"/>
  <c r="C44" i="203"/>
  <c r="E44" i="203" s="1"/>
  <c r="C43" i="203"/>
  <c r="E43" i="203" s="1"/>
  <c r="C57" i="203"/>
  <c r="E57" i="203" s="1"/>
  <c r="F53" i="203"/>
  <c r="F52" i="203"/>
  <c r="G50" i="203"/>
  <c r="C50" i="203"/>
  <c r="E50" i="203" s="1"/>
  <c r="C49" i="203"/>
  <c r="E49" i="203" s="1"/>
  <c r="F45" i="203"/>
  <c r="F44" i="203"/>
  <c r="G42" i="203"/>
  <c r="C41" i="203"/>
  <c r="E41" i="203" s="1"/>
  <c r="G55" i="203"/>
  <c r="G51" i="203"/>
  <c r="G47" i="203"/>
  <c r="G43" i="203"/>
  <c r="G57" i="203"/>
  <c r="G53" i="203"/>
  <c r="G49" i="203"/>
  <c r="G45" i="203"/>
  <c r="G41" i="203"/>
  <c r="F24" i="203"/>
  <c r="F20" i="203"/>
  <c r="F16" i="203"/>
  <c r="F12" i="203"/>
  <c r="F25" i="203"/>
  <c r="F21" i="203"/>
  <c r="F17" i="203"/>
  <c r="F13" i="203"/>
  <c r="F9" i="203"/>
  <c r="F22" i="203"/>
  <c r="F18" i="203"/>
  <c r="F14" i="203"/>
  <c r="F10" i="203"/>
  <c r="C40" i="203"/>
  <c r="E40" i="203" s="1"/>
  <c r="F23" i="203"/>
  <c r="F19" i="203"/>
  <c r="F15" i="203"/>
  <c r="F8" i="203"/>
  <c r="C77" i="202"/>
  <c r="E77" i="202" s="1"/>
  <c r="G69" i="202"/>
  <c r="C66" i="202"/>
  <c r="E66" i="202" s="1"/>
  <c r="C64" i="202"/>
  <c r="E64" i="202" s="1"/>
  <c r="G54" i="202"/>
  <c r="F36" i="202"/>
  <c r="F32" i="202"/>
  <c r="F28" i="202"/>
  <c r="F24" i="202"/>
  <c r="F20" i="202"/>
  <c r="F16" i="202"/>
  <c r="F12" i="202"/>
  <c r="C78" i="202"/>
  <c r="E78" i="202" s="1"/>
  <c r="C73" i="202"/>
  <c r="E73" i="202" s="1"/>
  <c r="C62" i="202"/>
  <c r="E62" i="202" s="1"/>
  <c r="C58" i="202"/>
  <c r="E58" i="202" s="1"/>
  <c r="C56" i="202"/>
  <c r="E56" i="202" s="1"/>
  <c r="G52" i="202"/>
  <c r="F33" i="202"/>
  <c r="F29" i="202"/>
  <c r="F25" i="202"/>
  <c r="F21" i="202"/>
  <c r="F17" i="202"/>
  <c r="F13" i="202"/>
  <c r="F9" i="202"/>
  <c r="C76" i="202"/>
  <c r="E76" i="202" s="1"/>
  <c r="C74" i="202"/>
  <c r="E74" i="202" s="1"/>
  <c r="C54" i="202"/>
  <c r="E54" i="202" s="1"/>
  <c r="F34" i="202"/>
  <c r="F30" i="202"/>
  <c r="F26" i="202"/>
  <c r="F22" i="202"/>
  <c r="F18" i="202"/>
  <c r="F14" i="202"/>
  <c r="F10" i="202"/>
  <c r="G78" i="202"/>
  <c r="G73" i="202"/>
  <c r="C70" i="202"/>
  <c r="E70" i="202" s="1"/>
  <c r="G62" i="202"/>
  <c r="F35" i="202"/>
  <c r="F31" i="202"/>
  <c r="F27" i="202"/>
  <c r="F23" i="202"/>
  <c r="F19" i="202"/>
  <c r="F15" i="202"/>
  <c r="F51" i="202"/>
  <c r="F57" i="202"/>
  <c r="F58" i="202"/>
  <c r="F59" i="202"/>
  <c r="F65" i="202"/>
  <c r="F66" i="202"/>
  <c r="F67" i="202"/>
  <c r="F76" i="202"/>
  <c r="F56" i="202"/>
  <c r="F64" i="202"/>
  <c r="F77" i="202"/>
  <c r="F68" i="202"/>
  <c r="F70" i="202"/>
  <c r="F71" i="202"/>
  <c r="F52" i="202"/>
  <c r="F53" i="202"/>
  <c r="F54" i="202"/>
  <c r="F55" i="202"/>
  <c r="F61" i="202"/>
  <c r="F62" i="202"/>
  <c r="F63" i="202"/>
  <c r="F69" i="202"/>
  <c r="F72" i="202"/>
  <c r="F73" i="202"/>
  <c r="F78" i="202"/>
  <c r="F79" i="202"/>
  <c r="F60" i="202"/>
  <c r="F74" i="202"/>
  <c r="F75" i="202"/>
  <c r="G77" i="202"/>
  <c r="C67" i="202"/>
  <c r="E67" i="202" s="1"/>
  <c r="C65" i="202"/>
  <c r="E65" i="202" s="1"/>
  <c r="C59" i="202"/>
  <c r="E59" i="202" s="1"/>
  <c r="C57" i="202"/>
  <c r="E57" i="202" s="1"/>
  <c r="G76" i="202"/>
  <c r="C75" i="202"/>
  <c r="E75" i="202" s="1"/>
  <c r="C71" i="202"/>
  <c r="E71" i="202" s="1"/>
  <c r="C68" i="202"/>
  <c r="E68" i="202" s="1"/>
  <c r="G66" i="202"/>
  <c r="C60" i="202"/>
  <c r="E60" i="202" s="1"/>
  <c r="G58" i="202"/>
  <c r="C51" i="202"/>
  <c r="E51" i="202" s="1"/>
  <c r="C79" i="202"/>
  <c r="E79" i="202" s="1"/>
  <c r="G74" i="202"/>
  <c r="C72" i="202"/>
  <c r="E72" i="202" s="1"/>
  <c r="G70" i="202"/>
  <c r="C69" i="202"/>
  <c r="E69" i="202" s="1"/>
  <c r="C63" i="202"/>
  <c r="E63" i="202" s="1"/>
  <c r="C61" i="202"/>
  <c r="E61" i="202" s="1"/>
  <c r="C55" i="202"/>
  <c r="E55" i="202" s="1"/>
  <c r="C53" i="202"/>
  <c r="E53" i="202" s="1"/>
  <c r="C52" i="202"/>
  <c r="E52" i="202" s="1"/>
  <c r="G65" i="202"/>
  <c r="G61" i="202"/>
  <c r="G57" i="202"/>
  <c r="G53" i="202"/>
  <c r="G72" i="202"/>
  <c r="G68" i="202"/>
  <c r="G64" i="202"/>
  <c r="G60" i="202"/>
  <c r="G56" i="202"/>
  <c r="G79" i="202"/>
  <c r="G75" i="202"/>
  <c r="G71" i="202"/>
  <c r="G67" i="202"/>
  <c r="G63" i="202"/>
  <c r="G59" i="202"/>
  <c r="G55" i="202"/>
  <c r="F8" i="202"/>
  <c r="F12" i="199"/>
  <c r="F10" i="200"/>
  <c r="C72" i="201"/>
  <c r="E72" i="201" s="1"/>
  <c r="C70" i="201"/>
  <c r="E70" i="201" s="1"/>
  <c r="C68" i="201"/>
  <c r="E68" i="201" s="1"/>
  <c r="C66" i="201"/>
  <c r="E66" i="201" s="1"/>
  <c r="C62" i="201"/>
  <c r="E62" i="201" s="1"/>
  <c r="F33" i="201"/>
  <c r="F29" i="201"/>
  <c r="F25" i="201"/>
  <c r="F21" i="201"/>
  <c r="F17" i="201"/>
  <c r="F13" i="201"/>
  <c r="F9" i="201"/>
  <c r="F75" i="201"/>
  <c r="F74" i="201"/>
  <c r="F73" i="201"/>
  <c r="F72" i="201"/>
  <c r="G70" i="201"/>
  <c r="G68" i="201"/>
  <c r="C67" i="201"/>
  <c r="E67" i="201" s="1"/>
  <c r="C65" i="201"/>
  <c r="E65" i="201" s="1"/>
  <c r="F59" i="201"/>
  <c r="F58" i="201"/>
  <c r="F57" i="201"/>
  <c r="F56" i="201"/>
  <c r="G54" i="201"/>
  <c r="G53" i="201"/>
  <c r="G52" i="201"/>
  <c r="C51" i="201"/>
  <c r="E51" i="201" s="1"/>
  <c r="F34" i="201"/>
  <c r="F30" i="201"/>
  <c r="F26" i="201"/>
  <c r="F22" i="201"/>
  <c r="F18" i="201"/>
  <c r="F14" i="201"/>
  <c r="F10" i="201"/>
  <c r="H10" i="201" s="1"/>
  <c r="C79" i="201"/>
  <c r="E79" i="201" s="1"/>
  <c r="C78" i="201"/>
  <c r="E78" i="201" s="1"/>
  <c r="C77" i="201"/>
  <c r="E77" i="201" s="1"/>
  <c r="F71" i="201"/>
  <c r="F70" i="201"/>
  <c r="F69" i="201"/>
  <c r="F68" i="201"/>
  <c r="G66" i="201"/>
  <c r="G64" i="201"/>
  <c r="C64" i="201"/>
  <c r="E64" i="201" s="1"/>
  <c r="C63" i="201"/>
  <c r="E63" i="201" s="1"/>
  <c r="C61" i="201"/>
  <c r="E61" i="201" s="1"/>
  <c r="F55" i="201"/>
  <c r="F54" i="201"/>
  <c r="F53" i="201"/>
  <c r="F52" i="201"/>
  <c r="F35" i="201"/>
  <c r="F31" i="201"/>
  <c r="F27" i="201"/>
  <c r="F23" i="201"/>
  <c r="F19" i="201"/>
  <c r="F15" i="201"/>
  <c r="F11" i="201"/>
  <c r="G78" i="201"/>
  <c r="G76" i="201"/>
  <c r="C76" i="201"/>
  <c r="E76" i="201" s="1"/>
  <c r="C75" i="201"/>
  <c r="E75" i="201" s="1"/>
  <c r="C74" i="201"/>
  <c r="E74" i="201" s="1"/>
  <c r="C73" i="201"/>
  <c r="E73" i="201" s="1"/>
  <c r="F67" i="201"/>
  <c r="F66" i="201"/>
  <c r="F65" i="201"/>
  <c r="F64" i="201"/>
  <c r="G62" i="201"/>
  <c r="G60" i="201"/>
  <c r="C60" i="201"/>
  <c r="E60" i="201" s="1"/>
  <c r="C59" i="201"/>
  <c r="E59" i="201" s="1"/>
  <c r="C58" i="201"/>
  <c r="E58" i="201" s="1"/>
  <c r="C57" i="201"/>
  <c r="E57" i="201" s="1"/>
  <c r="F36" i="201"/>
  <c r="F32" i="201"/>
  <c r="F28" i="201"/>
  <c r="F24" i="201"/>
  <c r="F20" i="201"/>
  <c r="F16" i="201"/>
  <c r="F79" i="201"/>
  <c r="F78" i="201"/>
  <c r="F77" i="201"/>
  <c r="F76" i="201"/>
  <c r="G74" i="201"/>
  <c r="G72" i="201"/>
  <c r="C71" i="201"/>
  <c r="E71" i="201" s="1"/>
  <c r="C69" i="201"/>
  <c r="E69" i="201" s="1"/>
  <c r="F63" i="201"/>
  <c r="F62" i="201"/>
  <c r="F61" i="201"/>
  <c r="F60" i="201"/>
  <c r="G58" i="201"/>
  <c r="G56" i="201"/>
  <c r="C55" i="201"/>
  <c r="E55" i="201" s="1"/>
  <c r="C54" i="201"/>
  <c r="E54" i="201" s="1"/>
  <c r="C53" i="201"/>
  <c r="E53" i="201" s="1"/>
  <c r="C52" i="201"/>
  <c r="E52" i="201" s="1"/>
  <c r="G77" i="201"/>
  <c r="G73" i="201"/>
  <c r="G69" i="201"/>
  <c r="G65" i="201"/>
  <c r="G61" i="201"/>
  <c r="G57" i="201"/>
  <c r="G79" i="201"/>
  <c r="G75" i="201"/>
  <c r="G71" i="201"/>
  <c r="G67" i="201"/>
  <c r="G63" i="201"/>
  <c r="G59" i="201"/>
  <c r="G55" i="201"/>
  <c r="F8" i="201"/>
  <c r="C57" i="200"/>
  <c r="E57" i="200" s="1"/>
  <c r="C78" i="200"/>
  <c r="E78" i="200" s="1"/>
  <c r="C76" i="200"/>
  <c r="E76" i="200" s="1"/>
  <c r="C74" i="200"/>
  <c r="E74" i="200" s="1"/>
  <c r="C72" i="200"/>
  <c r="E72" i="200" s="1"/>
  <c r="C70" i="200"/>
  <c r="E70" i="200" s="1"/>
  <c r="C68" i="200"/>
  <c r="E68" i="200" s="1"/>
  <c r="F57" i="200"/>
  <c r="F66" i="200"/>
  <c r="F67" i="200"/>
  <c r="F68" i="200"/>
  <c r="F69" i="200"/>
  <c r="F82" i="200"/>
  <c r="F83" i="200"/>
  <c r="F84" i="200"/>
  <c r="F85" i="200"/>
  <c r="F70" i="200"/>
  <c r="F71" i="200"/>
  <c r="F72" i="200"/>
  <c r="F73" i="200"/>
  <c r="F86" i="200"/>
  <c r="F87" i="200"/>
  <c r="F88" i="200"/>
  <c r="F89" i="200"/>
  <c r="F58" i="200"/>
  <c r="F59" i="200"/>
  <c r="F60" i="200"/>
  <c r="F61" i="200"/>
  <c r="F74" i="200"/>
  <c r="F75" i="200"/>
  <c r="F76" i="200"/>
  <c r="F77" i="200"/>
  <c r="F90" i="200"/>
  <c r="F91" i="200"/>
  <c r="F62" i="200"/>
  <c r="F63" i="200"/>
  <c r="F64" i="200"/>
  <c r="F65" i="200"/>
  <c r="F78" i="200"/>
  <c r="F79" i="200"/>
  <c r="F80" i="200"/>
  <c r="F81" i="200"/>
  <c r="F41" i="200"/>
  <c r="F37" i="200"/>
  <c r="F33" i="200"/>
  <c r="F29" i="200"/>
  <c r="F25" i="200"/>
  <c r="F21" i="200"/>
  <c r="F17" i="200"/>
  <c r="F13" i="200"/>
  <c r="F9" i="200"/>
  <c r="G90" i="200"/>
  <c r="C90" i="200"/>
  <c r="E90" i="200" s="1"/>
  <c r="C89" i="200"/>
  <c r="E89" i="200" s="1"/>
  <c r="C88" i="200"/>
  <c r="E88" i="200" s="1"/>
  <c r="C87" i="200"/>
  <c r="E87" i="200" s="1"/>
  <c r="G76" i="200"/>
  <c r="G74" i="200"/>
  <c r="C73" i="200"/>
  <c r="E73" i="200" s="1"/>
  <c r="C71" i="200"/>
  <c r="E71" i="200" s="1"/>
  <c r="G60" i="200"/>
  <c r="G58" i="200"/>
  <c r="F42" i="200"/>
  <c r="F38" i="200"/>
  <c r="F34" i="200"/>
  <c r="F30" i="200"/>
  <c r="F26" i="200"/>
  <c r="F22" i="200"/>
  <c r="F18" i="200"/>
  <c r="F14" i="200"/>
  <c r="F12" i="200"/>
  <c r="G88" i="200"/>
  <c r="G86" i="200"/>
  <c r="C86" i="200"/>
  <c r="E86" i="200" s="1"/>
  <c r="C85" i="200"/>
  <c r="E85" i="200" s="1"/>
  <c r="C84" i="200"/>
  <c r="E84" i="200" s="1"/>
  <c r="C83" i="200"/>
  <c r="E83" i="200" s="1"/>
  <c r="G72" i="200"/>
  <c r="G70" i="200"/>
  <c r="C69" i="200"/>
  <c r="E69" i="200" s="1"/>
  <c r="C67" i="200"/>
  <c r="E67" i="200" s="1"/>
  <c r="F39" i="200"/>
  <c r="F35" i="200"/>
  <c r="F31" i="200"/>
  <c r="F27" i="200"/>
  <c r="F23" i="200"/>
  <c r="F19" i="200"/>
  <c r="F15" i="200"/>
  <c r="F11" i="200"/>
  <c r="G84" i="200"/>
  <c r="G82" i="200"/>
  <c r="C82" i="200"/>
  <c r="E82" i="200" s="1"/>
  <c r="C81" i="200"/>
  <c r="E81" i="200" s="1"/>
  <c r="C80" i="200"/>
  <c r="E80" i="200" s="1"/>
  <c r="C79" i="200"/>
  <c r="E79" i="200" s="1"/>
  <c r="G68" i="200"/>
  <c r="G66" i="200"/>
  <c r="C66" i="200"/>
  <c r="E66" i="200" s="1"/>
  <c r="C65" i="200"/>
  <c r="E65" i="200" s="1"/>
  <c r="C64" i="200"/>
  <c r="E64" i="200" s="1"/>
  <c r="C63" i="200"/>
  <c r="E63" i="200" s="1"/>
  <c r="F40" i="200"/>
  <c r="F36" i="200"/>
  <c r="F32" i="200"/>
  <c r="F28" i="200"/>
  <c r="F24" i="200"/>
  <c r="F20" i="200"/>
  <c r="F16" i="200"/>
  <c r="C91" i="200"/>
  <c r="E91" i="200" s="1"/>
  <c r="G80" i="200"/>
  <c r="G78" i="200"/>
  <c r="C77" i="200"/>
  <c r="E77" i="200" s="1"/>
  <c r="C75" i="200"/>
  <c r="E75" i="200" s="1"/>
  <c r="G64" i="200"/>
  <c r="G62" i="200"/>
  <c r="C62" i="200"/>
  <c r="E62" i="200" s="1"/>
  <c r="C61" i="200"/>
  <c r="E61" i="200" s="1"/>
  <c r="C59" i="200"/>
  <c r="E59" i="200" s="1"/>
  <c r="C58" i="200"/>
  <c r="E58" i="200" s="1"/>
  <c r="G91" i="200"/>
  <c r="G87" i="200"/>
  <c r="G83" i="200"/>
  <c r="G79" i="200"/>
  <c r="G75" i="200"/>
  <c r="G71" i="200"/>
  <c r="G67" i="200"/>
  <c r="G63" i="200"/>
  <c r="G59" i="200"/>
  <c r="G89" i="200"/>
  <c r="G85" i="200"/>
  <c r="G81" i="200"/>
  <c r="G77" i="200"/>
  <c r="G73" i="200"/>
  <c r="G69" i="200"/>
  <c r="G65" i="200"/>
  <c r="G61" i="200"/>
  <c r="F8" i="200"/>
  <c r="F10" i="195"/>
  <c r="F11" i="197"/>
  <c r="F30" i="198"/>
  <c r="E69" i="198"/>
  <c r="E64" i="199"/>
  <c r="F13" i="199"/>
  <c r="G79" i="199"/>
  <c r="F36" i="199"/>
  <c r="F25" i="199"/>
  <c r="F9" i="199"/>
  <c r="C87" i="199"/>
  <c r="E87" i="199" s="1"/>
  <c r="C83" i="199"/>
  <c r="E83" i="199" s="1"/>
  <c r="C76" i="199"/>
  <c r="E76" i="199" s="1"/>
  <c r="G68" i="199"/>
  <c r="C67" i="199"/>
  <c r="E67" i="199" s="1"/>
  <c r="G57" i="199"/>
  <c r="F32" i="199"/>
  <c r="F21" i="199"/>
  <c r="G71" i="199"/>
  <c r="G60" i="199"/>
  <c r="F17" i="199"/>
  <c r="G76" i="199"/>
  <c r="C75" i="199"/>
  <c r="E75" i="199" s="1"/>
  <c r="C68" i="199"/>
  <c r="E68" i="199" s="1"/>
  <c r="C78" i="199"/>
  <c r="E78" i="199" s="1"/>
  <c r="F74" i="199"/>
  <c r="C71" i="199"/>
  <c r="E71" i="199" s="1"/>
  <c r="F66" i="199"/>
  <c r="F63" i="199"/>
  <c r="C61" i="199"/>
  <c r="E61" i="199" s="1"/>
  <c r="C60" i="199"/>
  <c r="E60" i="199" s="1"/>
  <c r="C59" i="199"/>
  <c r="E59" i="199" s="1"/>
  <c r="F38" i="199"/>
  <c r="F33" i="199"/>
  <c r="F14" i="199"/>
  <c r="C88" i="199"/>
  <c r="E88" i="199" s="1"/>
  <c r="C84" i="199"/>
  <c r="E84" i="199" s="1"/>
  <c r="C81" i="199"/>
  <c r="E81" i="199" s="1"/>
  <c r="F79" i="199"/>
  <c r="F77" i="199"/>
  <c r="F76" i="199"/>
  <c r="F57" i="199"/>
  <c r="F40" i="199"/>
  <c r="F34" i="199"/>
  <c r="F30" i="199"/>
  <c r="F27" i="199"/>
  <c r="F23" i="199"/>
  <c r="F19" i="199"/>
  <c r="F15" i="199"/>
  <c r="F11" i="199"/>
  <c r="G88" i="199"/>
  <c r="C86" i="199"/>
  <c r="E86" i="199" s="1"/>
  <c r="G84" i="199"/>
  <c r="C82" i="199"/>
  <c r="E82" i="199" s="1"/>
  <c r="G80" i="199"/>
  <c r="F78" i="199"/>
  <c r="G75" i="199"/>
  <c r="C74" i="199"/>
  <c r="E74" i="199" s="1"/>
  <c r="G72" i="199"/>
  <c r="F70" i="199"/>
  <c r="G67" i="199"/>
  <c r="C66" i="199"/>
  <c r="E66" i="199" s="1"/>
  <c r="C63" i="199"/>
  <c r="E63" i="199" s="1"/>
  <c r="F61" i="199"/>
  <c r="F60" i="199"/>
  <c r="F59" i="199"/>
  <c r="F87" i="199"/>
  <c r="F86" i="199"/>
  <c r="F83" i="199"/>
  <c r="F82" i="199"/>
  <c r="C79" i="199"/>
  <c r="E79" i="199" s="1"/>
  <c r="C70" i="199"/>
  <c r="E70" i="199" s="1"/>
  <c r="C56" i="199"/>
  <c r="E56" i="199" s="1"/>
  <c r="F39" i="199"/>
  <c r="F29" i="199"/>
  <c r="F28" i="199"/>
  <c r="F26" i="199"/>
  <c r="F22" i="199"/>
  <c r="F18" i="199"/>
  <c r="F10" i="199"/>
  <c r="C89" i="199"/>
  <c r="E89" i="199" s="1"/>
  <c r="C85" i="199"/>
  <c r="E85" i="199" s="1"/>
  <c r="C80" i="199"/>
  <c r="E80" i="199" s="1"/>
  <c r="C73" i="199"/>
  <c r="E73" i="199" s="1"/>
  <c r="C72" i="199"/>
  <c r="E72" i="199" s="1"/>
  <c r="F71" i="199"/>
  <c r="F69" i="199"/>
  <c r="F68" i="199"/>
  <c r="C65" i="199"/>
  <c r="E65" i="199" s="1"/>
  <c r="C62" i="199"/>
  <c r="E62" i="199" s="1"/>
  <c r="F58" i="199"/>
  <c r="G56" i="199"/>
  <c r="F41" i="199"/>
  <c r="F37" i="199"/>
  <c r="F35" i="199"/>
  <c r="F31" i="199"/>
  <c r="F24" i="199"/>
  <c r="F20" i="199"/>
  <c r="F16" i="199"/>
  <c r="F89" i="199"/>
  <c r="F88" i="199"/>
  <c r="G87" i="199"/>
  <c r="F85" i="199"/>
  <c r="F84" i="199"/>
  <c r="G83" i="199"/>
  <c r="F81" i="199"/>
  <c r="F80" i="199"/>
  <c r="C77" i="199"/>
  <c r="E77" i="199" s="1"/>
  <c r="F75" i="199"/>
  <c r="F73" i="199"/>
  <c r="F72" i="199"/>
  <c r="C69" i="199"/>
  <c r="E69" i="199" s="1"/>
  <c r="F67" i="199"/>
  <c r="F65" i="199"/>
  <c r="F64" i="199"/>
  <c r="G63" i="199"/>
  <c r="F62" i="199"/>
  <c r="C58" i="199"/>
  <c r="E58" i="199" s="1"/>
  <c r="C57" i="199"/>
  <c r="E57" i="199" s="1"/>
  <c r="G59" i="199"/>
  <c r="G86" i="199"/>
  <c r="G82" i="199"/>
  <c r="G78" i="199"/>
  <c r="G74" i="199"/>
  <c r="G70" i="199"/>
  <c r="G66" i="199"/>
  <c r="G62" i="199"/>
  <c r="G58" i="199"/>
  <c r="G89" i="199"/>
  <c r="G85" i="199"/>
  <c r="G81" i="199"/>
  <c r="G77" i="199"/>
  <c r="G73" i="199"/>
  <c r="G69" i="199"/>
  <c r="G65" i="199"/>
  <c r="G61" i="199"/>
  <c r="F8" i="199"/>
  <c r="F14" i="198"/>
  <c r="F11" i="196"/>
  <c r="H11" i="196" s="1"/>
  <c r="E65" i="197"/>
  <c r="G73" i="198"/>
  <c r="G54" i="198"/>
  <c r="G81" i="198"/>
  <c r="G57" i="198"/>
  <c r="G76" i="198"/>
  <c r="G65" i="198"/>
  <c r="C72" i="198"/>
  <c r="E72" i="198" s="1"/>
  <c r="C80" i="198"/>
  <c r="E80" i="198" s="1"/>
  <c r="C73" i="198"/>
  <c r="E73" i="198" s="1"/>
  <c r="C61" i="198"/>
  <c r="E61" i="198" s="1"/>
  <c r="F26" i="198"/>
  <c r="F10" i="198"/>
  <c r="F22" i="198"/>
  <c r="F34" i="198"/>
  <c r="F18" i="198"/>
  <c r="F79" i="198"/>
  <c r="C76" i="198"/>
  <c r="E76" i="198" s="1"/>
  <c r="C75" i="198"/>
  <c r="E75" i="198" s="1"/>
  <c r="F71" i="198"/>
  <c r="F68" i="198"/>
  <c r="C66" i="198"/>
  <c r="E66" i="198" s="1"/>
  <c r="C65" i="198"/>
  <c r="E65" i="198" s="1"/>
  <c r="C64" i="198"/>
  <c r="E64" i="198" s="1"/>
  <c r="F62" i="198"/>
  <c r="F61" i="198"/>
  <c r="F60" i="198"/>
  <c r="C58" i="198"/>
  <c r="E58" i="198" s="1"/>
  <c r="C57" i="198"/>
  <c r="E57" i="198" s="1"/>
  <c r="C53" i="198"/>
  <c r="E53" i="198" s="1"/>
  <c r="F35" i="198"/>
  <c r="F31" i="198"/>
  <c r="F15" i="198"/>
  <c r="F82" i="198"/>
  <c r="F81" i="198"/>
  <c r="C77" i="198"/>
  <c r="E77" i="198" s="1"/>
  <c r="F76" i="198"/>
  <c r="F74" i="198"/>
  <c r="F73" i="198"/>
  <c r="C70" i="198"/>
  <c r="E70" i="198" s="1"/>
  <c r="C67" i="198"/>
  <c r="E67" i="198" s="1"/>
  <c r="F63" i="198"/>
  <c r="C59" i="198"/>
  <c r="E59" i="198" s="1"/>
  <c r="F54" i="198"/>
  <c r="F36" i="198"/>
  <c r="F32" i="198"/>
  <c r="F28" i="198"/>
  <c r="F24" i="198"/>
  <c r="F20" i="198"/>
  <c r="F16" i="198"/>
  <c r="F12" i="198"/>
  <c r="F83" i="198"/>
  <c r="G80" i="198"/>
  <c r="C79" i="198"/>
  <c r="E79" i="198" s="1"/>
  <c r="G77" i="198"/>
  <c r="F75" i="198"/>
  <c r="G72" i="198"/>
  <c r="C71" i="198"/>
  <c r="E71" i="198" s="1"/>
  <c r="C68" i="198"/>
  <c r="E68" i="198" s="1"/>
  <c r="F66" i="198"/>
  <c r="F65" i="198"/>
  <c r="F64" i="198"/>
  <c r="C62" i="198"/>
  <c r="E62" i="198" s="1"/>
  <c r="C60" i="198"/>
  <c r="E60" i="198" s="1"/>
  <c r="F58" i="198"/>
  <c r="F57" i="198"/>
  <c r="F56" i="198"/>
  <c r="C83" i="198"/>
  <c r="E83" i="198" s="1"/>
  <c r="C56" i="198"/>
  <c r="E56" i="198" s="1"/>
  <c r="F27" i="198"/>
  <c r="F23" i="198"/>
  <c r="F19" i="198"/>
  <c r="F11" i="198"/>
  <c r="C78" i="198"/>
  <c r="E78" i="198" s="1"/>
  <c r="F55" i="198"/>
  <c r="G53" i="198"/>
  <c r="F38" i="198"/>
  <c r="F37" i="198"/>
  <c r="F33" i="198"/>
  <c r="F29" i="198"/>
  <c r="F25" i="198"/>
  <c r="F21" i="198"/>
  <c r="F17" i="198"/>
  <c r="F13" i="198"/>
  <c r="C82" i="198"/>
  <c r="E82" i="198" s="1"/>
  <c r="F80" i="198"/>
  <c r="F78" i="198"/>
  <c r="F77" i="198"/>
  <c r="C74" i="198"/>
  <c r="E74" i="198" s="1"/>
  <c r="F72" i="198"/>
  <c r="F70" i="198"/>
  <c r="F69" i="198"/>
  <c r="G68" i="198"/>
  <c r="F67" i="198"/>
  <c r="C63" i="198"/>
  <c r="E63" i="198" s="1"/>
  <c r="G61" i="198"/>
  <c r="F59" i="198"/>
  <c r="C55" i="198"/>
  <c r="E55" i="198" s="1"/>
  <c r="C54" i="198"/>
  <c r="E54" i="198" s="1"/>
  <c r="G64" i="198"/>
  <c r="G60" i="198"/>
  <c r="G56" i="198"/>
  <c r="G83" i="198"/>
  <c r="G79" i="198"/>
  <c r="G75" i="198"/>
  <c r="G71" i="198"/>
  <c r="G67" i="198"/>
  <c r="G63" i="198"/>
  <c r="G59" i="198"/>
  <c r="G55" i="198"/>
  <c r="G82" i="198"/>
  <c r="G78" i="198"/>
  <c r="G74" i="198"/>
  <c r="G70" i="198"/>
  <c r="G66" i="198"/>
  <c r="G62" i="198"/>
  <c r="G58" i="198"/>
  <c r="F8" i="198"/>
  <c r="C91" i="197"/>
  <c r="E91" i="197" s="1"/>
  <c r="C75" i="197"/>
  <c r="E75" i="197" s="1"/>
  <c r="C73" i="197"/>
  <c r="E73" i="197" s="1"/>
  <c r="F42" i="197"/>
  <c r="F24" i="197"/>
  <c r="G93" i="197"/>
  <c r="C89" i="197"/>
  <c r="E89" i="197" s="1"/>
  <c r="G77" i="197"/>
  <c r="F38" i="197"/>
  <c r="F20" i="197"/>
  <c r="G91" i="197"/>
  <c r="C87" i="197"/>
  <c r="E87" i="197" s="1"/>
  <c r="C85" i="197"/>
  <c r="E85" i="197" s="1"/>
  <c r="C79" i="197"/>
  <c r="E79" i="197" s="1"/>
  <c r="G75" i="197"/>
  <c r="C71" i="197"/>
  <c r="E71" i="197" s="1"/>
  <c r="C69" i="197"/>
  <c r="E69" i="197" s="1"/>
  <c r="C63" i="197"/>
  <c r="E63" i="197" s="1"/>
  <c r="G59" i="197"/>
  <c r="F32" i="197"/>
  <c r="F16" i="197"/>
  <c r="C93" i="197"/>
  <c r="E93" i="197" s="1"/>
  <c r="C90" i="197"/>
  <c r="E90" i="197" s="1"/>
  <c r="C77" i="197"/>
  <c r="E77" i="197" s="1"/>
  <c r="C74" i="197"/>
  <c r="E74" i="197" s="1"/>
  <c r="C61" i="197"/>
  <c r="E61" i="197" s="1"/>
  <c r="F28" i="197"/>
  <c r="F12" i="197"/>
  <c r="C88" i="197"/>
  <c r="E88" i="197" s="1"/>
  <c r="C72" i="197"/>
  <c r="E72" i="197" s="1"/>
  <c r="C62" i="197"/>
  <c r="E62" i="197" s="1"/>
  <c r="F58" i="197"/>
  <c r="F67" i="197"/>
  <c r="F68" i="197"/>
  <c r="F69" i="197"/>
  <c r="F70" i="197"/>
  <c r="F83" i="197"/>
  <c r="F84" i="197"/>
  <c r="F85" i="197"/>
  <c r="F86" i="197"/>
  <c r="F61" i="197"/>
  <c r="F62" i="197"/>
  <c r="F71" i="197"/>
  <c r="F72" i="197"/>
  <c r="F73" i="197"/>
  <c r="F74" i="197"/>
  <c r="F87" i="197"/>
  <c r="F88" i="197"/>
  <c r="F89" i="197"/>
  <c r="F90" i="197"/>
  <c r="F59" i="197"/>
  <c r="F60" i="197"/>
  <c r="F75" i="197"/>
  <c r="F76" i="197"/>
  <c r="F77" i="197"/>
  <c r="F78" i="197"/>
  <c r="F91" i="197"/>
  <c r="F92" i="197"/>
  <c r="F93" i="197"/>
  <c r="F63" i="197"/>
  <c r="F64" i="197"/>
  <c r="F65" i="197"/>
  <c r="F66" i="197"/>
  <c r="F79" i="197"/>
  <c r="F80" i="197"/>
  <c r="F81" i="197"/>
  <c r="F82" i="197"/>
  <c r="F43" i="197"/>
  <c r="F39" i="197"/>
  <c r="F33" i="197"/>
  <c r="F29" i="197"/>
  <c r="F25" i="197"/>
  <c r="F21" i="197"/>
  <c r="F17" i="197"/>
  <c r="F13" i="197"/>
  <c r="F9" i="197"/>
  <c r="G89" i="197"/>
  <c r="G87" i="197"/>
  <c r="C86" i="197"/>
  <c r="E86" i="197" s="1"/>
  <c r="C84" i="197"/>
  <c r="E84" i="197" s="1"/>
  <c r="G73" i="197"/>
  <c r="G71" i="197"/>
  <c r="C70" i="197"/>
  <c r="E70" i="197" s="1"/>
  <c r="C68" i="197"/>
  <c r="E68" i="197" s="1"/>
  <c r="G62" i="197"/>
  <c r="F40" i="197"/>
  <c r="F34" i="197"/>
  <c r="F30" i="197"/>
  <c r="F26" i="197"/>
  <c r="F22" i="197"/>
  <c r="F18" i="197"/>
  <c r="F14" i="197"/>
  <c r="F10" i="197"/>
  <c r="G85" i="197"/>
  <c r="G83" i="197"/>
  <c r="C83" i="197"/>
  <c r="E83" i="197" s="1"/>
  <c r="C82" i="197"/>
  <c r="E82" i="197" s="1"/>
  <c r="C81" i="197"/>
  <c r="E81" i="197" s="1"/>
  <c r="C80" i="197"/>
  <c r="E80" i="197" s="1"/>
  <c r="G69" i="197"/>
  <c r="G67" i="197"/>
  <c r="C67" i="197"/>
  <c r="E67" i="197" s="1"/>
  <c r="C66" i="197"/>
  <c r="E66" i="197" s="1"/>
  <c r="C64" i="197"/>
  <c r="E64" i="197" s="1"/>
  <c r="C58" i="197"/>
  <c r="E58" i="197" s="1"/>
  <c r="F41" i="197"/>
  <c r="F37" i="197"/>
  <c r="F36" i="197"/>
  <c r="F31" i="197"/>
  <c r="F27" i="197"/>
  <c r="F23" i="197"/>
  <c r="F19" i="197"/>
  <c r="F15" i="197"/>
  <c r="C92" i="197"/>
  <c r="E92" i="197" s="1"/>
  <c r="G81" i="197"/>
  <c r="G79" i="197"/>
  <c r="C78" i="197"/>
  <c r="E78" i="197" s="1"/>
  <c r="C76" i="197"/>
  <c r="E76" i="197" s="1"/>
  <c r="G65" i="197"/>
  <c r="G63" i="197"/>
  <c r="C60" i="197"/>
  <c r="E60" i="197" s="1"/>
  <c r="C59" i="197"/>
  <c r="E59" i="197" s="1"/>
  <c r="G61" i="197"/>
  <c r="G92" i="197"/>
  <c r="G88" i="197"/>
  <c r="G84" i="197"/>
  <c r="G80" i="197"/>
  <c r="G76" i="197"/>
  <c r="G72" i="197"/>
  <c r="G68" i="197"/>
  <c r="G64" i="197"/>
  <c r="G60" i="197"/>
  <c r="G90" i="197"/>
  <c r="G86" i="197"/>
  <c r="G82" i="197"/>
  <c r="G78" i="197"/>
  <c r="G74" i="197"/>
  <c r="G70" i="197"/>
  <c r="G66" i="197"/>
  <c r="F35" i="197"/>
  <c r="F8" i="197"/>
  <c r="E70" i="194"/>
  <c r="C65" i="196"/>
  <c r="E65" i="196" s="1"/>
  <c r="G53" i="196"/>
  <c r="F29" i="196"/>
  <c r="F25" i="196"/>
  <c r="F20" i="196"/>
  <c r="C63" i="196"/>
  <c r="E63" i="196" s="1"/>
  <c r="C61" i="196"/>
  <c r="E61" i="196" s="1"/>
  <c r="C55" i="196"/>
  <c r="E55" i="196" s="1"/>
  <c r="G51" i="196"/>
  <c r="C69" i="196"/>
  <c r="E69" i="196" s="1"/>
  <c r="F21" i="196"/>
  <c r="F16" i="196"/>
  <c r="H16" i="196" s="1"/>
  <c r="G69" i="196"/>
  <c r="C53" i="196"/>
  <c r="E53" i="196" s="1"/>
  <c r="F12" i="196"/>
  <c r="C77" i="196"/>
  <c r="E77" i="196" s="1"/>
  <c r="C75" i="196"/>
  <c r="E75" i="196" s="1"/>
  <c r="C73" i="196"/>
  <c r="E73" i="196" s="1"/>
  <c r="C71" i="196"/>
  <c r="E71" i="196" s="1"/>
  <c r="G67" i="196"/>
  <c r="F74" i="196"/>
  <c r="F71" i="196"/>
  <c r="C67" i="196"/>
  <c r="E67" i="196" s="1"/>
  <c r="C64" i="196"/>
  <c r="E64" i="196" s="1"/>
  <c r="F58" i="196"/>
  <c r="F56" i="196"/>
  <c r="C50" i="196"/>
  <c r="E50" i="196" s="1"/>
  <c r="H50" i="196" s="1"/>
  <c r="F32" i="196"/>
  <c r="F31" i="196"/>
  <c r="F30" i="196"/>
  <c r="F26" i="196"/>
  <c r="F22" i="196"/>
  <c r="F17" i="196"/>
  <c r="F13" i="196"/>
  <c r="F9" i="196"/>
  <c r="C76" i="196"/>
  <c r="E76" i="196" s="1"/>
  <c r="F70" i="196"/>
  <c r="F69" i="196"/>
  <c r="F68" i="196"/>
  <c r="F67" i="196"/>
  <c r="G65" i="196"/>
  <c r="G63" i="196"/>
  <c r="C62" i="196"/>
  <c r="E62" i="196" s="1"/>
  <c r="C60" i="196"/>
  <c r="E60" i="196" s="1"/>
  <c r="F54" i="196"/>
  <c r="F53" i="196"/>
  <c r="F52" i="196"/>
  <c r="F51" i="196"/>
  <c r="F33" i="196"/>
  <c r="F27" i="196"/>
  <c r="F23" i="196"/>
  <c r="F18" i="196"/>
  <c r="F14" i="196"/>
  <c r="F10" i="196"/>
  <c r="G77" i="196"/>
  <c r="G75" i="196"/>
  <c r="C74" i="196"/>
  <c r="E74" i="196" s="1"/>
  <c r="C72" i="196"/>
  <c r="E72" i="196" s="1"/>
  <c r="F66" i="196"/>
  <c r="F65" i="196"/>
  <c r="F64" i="196"/>
  <c r="F63" i="196"/>
  <c r="G61" i="196"/>
  <c r="G59" i="196"/>
  <c r="C59" i="196"/>
  <c r="E59" i="196" s="1"/>
  <c r="C58" i="196"/>
  <c r="E58" i="196" s="1"/>
  <c r="C57" i="196"/>
  <c r="E57" i="196" s="1"/>
  <c r="C56" i="196"/>
  <c r="E56" i="196" s="1"/>
  <c r="F73" i="196"/>
  <c r="F72" i="196"/>
  <c r="C66" i="196"/>
  <c r="E66" i="196" s="1"/>
  <c r="F57" i="196"/>
  <c r="F55" i="196"/>
  <c r="F35" i="196"/>
  <c r="F34" i="196"/>
  <c r="F28" i="196"/>
  <c r="F24" i="196"/>
  <c r="F19" i="196"/>
  <c r="F15" i="196"/>
  <c r="F77" i="196"/>
  <c r="F76" i="196"/>
  <c r="F75" i="196"/>
  <c r="G73" i="196"/>
  <c r="G71" i="196"/>
  <c r="C70" i="196"/>
  <c r="E70" i="196" s="1"/>
  <c r="C68" i="196"/>
  <c r="E68" i="196" s="1"/>
  <c r="F62" i="196"/>
  <c r="F61" i="196"/>
  <c r="F60" i="196"/>
  <c r="F59" i="196"/>
  <c r="G57" i="196"/>
  <c r="G55" i="196"/>
  <c r="C54" i="196"/>
  <c r="E54" i="196" s="1"/>
  <c r="C52" i="196"/>
  <c r="E52" i="196" s="1"/>
  <c r="C51" i="196"/>
  <c r="E51" i="196" s="1"/>
  <c r="G76" i="196"/>
  <c r="G72" i="196"/>
  <c r="G68" i="196"/>
  <c r="G64" i="196"/>
  <c r="G60" i="196"/>
  <c r="G56" i="196"/>
  <c r="G52" i="196"/>
  <c r="G74" i="196"/>
  <c r="G70" i="196"/>
  <c r="G66" i="196"/>
  <c r="G62" i="196"/>
  <c r="G58" i="196"/>
  <c r="G54" i="196"/>
  <c r="F8" i="196"/>
  <c r="C93" i="195"/>
  <c r="E93" i="195" s="1"/>
  <c r="F39" i="195"/>
  <c r="H39" i="195" s="1"/>
  <c r="F32" i="195"/>
  <c r="F24" i="195"/>
  <c r="F16" i="195"/>
  <c r="C96" i="195"/>
  <c r="E96" i="195" s="1"/>
  <c r="C88" i="195"/>
  <c r="E88" i="195" s="1"/>
  <c r="F84" i="195"/>
  <c r="C80" i="195"/>
  <c r="E80" i="195" s="1"/>
  <c r="F76" i="195"/>
  <c r="C73" i="195"/>
  <c r="E73" i="195" s="1"/>
  <c r="F68" i="195"/>
  <c r="C65" i="195"/>
  <c r="E65" i="195" s="1"/>
  <c r="F42" i="195"/>
  <c r="F27" i="195"/>
  <c r="H27" i="195" s="1"/>
  <c r="F19" i="195"/>
  <c r="F11" i="195"/>
  <c r="C94" i="195"/>
  <c r="E94" i="195" s="1"/>
  <c r="F87" i="195"/>
  <c r="F79" i="195"/>
  <c r="F69" i="195"/>
  <c r="F43" i="195"/>
  <c r="F28" i="195"/>
  <c r="H28" i="195" s="1"/>
  <c r="F20" i="195"/>
  <c r="F12" i="195"/>
  <c r="F96" i="195"/>
  <c r="C95" i="195"/>
  <c r="E95" i="195" s="1"/>
  <c r="F88" i="195"/>
  <c r="C84" i="195"/>
  <c r="E84" i="195" s="1"/>
  <c r="F80" i="195"/>
  <c r="C74" i="195"/>
  <c r="E74" i="195" s="1"/>
  <c r="F70" i="195"/>
  <c r="C66" i="195"/>
  <c r="E66" i="195" s="1"/>
  <c r="F46" i="195"/>
  <c r="F38" i="195"/>
  <c r="F31" i="195"/>
  <c r="F23" i="195"/>
  <c r="H23" i="195" s="1"/>
  <c r="F15" i="195"/>
  <c r="F91" i="195"/>
  <c r="F83" i="195"/>
  <c r="C72" i="195"/>
  <c r="E72" i="195" s="1"/>
  <c r="C69" i="195"/>
  <c r="E69" i="195" s="1"/>
  <c r="C64" i="195"/>
  <c r="E64" i="195" s="1"/>
  <c r="G95" i="195"/>
  <c r="C98" i="195"/>
  <c r="E98" i="195" s="1"/>
  <c r="C92" i="195"/>
  <c r="E92" i="195" s="1"/>
  <c r="C86" i="195"/>
  <c r="E86" i="195" s="1"/>
  <c r="C82" i="195"/>
  <c r="E82" i="195" s="1"/>
  <c r="C77" i="195"/>
  <c r="E77" i="195" s="1"/>
  <c r="C75" i="195"/>
  <c r="E75" i="195" s="1"/>
  <c r="F71" i="195"/>
  <c r="C67" i="195"/>
  <c r="E67" i="195" s="1"/>
  <c r="G65" i="195"/>
  <c r="F62" i="195"/>
  <c r="C61" i="195"/>
  <c r="E61" i="195" s="1"/>
  <c r="F44" i="195"/>
  <c r="F40" i="195"/>
  <c r="F36" i="195"/>
  <c r="F35" i="195"/>
  <c r="F33" i="195"/>
  <c r="H33" i="195" s="1"/>
  <c r="F29" i="195"/>
  <c r="F25" i="195"/>
  <c r="F21" i="195"/>
  <c r="F17" i="195"/>
  <c r="F13" i="195"/>
  <c r="F9" i="195"/>
  <c r="F99" i="195"/>
  <c r="G97" i="195"/>
  <c r="F94" i="195"/>
  <c r="F93" i="195"/>
  <c r="G92" i="195"/>
  <c r="C91" i="195"/>
  <c r="E91" i="195" s="1"/>
  <c r="G89" i="195"/>
  <c r="C87" i="195"/>
  <c r="E87" i="195" s="1"/>
  <c r="G85" i="195"/>
  <c r="C83" i="195"/>
  <c r="E83" i="195" s="1"/>
  <c r="G81" i="195"/>
  <c r="C79" i="195"/>
  <c r="E79" i="195" s="1"/>
  <c r="G77" i="195"/>
  <c r="C76" i="195"/>
  <c r="E76" i="195" s="1"/>
  <c r="F74" i="195"/>
  <c r="F73" i="195"/>
  <c r="F72" i="195"/>
  <c r="C70" i="195"/>
  <c r="E70" i="195" s="1"/>
  <c r="C68" i="195"/>
  <c r="E68" i="195" s="1"/>
  <c r="F66" i="195"/>
  <c r="F65" i="195"/>
  <c r="F64" i="195"/>
  <c r="G62" i="195"/>
  <c r="G99" i="195"/>
  <c r="C99" i="195"/>
  <c r="E99" i="195" s="1"/>
  <c r="C97" i="195"/>
  <c r="E97" i="195" s="1"/>
  <c r="F95" i="195"/>
  <c r="G93" i="195"/>
  <c r="C90" i="195"/>
  <c r="E90" i="195" s="1"/>
  <c r="C89" i="195"/>
  <c r="E89" i="195" s="1"/>
  <c r="C85" i="195"/>
  <c r="E85" i="195" s="1"/>
  <c r="C78" i="195"/>
  <c r="E78" i="195" s="1"/>
  <c r="G73" i="195"/>
  <c r="F63" i="195"/>
  <c r="F45" i="195"/>
  <c r="F41" i="195"/>
  <c r="F37" i="195"/>
  <c r="F34" i="195"/>
  <c r="F30" i="195"/>
  <c r="F26" i="195"/>
  <c r="F22" i="195"/>
  <c r="F18" i="195"/>
  <c r="F14" i="195"/>
  <c r="F98" i="195"/>
  <c r="F97" i="195"/>
  <c r="G96" i="195"/>
  <c r="F92" i="195"/>
  <c r="G91" i="195"/>
  <c r="F90" i="195"/>
  <c r="F89" i="195"/>
  <c r="G88" i="195"/>
  <c r="F86" i="195"/>
  <c r="F85" i="195"/>
  <c r="G84" i="195"/>
  <c r="F82" i="195"/>
  <c r="F81" i="195"/>
  <c r="G80" i="195"/>
  <c r="F78" i="195"/>
  <c r="F77" i="195"/>
  <c r="G76" i="195"/>
  <c r="F75" i="195"/>
  <c r="C71" i="195"/>
  <c r="E71" i="195" s="1"/>
  <c r="G69" i="195"/>
  <c r="F67" i="195"/>
  <c r="C63" i="195"/>
  <c r="E63" i="195" s="1"/>
  <c r="C62" i="195"/>
  <c r="E62" i="195" s="1"/>
  <c r="G72" i="195"/>
  <c r="G68" i="195"/>
  <c r="G64" i="195"/>
  <c r="G87" i="195"/>
  <c r="G83" i="195"/>
  <c r="G79" i="195"/>
  <c r="G75" i="195"/>
  <c r="G71" i="195"/>
  <c r="G67" i="195"/>
  <c r="G63" i="195"/>
  <c r="G98" i="195"/>
  <c r="G94" i="195"/>
  <c r="G90" i="195"/>
  <c r="G86" i="195"/>
  <c r="G82" i="195"/>
  <c r="G78" i="195"/>
  <c r="G74" i="195"/>
  <c r="G70" i="195"/>
  <c r="G66" i="195"/>
  <c r="F8" i="195"/>
  <c r="F11" i="191"/>
  <c r="F11" i="193"/>
  <c r="F10" i="190"/>
  <c r="E56" i="192"/>
  <c r="C94" i="194"/>
  <c r="E94" i="194" s="1"/>
  <c r="C78" i="194"/>
  <c r="E78" i="194" s="1"/>
  <c r="C61" i="194"/>
  <c r="E61" i="194" s="1"/>
  <c r="G96" i="194"/>
  <c r="C92" i="194"/>
  <c r="E92" i="194" s="1"/>
  <c r="G80" i="194"/>
  <c r="C76" i="194"/>
  <c r="E76" i="194" s="1"/>
  <c r="G64" i="194"/>
  <c r="C98" i="194"/>
  <c r="E98" i="194" s="1"/>
  <c r="G94" i="194"/>
  <c r="C86" i="194"/>
  <c r="E86" i="194" s="1"/>
  <c r="C84" i="194"/>
  <c r="E84" i="194" s="1"/>
  <c r="C82" i="194"/>
  <c r="E82" i="194" s="1"/>
  <c r="G78" i="194"/>
  <c r="C68" i="194"/>
  <c r="E68" i="194" s="1"/>
  <c r="C66" i="194"/>
  <c r="E66" i="194" s="1"/>
  <c r="G62" i="194"/>
  <c r="C96" i="194"/>
  <c r="E96" i="194" s="1"/>
  <c r="C93" i="194"/>
  <c r="E93" i="194" s="1"/>
  <c r="C80" i="194"/>
  <c r="E80" i="194" s="1"/>
  <c r="C77" i="194"/>
  <c r="E77" i="194" s="1"/>
  <c r="C64" i="194"/>
  <c r="E64" i="194" s="1"/>
  <c r="C91" i="194"/>
  <c r="E91" i="194" s="1"/>
  <c r="C75" i="194"/>
  <c r="E75" i="194" s="1"/>
  <c r="F61" i="194"/>
  <c r="F70" i="194"/>
  <c r="F71" i="194"/>
  <c r="F72" i="194"/>
  <c r="F73" i="194"/>
  <c r="F86" i="194"/>
  <c r="F87" i="194"/>
  <c r="F88" i="194"/>
  <c r="F89" i="194"/>
  <c r="F66" i="194"/>
  <c r="F67" i="194"/>
  <c r="F69" i="194"/>
  <c r="F82" i="194"/>
  <c r="F83" i="194"/>
  <c r="F85" i="194"/>
  <c r="F74" i="194"/>
  <c r="F75" i="194"/>
  <c r="F76" i="194"/>
  <c r="F77" i="194"/>
  <c r="F90" i="194"/>
  <c r="F91" i="194"/>
  <c r="F92" i="194"/>
  <c r="F93" i="194"/>
  <c r="F68" i="194"/>
  <c r="F98" i="194"/>
  <c r="F99" i="194"/>
  <c r="F62" i="194"/>
  <c r="F63" i="194"/>
  <c r="F64" i="194"/>
  <c r="F65" i="194"/>
  <c r="F78" i="194"/>
  <c r="F79" i="194"/>
  <c r="F80" i="194"/>
  <c r="F81" i="194"/>
  <c r="F94" i="194"/>
  <c r="F95" i="194"/>
  <c r="F96" i="194"/>
  <c r="F97" i="194"/>
  <c r="F84" i="194"/>
  <c r="F37" i="194"/>
  <c r="F28" i="194"/>
  <c r="F31" i="194"/>
  <c r="F23" i="194"/>
  <c r="F17" i="194"/>
  <c r="F13" i="194"/>
  <c r="F9" i="194"/>
  <c r="G92" i="194"/>
  <c r="G90" i="194"/>
  <c r="C90" i="194"/>
  <c r="E90" i="194" s="1"/>
  <c r="C89" i="194"/>
  <c r="E89" i="194" s="1"/>
  <c r="C88" i="194"/>
  <c r="E88" i="194" s="1"/>
  <c r="C87" i="194"/>
  <c r="E87" i="194" s="1"/>
  <c r="G76" i="194"/>
  <c r="C74" i="194"/>
  <c r="E74" i="194" s="1"/>
  <c r="C73" i="194"/>
  <c r="E73" i="194" s="1"/>
  <c r="C72" i="194"/>
  <c r="E72" i="194" s="1"/>
  <c r="C71" i="194"/>
  <c r="E71" i="194" s="1"/>
  <c r="F38" i="194"/>
  <c r="F36" i="194"/>
  <c r="F30" i="194"/>
  <c r="F22" i="194"/>
  <c r="F21" i="194"/>
  <c r="F20" i="194"/>
  <c r="F16" i="194"/>
  <c r="G61" i="194"/>
  <c r="F46" i="194"/>
  <c r="F45" i="194"/>
  <c r="F44" i="194"/>
  <c r="F34" i="194"/>
  <c r="F33" i="194"/>
  <c r="F32" i="194"/>
  <c r="F26" i="194"/>
  <c r="F25" i="194"/>
  <c r="F24" i="194"/>
  <c r="F18" i="194"/>
  <c r="F14" i="194"/>
  <c r="F10" i="194"/>
  <c r="C99" i="194"/>
  <c r="E99" i="194" s="1"/>
  <c r="G88" i="194"/>
  <c r="G86" i="194"/>
  <c r="C85" i="194"/>
  <c r="E85" i="194" s="1"/>
  <c r="C83" i="194"/>
  <c r="E83" i="194" s="1"/>
  <c r="G72" i="194"/>
  <c r="G70" i="194"/>
  <c r="C69" i="194"/>
  <c r="E69" i="194" s="1"/>
  <c r="C67" i="194"/>
  <c r="E67" i="194" s="1"/>
  <c r="F29" i="194"/>
  <c r="F12" i="194"/>
  <c r="F42" i="194"/>
  <c r="F41" i="194"/>
  <c r="F40" i="194"/>
  <c r="F35" i="194"/>
  <c r="F27" i="194"/>
  <c r="F19" i="194"/>
  <c r="F15" i="194"/>
  <c r="G98" i="194"/>
  <c r="C97" i="194"/>
  <c r="E97" i="194" s="1"/>
  <c r="C95" i="194"/>
  <c r="E95" i="194" s="1"/>
  <c r="G84" i="194"/>
  <c r="G82" i="194"/>
  <c r="C81" i="194"/>
  <c r="E81" i="194" s="1"/>
  <c r="C79" i="194"/>
  <c r="E79" i="194" s="1"/>
  <c r="G68" i="194"/>
  <c r="G66" i="194"/>
  <c r="C65" i="194"/>
  <c r="E65" i="194" s="1"/>
  <c r="C63" i="194"/>
  <c r="E63" i="194" s="1"/>
  <c r="C62" i="194"/>
  <c r="E62" i="194" s="1"/>
  <c r="G99" i="194"/>
  <c r="G95" i="194"/>
  <c r="G91" i="194"/>
  <c r="G87" i="194"/>
  <c r="G83" i="194"/>
  <c r="G79" i="194"/>
  <c r="G75" i="194"/>
  <c r="G71" i="194"/>
  <c r="G67" i="194"/>
  <c r="G63" i="194"/>
  <c r="G97" i="194"/>
  <c r="G93" i="194"/>
  <c r="G89" i="194"/>
  <c r="G85" i="194"/>
  <c r="G81" i="194"/>
  <c r="G77" i="194"/>
  <c r="G73" i="194"/>
  <c r="G69" i="194"/>
  <c r="G65" i="194"/>
  <c r="F43" i="194"/>
  <c r="F39" i="194"/>
  <c r="F8" i="194"/>
  <c r="F9" i="192"/>
  <c r="E52" i="191"/>
  <c r="F28" i="193"/>
  <c r="F44" i="193"/>
  <c r="E80" i="193"/>
  <c r="E96" i="193"/>
  <c r="E94" i="193"/>
  <c r="E78" i="193"/>
  <c r="C95" i="193"/>
  <c r="E95" i="193" s="1"/>
  <c r="C63" i="193"/>
  <c r="E63" i="193" s="1"/>
  <c r="F60" i="193"/>
  <c r="F68" i="193"/>
  <c r="F86" i="193"/>
  <c r="F87" i="193"/>
  <c r="F71" i="193"/>
  <c r="F85" i="193"/>
  <c r="F69" i="193"/>
  <c r="F70" i="193"/>
  <c r="F84" i="193"/>
  <c r="G60" i="193"/>
  <c r="F45" i="193"/>
  <c r="F29" i="193"/>
  <c r="F12" i="193"/>
  <c r="C93" i="193"/>
  <c r="E93" i="193" s="1"/>
  <c r="C76" i="193"/>
  <c r="E76" i="193" s="1"/>
  <c r="C74" i="193"/>
  <c r="E74" i="193" s="1"/>
  <c r="C68" i="193"/>
  <c r="E68" i="193" s="1"/>
  <c r="C66" i="193"/>
  <c r="E66" i="193" s="1"/>
  <c r="C64" i="193"/>
  <c r="E64" i="193" s="1"/>
  <c r="E70" i="193"/>
  <c r="F36" i="193"/>
  <c r="F20" i="193"/>
  <c r="H20" i="193" s="1"/>
  <c r="F13" i="193"/>
  <c r="C79" i="193"/>
  <c r="E79" i="193" s="1"/>
  <c r="F37" i="193"/>
  <c r="F21" i="193"/>
  <c r="F14" i="193"/>
  <c r="C92" i="193"/>
  <c r="E92" i="193" s="1"/>
  <c r="C90" i="193"/>
  <c r="E90" i="193" s="1"/>
  <c r="C84" i="193"/>
  <c r="E84" i="193" s="1"/>
  <c r="C82" i="193"/>
  <c r="E82" i="193" s="1"/>
  <c r="C77" i="193"/>
  <c r="E77" i="193" s="1"/>
  <c r="G96" i="193"/>
  <c r="G82" i="193"/>
  <c r="G80" i="193"/>
  <c r="G66" i="193"/>
  <c r="G64" i="193"/>
  <c r="G61" i="193"/>
  <c r="F39" i="193"/>
  <c r="F38" i="193"/>
  <c r="F31" i="193"/>
  <c r="F30" i="193"/>
  <c r="F23" i="193"/>
  <c r="F22" i="193"/>
  <c r="F15" i="193"/>
  <c r="F97" i="193"/>
  <c r="F96" i="193"/>
  <c r="G94" i="193"/>
  <c r="G92" i="193"/>
  <c r="C91" i="193"/>
  <c r="E91" i="193" s="1"/>
  <c r="C89" i="193"/>
  <c r="E89" i="193" s="1"/>
  <c r="F83" i="193"/>
  <c r="F82" i="193"/>
  <c r="F81" i="193"/>
  <c r="F80" i="193"/>
  <c r="G78" i="193"/>
  <c r="G76" i="193"/>
  <c r="C75" i="193"/>
  <c r="E75" i="193" s="1"/>
  <c r="C73" i="193"/>
  <c r="E73" i="193" s="1"/>
  <c r="F67" i="193"/>
  <c r="F66" i="193"/>
  <c r="F65" i="193"/>
  <c r="F64" i="193"/>
  <c r="F62" i="193"/>
  <c r="F61" i="193"/>
  <c r="C60" i="193"/>
  <c r="E60" i="193" s="1"/>
  <c r="F41" i="193"/>
  <c r="F40" i="193"/>
  <c r="H40" i="193" s="1"/>
  <c r="F33" i="193"/>
  <c r="F32" i="193"/>
  <c r="F25" i="193"/>
  <c r="F24" i="193"/>
  <c r="F18" i="193"/>
  <c r="F17" i="193"/>
  <c r="F16" i="193"/>
  <c r="F10" i="193"/>
  <c r="F9" i="193"/>
  <c r="F95" i="193"/>
  <c r="F94" i="193"/>
  <c r="F93" i="193"/>
  <c r="F92" i="193"/>
  <c r="G90" i="193"/>
  <c r="G88" i="193"/>
  <c r="C88" i="193"/>
  <c r="E88" i="193" s="1"/>
  <c r="C87" i="193"/>
  <c r="E87" i="193" s="1"/>
  <c r="C86" i="193"/>
  <c r="E86" i="193" s="1"/>
  <c r="C85" i="193"/>
  <c r="E85" i="193" s="1"/>
  <c r="F79" i="193"/>
  <c r="F78" i="193"/>
  <c r="F77" i="193"/>
  <c r="F76" i="193"/>
  <c r="G74" i="193"/>
  <c r="G72" i="193"/>
  <c r="C72" i="193"/>
  <c r="E72" i="193" s="1"/>
  <c r="C71" i="193"/>
  <c r="E71" i="193" s="1"/>
  <c r="C69" i="193"/>
  <c r="E69" i="193" s="1"/>
  <c r="F63" i="193"/>
  <c r="F43" i="193"/>
  <c r="F42" i="193"/>
  <c r="F35" i="193"/>
  <c r="F34" i="193"/>
  <c r="F27" i="193"/>
  <c r="F26" i="193"/>
  <c r="F19" i="193"/>
  <c r="C97" i="193"/>
  <c r="E97" i="193" s="1"/>
  <c r="F91" i="193"/>
  <c r="F90" i="193"/>
  <c r="F89" i="193"/>
  <c r="F88" i="193"/>
  <c r="G86" i="193"/>
  <c r="G84" i="193"/>
  <c r="C83" i="193"/>
  <c r="E83" i="193" s="1"/>
  <c r="C81" i="193"/>
  <c r="E81" i="193" s="1"/>
  <c r="F75" i="193"/>
  <c r="F74" i="193"/>
  <c r="F73" i="193"/>
  <c r="F72" i="193"/>
  <c r="G70" i="193"/>
  <c r="G68" i="193"/>
  <c r="C67" i="193"/>
  <c r="E67" i="193" s="1"/>
  <c r="C65" i="193"/>
  <c r="E65" i="193" s="1"/>
  <c r="C62" i="193"/>
  <c r="E62" i="193" s="1"/>
  <c r="C61" i="193"/>
  <c r="E61" i="193" s="1"/>
  <c r="G95" i="193"/>
  <c r="G91" i="193"/>
  <c r="G87" i="193"/>
  <c r="G83" i="193"/>
  <c r="G79" i="193"/>
  <c r="G75" i="193"/>
  <c r="G71" i="193"/>
  <c r="G67" i="193"/>
  <c r="G63" i="193"/>
  <c r="G62" i="193"/>
  <c r="G97" i="193"/>
  <c r="G93" i="193"/>
  <c r="G89" i="193"/>
  <c r="G85" i="193"/>
  <c r="G81" i="193"/>
  <c r="G77" i="193"/>
  <c r="G73" i="193"/>
  <c r="G69" i="193"/>
  <c r="G65" i="193"/>
  <c r="F8" i="193"/>
  <c r="C80" i="192"/>
  <c r="E80" i="192" s="1"/>
  <c r="C66" i="192"/>
  <c r="E66" i="192" s="1"/>
  <c r="C64" i="192"/>
  <c r="E64" i="192" s="1"/>
  <c r="C59" i="192"/>
  <c r="E59" i="192" s="1"/>
  <c r="F35" i="192"/>
  <c r="F23" i="192"/>
  <c r="C82" i="192"/>
  <c r="E82" i="192" s="1"/>
  <c r="C79" i="192"/>
  <c r="E79" i="192" s="1"/>
  <c r="F31" i="192"/>
  <c r="H31" i="192" s="1"/>
  <c r="G84" i="192"/>
  <c r="C71" i="192"/>
  <c r="E71" i="192" s="1"/>
  <c r="C67" i="192"/>
  <c r="E67" i="192" s="1"/>
  <c r="G60" i="192"/>
  <c r="G55" i="192"/>
  <c r="G82" i="192"/>
  <c r="C78" i="192"/>
  <c r="E78" i="192" s="1"/>
  <c r="C76" i="192"/>
  <c r="E76" i="192" s="1"/>
  <c r="G66" i="192"/>
  <c r="C62" i="192"/>
  <c r="E62" i="192" s="1"/>
  <c r="F15" i="192"/>
  <c r="C84" i="192"/>
  <c r="E84" i="192" s="1"/>
  <c r="C81" i="192"/>
  <c r="E81" i="192" s="1"/>
  <c r="G71" i="192"/>
  <c r="C65" i="192"/>
  <c r="E65" i="192" s="1"/>
  <c r="C60" i="192"/>
  <c r="E60" i="192" s="1"/>
  <c r="F54" i="192"/>
  <c r="F58" i="192"/>
  <c r="F63" i="192"/>
  <c r="F68" i="192"/>
  <c r="F69" i="192"/>
  <c r="F74" i="192"/>
  <c r="F75" i="192"/>
  <c r="F76" i="192"/>
  <c r="F77" i="192"/>
  <c r="F56" i="192"/>
  <c r="F62" i="192"/>
  <c r="F73" i="192"/>
  <c r="F59" i="192"/>
  <c r="F64" i="192"/>
  <c r="F65" i="192"/>
  <c r="F70" i="192"/>
  <c r="F78" i="192"/>
  <c r="F79" i="192"/>
  <c r="F80" i="192"/>
  <c r="F81" i="192"/>
  <c r="F57" i="192"/>
  <c r="F67" i="192"/>
  <c r="F72" i="192"/>
  <c r="F55" i="192"/>
  <c r="F60" i="192"/>
  <c r="F61" i="192"/>
  <c r="F66" i="192"/>
  <c r="F71" i="192"/>
  <c r="F82" i="192"/>
  <c r="F83" i="192"/>
  <c r="F84" i="192"/>
  <c r="F85" i="192"/>
  <c r="F39" i="192"/>
  <c r="F33" i="192"/>
  <c r="F32" i="192"/>
  <c r="F26" i="192"/>
  <c r="F25" i="192"/>
  <c r="F24" i="192"/>
  <c r="F18" i="192"/>
  <c r="F17" i="192"/>
  <c r="F16" i="192"/>
  <c r="F10" i="192"/>
  <c r="G80" i="192"/>
  <c r="G78" i="192"/>
  <c r="C77" i="192"/>
  <c r="E77" i="192" s="1"/>
  <c r="C75" i="192"/>
  <c r="E75" i="192" s="1"/>
  <c r="G70" i="192"/>
  <c r="C70" i="192"/>
  <c r="E70" i="192" s="1"/>
  <c r="C69" i="192"/>
  <c r="E69" i="192" s="1"/>
  <c r="C68" i="192"/>
  <c r="E68" i="192" s="1"/>
  <c r="G64" i="192"/>
  <c r="C63" i="192"/>
  <c r="E63" i="192" s="1"/>
  <c r="G59" i="192"/>
  <c r="F34" i="192"/>
  <c r="F27" i="192"/>
  <c r="F19" i="192"/>
  <c r="F11" i="192"/>
  <c r="G76" i="192"/>
  <c r="G74" i="192"/>
  <c r="C74" i="192"/>
  <c r="E74" i="192" s="1"/>
  <c r="C73" i="192"/>
  <c r="E73" i="192" s="1"/>
  <c r="C72" i="192"/>
  <c r="E72" i="192" s="1"/>
  <c r="G68" i="192"/>
  <c r="G63" i="192"/>
  <c r="G58" i="192"/>
  <c r="C58" i="192"/>
  <c r="E58" i="192" s="1"/>
  <c r="C57" i="192"/>
  <c r="E57" i="192" s="1"/>
  <c r="F8" i="192"/>
  <c r="C54" i="192"/>
  <c r="E54" i="192" s="1"/>
  <c r="F37" i="192"/>
  <c r="F36" i="192"/>
  <c r="F30" i="192"/>
  <c r="F29" i="192"/>
  <c r="F28" i="192"/>
  <c r="F22" i="192"/>
  <c r="F21" i="192"/>
  <c r="F20" i="192"/>
  <c r="F14" i="192"/>
  <c r="F13" i="192"/>
  <c r="F12" i="192"/>
  <c r="C85" i="192"/>
  <c r="E85" i="192" s="1"/>
  <c r="C83" i="192"/>
  <c r="E83" i="192" s="1"/>
  <c r="G72" i="192"/>
  <c r="G67" i="192"/>
  <c r="G62" i="192"/>
  <c r="C61" i="192"/>
  <c r="E61" i="192" s="1"/>
  <c r="G56" i="192"/>
  <c r="C55" i="192"/>
  <c r="E55" i="192" s="1"/>
  <c r="G85" i="192"/>
  <c r="G81" i="192"/>
  <c r="G77" i="192"/>
  <c r="G73" i="192"/>
  <c r="G69" i="192"/>
  <c r="G65" i="192"/>
  <c r="G61" i="192"/>
  <c r="G57" i="192"/>
  <c r="G83" i="192"/>
  <c r="G79" i="192"/>
  <c r="G75" i="192"/>
  <c r="F38" i="192"/>
  <c r="F24" i="191"/>
  <c r="C64" i="191"/>
  <c r="E64" i="191" s="1"/>
  <c r="C60" i="191"/>
  <c r="E60" i="191" s="1"/>
  <c r="F20" i="191"/>
  <c r="H20" i="191" s="1"/>
  <c r="C71" i="191"/>
  <c r="E71" i="191" s="1"/>
  <c r="C69" i="191"/>
  <c r="E69" i="191" s="1"/>
  <c r="G59" i="191"/>
  <c r="G56" i="191"/>
  <c r="C55" i="191"/>
  <c r="E55" i="191" s="1"/>
  <c r="C53" i="191"/>
  <c r="E53" i="191" s="1"/>
  <c r="G49" i="191"/>
  <c r="C48" i="191"/>
  <c r="E48" i="191" s="1"/>
  <c r="F32" i="191"/>
  <c r="H32" i="191" s="1"/>
  <c r="F16" i="191"/>
  <c r="C67" i="191"/>
  <c r="E67" i="191" s="1"/>
  <c r="C63" i="191"/>
  <c r="E63" i="191" s="1"/>
  <c r="C58" i="191"/>
  <c r="E58" i="191" s="1"/>
  <c r="C51" i="191"/>
  <c r="E51" i="191" s="1"/>
  <c r="F28" i="191"/>
  <c r="F12" i="191"/>
  <c r="C72" i="191"/>
  <c r="E72" i="191" s="1"/>
  <c r="C68" i="191"/>
  <c r="E68" i="191" s="1"/>
  <c r="C59" i="191"/>
  <c r="E59" i="191" s="1"/>
  <c r="C56" i="191"/>
  <c r="E56" i="191" s="1"/>
  <c r="F48" i="191"/>
  <c r="F54" i="191"/>
  <c r="F64" i="191"/>
  <c r="F65" i="191"/>
  <c r="F67" i="191"/>
  <c r="F70" i="191"/>
  <c r="F51" i="191"/>
  <c r="F52" i="191"/>
  <c r="F53" i="191"/>
  <c r="F55" i="191"/>
  <c r="F58" i="191"/>
  <c r="F68" i="191"/>
  <c r="F69" i="191"/>
  <c r="F71" i="191"/>
  <c r="F60" i="191"/>
  <c r="F61" i="191"/>
  <c r="F63" i="191"/>
  <c r="F66" i="191"/>
  <c r="F49" i="191"/>
  <c r="F50" i="191"/>
  <c r="F56" i="191"/>
  <c r="F57" i="191"/>
  <c r="F59" i="191"/>
  <c r="F62" i="191"/>
  <c r="F72" i="191"/>
  <c r="F73" i="191"/>
  <c r="F33" i="191"/>
  <c r="F29" i="191"/>
  <c r="F25" i="191"/>
  <c r="F21" i="191"/>
  <c r="F17" i="191"/>
  <c r="F13" i="191"/>
  <c r="F9" i="191"/>
  <c r="G71" i="191"/>
  <c r="C70" i="191"/>
  <c r="E70" i="191" s="1"/>
  <c r="G68" i="191"/>
  <c r="C65" i="191"/>
  <c r="E65" i="191" s="1"/>
  <c r="G55" i="191"/>
  <c r="C54" i="191"/>
  <c r="E54" i="191" s="1"/>
  <c r="G52" i="191"/>
  <c r="F30" i="191"/>
  <c r="F26" i="191"/>
  <c r="F22" i="191"/>
  <c r="F18" i="191"/>
  <c r="F14" i="191"/>
  <c r="F10" i="191"/>
  <c r="C73" i="191"/>
  <c r="E73" i="191" s="1"/>
  <c r="G67" i="191"/>
  <c r="C66" i="191"/>
  <c r="E66" i="191" s="1"/>
  <c r="G64" i="191"/>
  <c r="C61" i="191"/>
  <c r="E61" i="191" s="1"/>
  <c r="F31" i="191"/>
  <c r="F27" i="191"/>
  <c r="F23" i="191"/>
  <c r="F19" i="191"/>
  <c r="F15" i="191"/>
  <c r="G72" i="191"/>
  <c r="G63" i="191"/>
  <c r="C62" i="191"/>
  <c r="E62" i="191" s="1"/>
  <c r="G60" i="191"/>
  <c r="C57" i="191"/>
  <c r="E57" i="191" s="1"/>
  <c r="C50" i="191"/>
  <c r="E50" i="191" s="1"/>
  <c r="C49" i="191"/>
  <c r="E49" i="191" s="1"/>
  <c r="G51" i="191"/>
  <c r="G70" i="191"/>
  <c r="G66" i="191"/>
  <c r="G62" i="191"/>
  <c r="G58" i="191"/>
  <c r="G54" i="191"/>
  <c r="G50" i="191"/>
  <c r="G73" i="191"/>
  <c r="G69" i="191"/>
  <c r="G65" i="191"/>
  <c r="G61" i="191"/>
  <c r="G57" i="191"/>
  <c r="G53" i="191"/>
  <c r="F8" i="191"/>
  <c r="F8" i="189"/>
  <c r="F8" i="188"/>
  <c r="E68" i="190"/>
  <c r="C90" i="190"/>
  <c r="E90" i="190" s="1"/>
  <c r="C88" i="190"/>
  <c r="E88" i="190" s="1"/>
  <c r="F34" i="190"/>
  <c r="F27" i="190"/>
  <c r="F26" i="190"/>
  <c r="F20" i="190"/>
  <c r="F94" i="190"/>
  <c r="C86" i="190"/>
  <c r="E86" i="190" s="1"/>
  <c r="C84" i="190"/>
  <c r="E84" i="190" s="1"/>
  <c r="C80" i="190"/>
  <c r="E80" i="190" s="1"/>
  <c r="F75" i="190"/>
  <c r="C72" i="190"/>
  <c r="E72" i="190" s="1"/>
  <c r="F67" i="190"/>
  <c r="C64" i="190"/>
  <c r="E64" i="190" s="1"/>
  <c r="F30" i="190"/>
  <c r="F16" i="190"/>
  <c r="F95" i="190"/>
  <c r="C89" i="190"/>
  <c r="E89" i="190" s="1"/>
  <c r="F76" i="190"/>
  <c r="F68" i="190"/>
  <c r="F42" i="190"/>
  <c r="F12" i="190"/>
  <c r="F96" i="190"/>
  <c r="C94" i="190"/>
  <c r="E94" i="190" s="1"/>
  <c r="C92" i="190"/>
  <c r="E92" i="190" s="1"/>
  <c r="C87" i="190"/>
  <c r="E87" i="190" s="1"/>
  <c r="C81" i="190"/>
  <c r="E81" i="190" s="1"/>
  <c r="F77" i="190"/>
  <c r="C73" i="190"/>
  <c r="E73" i="190" s="1"/>
  <c r="F69" i="190"/>
  <c r="C65" i="190"/>
  <c r="E65" i="190" s="1"/>
  <c r="F38" i="190"/>
  <c r="F24" i="190"/>
  <c r="F97" i="190"/>
  <c r="C79" i="190"/>
  <c r="E79" i="190" s="1"/>
  <c r="C71" i="190"/>
  <c r="E71" i="190" s="1"/>
  <c r="C63" i="190"/>
  <c r="E63" i="190" s="1"/>
  <c r="G92" i="190"/>
  <c r="G90" i="190"/>
  <c r="G61" i="190"/>
  <c r="C60" i="190"/>
  <c r="E60" i="190" s="1"/>
  <c r="F43" i="190"/>
  <c r="F39" i="190"/>
  <c r="F35" i="190"/>
  <c r="F31" i="190"/>
  <c r="F25" i="190"/>
  <c r="F21" i="190"/>
  <c r="F17" i="190"/>
  <c r="F13" i="190"/>
  <c r="F9" i="190"/>
  <c r="F93" i="190"/>
  <c r="F92" i="190"/>
  <c r="F91" i="190"/>
  <c r="F90" i="190"/>
  <c r="G88" i="190"/>
  <c r="G86" i="190"/>
  <c r="C85" i="190"/>
  <c r="E85" i="190" s="1"/>
  <c r="C83" i="190"/>
  <c r="E83" i="190" s="1"/>
  <c r="C82" i="190"/>
  <c r="E82" i="190" s="1"/>
  <c r="G80" i="190"/>
  <c r="F78" i="190"/>
  <c r="C74" i="190"/>
  <c r="E74" i="190" s="1"/>
  <c r="G72" i="190"/>
  <c r="F70" i="190"/>
  <c r="C66" i="190"/>
  <c r="E66" i="190" s="1"/>
  <c r="G64" i="190"/>
  <c r="F62" i="190"/>
  <c r="F61" i="190"/>
  <c r="F44" i="190"/>
  <c r="F40" i="190"/>
  <c r="F36" i="190"/>
  <c r="F32" i="190"/>
  <c r="F22" i="190"/>
  <c r="F18" i="190"/>
  <c r="F14" i="190"/>
  <c r="C97" i="190"/>
  <c r="E97" i="190" s="1"/>
  <c r="C96" i="190"/>
  <c r="E96" i="190" s="1"/>
  <c r="C95" i="190"/>
  <c r="E95" i="190" s="1"/>
  <c r="F89" i="190"/>
  <c r="F88" i="190"/>
  <c r="F87" i="190"/>
  <c r="F86" i="190"/>
  <c r="G84" i="190"/>
  <c r="G82" i="190"/>
  <c r="F81" i="190"/>
  <c r="F80" i="190"/>
  <c r="F79" i="190"/>
  <c r="C77" i="190"/>
  <c r="E77" i="190" s="1"/>
  <c r="C76" i="190"/>
  <c r="E76" i="190" s="1"/>
  <c r="C75" i="190"/>
  <c r="E75" i="190" s="1"/>
  <c r="F73" i="190"/>
  <c r="F72" i="190"/>
  <c r="F71" i="190"/>
  <c r="C69" i="190"/>
  <c r="E69" i="190" s="1"/>
  <c r="C67" i="190"/>
  <c r="E67" i="190" s="1"/>
  <c r="F65" i="190"/>
  <c r="F64" i="190"/>
  <c r="F63" i="190"/>
  <c r="F8" i="190"/>
  <c r="F45" i="190"/>
  <c r="F41" i="190"/>
  <c r="F37" i="190"/>
  <c r="F33" i="190"/>
  <c r="F29" i="190"/>
  <c r="F23" i="190"/>
  <c r="F19" i="190"/>
  <c r="F15" i="190"/>
  <c r="F11" i="190"/>
  <c r="G96" i="190"/>
  <c r="G94" i="190"/>
  <c r="C93" i="190"/>
  <c r="E93" i="190" s="1"/>
  <c r="C91" i="190"/>
  <c r="E91" i="190" s="1"/>
  <c r="F85" i="190"/>
  <c r="F84" i="190"/>
  <c r="F83" i="190"/>
  <c r="F82" i="190"/>
  <c r="C78" i="190"/>
  <c r="E78" i="190" s="1"/>
  <c r="G76" i="190"/>
  <c r="F74" i="190"/>
  <c r="C70" i="190"/>
  <c r="E70" i="190" s="1"/>
  <c r="F66" i="190"/>
  <c r="C62" i="190"/>
  <c r="E62" i="190" s="1"/>
  <c r="C61" i="190"/>
  <c r="E61" i="190" s="1"/>
  <c r="G95" i="190"/>
  <c r="G91" i="190"/>
  <c r="G87" i="190"/>
  <c r="G83" i="190"/>
  <c r="G79" i="190"/>
  <c r="G75" i="190"/>
  <c r="G71" i="190"/>
  <c r="G67" i="190"/>
  <c r="G63" i="190"/>
  <c r="G78" i="190"/>
  <c r="G74" i="190"/>
  <c r="G70" i="190"/>
  <c r="G66" i="190"/>
  <c r="G62" i="190"/>
  <c r="G97" i="190"/>
  <c r="G93" i="190"/>
  <c r="G89" i="190"/>
  <c r="G85" i="190"/>
  <c r="G81" i="190"/>
  <c r="G77" i="190"/>
  <c r="G73" i="190"/>
  <c r="G69" i="190"/>
  <c r="G65" i="190"/>
  <c r="F28" i="190"/>
  <c r="G60" i="190"/>
  <c r="E82" i="187"/>
  <c r="F50" i="189"/>
  <c r="F52" i="189"/>
  <c r="F60" i="189"/>
  <c r="F68" i="189"/>
  <c r="F55" i="189"/>
  <c r="F63" i="189"/>
  <c r="F71" i="189"/>
  <c r="F59" i="189"/>
  <c r="F67" i="189"/>
  <c r="F56" i="189"/>
  <c r="F64" i="189"/>
  <c r="F72" i="189"/>
  <c r="F30" i="189"/>
  <c r="F14" i="189"/>
  <c r="F34" i="189"/>
  <c r="F18" i="189"/>
  <c r="F26" i="189"/>
  <c r="F10" i="189"/>
  <c r="C76" i="189"/>
  <c r="E76" i="189" s="1"/>
  <c r="C53" i="189"/>
  <c r="E53" i="189" s="1"/>
  <c r="F22" i="189"/>
  <c r="G50" i="189"/>
  <c r="G52" i="189"/>
  <c r="G56" i="189"/>
  <c r="G60" i="189"/>
  <c r="G64" i="189"/>
  <c r="G68" i="189"/>
  <c r="G72" i="189"/>
  <c r="G53" i="189"/>
  <c r="G57" i="189"/>
  <c r="G61" i="189"/>
  <c r="G65" i="189"/>
  <c r="G69" i="189"/>
  <c r="G73" i="189"/>
  <c r="G77" i="189"/>
  <c r="G76" i="189"/>
  <c r="G51" i="189"/>
  <c r="F35" i="189"/>
  <c r="F31" i="189"/>
  <c r="F27" i="189"/>
  <c r="F23" i="189"/>
  <c r="F19" i="189"/>
  <c r="F15" i="189"/>
  <c r="F11" i="189"/>
  <c r="C77" i="189"/>
  <c r="E77" i="189" s="1"/>
  <c r="F76" i="189"/>
  <c r="F75" i="189"/>
  <c r="C73" i="189"/>
  <c r="E73" i="189" s="1"/>
  <c r="C70" i="189"/>
  <c r="E70" i="189" s="1"/>
  <c r="C69" i="189"/>
  <c r="E69" i="189" s="1"/>
  <c r="C66" i="189"/>
  <c r="E66" i="189" s="1"/>
  <c r="C65" i="189"/>
  <c r="E65" i="189" s="1"/>
  <c r="C62" i="189"/>
  <c r="E62" i="189" s="1"/>
  <c r="C61" i="189"/>
  <c r="E61" i="189" s="1"/>
  <c r="C58" i="189"/>
  <c r="E58" i="189" s="1"/>
  <c r="C57" i="189"/>
  <c r="E57" i="189" s="1"/>
  <c r="C54" i="189"/>
  <c r="E54" i="189" s="1"/>
  <c r="F51" i="189"/>
  <c r="F32" i="189"/>
  <c r="F28" i="189"/>
  <c r="F24" i="189"/>
  <c r="F20" i="189"/>
  <c r="F16" i="189"/>
  <c r="F12" i="189"/>
  <c r="C72" i="189"/>
  <c r="E72" i="189" s="1"/>
  <c r="C71" i="189"/>
  <c r="E71" i="189" s="1"/>
  <c r="C68" i="189"/>
  <c r="E68" i="189" s="1"/>
  <c r="C67" i="189"/>
  <c r="E67" i="189" s="1"/>
  <c r="C64" i="189"/>
  <c r="E64" i="189" s="1"/>
  <c r="C63" i="189"/>
  <c r="E63" i="189" s="1"/>
  <c r="C60" i="189"/>
  <c r="E60" i="189" s="1"/>
  <c r="C59" i="189"/>
  <c r="E59" i="189" s="1"/>
  <c r="C56" i="189"/>
  <c r="E56" i="189" s="1"/>
  <c r="C55" i="189"/>
  <c r="E55" i="189" s="1"/>
  <c r="C50" i="189"/>
  <c r="E50" i="189" s="1"/>
  <c r="F33" i="189"/>
  <c r="F29" i="189"/>
  <c r="F25" i="189"/>
  <c r="F21" i="189"/>
  <c r="F17" i="189"/>
  <c r="F13" i="189"/>
  <c r="F9" i="189"/>
  <c r="F77" i="189"/>
  <c r="C75" i="189"/>
  <c r="E75" i="189" s="1"/>
  <c r="F73" i="189"/>
  <c r="F70" i="189"/>
  <c r="F69" i="189"/>
  <c r="F66" i="189"/>
  <c r="F65" i="189"/>
  <c r="F62" i="189"/>
  <c r="F61" i="189"/>
  <c r="F58" i="189"/>
  <c r="F57" i="189"/>
  <c r="F54" i="189"/>
  <c r="F53" i="189"/>
  <c r="C51" i="189"/>
  <c r="E51" i="189" s="1"/>
  <c r="C74" i="189"/>
  <c r="E74" i="189" s="1"/>
  <c r="G74" i="189"/>
  <c r="F74" i="189"/>
  <c r="G75" i="189"/>
  <c r="G71" i="189"/>
  <c r="G67" i="189"/>
  <c r="G63" i="189"/>
  <c r="G59" i="189"/>
  <c r="G55" i="189"/>
  <c r="G70" i="189"/>
  <c r="G66" i="189"/>
  <c r="G62" i="189"/>
  <c r="G58" i="189"/>
  <c r="G54" i="189"/>
  <c r="E55" i="186"/>
  <c r="E86" i="188"/>
  <c r="C90" i="188"/>
  <c r="E90" i="188" s="1"/>
  <c r="C88" i="188"/>
  <c r="E88" i="188" s="1"/>
  <c r="C82" i="188"/>
  <c r="E82" i="188" s="1"/>
  <c r="C80" i="188"/>
  <c r="E80" i="188" s="1"/>
  <c r="C74" i="188"/>
  <c r="E74" i="188" s="1"/>
  <c r="C72" i="188"/>
  <c r="E72" i="188" s="1"/>
  <c r="C66" i="188"/>
  <c r="E66" i="188" s="1"/>
  <c r="C64" i="188"/>
  <c r="E64" i="188" s="1"/>
  <c r="C60" i="188"/>
  <c r="E60" i="188" s="1"/>
  <c r="G57" i="188"/>
  <c r="G74" i="188"/>
  <c r="G76" i="188"/>
  <c r="G90" i="188"/>
  <c r="G88" i="188"/>
  <c r="G62" i="188"/>
  <c r="G64" i="188"/>
  <c r="G78" i="188"/>
  <c r="G80" i="188"/>
  <c r="G58" i="188"/>
  <c r="G60" i="188"/>
  <c r="G70" i="188"/>
  <c r="G72" i="188"/>
  <c r="G66" i="188"/>
  <c r="G68" i="188"/>
  <c r="G82" i="188"/>
  <c r="G84" i="188"/>
  <c r="G86" i="188"/>
  <c r="F34" i="188"/>
  <c r="F26" i="188"/>
  <c r="F25" i="188"/>
  <c r="F24" i="188"/>
  <c r="F18" i="188"/>
  <c r="F10" i="188"/>
  <c r="F36" i="188"/>
  <c r="F35" i="188"/>
  <c r="F28" i="188"/>
  <c r="F27" i="188"/>
  <c r="F19" i="188"/>
  <c r="F11" i="188"/>
  <c r="F89" i="188"/>
  <c r="F88" i="188"/>
  <c r="F87" i="188"/>
  <c r="F86" i="188"/>
  <c r="C81" i="188"/>
  <c r="E81" i="188" s="1"/>
  <c r="C79" i="188"/>
  <c r="E79" i="188" s="1"/>
  <c r="F73" i="188"/>
  <c r="F72" i="188"/>
  <c r="F71" i="188"/>
  <c r="F70" i="188"/>
  <c r="C65" i="188"/>
  <c r="E65" i="188" s="1"/>
  <c r="C63" i="188"/>
  <c r="E63" i="188" s="1"/>
  <c r="C62" i="188"/>
  <c r="E62" i="188" s="1"/>
  <c r="F60" i="188"/>
  <c r="F59" i="188"/>
  <c r="F58" i="188"/>
  <c r="F42" i="188"/>
  <c r="F91" i="188"/>
  <c r="F90" i="188"/>
  <c r="C85" i="188"/>
  <c r="E85" i="188" s="1"/>
  <c r="C84" i="188"/>
  <c r="E84" i="188" s="1"/>
  <c r="F77" i="188"/>
  <c r="F76" i="188"/>
  <c r="F75" i="188"/>
  <c r="F74" i="188"/>
  <c r="C70" i="188"/>
  <c r="E70" i="188" s="1"/>
  <c r="C69" i="188"/>
  <c r="E69" i="188" s="1"/>
  <c r="C68" i="188"/>
  <c r="E68" i="188" s="1"/>
  <c r="C67" i="188"/>
  <c r="E67" i="188" s="1"/>
  <c r="C57" i="188"/>
  <c r="E57" i="188" s="1"/>
  <c r="F38" i="188"/>
  <c r="F37" i="188"/>
  <c r="F30" i="188"/>
  <c r="F29" i="188"/>
  <c r="F22" i="188"/>
  <c r="F21" i="188"/>
  <c r="F20" i="188"/>
  <c r="F14" i="188"/>
  <c r="F13" i="188"/>
  <c r="F12" i="188"/>
  <c r="C91" i="188"/>
  <c r="E91" i="188" s="1"/>
  <c r="F85" i="188"/>
  <c r="F84" i="188"/>
  <c r="F83" i="188"/>
  <c r="F82" i="188"/>
  <c r="C78" i="188"/>
  <c r="E78" i="188" s="1"/>
  <c r="C77" i="188"/>
  <c r="E77" i="188" s="1"/>
  <c r="C76" i="188"/>
  <c r="E76" i="188" s="1"/>
  <c r="C75" i="188"/>
  <c r="E75" i="188" s="1"/>
  <c r="F69" i="188"/>
  <c r="F68" i="188"/>
  <c r="F67" i="188"/>
  <c r="F66" i="188"/>
  <c r="F41" i="188"/>
  <c r="F33" i="188"/>
  <c r="F17" i="188"/>
  <c r="F16" i="188"/>
  <c r="F9" i="188"/>
  <c r="C83" i="188"/>
  <c r="E83" i="188" s="1"/>
  <c r="F40" i="188"/>
  <c r="F39" i="188"/>
  <c r="F32" i="188"/>
  <c r="F31" i="188"/>
  <c r="F23" i="188"/>
  <c r="F15" i="188"/>
  <c r="C89" i="188"/>
  <c r="E89" i="188" s="1"/>
  <c r="C87" i="188"/>
  <c r="E87" i="188" s="1"/>
  <c r="F81" i="188"/>
  <c r="F80" i="188"/>
  <c r="F79" i="188"/>
  <c r="F78" i="188"/>
  <c r="C73" i="188"/>
  <c r="E73" i="188" s="1"/>
  <c r="C71" i="188"/>
  <c r="E71" i="188" s="1"/>
  <c r="F65" i="188"/>
  <c r="F64" i="188"/>
  <c r="F63" i="188"/>
  <c r="F62" i="188"/>
  <c r="C61" i="188"/>
  <c r="E61" i="188" s="1"/>
  <c r="C59" i="188"/>
  <c r="E59" i="188" s="1"/>
  <c r="C58" i="188"/>
  <c r="E58" i="188" s="1"/>
  <c r="G91" i="188"/>
  <c r="G87" i="188"/>
  <c r="G83" i="188"/>
  <c r="G79" i="188"/>
  <c r="G75" i="188"/>
  <c r="G71" i="188"/>
  <c r="G67" i="188"/>
  <c r="G63" i="188"/>
  <c r="G59" i="188"/>
  <c r="F61" i="188"/>
  <c r="G89" i="188"/>
  <c r="G85" i="188"/>
  <c r="G81" i="188"/>
  <c r="G77" i="188"/>
  <c r="G73" i="188"/>
  <c r="G69" i="188"/>
  <c r="G65" i="188"/>
  <c r="G61" i="188"/>
  <c r="F8" i="186"/>
  <c r="G58" i="187"/>
  <c r="C80" i="187"/>
  <c r="E80" i="187" s="1"/>
  <c r="C78" i="187"/>
  <c r="E78" i="187" s="1"/>
  <c r="C70" i="187"/>
  <c r="E70" i="187" s="1"/>
  <c r="C66" i="187"/>
  <c r="E66" i="187" s="1"/>
  <c r="C62" i="187"/>
  <c r="E62" i="187" s="1"/>
  <c r="F40" i="187"/>
  <c r="F36" i="187"/>
  <c r="F32" i="187"/>
  <c r="F28" i="187"/>
  <c r="F24" i="187"/>
  <c r="F18" i="187"/>
  <c r="F11" i="187"/>
  <c r="G92" i="187"/>
  <c r="C92" i="187"/>
  <c r="E92" i="187" s="1"/>
  <c r="C91" i="187"/>
  <c r="E91" i="187" s="1"/>
  <c r="C90" i="187"/>
  <c r="E90" i="187" s="1"/>
  <c r="C89" i="187"/>
  <c r="E89" i="187" s="1"/>
  <c r="F83" i="187"/>
  <c r="F82" i="187"/>
  <c r="F81" i="187"/>
  <c r="F80" i="187"/>
  <c r="G78" i="187"/>
  <c r="G76" i="187"/>
  <c r="C76" i="187"/>
  <c r="E76" i="187" s="1"/>
  <c r="C75" i="187"/>
  <c r="E75" i="187" s="1"/>
  <c r="C74" i="187"/>
  <c r="E74" i="187" s="1"/>
  <c r="C73" i="187"/>
  <c r="E73" i="187" s="1"/>
  <c r="F69" i="187"/>
  <c r="F68" i="187"/>
  <c r="F65" i="187"/>
  <c r="C63" i="187"/>
  <c r="E63" i="187" s="1"/>
  <c r="C61" i="187"/>
  <c r="E61" i="187" s="1"/>
  <c r="G59" i="187"/>
  <c r="C58" i="187"/>
  <c r="E58" i="187" s="1"/>
  <c r="F41" i="187"/>
  <c r="F37" i="187"/>
  <c r="F33" i="187"/>
  <c r="F29" i="187"/>
  <c r="F25" i="187"/>
  <c r="F19" i="187"/>
  <c r="F15" i="187"/>
  <c r="F14" i="187"/>
  <c r="F12" i="187"/>
  <c r="H12" i="187" s="1"/>
  <c r="F93" i="187"/>
  <c r="F92" i="187"/>
  <c r="G90" i="187"/>
  <c r="G88" i="187"/>
  <c r="C88" i="187"/>
  <c r="E88" i="187" s="1"/>
  <c r="C87" i="187"/>
  <c r="E87" i="187" s="1"/>
  <c r="C86" i="187"/>
  <c r="E86" i="187" s="1"/>
  <c r="C85" i="187"/>
  <c r="E85" i="187" s="1"/>
  <c r="F79" i="187"/>
  <c r="F78" i="187"/>
  <c r="F77" i="187"/>
  <c r="F76" i="187"/>
  <c r="G74" i="187"/>
  <c r="G72" i="187"/>
  <c r="C72" i="187"/>
  <c r="E72" i="187" s="1"/>
  <c r="C71" i="187"/>
  <c r="E71" i="187" s="1"/>
  <c r="C67" i="187"/>
  <c r="E67" i="187" s="1"/>
  <c r="C64" i="187"/>
  <c r="E64" i="187" s="1"/>
  <c r="G62" i="187"/>
  <c r="F60" i="187"/>
  <c r="F59" i="187"/>
  <c r="F42" i="187"/>
  <c r="F38" i="187"/>
  <c r="F34" i="187"/>
  <c r="F30" i="187"/>
  <c r="F26" i="187"/>
  <c r="F20" i="187"/>
  <c r="F16" i="187"/>
  <c r="F13" i="187"/>
  <c r="F9" i="187"/>
  <c r="F91" i="187"/>
  <c r="F90" i="187"/>
  <c r="F89" i="187"/>
  <c r="F88" i="187"/>
  <c r="G86" i="187"/>
  <c r="G84" i="187"/>
  <c r="C84" i="187"/>
  <c r="E84" i="187" s="1"/>
  <c r="C83" i="187"/>
  <c r="E83" i="187" s="1"/>
  <c r="C81" i="187"/>
  <c r="E81" i="187" s="1"/>
  <c r="F75" i="187"/>
  <c r="F74" i="187"/>
  <c r="F73" i="187"/>
  <c r="F72" i="187"/>
  <c r="G70" i="187"/>
  <c r="C69" i="187"/>
  <c r="E69" i="187" s="1"/>
  <c r="C68" i="187"/>
  <c r="E68" i="187" s="1"/>
  <c r="G66" i="187"/>
  <c r="C65" i="187"/>
  <c r="E65" i="187" s="1"/>
  <c r="F63" i="187"/>
  <c r="F62" i="187"/>
  <c r="F61" i="187"/>
  <c r="F43" i="187"/>
  <c r="F39" i="187"/>
  <c r="F35" i="187"/>
  <c r="F31" i="187"/>
  <c r="F27" i="187"/>
  <c r="F21" i="187"/>
  <c r="F17" i="187"/>
  <c r="C93" i="187"/>
  <c r="E93" i="187" s="1"/>
  <c r="F87" i="187"/>
  <c r="F86" i="187"/>
  <c r="F85" i="187"/>
  <c r="F84" i="187"/>
  <c r="G82" i="187"/>
  <c r="G80" i="187"/>
  <c r="C79" i="187"/>
  <c r="E79" i="187" s="1"/>
  <c r="C77" i="187"/>
  <c r="E77" i="187" s="1"/>
  <c r="F71" i="187"/>
  <c r="F70" i="187"/>
  <c r="G69" i="187"/>
  <c r="G68" i="187"/>
  <c r="F67" i="187"/>
  <c r="F66" i="187"/>
  <c r="G65" i="187"/>
  <c r="F64" i="187"/>
  <c r="C60" i="187"/>
  <c r="E60" i="187" s="1"/>
  <c r="C59" i="187"/>
  <c r="E59" i="187" s="1"/>
  <c r="G93" i="187"/>
  <c r="G89" i="187"/>
  <c r="G85" i="187"/>
  <c r="G81" i="187"/>
  <c r="G77" i="187"/>
  <c r="G73" i="187"/>
  <c r="G61" i="187"/>
  <c r="G64" i="187"/>
  <c r="G60" i="187"/>
  <c r="G91" i="187"/>
  <c r="G87" i="187"/>
  <c r="G83" i="187"/>
  <c r="G79" i="187"/>
  <c r="G75" i="187"/>
  <c r="G71" i="187"/>
  <c r="G67" i="187"/>
  <c r="G63" i="187"/>
  <c r="F23" i="187"/>
  <c r="F22" i="187"/>
  <c r="F8" i="187"/>
  <c r="F51" i="186"/>
  <c r="F55" i="186"/>
  <c r="F63" i="186"/>
  <c r="F66" i="186"/>
  <c r="F60" i="186"/>
  <c r="F59" i="186"/>
  <c r="F72" i="186"/>
  <c r="F77" i="186"/>
  <c r="F56" i="186"/>
  <c r="F64" i="186"/>
  <c r="F71" i="186"/>
  <c r="F31" i="186"/>
  <c r="F15" i="186"/>
  <c r="C70" i="186"/>
  <c r="E70" i="186" s="1"/>
  <c r="F27" i="186"/>
  <c r="H27" i="186" s="1"/>
  <c r="F11" i="186"/>
  <c r="C79" i="186"/>
  <c r="E79" i="186" s="1"/>
  <c r="C74" i="186"/>
  <c r="E74" i="186" s="1"/>
  <c r="C66" i="186"/>
  <c r="E66" i="186" s="1"/>
  <c r="C58" i="186"/>
  <c r="E58" i="186" s="1"/>
  <c r="F23" i="186"/>
  <c r="C71" i="186"/>
  <c r="E71" i="186" s="1"/>
  <c r="F35" i="186"/>
  <c r="F19" i="186"/>
  <c r="C77" i="186"/>
  <c r="E77" i="186" s="1"/>
  <c r="C75" i="186"/>
  <c r="E75" i="186" s="1"/>
  <c r="C62" i="186"/>
  <c r="E62" i="186" s="1"/>
  <c r="C54" i="186"/>
  <c r="E54" i="186" s="1"/>
  <c r="G51" i="186"/>
  <c r="G55" i="186"/>
  <c r="G59" i="186"/>
  <c r="G63" i="186"/>
  <c r="G66" i="186"/>
  <c r="G71" i="186"/>
  <c r="G77" i="186"/>
  <c r="G75" i="186"/>
  <c r="G67" i="186"/>
  <c r="G73" i="186"/>
  <c r="G78" i="186"/>
  <c r="G58" i="186"/>
  <c r="G62" i="186"/>
  <c r="G70" i="186"/>
  <c r="G69" i="186"/>
  <c r="G74" i="186"/>
  <c r="G79" i="186"/>
  <c r="G52" i="186"/>
  <c r="G54" i="186"/>
  <c r="G65" i="186"/>
  <c r="F36" i="186"/>
  <c r="F32" i="186"/>
  <c r="F28" i="186"/>
  <c r="F24" i="186"/>
  <c r="F20" i="186"/>
  <c r="F16" i="186"/>
  <c r="F12" i="186"/>
  <c r="C78" i="186"/>
  <c r="E78" i="186" s="1"/>
  <c r="F76" i="186"/>
  <c r="F75" i="186"/>
  <c r="F70" i="186"/>
  <c r="C69" i="186"/>
  <c r="E69" i="186" s="1"/>
  <c r="C68" i="186"/>
  <c r="E68" i="186" s="1"/>
  <c r="C67" i="186"/>
  <c r="E67" i="186" s="1"/>
  <c r="F65" i="186"/>
  <c r="F62" i="186"/>
  <c r="F61" i="186"/>
  <c r="F58" i="186"/>
  <c r="F57" i="186"/>
  <c r="F54" i="186"/>
  <c r="F53" i="186"/>
  <c r="F52" i="186"/>
  <c r="F33" i="186"/>
  <c r="F29" i="186"/>
  <c r="F25" i="186"/>
  <c r="F21" i="186"/>
  <c r="F17" i="186"/>
  <c r="F13" i="186"/>
  <c r="F9" i="186"/>
  <c r="F79" i="186"/>
  <c r="F74" i="186"/>
  <c r="C73" i="186"/>
  <c r="E73" i="186" s="1"/>
  <c r="C72" i="186"/>
  <c r="E72" i="186" s="1"/>
  <c r="F69" i="186"/>
  <c r="C64" i="186"/>
  <c r="E64" i="186" s="1"/>
  <c r="C63" i="186"/>
  <c r="E63" i="186" s="1"/>
  <c r="C60" i="186"/>
  <c r="E60" i="186" s="1"/>
  <c r="C59" i="186"/>
  <c r="E59" i="186" s="1"/>
  <c r="C56" i="186"/>
  <c r="E56" i="186" s="1"/>
  <c r="C51" i="186"/>
  <c r="E51" i="186" s="1"/>
  <c r="F34" i="186"/>
  <c r="F30" i="186"/>
  <c r="F26" i="186"/>
  <c r="F22" i="186"/>
  <c r="F18" i="186"/>
  <c r="F14" i="186"/>
  <c r="F10" i="186"/>
  <c r="F78" i="186"/>
  <c r="C76" i="186"/>
  <c r="E76" i="186" s="1"/>
  <c r="F73" i="186"/>
  <c r="F68" i="186"/>
  <c r="F67" i="186"/>
  <c r="C65" i="186"/>
  <c r="E65" i="186" s="1"/>
  <c r="C61" i="186"/>
  <c r="E61" i="186" s="1"/>
  <c r="C57" i="186"/>
  <c r="E57" i="186" s="1"/>
  <c r="C53" i="186"/>
  <c r="E53" i="186" s="1"/>
  <c r="C52" i="186"/>
  <c r="E52" i="186" s="1"/>
  <c r="G61" i="186"/>
  <c r="G57" i="186"/>
  <c r="G53" i="186"/>
  <c r="G76" i="186"/>
  <c r="G72" i="186"/>
  <c r="G68" i="186"/>
  <c r="G64" i="186"/>
  <c r="G60" i="186"/>
  <c r="G56" i="186"/>
  <c r="B60" i="185"/>
  <c r="D60" i="185"/>
  <c r="B61" i="185"/>
  <c r="D61" i="185"/>
  <c r="B62" i="185"/>
  <c r="D62" i="185"/>
  <c r="B63" i="185"/>
  <c r="D63" i="185"/>
  <c r="B64" i="185"/>
  <c r="D64" i="185"/>
  <c r="B65" i="185"/>
  <c r="D65" i="185"/>
  <c r="B66" i="185"/>
  <c r="D66" i="185"/>
  <c r="B67" i="185"/>
  <c r="D67" i="185"/>
  <c r="B68" i="185"/>
  <c r="D68" i="185"/>
  <c r="B69" i="185"/>
  <c r="D69" i="185"/>
  <c r="B70" i="185"/>
  <c r="D70" i="185"/>
  <c r="B71" i="185"/>
  <c r="D71" i="185"/>
  <c r="B72" i="185"/>
  <c r="D72" i="185"/>
  <c r="B73" i="185"/>
  <c r="D73" i="185"/>
  <c r="B74" i="185"/>
  <c r="D74" i="185"/>
  <c r="B75" i="185"/>
  <c r="D75" i="185"/>
  <c r="B76" i="185"/>
  <c r="D76" i="185"/>
  <c r="B77" i="185"/>
  <c r="D77" i="185"/>
  <c r="B78" i="185"/>
  <c r="D78" i="185"/>
  <c r="B79" i="185"/>
  <c r="D79" i="185"/>
  <c r="B80" i="185"/>
  <c r="D80" i="185"/>
  <c r="B81" i="185"/>
  <c r="D81" i="185"/>
  <c r="B82" i="185"/>
  <c r="D82" i="185"/>
  <c r="B83" i="185"/>
  <c r="D83" i="185"/>
  <c r="B84" i="185"/>
  <c r="D84" i="185"/>
  <c r="B85" i="185"/>
  <c r="D85" i="185"/>
  <c r="B86" i="185"/>
  <c r="D86" i="185"/>
  <c r="B87" i="185"/>
  <c r="D87" i="185"/>
  <c r="B88" i="185"/>
  <c r="D88" i="185"/>
  <c r="B89" i="185"/>
  <c r="D89" i="185"/>
  <c r="B90" i="185"/>
  <c r="D90" i="185"/>
  <c r="B91" i="185"/>
  <c r="D91" i="185"/>
  <c r="B92" i="185"/>
  <c r="D92" i="185"/>
  <c r="B93" i="185"/>
  <c r="D93" i="185"/>
  <c r="B94" i="185"/>
  <c r="D94" i="185"/>
  <c r="B95" i="185"/>
  <c r="D95" i="185"/>
  <c r="B9" i="185"/>
  <c r="C9" i="185" s="1"/>
  <c r="E9" i="185" s="1"/>
  <c r="B10" i="185"/>
  <c r="C10" i="185" s="1"/>
  <c r="E10" i="185" s="1"/>
  <c r="B11" i="185"/>
  <c r="C11" i="185" s="1"/>
  <c r="E11" i="185" s="1"/>
  <c r="B12" i="185"/>
  <c r="C12" i="185" s="1"/>
  <c r="E12" i="185" s="1"/>
  <c r="B13" i="185"/>
  <c r="C13" i="185" s="1"/>
  <c r="E13" i="185" s="1"/>
  <c r="B14" i="185"/>
  <c r="C14" i="185" s="1"/>
  <c r="E14" i="185" s="1"/>
  <c r="B15" i="185"/>
  <c r="C15" i="185" s="1"/>
  <c r="E15" i="185" s="1"/>
  <c r="B16" i="185"/>
  <c r="C16" i="185" s="1"/>
  <c r="E16" i="185" s="1"/>
  <c r="B17" i="185"/>
  <c r="C17" i="185" s="1"/>
  <c r="E17" i="185" s="1"/>
  <c r="B18" i="185"/>
  <c r="C18" i="185" s="1"/>
  <c r="E18" i="185" s="1"/>
  <c r="B19" i="185"/>
  <c r="C19" i="185" s="1"/>
  <c r="E19" i="185" s="1"/>
  <c r="B20" i="185"/>
  <c r="C20" i="185" s="1"/>
  <c r="E20" i="185" s="1"/>
  <c r="B21" i="185"/>
  <c r="C21" i="185" s="1"/>
  <c r="E21" i="185" s="1"/>
  <c r="B22" i="185"/>
  <c r="C22" i="185" s="1"/>
  <c r="E22" i="185" s="1"/>
  <c r="B23" i="185"/>
  <c r="C23" i="185" s="1"/>
  <c r="E23" i="185" s="1"/>
  <c r="B24" i="185"/>
  <c r="C24" i="185" s="1"/>
  <c r="E24" i="185" s="1"/>
  <c r="B25" i="185"/>
  <c r="C25" i="185" s="1"/>
  <c r="E25" i="185" s="1"/>
  <c r="B26" i="185"/>
  <c r="C26" i="185" s="1"/>
  <c r="E26" i="185" s="1"/>
  <c r="B27" i="185"/>
  <c r="C27" i="185" s="1"/>
  <c r="E27" i="185" s="1"/>
  <c r="B28" i="185"/>
  <c r="C28" i="185" s="1"/>
  <c r="E28" i="185" s="1"/>
  <c r="B29" i="185"/>
  <c r="C29" i="185" s="1"/>
  <c r="E29" i="185" s="1"/>
  <c r="B30" i="185"/>
  <c r="C30" i="185" s="1"/>
  <c r="E30" i="185" s="1"/>
  <c r="B31" i="185"/>
  <c r="C31" i="185" s="1"/>
  <c r="E31" i="185" s="1"/>
  <c r="B32" i="185"/>
  <c r="C32" i="185" s="1"/>
  <c r="E32" i="185" s="1"/>
  <c r="B33" i="185"/>
  <c r="C33" i="185" s="1"/>
  <c r="E33" i="185" s="1"/>
  <c r="B34" i="185"/>
  <c r="C34" i="185" s="1"/>
  <c r="E34" i="185" s="1"/>
  <c r="B35" i="185"/>
  <c r="C35" i="185" s="1"/>
  <c r="E35" i="185" s="1"/>
  <c r="B36" i="185"/>
  <c r="C36" i="185" s="1"/>
  <c r="E36" i="185" s="1"/>
  <c r="B37" i="185"/>
  <c r="C37" i="185" s="1"/>
  <c r="E37" i="185" s="1"/>
  <c r="B38" i="185"/>
  <c r="C38" i="185" s="1"/>
  <c r="E38" i="185" s="1"/>
  <c r="B39" i="185"/>
  <c r="C39" i="185" s="1"/>
  <c r="E39" i="185" s="1"/>
  <c r="B40" i="185"/>
  <c r="C40" i="185" s="1"/>
  <c r="E40" i="185" s="1"/>
  <c r="B41" i="185"/>
  <c r="C41" i="185" s="1"/>
  <c r="E41" i="185" s="1"/>
  <c r="B42" i="185"/>
  <c r="C42" i="185" s="1"/>
  <c r="E42" i="185" s="1"/>
  <c r="B43" i="185"/>
  <c r="C43" i="185" s="1"/>
  <c r="E43" i="185" s="1"/>
  <c r="B44" i="185"/>
  <c r="C44" i="185" s="1"/>
  <c r="E44" i="185" s="1"/>
  <c r="D59" i="185"/>
  <c r="B59" i="185"/>
  <c r="E52" i="185"/>
  <c r="D56" i="185" s="1"/>
  <c r="E50" i="185"/>
  <c r="D55" i="185" s="1"/>
  <c r="E49" i="185"/>
  <c r="E48" i="185"/>
  <c r="D8" i="185"/>
  <c r="B8" i="185"/>
  <c r="C8" i="185" s="1"/>
  <c r="E8" i="185" s="1"/>
  <c r="B9" i="184"/>
  <c r="C9" i="184" s="1"/>
  <c r="E9" i="184" s="1"/>
  <c r="B10" i="184"/>
  <c r="C10" i="184" s="1"/>
  <c r="E10" i="184" s="1"/>
  <c r="B11" i="184"/>
  <c r="C11" i="184" s="1"/>
  <c r="E11" i="184" s="1"/>
  <c r="B12" i="184"/>
  <c r="C12" i="184" s="1"/>
  <c r="E12" i="184" s="1"/>
  <c r="B13" i="184"/>
  <c r="C13" i="184" s="1"/>
  <c r="E13" i="184" s="1"/>
  <c r="B14" i="184"/>
  <c r="C14" i="184" s="1"/>
  <c r="E14" i="184" s="1"/>
  <c r="B15" i="184"/>
  <c r="C15" i="184" s="1"/>
  <c r="E15" i="184" s="1"/>
  <c r="B16" i="184"/>
  <c r="C16" i="184" s="1"/>
  <c r="E16" i="184" s="1"/>
  <c r="B17" i="184"/>
  <c r="C17" i="184" s="1"/>
  <c r="E17" i="184" s="1"/>
  <c r="B18" i="184"/>
  <c r="C18" i="184" s="1"/>
  <c r="E18" i="184" s="1"/>
  <c r="B19" i="184"/>
  <c r="C19" i="184" s="1"/>
  <c r="E19" i="184" s="1"/>
  <c r="B20" i="184"/>
  <c r="C20" i="184" s="1"/>
  <c r="E20" i="184" s="1"/>
  <c r="B21" i="184"/>
  <c r="C21" i="184" s="1"/>
  <c r="E21" i="184" s="1"/>
  <c r="B22" i="184"/>
  <c r="C22" i="184" s="1"/>
  <c r="E22" i="184" s="1"/>
  <c r="B23" i="184"/>
  <c r="C23" i="184" s="1"/>
  <c r="E23" i="184" s="1"/>
  <c r="B24" i="184"/>
  <c r="C24" i="184" s="1"/>
  <c r="E24" i="184" s="1"/>
  <c r="B25" i="184"/>
  <c r="C25" i="184" s="1"/>
  <c r="E25" i="184" s="1"/>
  <c r="B26" i="184"/>
  <c r="C26" i="184" s="1"/>
  <c r="E26" i="184" s="1"/>
  <c r="B27" i="184"/>
  <c r="C27" i="184" s="1"/>
  <c r="E27" i="184" s="1"/>
  <c r="B28" i="184"/>
  <c r="C28" i="184" s="1"/>
  <c r="E28" i="184" s="1"/>
  <c r="B29" i="184"/>
  <c r="C29" i="184" s="1"/>
  <c r="E29" i="184" s="1"/>
  <c r="B30" i="184"/>
  <c r="C30" i="184" s="1"/>
  <c r="E30" i="184" s="1"/>
  <c r="B31" i="184"/>
  <c r="C31" i="184" s="1"/>
  <c r="E31" i="184" s="1"/>
  <c r="B32" i="184"/>
  <c r="C32" i="184" s="1"/>
  <c r="E32" i="184" s="1"/>
  <c r="B33" i="184"/>
  <c r="C33" i="184" s="1"/>
  <c r="E33" i="184" s="1"/>
  <c r="B34" i="184"/>
  <c r="C34" i="184" s="1"/>
  <c r="E34" i="184" s="1"/>
  <c r="B35" i="184"/>
  <c r="C35" i="184" s="1"/>
  <c r="E35" i="184" s="1"/>
  <c r="B36" i="184"/>
  <c r="C36" i="184" s="1"/>
  <c r="E36" i="184" s="1"/>
  <c r="B37" i="184"/>
  <c r="C37" i="184" s="1"/>
  <c r="E37" i="184" s="1"/>
  <c r="B38" i="184"/>
  <c r="C38" i="184" s="1"/>
  <c r="E38" i="184" s="1"/>
  <c r="B39" i="184"/>
  <c r="C39" i="184" s="1"/>
  <c r="E39" i="184" s="1"/>
  <c r="B40" i="184"/>
  <c r="C40" i="184" s="1"/>
  <c r="E40" i="184" s="1"/>
  <c r="B56" i="184"/>
  <c r="D56" i="184"/>
  <c r="B57" i="184"/>
  <c r="D57" i="184"/>
  <c r="B58" i="184"/>
  <c r="D58" i="184"/>
  <c r="B59" i="184"/>
  <c r="D59" i="184"/>
  <c r="B60" i="184"/>
  <c r="D60" i="184"/>
  <c r="B61" i="184"/>
  <c r="D61" i="184"/>
  <c r="B62" i="184"/>
  <c r="D62" i="184"/>
  <c r="B63" i="184"/>
  <c r="D63" i="184"/>
  <c r="B64" i="184"/>
  <c r="D64" i="184"/>
  <c r="B65" i="184"/>
  <c r="D65" i="184"/>
  <c r="B66" i="184"/>
  <c r="D66" i="184"/>
  <c r="B67" i="184"/>
  <c r="D67" i="184"/>
  <c r="B68" i="184"/>
  <c r="D68" i="184"/>
  <c r="B69" i="184"/>
  <c r="D69" i="184"/>
  <c r="B70" i="184"/>
  <c r="D70" i="184"/>
  <c r="B71" i="184"/>
  <c r="D71" i="184"/>
  <c r="B72" i="184"/>
  <c r="D72" i="184"/>
  <c r="B73" i="184"/>
  <c r="D73" i="184"/>
  <c r="B74" i="184"/>
  <c r="D74" i="184"/>
  <c r="B75" i="184"/>
  <c r="D75" i="184"/>
  <c r="B76" i="184"/>
  <c r="D76" i="184"/>
  <c r="B77" i="184"/>
  <c r="D77" i="184"/>
  <c r="B78" i="184"/>
  <c r="D78" i="184"/>
  <c r="B79" i="184"/>
  <c r="D79" i="184"/>
  <c r="B80" i="184"/>
  <c r="D80" i="184"/>
  <c r="B81" i="184"/>
  <c r="D81" i="184"/>
  <c r="B82" i="184"/>
  <c r="D82" i="184"/>
  <c r="B83" i="184"/>
  <c r="D83" i="184"/>
  <c r="B84" i="184"/>
  <c r="D84" i="184"/>
  <c r="B85" i="184"/>
  <c r="D85" i="184"/>
  <c r="B86" i="184"/>
  <c r="D86" i="184"/>
  <c r="B87" i="184"/>
  <c r="D87" i="184"/>
  <c r="D55" i="184"/>
  <c r="B55" i="184"/>
  <c r="E48" i="184"/>
  <c r="D52" i="184" s="1"/>
  <c r="E46" i="184"/>
  <c r="D51" i="184" s="1"/>
  <c r="E45" i="184"/>
  <c r="E44" i="184"/>
  <c r="D8" i="184"/>
  <c r="B8" i="184"/>
  <c r="C8" i="184" s="1"/>
  <c r="E8" i="184" s="1"/>
  <c r="B57" i="183"/>
  <c r="D57" i="183"/>
  <c r="B58" i="183"/>
  <c r="D58" i="183"/>
  <c r="B59" i="183"/>
  <c r="D59" i="183"/>
  <c r="B60" i="183"/>
  <c r="D60" i="183"/>
  <c r="B61" i="183"/>
  <c r="D61" i="183"/>
  <c r="B62" i="183"/>
  <c r="D62" i="183"/>
  <c r="B63" i="183"/>
  <c r="D63" i="183"/>
  <c r="B64" i="183"/>
  <c r="D64" i="183"/>
  <c r="B65" i="183"/>
  <c r="D65" i="183"/>
  <c r="B66" i="183"/>
  <c r="D66" i="183"/>
  <c r="B67" i="183"/>
  <c r="D67" i="183"/>
  <c r="B68" i="183"/>
  <c r="D68" i="183"/>
  <c r="B69" i="183"/>
  <c r="D69" i="183"/>
  <c r="B70" i="183"/>
  <c r="D70" i="183"/>
  <c r="B71" i="183"/>
  <c r="D71" i="183"/>
  <c r="B72" i="183"/>
  <c r="D72" i="183"/>
  <c r="B73" i="183"/>
  <c r="D73" i="183"/>
  <c r="B74" i="183"/>
  <c r="D74" i="183"/>
  <c r="B75" i="183"/>
  <c r="D75" i="183"/>
  <c r="B76" i="183"/>
  <c r="D76" i="183"/>
  <c r="B77" i="183"/>
  <c r="D77" i="183"/>
  <c r="B78" i="183"/>
  <c r="D78" i="183"/>
  <c r="B79" i="183"/>
  <c r="D79" i="183"/>
  <c r="B80" i="183"/>
  <c r="D80" i="183"/>
  <c r="B81" i="183"/>
  <c r="D81" i="183"/>
  <c r="B82" i="183"/>
  <c r="D82" i="183"/>
  <c r="B83" i="183"/>
  <c r="D83" i="183"/>
  <c r="B84" i="183"/>
  <c r="D84" i="183"/>
  <c r="B85" i="183"/>
  <c r="D85" i="183"/>
  <c r="B86" i="183"/>
  <c r="D86" i="183"/>
  <c r="B87" i="183"/>
  <c r="D87" i="183"/>
  <c r="B88" i="183"/>
  <c r="D88" i="183"/>
  <c r="B89" i="183"/>
  <c r="D89" i="183"/>
  <c r="B9" i="183"/>
  <c r="C9" i="183" s="1"/>
  <c r="E9" i="183" s="1"/>
  <c r="B10" i="183"/>
  <c r="C10" i="183" s="1"/>
  <c r="E10" i="183" s="1"/>
  <c r="B11" i="183"/>
  <c r="C11" i="183" s="1"/>
  <c r="E11" i="183" s="1"/>
  <c r="B12" i="183"/>
  <c r="C12" i="183" s="1"/>
  <c r="E12" i="183" s="1"/>
  <c r="B13" i="183"/>
  <c r="C13" i="183" s="1"/>
  <c r="E13" i="183" s="1"/>
  <c r="B14" i="183"/>
  <c r="C14" i="183" s="1"/>
  <c r="E14" i="183" s="1"/>
  <c r="B15" i="183"/>
  <c r="C15" i="183" s="1"/>
  <c r="E15" i="183" s="1"/>
  <c r="B16" i="183"/>
  <c r="C16" i="183" s="1"/>
  <c r="E16" i="183" s="1"/>
  <c r="B17" i="183"/>
  <c r="C17" i="183" s="1"/>
  <c r="E17" i="183" s="1"/>
  <c r="B18" i="183"/>
  <c r="C18" i="183" s="1"/>
  <c r="E18" i="183" s="1"/>
  <c r="B19" i="183"/>
  <c r="C19" i="183" s="1"/>
  <c r="E19" i="183" s="1"/>
  <c r="B20" i="183"/>
  <c r="C20" i="183" s="1"/>
  <c r="E20" i="183" s="1"/>
  <c r="B21" i="183"/>
  <c r="C21" i="183" s="1"/>
  <c r="E21" i="183" s="1"/>
  <c r="B22" i="183"/>
  <c r="C22" i="183" s="1"/>
  <c r="E22" i="183" s="1"/>
  <c r="B23" i="183"/>
  <c r="C23" i="183" s="1"/>
  <c r="E23" i="183" s="1"/>
  <c r="B24" i="183"/>
  <c r="C24" i="183" s="1"/>
  <c r="E24" i="183" s="1"/>
  <c r="B25" i="183"/>
  <c r="C25" i="183" s="1"/>
  <c r="E25" i="183" s="1"/>
  <c r="B26" i="183"/>
  <c r="C26" i="183" s="1"/>
  <c r="E26" i="183" s="1"/>
  <c r="B27" i="183"/>
  <c r="C27" i="183" s="1"/>
  <c r="E27" i="183" s="1"/>
  <c r="B28" i="183"/>
  <c r="C28" i="183" s="1"/>
  <c r="E28" i="183" s="1"/>
  <c r="B29" i="183"/>
  <c r="C29" i="183" s="1"/>
  <c r="E29" i="183" s="1"/>
  <c r="B30" i="183"/>
  <c r="C30" i="183" s="1"/>
  <c r="E30" i="183" s="1"/>
  <c r="B31" i="183"/>
  <c r="C31" i="183" s="1"/>
  <c r="E31" i="183" s="1"/>
  <c r="B32" i="183"/>
  <c r="C32" i="183" s="1"/>
  <c r="E32" i="183" s="1"/>
  <c r="B33" i="183"/>
  <c r="C33" i="183" s="1"/>
  <c r="E33" i="183" s="1"/>
  <c r="B34" i="183"/>
  <c r="C34" i="183" s="1"/>
  <c r="E34" i="183" s="1"/>
  <c r="B35" i="183"/>
  <c r="C35" i="183" s="1"/>
  <c r="E35" i="183" s="1"/>
  <c r="B36" i="183"/>
  <c r="C36" i="183" s="1"/>
  <c r="E36" i="183" s="1"/>
  <c r="B37" i="183"/>
  <c r="C37" i="183" s="1"/>
  <c r="E37" i="183" s="1"/>
  <c r="B38" i="183"/>
  <c r="C38" i="183" s="1"/>
  <c r="E38" i="183" s="1"/>
  <c r="B39" i="183"/>
  <c r="C39" i="183" s="1"/>
  <c r="E39" i="183" s="1"/>
  <c r="B40" i="183"/>
  <c r="C40" i="183" s="1"/>
  <c r="E40" i="183" s="1"/>
  <c r="B41" i="183"/>
  <c r="C41" i="183" s="1"/>
  <c r="E41" i="183" s="1"/>
  <c r="D56" i="183"/>
  <c r="B56" i="183"/>
  <c r="E49" i="183"/>
  <c r="D53" i="183" s="1"/>
  <c r="E47" i="183"/>
  <c r="D52" i="183" s="1"/>
  <c r="E46" i="183"/>
  <c r="E45" i="183"/>
  <c r="D8" i="183"/>
  <c r="B8" i="183"/>
  <c r="C8" i="183" s="1"/>
  <c r="E8" i="183" s="1"/>
  <c r="B55" i="181"/>
  <c r="D55" i="181"/>
  <c r="B56" i="181"/>
  <c r="D56" i="181"/>
  <c r="B57" i="181"/>
  <c r="D57" i="181"/>
  <c r="B58" i="181"/>
  <c r="D58" i="181"/>
  <c r="B59" i="181"/>
  <c r="D59" i="181"/>
  <c r="B60" i="181"/>
  <c r="D60" i="181"/>
  <c r="B61" i="181"/>
  <c r="D61" i="181"/>
  <c r="B62" i="181"/>
  <c r="D62" i="181"/>
  <c r="B63" i="181"/>
  <c r="D63" i="181"/>
  <c r="B64" i="181"/>
  <c r="D64" i="181"/>
  <c r="B65" i="181"/>
  <c r="D65" i="181"/>
  <c r="B66" i="181"/>
  <c r="D66" i="181"/>
  <c r="B67" i="181"/>
  <c r="D67" i="181"/>
  <c r="B68" i="181"/>
  <c r="D68" i="181"/>
  <c r="B69" i="181"/>
  <c r="D69" i="181"/>
  <c r="B70" i="181"/>
  <c r="D70" i="181"/>
  <c r="B71" i="181"/>
  <c r="D71" i="181"/>
  <c r="B72" i="181"/>
  <c r="D72" i="181"/>
  <c r="B73" i="181"/>
  <c r="D73" i="181"/>
  <c r="B74" i="181"/>
  <c r="D74" i="181"/>
  <c r="B75" i="181"/>
  <c r="D75" i="181"/>
  <c r="B76" i="181"/>
  <c r="D76" i="181"/>
  <c r="B77" i="181"/>
  <c r="D77" i="181"/>
  <c r="B78" i="181"/>
  <c r="D78" i="181"/>
  <c r="B79" i="181"/>
  <c r="D79" i="181"/>
  <c r="B80" i="181"/>
  <c r="D80" i="181"/>
  <c r="B81" i="181"/>
  <c r="D81" i="181"/>
  <c r="B82" i="181"/>
  <c r="D82" i="181"/>
  <c r="B83" i="181"/>
  <c r="D83" i="181"/>
  <c r="B84" i="181"/>
  <c r="D84" i="181"/>
  <c r="B85" i="181"/>
  <c r="D85" i="181"/>
  <c r="B9" i="181"/>
  <c r="C9" i="181" s="1"/>
  <c r="E9" i="181" s="1"/>
  <c r="B10" i="181"/>
  <c r="C10" i="181" s="1"/>
  <c r="E10" i="181" s="1"/>
  <c r="B11" i="181"/>
  <c r="C11" i="181" s="1"/>
  <c r="E11" i="181" s="1"/>
  <c r="B12" i="181"/>
  <c r="C12" i="181" s="1"/>
  <c r="E12" i="181" s="1"/>
  <c r="B13" i="181"/>
  <c r="C13" i="181" s="1"/>
  <c r="E13" i="181" s="1"/>
  <c r="B14" i="181"/>
  <c r="C14" i="181" s="1"/>
  <c r="E14" i="181" s="1"/>
  <c r="B15" i="181"/>
  <c r="C15" i="181" s="1"/>
  <c r="E15" i="181" s="1"/>
  <c r="B16" i="181"/>
  <c r="C16" i="181" s="1"/>
  <c r="E16" i="181" s="1"/>
  <c r="B17" i="181"/>
  <c r="C17" i="181" s="1"/>
  <c r="E17" i="181" s="1"/>
  <c r="B18" i="181"/>
  <c r="C18" i="181" s="1"/>
  <c r="E18" i="181" s="1"/>
  <c r="B19" i="181"/>
  <c r="C19" i="181" s="1"/>
  <c r="E19" i="181" s="1"/>
  <c r="B20" i="181"/>
  <c r="C20" i="181" s="1"/>
  <c r="E20" i="181" s="1"/>
  <c r="B21" i="181"/>
  <c r="C21" i="181" s="1"/>
  <c r="E21" i="181" s="1"/>
  <c r="B22" i="181"/>
  <c r="C22" i="181" s="1"/>
  <c r="E22" i="181" s="1"/>
  <c r="B23" i="181"/>
  <c r="C23" i="181" s="1"/>
  <c r="E23" i="181" s="1"/>
  <c r="B24" i="181"/>
  <c r="C24" i="181" s="1"/>
  <c r="E24" i="181" s="1"/>
  <c r="B25" i="181"/>
  <c r="C25" i="181" s="1"/>
  <c r="E25" i="181" s="1"/>
  <c r="B26" i="181"/>
  <c r="C26" i="181" s="1"/>
  <c r="E26" i="181" s="1"/>
  <c r="B27" i="181"/>
  <c r="C27" i="181" s="1"/>
  <c r="E27" i="181" s="1"/>
  <c r="B28" i="181"/>
  <c r="C28" i="181" s="1"/>
  <c r="E28" i="181" s="1"/>
  <c r="B29" i="181"/>
  <c r="C29" i="181" s="1"/>
  <c r="E29" i="181" s="1"/>
  <c r="B30" i="181"/>
  <c r="C30" i="181" s="1"/>
  <c r="E30" i="181" s="1"/>
  <c r="B31" i="181"/>
  <c r="C31" i="181" s="1"/>
  <c r="E31" i="181" s="1"/>
  <c r="B32" i="181"/>
  <c r="C32" i="181" s="1"/>
  <c r="E32" i="181" s="1"/>
  <c r="B33" i="181"/>
  <c r="C33" i="181" s="1"/>
  <c r="E33" i="181" s="1"/>
  <c r="B34" i="181"/>
  <c r="C34" i="181" s="1"/>
  <c r="E34" i="181" s="1"/>
  <c r="B35" i="181"/>
  <c r="C35" i="181" s="1"/>
  <c r="E35" i="181" s="1"/>
  <c r="B36" i="181"/>
  <c r="C36" i="181" s="1"/>
  <c r="E36" i="181" s="1"/>
  <c r="B37" i="181"/>
  <c r="C37" i="181" s="1"/>
  <c r="E37" i="181" s="1"/>
  <c r="B38" i="181"/>
  <c r="C38" i="181" s="1"/>
  <c r="E38" i="181" s="1"/>
  <c r="B39" i="181"/>
  <c r="C39" i="181" s="1"/>
  <c r="E39" i="181" s="1"/>
  <c r="D54" i="181"/>
  <c r="B54" i="181"/>
  <c r="E47" i="181"/>
  <c r="D51" i="181" s="1"/>
  <c r="E45" i="181"/>
  <c r="D50" i="181" s="1"/>
  <c r="E44" i="181"/>
  <c r="E43" i="181"/>
  <c r="D8" i="181"/>
  <c r="B8" i="181"/>
  <c r="C8" i="181" s="1"/>
  <c r="E8" i="181" s="1"/>
  <c r="F12" i="181"/>
  <c r="B53" i="180"/>
  <c r="D53" i="180"/>
  <c r="B54" i="180"/>
  <c r="D54" i="180"/>
  <c r="B55" i="180"/>
  <c r="D55" i="180"/>
  <c r="B56" i="180"/>
  <c r="D56" i="180"/>
  <c r="B57" i="180"/>
  <c r="D57" i="180"/>
  <c r="B58" i="180"/>
  <c r="D58" i="180"/>
  <c r="B59" i="180"/>
  <c r="D59" i="180"/>
  <c r="B60" i="180"/>
  <c r="D60" i="180"/>
  <c r="B61" i="180"/>
  <c r="D61" i="180"/>
  <c r="B62" i="180"/>
  <c r="D62" i="180"/>
  <c r="B63" i="180"/>
  <c r="D63" i="180"/>
  <c r="B64" i="180"/>
  <c r="D64" i="180"/>
  <c r="B65" i="180"/>
  <c r="D65" i="180"/>
  <c r="B66" i="180"/>
  <c r="D66" i="180"/>
  <c r="B67" i="180"/>
  <c r="D67" i="180"/>
  <c r="B68" i="180"/>
  <c r="D68" i="180"/>
  <c r="B69" i="180"/>
  <c r="D69" i="180"/>
  <c r="B70" i="180"/>
  <c r="D70" i="180"/>
  <c r="B71" i="180"/>
  <c r="D71" i="180"/>
  <c r="B72" i="180"/>
  <c r="D72" i="180"/>
  <c r="B73" i="180"/>
  <c r="D73" i="180"/>
  <c r="B74" i="180"/>
  <c r="D74" i="180"/>
  <c r="B75" i="180"/>
  <c r="D75" i="180"/>
  <c r="B76" i="180"/>
  <c r="D76" i="180"/>
  <c r="B77" i="180"/>
  <c r="D77" i="180"/>
  <c r="B78" i="180"/>
  <c r="D78" i="180"/>
  <c r="B79" i="180"/>
  <c r="D79" i="180"/>
  <c r="B80" i="180"/>
  <c r="D80" i="180"/>
  <c r="B81" i="180"/>
  <c r="D81" i="180"/>
  <c r="B9" i="180"/>
  <c r="C9" i="180" s="1"/>
  <c r="E9" i="180" s="1"/>
  <c r="B10" i="180"/>
  <c r="C10" i="180" s="1"/>
  <c r="E10" i="180" s="1"/>
  <c r="B11" i="180"/>
  <c r="C11" i="180" s="1"/>
  <c r="E11" i="180" s="1"/>
  <c r="B12" i="180"/>
  <c r="C12" i="180" s="1"/>
  <c r="E12" i="180" s="1"/>
  <c r="B13" i="180"/>
  <c r="C13" i="180" s="1"/>
  <c r="E13" i="180" s="1"/>
  <c r="B14" i="180"/>
  <c r="C14" i="180" s="1"/>
  <c r="E14" i="180" s="1"/>
  <c r="B15" i="180"/>
  <c r="C15" i="180" s="1"/>
  <c r="E15" i="180" s="1"/>
  <c r="B16" i="180"/>
  <c r="C16" i="180" s="1"/>
  <c r="E16" i="180" s="1"/>
  <c r="B17" i="180"/>
  <c r="C17" i="180" s="1"/>
  <c r="E17" i="180" s="1"/>
  <c r="B18" i="180"/>
  <c r="C18" i="180" s="1"/>
  <c r="E18" i="180" s="1"/>
  <c r="B19" i="180"/>
  <c r="C19" i="180" s="1"/>
  <c r="E19" i="180" s="1"/>
  <c r="B20" i="180"/>
  <c r="C20" i="180" s="1"/>
  <c r="E20" i="180" s="1"/>
  <c r="B21" i="180"/>
  <c r="C21" i="180" s="1"/>
  <c r="E21" i="180" s="1"/>
  <c r="B22" i="180"/>
  <c r="C22" i="180" s="1"/>
  <c r="E22" i="180" s="1"/>
  <c r="B23" i="180"/>
  <c r="C23" i="180" s="1"/>
  <c r="E23" i="180" s="1"/>
  <c r="B24" i="180"/>
  <c r="C24" i="180" s="1"/>
  <c r="E24" i="180" s="1"/>
  <c r="B25" i="180"/>
  <c r="C25" i="180" s="1"/>
  <c r="E25" i="180" s="1"/>
  <c r="B26" i="180"/>
  <c r="C26" i="180" s="1"/>
  <c r="E26" i="180" s="1"/>
  <c r="B27" i="180"/>
  <c r="C27" i="180" s="1"/>
  <c r="E27" i="180" s="1"/>
  <c r="B28" i="180"/>
  <c r="C28" i="180" s="1"/>
  <c r="E28" i="180" s="1"/>
  <c r="B29" i="180"/>
  <c r="C29" i="180" s="1"/>
  <c r="E29" i="180" s="1"/>
  <c r="B30" i="180"/>
  <c r="C30" i="180" s="1"/>
  <c r="E30" i="180" s="1"/>
  <c r="B31" i="180"/>
  <c r="C31" i="180" s="1"/>
  <c r="E31" i="180" s="1"/>
  <c r="B32" i="180"/>
  <c r="C32" i="180" s="1"/>
  <c r="E32" i="180" s="1"/>
  <c r="B33" i="180"/>
  <c r="C33" i="180" s="1"/>
  <c r="E33" i="180" s="1"/>
  <c r="B34" i="180"/>
  <c r="C34" i="180" s="1"/>
  <c r="E34" i="180" s="1"/>
  <c r="B35" i="180"/>
  <c r="C35" i="180" s="1"/>
  <c r="E35" i="180" s="1"/>
  <c r="B36" i="180"/>
  <c r="C36" i="180" s="1"/>
  <c r="E36" i="180" s="1"/>
  <c r="B37" i="180"/>
  <c r="C37" i="180" s="1"/>
  <c r="E37" i="180" s="1"/>
  <c r="D52" i="180"/>
  <c r="B52" i="180"/>
  <c r="E45" i="180"/>
  <c r="D49" i="180" s="1"/>
  <c r="E43" i="180"/>
  <c r="D48" i="180" s="1"/>
  <c r="E42" i="180"/>
  <c r="E41" i="180"/>
  <c r="D8" i="180"/>
  <c r="B8" i="180"/>
  <c r="C8" i="180" s="1"/>
  <c r="E8" i="180" s="1"/>
  <c r="B60" i="179"/>
  <c r="D60" i="179"/>
  <c r="B61" i="179"/>
  <c r="D61" i="179"/>
  <c r="B62" i="179"/>
  <c r="D62" i="179"/>
  <c r="B63" i="179"/>
  <c r="D63" i="179"/>
  <c r="B64" i="179"/>
  <c r="D64" i="179"/>
  <c r="B65" i="179"/>
  <c r="D65" i="179"/>
  <c r="B66" i="179"/>
  <c r="D66" i="179"/>
  <c r="B67" i="179"/>
  <c r="D67" i="179"/>
  <c r="B68" i="179"/>
  <c r="D68" i="179"/>
  <c r="B69" i="179"/>
  <c r="D69" i="179"/>
  <c r="B70" i="179"/>
  <c r="D70" i="179"/>
  <c r="B71" i="179"/>
  <c r="D71" i="179"/>
  <c r="B72" i="179"/>
  <c r="D72" i="179"/>
  <c r="B73" i="179"/>
  <c r="D73" i="179"/>
  <c r="B74" i="179"/>
  <c r="D74" i="179"/>
  <c r="B75" i="179"/>
  <c r="D75" i="179"/>
  <c r="B76" i="179"/>
  <c r="D76" i="179"/>
  <c r="B77" i="179"/>
  <c r="D77" i="179"/>
  <c r="B78" i="179"/>
  <c r="D78" i="179"/>
  <c r="B79" i="179"/>
  <c r="D79" i="179"/>
  <c r="B80" i="179"/>
  <c r="D80" i="179"/>
  <c r="B81" i="179"/>
  <c r="D81" i="179"/>
  <c r="B82" i="179"/>
  <c r="D82" i="179"/>
  <c r="B83" i="179"/>
  <c r="D83" i="179"/>
  <c r="B84" i="179"/>
  <c r="D84" i="179"/>
  <c r="B85" i="179"/>
  <c r="D85" i="179"/>
  <c r="B86" i="179"/>
  <c r="D86" i="179"/>
  <c r="B87" i="179"/>
  <c r="D87" i="179"/>
  <c r="B88" i="179"/>
  <c r="D88" i="179"/>
  <c r="B89" i="179"/>
  <c r="D89" i="179"/>
  <c r="B90" i="179"/>
  <c r="D90" i="179"/>
  <c r="B91" i="179"/>
  <c r="D91" i="179"/>
  <c r="B92" i="179"/>
  <c r="D92" i="179"/>
  <c r="B93" i="179"/>
  <c r="D93" i="179"/>
  <c r="B94" i="179"/>
  <c r="D94" i="179"/>
  <c r="B95" i="179"/>
  <c r="D95" i="179"/>
  <c r="B9" i="179"/>
  <c r="C9" i="179" s="1"/>
  <c r="E9" i="179" s="1"/>
  <c r="D9" i="179"/>
  <c r="B10" i="179"/>
  <c r="C10" i="179" s="1"/>
  <c r="E10" i="179" s="1"/>
  <c r="D10" i="179"/>
  <c r="B11" i="179"/>
  <c r="C11" i="179" s="1"/>
  <c r="E11" i="179" s="1"/>
  <c r="D11" i="179"/>
  <c r="B12" i="179"/>
  <c r="C12" i="179" s="1"/>
  <c r="E12" i="179" s="1"/>
  <c r="D12" i="179"/>
  <c r="B13" i="179"/>
  <c r="C13" i="179" s="1"/>
  <c r="E13" i="179" s="1"/>
  <c r="D13" i="179"/>
  <c r="B14" i="179"/>
  <c r="C14" i="179" s="1"/>
  <c r="E14" i="179" s="1"/>
  <c r="D14" i="179"/>
  <c r="B15" i="179"/>
  <c r="C15" i="179" s="1"/>
  <c r="E15" i="179" s="1"/>
  <c r="D15" i="179"/>
  <c r="B16" i="179"/>
  <c r="C16" i="179" s="1"/>
  <c r="E16" i="179" s="1"/>
  <c r="D16" i="179"/>
  <c r="B17" i="179"/>
  <c r="C17" i="179" s="1"/>
  <c r="E17" i="179" s="1"/>
  <c r="D17" i="179"/>
  <c r="B18" i="179"/>
  <c r="C18" i="179" s="1"/>
  <c r="E18" i="179" s="1"/>
  <c r="D18" i="179"/>
  <c r="B19" i="179"/>
  <c r="C19" i="179" s="1"/>
  <c r="E19" i="179" s="1"/>
  <c r="D19" i="179"/>
  <c r="B20" i="179"/>
  <c r="C20" i="179" s="1"/>
  <c r="E20" i="179" s="1"/>
  <c r="D20" i="179"/>
  <c r="B21" i="179"/>
  <c r="C21" i="179" s="1"/>
  <c r="E21" i="179" s="1"/>
  <c r="D21" i="179"/>
  <c r="B22" i="179"/>
  <c r="C22" i="179" s="1"/>
  <c r="E22" i="179" s="1"/>
  <c r="D22" i="179"/>
  <c r="B23" i="179"/>
  <c r="C23" i="179" s="1"/>
  <c r="E23" i="179" s="1"/>
  <c r="D23" i="179"/>
  <c r="B24" i="179"/>
  <c r="C24" i="179" s="1"/>
  <c r="E24" i="179" s="1"/>
  <c r="D24" i="179"/>
  <c r="B25" i="179"/>
  <c r="C25" i="179" s="1"/>
  <c r="E25" i="179" s="1"/>
  <c r="D25" i="179"/>
  <c r="B26" i="179"/>
  <c r="C26" i="179" s="1"/>
  <c r="E26" i="179" s="1"/>
  <c r="D26" i="179"/>
  <c r="B27" i="179"/>
  <c r="C27" i="179" s="1"/>
  <c r="E27" i="179" s="1"/>
  <c r="D27" i="179"/>
  <c r="B28" i="179"/>
  <c r="C28" i="179" s="1"/>
  <c r="E28" i="179" s="1"/>
  <c r="D28" i="179"/>
  <c r="B29" i="179"/>
  <c r="C29" i="179" s="1"/>
  <c r="E29" i="179" s="1"/>
  <c r="D29" i="179"/>
  <c r="B30" i="179"/>
  <c r="C30" i="179" s="1"/>
  <c r="E30" i="179" s="1"/>
  <c r="D30" i="179"/>
  <c r="B31" i="179"/>
  <c r="C31" i="179" s="1"/>
  <c r="E31" i="179" s="1"/>
  <c r="D31" i="179"/>
  <c r="B32" i="179"/>
  <c r="C32" i="179" s="1"/>
  <c r="E32" i="179" s="1"/>
  <c r="D32" i="179"/>
  <c r="B33" i="179"/>
  <c r="C33" i="179" s="1"/>
  <c r="E33" i="179" s="1"/>
  <c r="D33" i="179"/>
  <c r="B34" i="179"/>
  <c r="C34" i="179" s="1"/>
  <c r="E34" i="179" s="1"/>
  <c r="D34" i="179"/>
  <c r="B35" i="179"/>
  <c r="C35" i="179" s="1"/>
  <c r="E35" i="179" s="1"/>
  <c r="D35" i="179"/>
  <c r="B36" i="179"/>
  <c r="C36" i="179" s="1"/>
  <c r="E36" i="179" s="1"/>
  <c r="D36" i="179"/>
  <c r="B37" i="179"/>
  <c r="C37" i="179" s="1"/>
  <c r="E37" i="179" s="1"/>
  <c r="D37" i="179"/>
  <c r="B38" i="179"/>
  <c r="C38" i="179" s="1"/>
  <c r="E38" i="179" s="1"/>
  <c r="D38" i="179"/>
  <c r="B39" i="179"/>
  <c r="C39" i="179" s="1"/>
  <c r="E39" i="179" s="1"/>
  <c r="D39" i="179"/>
  <c r="B40" i="179"/>
  <c r="C40" i="179" s="1"/>
  <c r="E40" i="179" s="1"/>
  <c r="D40" i="179"/>
  <c r="B41" i="179"/>
  <c r="C41" i="179" s="1"/>
  <c r="E41" i="179" s="1"/>
  <c r="D41" i="179"/>
  <c r="B42" i="179"/>
  <c r="C42" i="179" s="1"/>
  <c r="E42" i="179" s="1"/>
  <c r="D42" i="179"/>
  <c r="B43" i="179"/>
  <c r="C43" i="179" s="1"/>
  <c r="E43" i="179" s="1"/>
  <c r="D43" i="179"/>
  <c r="B44" i="179"/>
  <c r="C44" i="179" s="1"/>
  <c r="E44" i="179" s="1"/>
  <c r="D44" i="179"/>
  <c r="D59" i="179"/>
  <c r="B59" i="179"/>
  <c r="E52" i="179"/>
  <c r="D56" i="179" s="1"/>
  <c r="G67" i="179" s="1"/>
  <c r="E50" i="179"/>
  <c r="D55" i="179" s="1"/>
  <c r="E49" i="179"/>
  <c r="E48" i="179"/>
  <c r="D8" i="179"/>
  <c r="B8" i="179"/>
  <c r="C8" i="179" s="1"/>
  <c r="E8" i="179" s="1"/>
  <c r="F81" i="226" l="1"/>
  <c r="G81" i="226" s="1"/>
  <c r="C82" i="226"/>
  <c r="B83" i="226"/>
  <c r="A84" i="226"/>
  <c r="K28" i="195"/>
  <c r="L28" i="195" s="1"/>
  <c r="K16" i="196"/>
  <c r="L16" i="196" s="1"/>
  <c r="K11" i="209"/>
  <c r="L11" i="209" s="1"/>
  <c r="K27" i="186"/>
  <c r="L27" i="186" s="1"/>
  <c r="K10" i="201"/>
  <c r="L10" i="201" s="1"/>
  <c r="K13" i="208"/>
  <c r="L13" i="208" s="1"/>
  <c r="K43" i="209"/>
  <c r="L43" i="209" s="1"/>
  <c r="K12" i="187"/>
  <c r="L12" i="187" s="1"/>
  <c r="K11" i="214"/>
  <c r="L11" i="214" s="1"/>
  <c r="K10" i="187"/>
  <c r="L10" i="187" s="1"/>
  <c r="K25" i="208"/>
  <c r="L25" i="208" s="1"/>
  <c r="K20" i="193"/>
  <c r="L20" i="193" s="1"/>
  <c r="K10" i="211"/>
  <c r="L10" i="211" s="1"/>
  <c r="K20" i="191"/>
  <c r="L20" i="191" s="1"/>
  <c r="K31" i="192"/>
  <c r="L31" i="192" s="1"/>
  <c r="K40" i="193"/>
  <c r="L40" i="193" s="1"/>
  <c r="K27" i="195"/>
  <c r="L27" i="195" s="1"/>
  <c r="K11" i="196"/>
  <c r="L11" i="196" s="1"/>
  <c r="K9" i="214"/>
  <c r="L9" i="214" s="1"/>
  <c r="K39" i="195"/>
  <c r="L39" i="195" s="1"/>
  <c r="K23" i="195"/>
  <c r="L23" i="195" s="1"/>
  <c r="K28" i="211"/>
  <c r="L28" i="211" s="1"/>
  <c r="K11" i="194"/>
  <c r="L11" i="194" s="1"/>
  <c r="K32" i="191"/>
  <c r="L32" i="191" s="1"/>
  <c r="K33" i="195"/>
  <c r="L33" i="195" s="1"/>
  <c r="K50" i="196"/>
  <c r="L50" i="196" s="1"/>
  <c r="M11" i="202"/>
  <c r="L128" i="220"/>
  <c r="L189" i="220"/>
  <c r="L169" i="220"/>
  <c r="L210" i="220"/>
  <c r="L173" i="220"/>
  <c r="L163" i="220"/>
  <c r="L160" i="220"/>
  <c r="L181" i="220"/>
  <c r="L206" i="220"/>
  <c r="L150" i="220"/>
  <c r="L137" i="220"/>
  <c r="L136" i="220"/>
  <c r="L140" i="220"/>
  <c r="L139" i="220"/>
  <c r="L203" i="220"/>
  <c r="L171" i="220"/>
  <c r="L141" i="220"/>
  <c r="L176" i="220"/>
  <c r="L124" i="220"/>
  <c r="L199" i="220"/>
  <c r="L178" i="220"/>
  <c r="L167" i="220"/>
  <c r="L146" i="220"/>
  <c r="L212" i="220"/>
  <c r="L144" i="220"/>
  <c r="L123" i="220"/>
  <c r="L188" i="220"/>
  <c r="L195" i="220"/>
  <c r="L130" i="220"/>
  <c r="L198" i="220"/>
  <c r="L148" i="220"/>
  <c r="L170" i="220"/>
  <c r="L126" i="220"/>
  <c r="L190" i="220"/>
  <c r="L186" i="220"/>
  <c r="L159" i="220"/>
  <c r="L131" i="220"/>
  <c r="L204" i="220"/>
  <c r="L185" i="220"/>
  <c r="L215" i="220"/>
  <c r="L213" i="220"/>
  <c r="L209" i="220"/>
  <c r="L177" i="220"/>
  <c r="L192" i="220"/>
  <c r="L147" i="220"/>
  <c r="L162" i="220"/>
  <c r="L143" i="220"/>
  <c r="L184" i="220"/>
  <c r="L142" i="220"/>
  <c r="L196" i="220"/>
  <c r="L200" i="220"/>
  <c r="L129" i="220"/>
  <c r="L211" i="220"/>
  <c r="L121" i="220"/>
  <c r="L217" i="220"/>
  <c r="L187" i="220"/>
  <c r="L216" i="220"/>
  <c r="L145" i="220"/>
  <c r="L161" i="220"/>
  <c r="L154" i="220"/>
  <c r="L208" i="220"/>
  <c r="L182" i="220"/>
  <c r="L166" i="220"/>
  <c r="L174" i="220"/>
  <c r="L183" i="220"/>
  <c r="L194" i="220"/>
  <c r="L149" i="220"/>
  <c r="L157" i="220"/>
  <c r="L202" i="220"/>
  <c r="L179" i="220"/>
  <c r="L165" i="220"/>
  <c r="L155" i="220"/>
  <c r="L125" i="220"/>
  <c r="L197" i="220"/>
  <c r="L138" i="220"/>
  <c r="L175" i="220"/>
  <c r="L193" i="220"/>
  <c r="L214" i="220"/>
  <c r="L153" i="220"/>
  <c r="L201" i="220"/>
  <c r="L191" i="220"/>
  <c r="L207" i="220"/>
  <c r="L205" i="220"/>
  <c r="L156" i="220"/>
  <c r="L151" i="220"/>
  <c r="L134" i="220"/>
  <c r="L158" i="220"/>
  <c r="L172" i="220"/>
  <c r="L120" i="220"/>
  <c r="H51" i="201"/>
  <c r="G74" i="181"/>
  <c r="H40" i="203"/>
  <c r="H61" i="195"/>
  <c r="L106" i="220"/>
  <c r="L37" i="208"/>
  <c r="H58" i="187"/>
  <c r="G55" i="184"/>
  <c r="F52" i="180"/>
  <c r="H11" i="213"/>
  <c r="H24" i="211"/>
  <c r="H14" i="187"/>
  <c r="H33" i="208"/>
  <c r="H11" i="204"/>
  <c r="H68" i="207"/>
  <c r="H18" i="189"/>
  <c r="H36" i="197"/>
  <c r="H16" i="197"/>
  <c r="H42" i="197"/>
  <c r="F59" i="179"/>
  <c r="F59" i="185"/>
  <c r="H29" i="208"/>
  <c r="H55" i="208"/>
  <c r="C79" i="180"/>
  <c r="F56" i="183"/>
  <c r="H90" i="193"/>
  <c r="H21" i="195"/>
  <c r="H17" i="204"/>
  <c r="H17" i="208"/>
  <c r="H27" i="209"/>
  <c r="H56" i="211"/>
  <c r="H9" i="192"/>
  <c r="H11" i="207"/>
  <c r="H21" i="208"/>
  <c r="H14" i="214"/>
  <c r="G52" i="180"/>
  <c r="H44" i="193"/>
  <c r="H18" i="198"/>
  <c r="H10" i="189"/>
  <c r="H9" i="209"/>
  <c r="H35" i="209"/>
  <c r="H12" i="196"/>
  <c r="H21" i="193"/>
  <c r="H26" i="198"/>
  <c r="C62" i="181"/>
  <c r="G59" i="185"/>
  <c r="F55" i="184"/>
  <c r="C70" i="185"/>
  <c r="H74" i="195"/>
  <c r="H16" i="195"/>
  <c r="H77" i="201"/>
  <c r="H8" i="193"/>
  <c r="H55" i="203"/>
  <c r="C58" i="184"/>
  <c r="E58" i="184" s="1"/>
  <c r="C82" i="179"/>
  <c r="E82" i="179" s="1"/>
  <c r="C75" i="183"/>
  <c r="H12" i="205"/>
  <c r="H20" i="205"/>
  <c r="H94" i="207"/>
  <c r="H79" i="201"/>
  <c r="H18" i="211"/>
  <c r="H14" i="201"/>
  <c r="H22" i="201"/>
  <c r="H30" i="201"/>
  <c r="H9" i="201"/>
  <c r="H17" i="201"/>
  <c r="H25" i="201"/>
  <c r="H33" i="201"/>
  <c r="H79" i="195"/>
  <c r="H9" i="198"/>
  <c r="H61" i="205"/>
  <c r="H34" i="205"/>
  <c r="H16" i="213"/>
  <c r="H19" i="214"/>
  <c r="K19" i="214" s="1"/>
  <c r="H16" i="209"/>
  <c r="H16" i="211"/>
  <c r="H34" i="214"/>
  <c r="H18" i="214"/>
  <c r="H85" i="211"/>
  <c r="H63" i="211"/>
  <c r="H40" i="197"/>
  <c r="H23" i="196"/>
  <c r="H32" i="211"/>
  <c r="H9" i="196"/>
  <c r="H59" i="209"/>
  <c r="H40" i="199"/>
  <c r="H17" i="209"/>
  <c r="H12" i="209"/>
  <c r="H42" i="209"/>
  <c r="H20" i="211"/>
  <c r="H14" i="211"/>
  <c r="H62" i="211"/>
  <c r="H12" i="213"/>
  <c r="H20" i="213"/>
  <c r="H10" i="214"/>
  <c r="H12" i="201"/>
  <c r="H13" i="207"/>
  <c r="H21" i="207"/>
  <c r="H29" i="207"/>
  <c r="H37" i="207"/>
  <c r="H45" i="207"/>
  <c r="H26" i="209"/>
  <c r="H36" i="211"/>
  <c r="H15" i="214"/>
  <c r="H11" i="208"/>
  <c r="H80" i="211"/>
  <c r="H16" i="214"/>
  <c r="H12" i="214"/>
  <c r="H40" i="214"/>
  <c r="H8" i="214"/>
  <c r="H36" i="214"/>
  <c r="H42" i="214"/>
  <c r="H44" i="214"/>
  <c r="H37" i="214"/>
  <c r="H39" i="214"/>
  <c r="H45" i="214"/>
  <c r="H41" i="214"/>
  <c r="K41" i="214" s="1"/>
  <c r="H38" i="214"/>
  <c r="H13" i="214"/>
  <c r="H35" i="214"/>
  <c r="H17" i="214"/>
  <c r="H43" i="214"/>
  <c r="H53" i="213"/>
  <c r="H16" i="207"/>
  <c r="H56" i="208"/>
  <c r="H17" i="213"/>
  <c r="H20" i="207"/>
  <c r="H76" i="208"/>
  <c r="H12" i="208"/>
  <c r="H20" i="208"/>
  <c r="H28" i="208"/>
  <c r="H36" i="208"/>
  <c r="H9" i="213"/>
  <c r="H43" i="213"/>
  <c r="H30" i="197"/>
  <c r="H41" i="213"/>
  <c r="H8" i="213"/>
  <c r="H13" i="213"/>
  <c r="H21" i="213"/>
  <c r="H14" i="213"/>
  <c r="H19" i="213"/>
  <c r="H10" i="213"/>
  <c r="H42" i="213"/>
  <c r="H44" i="213"/>
  <c r="K44" i="213" s="1"/>
  <c r="H49" i="213"/>
  <c r="H22" i="213"/>
  <c r="H18" i="213"/>
  <c r="H38" i="213"/>
  <c r="H15" i="213"/>
  <c r="H23" i="213"/>
  <c r="K23" i="213" s="1"/>
  <c r="H46" i="213"/>
  <c r="H45" i="213"/>
  <c r="H51" i="213"/>
  <c r="H48" i="213"/>
  <c r="H50" i="213"/>
  <c r="H52" i="213"/>
  <c r="H40" i="213"/>
  <c r="H39" i="213"/>
  <c r="H47" i="213"/>
  <c r="H81" i="211"/>
  <c r="H40" i="211"/>
  <c r="H8" i="211"/>
  <c r="H74" i="211"/>
  <c r="H72" i="211"/>
  <c r="H38" i="209"/>
  <c r="H82" i="211"/>
  <c r="H12" i="211"/>
  <c r="H34" i="211"/>
  <c r="H88" i="211"/>
  <c r="H57" i="211"/>
  <c r="H77" i="211"/>
  <c r="H58" i="211"/>
  <c r="H79" i="211"/>
  <c r="H61" i="211"/>
  <c r="H30" i="211"/>
  <c r="H67" i="211"/>
  <c r="H26" i="211"/>
  <c r="H73" i="211"/>
  <c r="H89" i="211"/>
  <c r="H75" i="211"/>
  <c r="H38" i="211"/>
  <c r="K38" i="211" s="1"/>
  <c r="H65" i="211"/>
  <c r="H69" i="211"/>
  <c r="H71" i="211"/>
  <c r="H87" i="211"/>
  <c r="H59" i="211"/>
  <c r="H8" i="204"/>
  <c r="H22" i="211"/>
  <c r="H66" i="211"/>
  <c r="H83" i="211"/>
  <c r="H70" i="211"/>
  <c r="H68" i="211"/>
  <c r="H64" i="211"/>
  <c r="H84" i="211"/>
  <c r="H78" i="211"/>
  <c r="H60" i="211"/>
  <c r="H86" i="211"/>
  <c r="H76" i="211"/>
  <c r="H9" i="211"/>
  <c r="H17" i="211"/>
  <c r="H25" i="211"/>
  <c r="H33" i="211"/>
  <c r="H41" i="211"/>
  <c r="K41" i="211" s="1"/>
  <c r="H15" i="211"/>
  <c r="H23" i="211"/>
  <c r="H31" i="211"/>
  <c r="H39" i="211"/>
  <c r="H13" i="211"/>
  <c r="H21" i="211"/>
  <c r="H29" i="211"/>
  <c r="H37" i="211"/>
  <c r="H11" i="211"/>
  <c r="H19" i="211"/>
  <c r="H27" i="211"/>
  <c r="H35" i="211"/>
  <c r="H10" i="195"/>
  <c r="H11" i="203"/>
  <c r="H28" i="207"/>
  <c r="H36" i="207"/>
  <c r="H32" i="199"/>
  <c r="H81" i="205"/>
  <c r="H60" i="208"/>
  <c r="H12" i="199"/>
  <c r="H24" i="207"/>
  <c r="H30" i="209"/>
  <c r="H29" i="209"/>
  <c r="H37" i="209"/>
  <c r="H10" i="209"/>
  <c r="H14" i="209"/>
  <c r="H44" i="209"/>
  <c r="K44" i="209" s="1"/>
  <c r="H22" i="209"/>
  <c r="H20" i="194"/>
  <c r="H36" i="194"/>
  <c r="H66" i="209"/>
  <c r="H24" i="209"/>
  <c r="H28" i="209"/>
  <c r="H36" i="209"/>
  <c r="K36" i="209" s="1"/>
  <c r="H12" i="207"/>
  <c r="H44" i="207"/>
  <c r="H34" i="207"/>
  <c r="H96" i="195"/>
  <c r="H18" i="209"/>
  <c r="H20" i="209"/>
  <c r="H34" i="209"/>
  <c r="H78" i="209"/>
  <c r="H90" i="209"/>
  <c r="H76" i="209"/>
  <c r="H83" i="209"/>
  <c r="H62" i="209"/>
  <c r="H80" i="209"/>
  <c r="H71" i="209"/>
  <c r="H86" i="209"/>
  <c r="H61" i="209"/>
  <c r="H8" i="209"/>
  <c r="H75" i="209"/>
  <c r="H64" i="209"/>
  <c r="H81" i="208"/>
  <c r="H32" i="209"/>
  <c r="H80" i="207"/>
  <c r="H87" i="209"/>
  <c r="H94" i="209"/>
  <c r="H25" i="209"/>
  <c r="H33" i="209"/>
  <c r="H41" i="209"/>
  <c r="H15" i="209"/>
  <c r="H23" i="209"/>
  <c r="H31" i="209"/>
  <c r="H39" i="209"/>
  <c r="H40" i="209"/>
  <c r="H60" i="209"/>
  <c r="H70" i="209"/>
  <c r="H81" i="209"/>
  <c r="H73" i="209"/>
  <c r="H68" i="209"/>
  <c r="H92" i="209"/>
  <c r="H88" i="209"/>
  <c r="H13" i="209"/>
  <c r="H21" i="209"/>
  <c r="H19" i="209"/>
  <c r="H63" i="209"/>
  <c r="H79" i="209"/>
  <c r="H67" i="209"/>
  <c r="H65" i="209"/>
  <c r="H72" i="209"/>
  <c r="H82" i="209"/>
  <c r="H89" i="209"/>
  <c r="H74" i="209"/>
  <c r="H69" i="209"/>
  <c r="H77" i="209"/>
  <c r="H84" i="209"/>
  <c r="H93" i="209"/>
  <c r="H85" i="209"/>
  <c r="H61" i="208"/>
  <c r="H91" i="209"/>
  <c r="H95" i="209"/>
  <c r="H78" i="208"/>
  <c r="H77" i="208"/>
  <c r="H9" i="208"/>
  <c r="H28" i="205"/>
  <c r="H40" i="207"/>
  <c r="H9" i="205"/>
  <c r="H17" i="205"/>
  <c r="H25" i="205"/>
  <c r="H68" i="208"/>
  <c r="H83" i="208"/>
  <c r="H16" i="208"/>
  <c r="H24" i="208"/>
  <c r="H32" i="208"/>
  <c r="H40" i="208"/>
  <c r="H62" i="208"/>
  <c r="H65" i="208"/>
  <c r="H85" i="208"/>
  <c r="H74" i="208"/>
  <c r="H84" i="208"/>
  <c r="H69" i="208"/>
  <c r="H8" i="208"/>
  <c r="H64" i="208"/>
  <c r="H80" i="208"/>
  <c r="H66" i="208"/>
  <c r="H82" i="208"/>
  <c r="H70" i="208"/>
  <c r="H86" i="208"/>
  <c r="H72" i="208"/>
  <c r="H19" i="208"/>
  <c r="H27" i="208"/>
  <c r="H35" i="208"/>
  <c r="H10" i="208"/>
  <c r="H18" i="208"/>
  <c r="H26" i="208"/>
  <c r="H34" i="208"/>
  <c r="H63" i="208"/>
  <c r="H15" i="208"/>
  <c r="H23" i="208"/>
  <c r="H31" i="208"/>
  <c r="H39" i="208"/>
  <c r="H14" i="208"/>
  <c r="H22" i="208"/>
  <c r="H30" i="208"/>
  <c r="H38" i="208"/>
  <c r="H58" i="208"/>
  <c r="H57" i="208"/>
  <c r="H73" i="208"/>
  <c r="H79" i="208"/>
  <c r="H59" i="208"/>
  <c r="H75" i="208"/>
  <c r="H71" i="208"/>
  <c r="H87" i="208"/>
  <c r="H67" i="208"/>
  <c r="H72" i="207"/>
  <c r="H75" i="207"/>
  <c r="H83" i="207"/>
  <c r="H8" i="205"/>
  <c r="H30" i="207"/>
  <c r="H65" i="205"/>
  <c r="H66" i="207"/>
  <c r="H82" i="207"/>
  <c r="H63" i="207"/>
  <c r="H81" i="207"/>
  <c r="H90" i="207"/>
  <c r="H8" i="207"/>
  <c r="H60" i="207"/>
  <c r="H17" i="207"/>
  <c r="H25" i="207"/>
  <c r="H33" i="207"/>
  <c r="H41" i="207"/>
  <c r="H32" i="207"/>
  <c r="H19" i="207"/>
  <c r="K19" i="207" s="1"/>
  <c r="H27" i="207"/>
  <c r="H35" i="207"/>
  <c r="H43" i="207"/>
  <c r="H38" i="207"/>
  <c r="H62" i="207"/>
  <c r="H9" i="207"/>
  <c r="H65" i="207"/>
  <c r="H76" i="207"/>
  <c r="H89" i="207"/>
  <c r="H95" i="207"/>
  <c r="H77" i="207"/>
  <c r="H86" i="207"/>
  <c r="H87" i="207"/>
  <c r="H93" i="207"/>
  <c r="H70" i="207"/>
  <c r="H67" i="207"/>
  <c r="H14" i="207"/>
  <c r="H42" i="207"/>
  <c r="H97" i="207"/>
  <c r="K97" i="207" s="1"/>
  <c r="H74" i="207"/>
  <c r="H61" i="207"/>
  <c r="H91" i="207"/>
  <c r="H22" i="207"/>
  <c r="H15" i="207"/>
  <c r="H23" i="207"/>
  <c r="H31" i="207"/>
  <c r="H39" i="207"/>
  <c r="H10" i="207"/>
  <c r="H69" i="207"/>
  <c r="H85" i="207"/>
  <c r="H78" i="207"/>
  <c r="H26" i="207"/>
  <c r="H18" i="207"/>
  <c r="H73" i="207"/>
  <c r="H88" i="207"/>
  <c r="H96" i="207"/>
  <c r="H64" i="207"/>
  <c r="H79" i="207"/>
  <c r="H84" i="207"/>
  <c r="H92" i="207"/>
  <c r="H71" i="207"/>
  <c r="H20" i="198"/>
  <c r="H73" i="205"/>
  <c r="H16" i="205"/>
  <c r="H24" i="205"/>
  <c r="H32" i="205"/>
  <c r="H53" i="205"/>
  <c r="H13" i="205"/>
  <c r="H21" i="205"/>
  <c r="H29" i="205"/>
  <c r="H75" i="205"/>
  <c r="H60" i="205"/>
  <c r="H57" i="205"/>
  <c r="H39" i="194"/>
  <c r="H77" i="205"/>
  <c r="H10" i="200"/>
  <c r="H51" i="202"/>
  <c r="L51" i="202" s="1"/>
  <c r="H57" i="200"/>
  <c r="H71" i="205"/>
  <c r="H33" i="205"/>
  <c r="H69" i="205"/>
  <c r="H63" i="205"/>
  <c r="H80" i="205"/>
  <c r="H67" i="205"/>
  <c r="H52" i="205"/>
  <c r="H74" i="205"/>
  <c r="H66" i="205"/>
  <c r="H56" i="205"/>
  <c r="H72" i="205"/>
  <c r="H55" i="205"/>
  <c r="H19" i="204"/>
  <c r="H79" i="205"/>
  <c r="H59" i="205"/>
  <c r="H15" i="205"/>
  <c r="H23" i="205"/>
  <c r="H31" i="205"/>
  <c r="H10" i="205"/>
  <c r="H18" i="205"/>
  <c r="H26" i="205"/>
  <c r="H64" i="205"/>
  <c r="H62" i="205"/>
  <c r="H35" i="205"/>
  <c r="H11" i="205"/>
  <c r="H19" i="205"/>
  <c r="H27" i="205"/>
  <c r="H36" i="205"/>
  <c r="H14" i="205"/>
  <c r="H22" i="205"/>
  <c r="H30" i="205"/>
  <c r="H76" i="205"/>
  <c r="H37" i="205"/>
  <c r="K37" i="205" s="1"/>
  <c r="H58" i="205"/>
  <c r="H14" i="204"/>
  <c r="H78" i="205"/>
  <c r="H68" i="205"/>
  <c r="H54" i="205"/>
  <c r="H70" i="205"/>
  <c r="H86" i="195"/>
  <c r="H17" i="202"/>
  <c r="L17" i="202" s="1"/>
  <c r="H25" i="202"/>
  <c r="L25" i="202" s="1"/>
  <c r="H33" i="202"/>
  <c r="L33" i="202" s="1"/>
  <c r="H19" i="199"/>
  <c r="H71" i="200"/>
  <c r="H87" i="200"/>
  <c r="H9" i="202"/>
  <c r="L9" i="202" s="1"/>
  <c r="H16" i="202"/>
  <c r="L16" i="202" s="1"/>
  <c r="H24" i="202"/>
  <c r="L24" i="202" s="1"/>
  <c r="H32" i="202"/>
  <c r="L32" i="202" s="1"/>
  <c r="H13" i="203"/>
  <c r="H21" i="203"/>
  <c r="H11" i="197"/>
  <c r="H33" i="199"/>
  <c r="H18" i="204"/>
  <c r="H40" i="204"/>
  <c r="H42" i="204"/>
  <c r="H65" i="200"/>
  <c r="H37" i="204"/>
  <c r="H15" i="204"/>
  <c r="H22" i="204"/>
  <c r="K22" i="204" s="1"/>
  <c r="H41" i="204"/>
  <c r="H39" i="204"/>
  <c r="K39" i="204" s="1"/>
  <c r="H10" i="204"/>
  <c r="H45" i="204"/>
  <c r="H50" i="204"/>
  <c r="H43" i="204"/>
  <c r="H48" i="204"/>
  <c r="H12" i="204"/>
  <c r="H20" i="204"/>
  <c r="H9" i="204"/>
  <c r="H38" i="204"/>
  <c r="H51" i="204"/>
  <c r="H13" i="204"/>
  <c r="H21" i="204"/>
  <c r="H16" i="204"/>
  <c r="H49" i="204"/>
  <c r="H47" i="204"/>
  <c r="H46" i="204"/>
  <c r="H44" i="204"/>
  <c r="H48" i="203"/>
  <c r="H49" i="203"/>
  <c r="H47" i="203"/>
  <c r="H12" i="203"/>
  <c r="H20" i="203"/>
  <c r="H17" i="199"/>
  <c r="H69" i="202"/>
  <c r="L69" i="202" s="1"/>
  <c r="H13" i="202"/>
  <c r="L13" i="202" s="1"/>
  <c r="H21" i="202"/>
  <c r="L21" i="202" s="1"/>
  <c r="H29" i="202"/>
  <c r="L29" i="202" s="1"/>
  <c r="H10" i="198"/>
  <c r="H34" i="198"/>
  <c r="H68" i="202"/>
  <c r="L68" i="202" s="1"/>
  <c r="H12" i="202"/>
  <c r="L12" i="202" s="1"/>
  <c r="H20" i="202"/>
  <c r="L20" i="202" s="1"/>
  <c r="H28" i="202"/>
  <c r="L28" i="202" s="1"/>
  <c r="H36" i="202"/>
  <c r="L36" i="202" s="1"/>
  <c r="H17" i="203"/>
  <c r="H25" i="203"/>
  <c r="K25" i="203" s="1"/>
  <c r="H50" i="203"/>
  <c r="H32" i="198"/>
  <c r="H9" i="203"/>
  <c r="H16" i="203"/>
  <c r="H24" i="203"/>
  <c r="H46" i="203"/>
  <c r="H42" i="203"/>
  <c r="H54" i="203"/>
  <c r="H41" i="203"/>
  <c r="H53" i="203"/>
  <c r="H51" i="203"/>
  <c r="H57" i="203"/>
  <c r="H8" i="203"/>
  <c r="H45" i="203"/>
  <c r="H43" i="203"/>
  <c r="H44" i="203"/>
  <c r="H52" i="203"/>
  <c r="H56" i="203"/>
  <c r="H15" i="203"/>
  <c r="H23" i="203"/>
  <c r="H14" i="203"/>
  <c r="H22" i="203"/>
  <c r="H19" i="203"/>
  <c r="H10" i="203"/>
  <c r="H18" i="203"/>
  <c r="H22" i="191"/>
  <c r="H77" i="200"/>
  <c r="H62" i="194"/>
  <c r="H9" i="194"/>
  <c r="H11" i="191"/>
  <c r="H21" i="194"/>
  <c r="H24" i="197"/>
  <c r="H79" i="200"/>
  <c r="H17" i="200"/>
  <c r="H25" i="200"/>
  <c r="H33" i="200"/>
  <c r="H41" i="200"/>
  <c r="H55" i="192"/>
  <c r="H37" i="193"/>
  <c r="H12" i="193"/>
  <c r="H28" i="193"/>
  <c r="H36" i="193"/>
  <c r="H77" i="202"/>
  <c r="L77" i="202" s="1"/>
  <c r="H64" i="202"/>
  <c r="L64" i="202" s="1"/>
  <c r="H61" i="202"/>
  <c r="L61" i="202" s="1"/>
  <c r="H73" i="202"/>
  <c r="L73" i="202" s="1"/>
  <c r="H72" i="202"/>
  <c r="L72" i="202" s="1"/>
  <c r="H60" i="202"/>
  <c r="L60" i="202" s="1"/>
  <c r="H52" i="202"/>
  <c r="L52" i="202" s="1"/>
  <c r="H54" i="202"/>
  <c r="L54" i="202" s="1"/>
  <c r="H62" i="202"/>
  <c r="L62" i="202" s="1"/>
  <c r="H71" i="202"/>
  <c r="L71" i="202" s="1"/>
  <c r="H74" i="202"/>
  <c r="L74" i="202" s="1"/>
  <c r="H57" i="202"/>
  <c r="L57" i="202" s="1"/>
  <c r="H66" i="202"/>
  <c r="L66" i="202" s="1"/>
  <c r="H91" i="187"/>
  <c r="H75" i="202"/>
  <c r="L75" i="202" s="1"/>
  <c r="H63" i="202"/>
  <c r="L63" i="202" s="1"/>
  <c r="H70" i="202"/>
  <c r="L70" i="202" s="1"/>
  <c r="H78" i="202"/>
  <c r="L78" i="202" s="1"/>
  <c r="H8" i="202"/>
  <c r="L8" i="202" s="1"/>
  <c r="H56" i="202"/>
  <c r="L56" i="202" s="1"/>
  <c r="H58" i="202"/>
  <c r="L58" i="202" s="1"/>
  <c r="H15" i="202"/>
  <c r="H23" i="202"/>
  <c r="L23" i="202" s="1"/>
  <c r="H31" i="202"/>
  <c r="L31" i="202" s="1"/>
  <c r="H14" i="202"/>
  <c r="L14" i="202" s="1"/>
  <c r="H22" i="202"/>
  <c r="L22" i="202" s="1"/>
  <c r="H30" i="202"/>
  <c r="L30" i="202" s="1"/>
  <c r="H19" i="202"/>
  <c r="L19" i="202" s="1"/>
  <c r="H27" i="202"/>
  <c r="L27" i="202" s="1"/>
  <c r="H35" i="202"/>
  <c r="L35" i="202" s="1"/>
  <c r="H10" i="202"/>
  <c r="L10" i="202" s="1"/>
  <c r="H18" i="202"/>
  <c r="L18" i="202" s="1"/>
  <c r="H26" i="202"/>
  <c r="L26" i="202" s="1"/>
  <c r="H34" i="202"/>
  <c r="L34" i="202" s="1"/>
  <c r="H76" i="202"/>
  <c r="L76" i="202" s="1"/>
  <c r="H79" i="202"/>
  <c r="L79" i="202" s="1"/>
  <c r="H65" i="202"/>
  <c r="L65" i="202" s="1"/>
  <c r="H67" i="202"/>
  <c r="L67" i="202" s="1"/>
  <c r="H55" i="202"/>
  <c r="L55" i="202" s="1"/>
  <c r="H53" i="202"/>
  <c r="L53" i="202" s="1"/>
  <c r="H59" i="202"/>
  <c r="L59" i="202" s="1"/>
  <c r="H94" i="195"/>
  <c r="H43" i="197"/>
  <c r="K43" i="197" s="1"/>
  <c r="H32" i="197"/>
  <c r="H15" i="198"/>
  <c r="H23" i="198"/>
  <c r="H31" i="198"/>
  <c r="H15" i="199"/>
  <c r="H25" i="199"/>
  <c r="H61" i="201"/>
  <c r="H66" i="201"/>
  <c r="H17" i="194"/>
  <c r="H28" i="198"/>
  <c r="H14" i="198"/>
  <c r="H12" i="198"/>
  <c r="H65" i="201"/>
  <c r="H52" i="201"/>
  <c r="H25" i="196"/>
  <c r="H12" i="197"/>
  <c r="H20" i="197"/>
  <c r="H35" i="198"/>
  <c r="H18" i="201"/>
  <c r="H26" i="201"/>
  <c r="H34" i="201"/>
  <c r="H13" i="201"/>
  <c r="H21" i="201"/>
  <c r="H29" i="201"/>
  <c r="H68" i="201"/>
  <c r="H55" i="201"/>
  <c r="H66" i="193"/>
  <c r="H71" i="201"/>
  <c r="H8" i="201"/>
  <c r="H70" i="201"/>
  <c r="H53" i="201"/>
  <c r="H67" i="201"/>
  <c r="H54" i="201"/>
  <c r="H63" i="201"/>
  <c r="H69" i="201"/>
  <c r="H80" i="198"/>
  <c r="H59" i="201"/>
  <c r="H75" i="201"/>
  <c r="H62" i="201"/>
  <c r="H73" i="201"/>
  <c r="H56" i="201"/>
  <c r="H72" i="201"/>
  <c r="H57" i="201"/>
  <c r="H58" i="201"/>
  <c r="H76" i="201"/>
  <c r="H64" i="201"/>
  <c r="H78" i="201"/>
  <c r="H16" i="201"/>
  <c r="H24" i="201"/>
  <c r="H32" i="201"/>
  <c r="H11" i="201"/>
  <c r="H19" i="201"/>
  <c r="H27" i="201"/>
  <c r="H35" i="201"/>
  <c r="H60" i="201"/>
  <c r="H74" i="201"/>
  <c r="H20" i="201"/>
  <c r="H28" i="201"/>
  <c r="H36" i="201"/>
  <c r="K36" i="201" s="1"/>
  <c r="H15" i="201"/>
  <c r="H23" i="201"/>
  <c r="H31" i="201"/>
  <c r="H64" i="199"/>
  <c r="H64" i="198"/>
  <c r="H8" i="200"/>
  <c r="H73" i="200"/>
  <c r="H11" i="200"/>
  <c r="H86" i="199"/>
  <c r="H13" i="200"/>
  <c r="H10" i="190"/>
  <c r="H58" i="197"/>
  <c r="H81" i="198"/>
  <c r="H22" i="199"/>
  <c r="H30" i="198"/>
  <c r="H54" i="198"/>
  <c r="H18" i="200"/>
  <c r="H26" i="200"/>
  <c r="H34" i="200"/>
  <c r="H42" i="200"/>
  <c r="K42" i="200" s="1"/>
  <c r="H58" i="200"/>
  <c r="H66" i="200"/>
  <c r="H90" i="200"/>
  <c r="H75" i="200"/>
  <c r="H91" i="200"/>
  <c r="H9" i="200"/>
  <c r="H81" i="200"/>
  <c r="H63" i="200"/>
  <c r="H61" i="200"/>
  <c r="H69" i="200"/>
  <c r="H85" i="200"/>
  <c r="H70" i="200"/>
  <c r="H59" i="200"/>
  <c r="H86" i="200"/>
  <c r="H89" i="200"/>
  <c r="H12" i="200"/>
  <c r="H78" i="200"/>
  <c r="H76" i="200"/>
  <c r="H60" i="200"/>
  <c r="H72" i="200"/>
  <c r="H68" i="200"/>
  <c r="H74" i="200"/>
  <c r="H67" i="200"/>
  <c r="H83" i="200"/>
  <c r="H21" i="200"/>
  <c r="H29" i="200"/>
  <c r="H37" i="200"/>
  <c r="H84" i="200"/>
  <c r="H15" i="200"/>
  <c r="H23" i="200"/>
  <c r="H31" i="200"/>
  <c r="H39" i="200"/>
  <c r="H62" i="200"/>
  <c r="H14" i="200"/>
  <c r="H22" i="200"/>
  <c r="H30" i="200"/>
  <c r="H38" i="200"/>
  <c r="H64" i="200"/>
  <c r="H82" i="200"/>
  <c r="H20" i="200"/>
  <c r="H28" i="200"/>
  <c r="H36" i="200"/>
  <c r="H88" i="200"/>
  <c r="H19" i="200"/>
  <c r="H27" i="200"/>
  <c r="H35" i="200"/>
  <c r="H80" i="200"/>
  <c r="H16" i="200"/>
  <c r="H24" i="200"/>
  <c r="H32" i="200"/>
  <c r="H40" i="200"/>
  <c r="H77" i="199"/>
  <c r="H69" i="198"/>
  <c r="H66" i="199"/>
  <c r="H72" i="198"/>
  <c r="H24" i="191"/>
  <c r="H80" i="195"/>
  <c r="H43" i="195"/>
  <c r="H11" i="198"/>
  <c r="H44" i="195"/>
  <c r="H42" i="195"/>
  <c r="H67" i="199"/>
  <c r="H75" i="199"/>
  <c r="H9" i="199"/>
  <c r="H23" i="199"/>
  <c r="H36" i="199"/>
  <c r="H37" i="199"/>
  <c r="H14" i="199"/>
  <c r="H39" i="199"/>
  <c r="H26" i="199"/>
  <c r="H13" i="199"/>
  <c r="H21" i="199"/>
  <c r="H85" i="199"/>
  <c r="H89" i="199"/>
  <c r="H68" i="199"/>
  <c r="H79" i="199"/>
  <c r="H76" i="199"/>
  <c r="H8" i="199"/>
  <c r="H69" i="199"/>
  <c r="H73" i="199"/>
  <c r="H72" i="199"/>
  <c r="H20" i="199"/>
  <c r="H70" i="199"/>
  <c r="H87" i="199"/>
  <c r="H56" i="199"/>
  <c r="H83" i="199"/>
  <c r="H82" i="199"/>
  <c r="H16" i="199"/>
  <c r="H34" i="199"/>
  <c r="H38" i="199"/>
  <c r="H24" i="199"/>
  <c r="H61" i="199"/>
  <c r="H58" i="199"/>
  <c r="H74" i="199"/>
  <c r="H59" i="199"/>
  <c r="H18" i="199"/>
  <c r="H31" i="199"/>
  <c r="H27" i="199"/>
  <c r="H88" i="199"/>
  <c r="H11" i="199"/>
  <c r="H84" i="199"/>
  <c r="H41" i="199"/>
  <c r="K41" i="199" s="1"/>
  <c r="H28" i="199"/>
  <c r="H65" i="199"/>
  <c r="H81" i="199"/>
  <c r="H62" i="199"/>
  <c r="H78" i="199"/>
  <c r="H57" i="199"/>
  <c r="H10" i="199"/>
  <c r="H29" i="199"/>
  <c r="H80" i="199"/>
  <c r="H63" i="199"/>
  <c r="H35" i="199"/>
  <c r="H60" i="199"/>
  <c r="H71" i="199"/>
  <c r="H30" i="199"/>
  <c r="H65" i="197"/>
  <c r="H16" i="192"/>
  <c r="H24" i="192"/>
  <c r="H32" i="192"/>
  <c r="H60" i="193"/>
  <c r="H13" i="197"/>
  <c r="H21" i="197"/>
  <c r="H29" i="197"/>
  <c r="H24" i="198"/>
  <c r="H33" i="198"/>
  <c r="H16" i="198"/>
  <c r="H53" i="198"/>
  <c r="H67" i="198"/>
  <c r="H8" i="198"/>
  <c r="H55" i="198"/>
  <c r="H61" i="198"/>
  <c r="H75" i="198"/>
  <c r="H73" i="198"/>
  <c r="H57" i="198"/>
  <c r="H60" i="198"/>
  <c r="H82" i="198"/>
  <c r="H22" i="198"/>
  <c r="H38" i="198"/>
  <c r="K38" i="198" s="1"/>
  <c r="H17" i="198"/>
  <c r="H56" i="198"/>
  <c r="H66" i="198"/>
  <c r="H83" i="198"/>
  <c r="H35" i="197"/>
  <c r="K35" i="197" s="1"/>
  <c r="H71" i="198"/>
  <c r="H59" i="198"/>
  <c r="H70" i="198"/>
  <c r="H29" i="198"/>
  <c r="H21" i="198"/>
  <c r="H36" i="198"/>
  <c r="H58" i="198"/>
  <c r="H74" i="198"/>
  <c r="H68" i="198"/>
  <c r="H77" i="198"/>
  <c r="H13" i="198"/>
  <c r="H25" i="198"/>
  <c r="H37" i="198"/>
  <c r="H65" i="198"/>
  <c r="H62" i="198"/>
  <c r="H78" i="198"/>
  <c r="H63" i="198"/>
  <c r="H79" i="198"/>
  <c r="H19" i="198"/>
  <c r="H27" i="198"/>
  <c r="H76" i="198"/>
  <c r="H88" i="197"/>
  <c r="H12" i="191"/>
  <c r="H34" i="197"/>
  <c r="H62" i="197"/>
  <c r="H61" i="197"/>
  <c r="H66" i="197"/>
  <c r="H80" i="197"/>
  <c r="H93" i="197"/>
  <c r="H70" i="197"/>
  <c r="H86" i="197"/>
  <c r="H10" i="197"/>
  <c r="H91" i="197"/>
  <c r="H75" i="197"/>
  <c r="H71" i="197"/>
  <c r="H59" i="197"/>
  <c r="H90" i="197"/>
  <c r="H77" i="197"/>
  <c r="H8" i="197"/>
  <c r="H18" i="197"/>
  <c r="H26" i="197"/>
  <c r="H74" i="197"/>
  <c r="H72" i="197"/>
  <c r="H28" i="197"/>
  <c r="H38" i="197"/>
  <c r="H39" i="197"/>
  <c r="H82" i="197"/>
  <c r="H78" i="197"/>
  <c r="H60" i="197"/>
  <c r="H76" i="197"/>
  <c r="H92" i="197"/>
  <c r="H14" i="197"/>
  <c r="H22" i="197"/>
  <c r="H64" i="197"/>
  <c r="H89" i="197"/>
  <c r="H73" i="197"/>
  <c r="H41" i="197"/>
  <c r="H79" i="197"/>
  <c r="H63" i="197"/>
  <c r="H87" i="197"/>
  <c r="H85" i="197"/>
  <c r="H69" i="197"/>
  <c r="H68" i="197"/>
  <c r="H84" i="197"/>
  <c r="H17" i="197"/>
  <c r="H25" i="197"/>
  <c r="H33" i="197"/>
  <c r="H67" i="197"/>
  <c r="H81" i="197"/>
  <c r="H19" i="197"/>
  <c r="H27" i="197"/>
  <c r="H9" i="197"/>
  <c r="H37" i="197"/>
  <c r="H83" i="197"/>
  <c r="H15" i="197"/>
  <c r="H23" i="197"/>
  <c r="H31" i="197"/>
  <c r="H65" i="196"/>
  <c r="H42" i="190"/>
  <c r="H23" i="192"/>
  <c r="H28" i="194"/>
  <c r="H82" i="195"/>
  <c r="H32" i="193"/>
  <c r="H13" i="194"/>
  <c r="H81" i="195"/>
  <c r="H29" i="196"/>
  <c r="H21" i="196"/>
  <c r="H10" i="196"/>
  <c r="H37" i="188"/>
  <c r="H63" i="196"/>
  <c r="H31" i="196"/>
  <c r="H71" i="196"/>
  <c r="H51" i="196"/>
  <c r="H56" i="196"/>
  <c r="H72" i="196"/>
  <c r="H32" i="196"/>
  <c r="H18" i="196"/>
  <c r="H14" i="196"/>
  <c r="H8" i="196"/>
  <c r="H64" i="196"/>
  <c r="H53" i="196"/>
  <c r="H62" i="196"/>
  <c r="H75" i="196"/>
  <c r="H33" i="196"/>
  <c r="H69" i="196"/>
  <c r="H66" i="196"/>
  <c r="H55" i="196"/>
  <c r="H73" i="196"/>
  <c r="H59" i="196"/>
  <c r="H20" i="196"/>
  <c r="H52" i="196"/>
  <c r="H68" i="196"/>
  <c r="H61" i="196"/>
  <c r="H77" i="196"/>
  <c r="H13" i="196"/>
  <c r="H22" i="196"/>
  <c r="H30" i="196"/>
  <c r="H87" i="194"/>
  <c r="H54" i="196"/>
  <c r="H70" i="196"/>
  <c r="H19" i="196"/>
  <c r="H28" i="196"/>
  <c r="H34" i="196"/>
  <c r="H58" i="196"/>
  <c r="H74" i="196"/>
  <c r="H57" i="196"/>
  <c r="H67" i="196"/>
  <c r="H60" i="196"/>
  <c r="H76" i="196"/>
  <c r="H17" i="196"/>
  <c r="H26" i="196"/>
  <c r="H35" i="196"/>
  <c r="K35" i="196" s="1"/>
  <c r="H15" i="196"/>
  <c r="H24" i="196"/>
  <c r="H27" i="196"/>
  <c r="H78" i="194"/>
  <c r="H13" i="193"/>
  <c r="H45" i="193"/>
  <c r="K45" i="193" s="1"/>
  <c r="H39" i="193"/>
  <c r="K39" i="193" s="1"/>
  <c r="H30" i="194"/>
  <c r="H74" i="194"/>
  <c r="H30" i="189"/>
  <c r="H13" i="190"/>
  <c r="H21" i="190"/>
  <c r="H28" i="191"/>
  <c r="H14" i="193"/>
  <c r="H11" i="193"/>
  <c r="H23" i="194"/>
  <c r="H31" i="194"/>
  <c r="H69" i="195"/>
  <c r="H22" i="187"/>
  <c r="H15" i="195"/>
  <c r="H46" i="195"/>
  <c r="H35" i="195"/>
  <c r="H95" i="195"/>
  <c r="H32" i="195"/>
  <c r="H45" i="195"/>
  <c r="H38" i="195"/>
  <c r="H22" i="195"/>
  <c r="H20" i="195"/>
  <c r="H19" i="195"/>
  <c r="H24" i="195"/>
  <c r="H25" i="195"/>
  <c r="H31" i="195"/>
  <c r="H62" i="195"/>
  <c r="H89" i="195"/>
  <c r="H39" i="192"/>
  <c r="K39" i="192" s="1"/>
  <c r="H88" i="195"/>
  <c r="H66" i="195"/>
  <c r="H87" i="195"/>
  <c r="H8" i="195"/>
  <c r="H70" i="195"/>
  <c r="H12" i="195"/>
  <c r="H11" i="195"/>
  <c r="H65" i="195"/>
  <c r="H67" i="195"/>
  <c r="H72" i="195"/>
  <c r="H84" i="195"/>
  <c r="H68" i="195"/>
  <c r="H63" i="195"/>
  <c r="H99" i="195"/>
  <c r="H73" i="195"/>
  <c r="H93" i="195"/>
  <c r="H9" i="195"/>
  <c r="H40" i="195"/>
  <c r="H37" i="195"/>
  <c r="H76" i="195"/>
  <c r="H91" i="195"/>
  <c r="H77" i="195"/>
  <c r="H90" i="195"/>
  <c r="H83" i="195"/>
  <c r="H30" i="195"/>
  <c r="H17" i="195"/>
  <c r="H97" i="195"/>
  <c r="H41" i="195"/>
  <c r="H78" i="195"/>
  <c r="H71" i="195"/>
  <c r="H34" i="195"/>
  <c r="H14" i="195"/>
  <c r="H29" i="195"/>
  <c r="H98" i="195"/>
  <c r="H75" i="195"/>
  <c r="H64" i="195"/>
  <c r="H85" i="195"/>
  <c r="H18" i="195"/>
  <c r="H13" i="195"/>
  <c r="H92" i="195"/>
  <c r="H26" i="195"/>
  <c r="H36" i="195"/>
  <c r="H24" i="194"/>
  <c r="H12" i="190"/>
  <c r="H15" i="192"/>
  <c r="H19" i="192"/>
  <c r="H52" i="191"/>
  <c r="H80" i="194"/>
  <c r="H94" i="193"/>
  <c r="H77" i="194"/>
  <c r="H18" i="194"/>
  <c r="H32" i="194"/>
  <c r="H12" i="194"/>
  <c r="H96" i="194"/>
  <c r="H64" i="194"/>
  <c r="H90" i="194"/>
  <c r="H65" i="194"/>
  <c r="H81" i="194"/>
  <c r="H97" i="194"/>
  <c r="H86" i="194"/>
  <c r="H61" i="194"/>
  <c r="H94" i="194"/>
  <c r="H66" i="194"/>
  <c r="H91" i="194"/>
  <c r="H84" i="194"/>
  <c r="H8" i="194"/>
  <c r="H79" i="194"/>
  <c r="H95" i="194"/>
  <c r="H10" i="194"/>
  <c r="H67" i="194"/>
  <c r="H83" i="194"/>
  <c r="H99" i="194"/>
  <c r="H44" i="194"/>
  <c r="H93" i="194"/>
  <c r="H71" i="194"/>
  <c r="H14" i="194"/>
  <c r="H69" i="194"/>
  <c r="H68" i="194"/>
  <c r="H76" i="194"/>
  <c r="H88" i="194"/>
  <c r="H15" i="194"/>
  <c r="H25" i="194"/>
  <c r="H33" i="194"/>
  <c r="H45" i="194"/>
  <c r="K45" i="194" s="1"/>
  <c r="H70" i="194"/>
  <c r="H63" i="194"/>
  <c r="H29" i="194"/>
  <c r="H98" i="194"/>
  <c r="H75" i="194"/>
  <c r="H82" i="194"/>
  <c r="H85" i="194"/>
  <c r="H37" i="194"/>
  <c r="H26" i="194"/>
  <c r="H34" i="194"/>
  <c r="H46" i="194"/>
  <c r="K46" i="194" s="1"/>
  <c r="H73" i="194"/>
  <c r="H89" i="194"/>
  <c r="H22" i="194"/>
  <c r="H38" i="194"/>
  <c r="H41" i="194"/>
  <c r="H19" i="194"/>
  <c r="H27" i="194"/>
  <c r="H35" i="194"/>
  <c r="H43" i="194"/>
  <c r="H16" i="194"/>
  <c r="H42" i="194"/>
  <c r="H92" i="194"/>
  <c r="H72" i="194"/>
  <c r="H40" i="194"/>
  <c r="H51" i="186"/>
  <c r="H31" i="186"/>
  <c r="H76" i="188"/>
  <c r="H20" i="189"/>
  <c r="H17" i="191"/>
  <c r="H25" i="191"/>
  <c r="H33" i="191"/>
  <c r="K33" i="191" s="1"/>
  <c r="H64" i="191"/>
  <c r="H75" i="193"/>
  <c r="H91" i="193"/>
  <c r="H64" i="187"/>
  <c r="H11" i="187"/>
  <c r="H28" i="187"/>
  <c r="H36" i="187"/>
  <c r="H26" i="190"/>
  <c r="H30" i="190"/>
  <c r="H9" i="191"/>
  <c r="H29" i="193"/>
  <c r="H8" i="189"/>
  <c r="H63" i="193"/>
  <c r="H95" i="193"/>
  <c r="H80" i="193"/>
  <c r="H81" i="193"/>
  <c r="H68" i="193"/>
  <c r="H78" i="193"/>
  <c r="H97" i="193"/>
  <c r="H84" i="193"/>
  <c r="H93" i="193"/>
  <c r="H76" i="193"/>
  <c r="H82" i="193"/>
  <c r="H62" i="193"/>
  <c r="H65" i="193"/>
  <c r="H87" i="193"/>
  <c r="H85" i="193"/>
  <c r="H73" i="193"/>
  <c r="H89" i="193"/>
  <c r="H79" i="193"/>
  <c r="H77" i="193"/>
  <c r="H70" i="193"/>
  <c r="H31" i="193"/>
  <c r="H92" i="193"/>
  <c r="H16" i="193"/>
  <c r="H64" i="193"/>
  <c r="H96" i="193"/>
  <c r="H11" i="192"/>
  <c r="H71" i="193"/>
  <c r="H74" i="193"/>
  <c r="H88" i="193"/>
  <c r="H27" i="193"/>
  <c r="H35" i="193"/>
  <c r="H43" i="193"/>
  <c r="H67" i="193"/>
  <c r="H83" i="193"/>
  <c r="H61" i="193"/>
  <c r="H22" i="193"/>
  <c r="H30" i="193"/>
  <c r="H38" i="193"/>
  <c r="H24" i="193"/>
  <c r="H17" i="193"/>
  <c r="H15" i="193"/>
  <c r="H72" i="193"/>
  <c r="H86" i="193"/>
  <c r="H10" i="193"/>
  <c r="H18" i="193"/>
  <c r="H25" i="193"/>
  <c r="H33" i="193"/>
  <c r="H41" i="193"/>
  <c r="H9" i="193"/>
  <c r="H69" i="193"/>
  <c r="H19" i="193"/>
  <c r="H26" i="193"/>
  <c r="H34" i="193"/>
  <c r="H42" i="193"/>
  <c r="H23" i="193"/>
  <c r="H34" i="192"/>
  <c r="H67" i="192"/>
  <c r="H21" i="192"/>
  <c r="H33" i="192"/>
  <c r="K33" i="192" s="1"/>
  <c r="H81" i="192"/>
  <c r="H22" i="192"/>
  <c r="H10" i="192"/>
  <c r="H38" i="190"/>
  <c r="H13" i="191"/>
  <c r="H21" i="191"/>
  <c r="H29" i="191"/>
  <c r="H29" i="192"/>
  <c r="H65" i="186"/>
  <c r="H23" i="186"/>
  <c r="H10" i="188"/>
  <c r="H26" i="188"/>
  <c r="H22" i="189"/>
  <c r="H52" i="189"/>
  <c r="H16" i="191"/>
  <c r="H30" i="192"/>
  <c r="H59" i="187"/>
  <c r="H70" i="187"/>
  <c r="H15" i="187"/>
  <c r="H25" i="187"/>
  <c r="H33" i="187"/>
  <c r="H41" i="187"/>
  <c r="H11" i="188"/>
  <c r="H19" i="188"/>
  <c r="H27" i="188"/>
  <c r="H35" i="188"/>
  <c r="H56" i="189"/>
  <c r="H64" i="189"/>
  <c r="H16" i="190"/>
  <c r="H34" i="190"/>
  <c r="H26" i="192"/>
  <c r="H35" i="192"/>
  <c r="H66" i="192"/>
  <c r="H8" i="192"/>
  <c r="H38" i="192"/>
  <c r="H18" i="192"/>
  <c r="H84" i="192"/>
  <c r="H82" i="192"/>
  <c r="H59" i="192"/>
  <c r="H80" i="192"/>
  <c r="H62" i="192"/>
  <c r="H83" i="192"/>
  <c r="H64" i="192"/>
  <c r="H85" i="192"/>
  <c r="H73" i="192"/>
  <c r="H37" i="192"/>
  <c r="H79" i="192"/>
  <c r="H65" i="192"/>
  <c r="H14" i="192"/>
  <c r="H27" i="192"/>
  <c r="H17" i="192"/>
  <c r="H25" i="192"/>
  <c r="H71" i="192"/>
  <c r="H57" i="192"/>
  <c r="H60" i="192"/>
  <c r="H74" i="192"/>
  <c r="H13" i="192"/>
  <c r="H56" i="192"/>
  <c r="H68" i="192"/>
  <c r="H78" i="192"/>
  <c r="H54" i="192"/>
  <c r="H61" i="192"/>
  <c r="H76" i="192"/>
  <c r="H75" i="192"/>
  <c r="H77" i="192"/>
  <c r="H12" i="192"/>
  <c r="H20" i="192"/>
  <c r="H28" i="192"/>
  <c r="H36" i="192"/>
  <c r="H58" i="192"/>
  <c r="H72" i="192"/>
  <c r="H63" i="192"/>
  <c r="H70" i="192"/>
  <c r="H69" i="192"/>
  <c r="H22" i="190"/>
  <c r="H32" i="190"/>
  <c r="H40" i="190"/>
  <c r="H73" i="191"/>
  <c r="H58" i="191"/>
  <c r="H36" i="190"/>
  <c r="H28" i="188"/>
  <c r="H28" i="190"/>
  <c r="H56" i="191"/>
  <c r="H30" i="191"/>
  <c r="H10" i="191"/>
  <c r="H18" i="191"/>
  <c r="H49" i="191"/>
  <c r="H59" i="191"/>
  <c r="H60" i="191"/>
  <c r="H68" i="190"/>
  <c r="H26" i="191"/>
  <c r="H53" i="191"/>
  <c r="H69" i="191"/>
  <c r="H48" i="191"/>
  <c r="H94" i="190"/>
  <c r="H62" i="191"/>
  <c r="H72" i="191"/>
  <c r="H66" i="191"/>
  <c r="H63" i="191"/>
  <c r="H8" i="191"/>
  <c r="H67" i="191"/>
  <c r="H55" i="191"/>
  <c r="H71" i="191"/>
  <c r="H51" i="191"/>
  <c r="H57" i="191"/>
  <c r="H14" i="191"/>
  <c r="H68" i="191"/>
  <c r="H61" i="191"/>
  <c r="H50" i="191"/>
  <c r="H15" i="191"/>
  <c r="H23" i="191"/>
  <c r="H31" i="191"/>
  <c r="H65" i="191"/>
  <c r="H54" i="191"/>
  <c r="H70" i="191"/>
  <c r="H19" i="191"/>
  <c r="H27" i="191"/>
  <c r="H31" i="190"/>
  <c r="H39" i="190"/>
  <c r="H8" i="188"/>
  <c r="E79" i="180"/>
  <c r="E70" i="185"/>
  <c r="H16" i="186"/>
  <c r="H24" i="186"/>
  <c r="H32" i="186"/>
  <c r="H61" i="190"/>
  <c r="H20" i="190"/>
  <c r="H93" i="190"/>
  <c r="H77" i="190"/>
  <c r="H65" i="190"/>
  <c r="H60" i="190"/>
  <c r="H69" i="190"/>
  <c r="H75" i="190"/>
  <c r="H44" i="190"/>
  <c r="H97" i="190"/>
  <c r="H84" i="190"/>
  <c r="H90" i="190"/>
  <c r="H92" i="190"/>
  <c r="H85" i="190"/>
  <c r="H78" i="190"/>
  <c r="H91" i="190"/>
  <c r="H18" i="190"/>
  <c r="H74" i="190"/>
  <c r="H81" i="190"/>
  <c r="H86" i="190"/>
  <c r="H14" i="190"/>
  <c r="H71" i="190"/>
  <c r="H87" i="190"/>
  <c r="H62" i="190"/>
  <c r="H8" i="190"/>
  <c r="H73" i="190"/>
  <c r="H89" i="190"/>
  <c r="H79" i="190"/>
  <c r="H9" i="190"/>
  <c r="H17" i="190"/>
  <c r="H25" i="190"/>
  <c r="H64" i="190"/>
  <c r="H24" i="190"/>
  <c r="H67" i="190"/>
  <c r="H83" i="190"/>
  <c r="H35" i="190"/>
  <c r="K35" i="190" s="1"/>
  <c r="H43" i="190"/>
  <c r="H27" i="190"/>
  <c r="H66" i="190"/>
  <c r="H63" i="190"/>
  <c r="H95" i="190"/>
  <c r="H76" i="190"/>
  <c r="H96" i="190"/>
  <c r="H80" i="190"/>
  <c r="H11" i="190"/>
  <c r="H19" i="190"/>
  <c r="H29" i="190"/>
  <c r="H37" i="190"/>
  <c r="H45" i="190"/>
  <c r="K45" i="190" s="1"/>
  <c r="H72" i="190"/>
  <c r="H70" i="190"/>
  <c r="H82" i="190"/>
  <c r="H15" i="190"/>
  <c r="H23" i="190"/>
  <c r="H33" i="190"/>
  <c r="H41" i="190"/>
  <c r="H88" i="190"/>
  <c r="H55" i="186"/>
  <c r="H50" i="189"/>
  <c r="H34" i="189"/>
  <c r="H15" i="189"/>
  <c r="H23" i="189"/>
  <c r="H31" i="189"/>
  <c r="H24" i="189"/>
  <c r="H18" i="187"/>
  <c r="H76" i="189"/>
  <c r="H14" i="189"/>
  <c r="H63" i="189"/>
  <c r="H75" i="189"/>
  <c r="H32" i="189"/>
  <c r="H67" i="189"/>
  <c r="H59" i="189"/>
  <c r="H66" i="189"/>
  <c r="H11" i="189"/>
  <c r="H19" i="189"/>
  <c r="H27" i="189"/>
  <c r="H35" i="189"/>
  <c r="K35" i="189" s="1"/>
  <c r="H72" i="189"/>
  <c r="H70" i="189"/>
  <c r="H26" i="189"/>
  <c r="H54" i="189"/>
  <c r="H58" i="189"/>
  <c r="H55" i="189"/>
  <c r="H71" i="189"/>
  <c r="H53" i="189"/>
  <c r="H60" i="189"/>
  <c r="H68" i="189"/>
  <c r="H57" i="189"/>
  <c r="H65" i="189"/>
  <c r="H73" i="189"/>
  <c r="H9" i="189"/>
  <c r="H17" i="189"/>
  <c r="H25" i="189"/>
  <c r="H33" i="189"/>
  <c r="H12" i="189"/>
  <c r="H77" i="189"/>
  <c r="H28" i="189"/>
  <c r="H62" i="189"/>
  <c r="H51" i="189"/>
  <c r="H61" i="189"/>
  <c r="H69" i="189"/>
  <c r="H13" i="189"/>
  <c r="H21" i="189"/>
  <c r="H29" i="189"/>
  <c r="H16" i="189"/>
  <c r="H74" i="189"/>
  <c r="H12" i="188"/>
  <c r="H24" i="187"/>
  <c r="H32" i="187"/>
  <c r="H40" i="187"/>
  <c r="H86" i="188"/>
  <c r="H8" i="186"/>
  <c r="H17" i="188"/>
  <c r="H82" i="188"/>
  <c r="H36" i="188"/>
  <c r="H74" i="188"/>
  <c r="H20" i="188"/>
  <c r="H25" i="188"/>
  <c r="H57" i="188"/>
  <c r="H69" i="188"/>
  <c r="H66" i="188"/>
  <c r="H71" i="188"/>
  <c r="H87" i="188"/>
  <c r="H90" i="188"/>
  <c r="H85" i="188"/>
  <c r="H64" i="188"/>
  <c r="H29" i="188"/>
  <c r="H91" i="188"/>
  <c r="H60" i="188"/>
  <c r="H67" i="187"/>
  <c r="H81" i="188"/>
  <c r="H59" i="188"/>
  <c r="H75" i="188"/>
  <c r="H61" i="188"/>
  <c r="H88" i="188"/>
  <c r="H14" i="188"/>
  <c r="H22" i="188"/>
  <c r="H80" i="188"/>
  <c r="H73" i="188"/>
  <c r="H89" i="188"/>
  <c r="H67" i="188"/>
  <c r="H83" i="188"/>
  <c r="H63" i="188"/>
  <c r="H18" i="188"/>
  <c r="H42" i="188"/>
  <c r="H72" i="188"/>
  <c r="H38" i="188"/>
  <c r="H77" i="188"/>
  <c r="H9" i="188"/>
  <c r="H78" i="188"/>
  <c r="H32" i="188"/>
  <c r="H40" i="188"/>
  <c r="H68" i="188"/>
  <c r="H62" i="188"/>
  <c r="H15" i="188"/>
  <c r="H23" i="188"/>
  <c r="H31" i="188"/>
  <c r="H39" i="188"/>
  <c r="H84" i="188"/>
  <c r="H30" i="188"/>
  <c r="H65" i="188"/>
  <c r="H58" i="188"/>
  <c r="H34" i="188"/>
  <c r="H16" i="188"/>
  <c r="H24" i="188"/>
  <c r="H33" i="188"/>
  <c r="H41" i="188"/>
  <c r="H79" i="188"/>
  <c r="H70" i="188"/>
  <c r="H13" i="188"/>
  <c r="H21" i="188"/>
  <c r="H79" i="186"/>
  <c r="H62" i="187"/>
  <c r="H79" i="187"/>
  <c r="F33" i="185"/>
  <c r="H29" i="186"/>
  <c r="H35" i="186"/>
  <c r="H60" i="187"/>
  <c r="H8" i="187"/>
  <c r="H61" i="187"/>
  <c r="H66" i="187"/>
  <c r="H87" i="187"/>
  <c r="H75" i="186"/>
  <c r="H23" i="187"/>
  <c r="H75" i="187"/>
  <c r="H89" i="187"/>
  <c r="H63" i="187"/>
  <c r="H81" i="187"/>
  <c r="H71" i="187"/>
  <c r="H83" i="187"/>
  <c r="H78" i="187"/>
  <c r="H80" i="187"/>
  <c r="H85" i="187"/>
  <c r="H73" i="187"/>
  <c r="H19" i="187"/>
  <c r="H29" i="187"/>
  <c r="H37" i="187"/>
  <c r="H82" i="187"/>
  <c r="H69" i="187"/>
  <c r="H84" i="187"/>
  <c r="H21" i="187"/>
  <c r="H31" i="187"/>
  <c r="H39" i="187"/>
  <c r="H16" i="187"/>
  <c r="H74" i="186"/>
  <c r="H65" i="187"/>
  <c r="H88" i="187"/>
  <c r="H76" i="187"/>
  <c r="H90" i="187"/>
  <c r="H9" i="187"/>
  <c r="H26" i="187"/>
  <c r="K26" i="187" s="1"/>
  <c r="H34" i="187"/>
  <c r="H42" i="187"/>
  <c r="H17" i="187"/>
  <c r="H27" i="187"/>
  <c r="H35" i="187"/>
  <c r="H43" i="187"/>
  <c r="K43" i="187" s="1"/>
  <c r="H20" i="187"/>
  <c r="H77" i="187"/>
  <c r="H93" i="187"/>
  <c r="H68" i="187"/>
  <c r="H72" i="187"/>
  <c r="H86" i="187"/>
  <c r="H74" i="187"/>
  <c r="H92" i="187"/>
  <c r="H13" i="187"/>
  <c r="H30" i="187"/>
  <c r="H38" i="187"/>
  <c r="H63" i="186"/>
  <c r="H19" i="186"/>
  <c r="H76" i="186"/>
  <c r="H59" i="186"/>
  <c r="H9" i="186"/>
  <c r="H71" i="186"/>
  <c r="H20" i="186"/>
  <c r="H36" i="186"/>
  <c r="K36" i="186" s="1"/>
  <c r="H12" i="186"/>
  <c r="H28" i="186"/>
  <c r="H11" i="186"/>
  <c r="H15" i="186"/>
  <c r="H62" i="186"/>
  <c r="H52" i="186"/>
  <c r="H66" i="186"/>
  <c r="H77" i="186"/>
  <c r="H72" i="186"/>
  <c r="H60" i="186"/>
  <c r="H57" i="186"/>
  <c r="H53" i="186"/>
  <c r="H54" i="186"/>
  <c r="H68" i="186"/>
  <c r="H64" i="186"/>
  <c r="H70" i="186"/>
  <c r="H58" i="186"/>
  <c r="H56" i="186"/>
  <c r="H61" i="186"/>
  <c r="H21" i="186"/>
  <c r="H14" i="186"/>
  <c r="H22" i="186"/>
  <c r="H30" i="186"/>
  <c r="H13" i="186"/>
  <c r="H69" i="186"/>
  <c r="H78" i="186"/>
  <c r="H17" i="186"/>
  <c r="H33" i="186"/>
  <c r="H10" i="186"/>
  <c r="H18" i="186"/>
  <c r="H26" i="186"/>
  <c r="H34" i="186"/>
  <c r="H25" i="186"/>
  <c r="H73" i="186"/>
  <c r="H67" i="186"/>
  <c r="F8" i="183"/>
  <c r="C94" i="185"/>
  <c r="E94" i="185" s="1"/>
  <c r="F27" i="185"/>
  <c r="F15" i="185"/>
  <c r="F11" i="185"/>
  <c r="G78" i="185"/>
  <c r="F12" i="185"/>
  <c r="F41" i="185"/>
  <c r="F29" i="185"/>
  <c r="F23" i="185"/>
  <c r="G94" i="185"/>
  <c r="C78" i="185"/>
  <c r="E78" i="185" s="1"/>
  <c r="C84" i="185"/>
  <c r="E84" i="185" s="1"/>
  <c r="C82" i="185"/>
  <c r="E82" i="185" s="1"/>
  <c r="C80" i="185"/>
  <c r="E80" i="185" s="1"/>
  <c r="G76" i="185"/>
  <c r="F37" i="185"/>
  <c r="F19" i="185"/>
  <c r="G92" i="185"/>
  <c r="C62" i="185"/>
  <c r="E62" i="185" s="1"/>
  <c r="C91" i="185"/>
  <c r="E91" i="185" s="1"/>
  <c r="C89" i="185"/>
  <c r="E89" i="185" s="1"/>
  <c r="F83" i="185"/>
  <c r="F81" i="185"/>
  <c r="C75" i="185"/>
  <c r="E75" i="185" s="1"/>
  <c r="C73" i="185"/>
  <c r="E73" i="185" s="1"/>
  <c r="F67" i="185"/>
  <c r="F65" i="185"/>
  <c r="F43" i="185"/>
  <c r="F39" i="185"/>
  <c r="F35" i="185"/>
  <c r="F31" i="185"/>
  <c r="F30" i="185"/>
  <c r="F25" i="185"/>
  <c r="F21" i="185"/>
  <c r="F17" i="185"/>
  <c r="F13" i="185"/>
  <c r="F9" i="185"/>
  <c r="F91" i="185"/>
  <c r="F90" i="185"/>
  <c r="F89" i="185"/>
  <c r="F88" i="185"/>
  <c r="G86" i="185"/>
  <c r="G84" i="185"/>
  <c r="C83" i="185"/>
  <c r="E83" i="185" s="1"/>
  <c r="C81" i="185"/>
  <c r="E81" i="185" s="1"/>
  <c r="F75" i="185"/>
  <c r="F74" i="185"/>
  <c r="F73" i="185"/>
  <c r="F72" i="185"/>
  <c r="G70" i="185"/>
  <c r="G68" i="185"/>
  <c r="C68" i="185"/>
  <c r="E68" i="185" s="1"/>
  <c r="C67" i="185"/>
  <c r="E67" i="185" s="1"/>
  <c r="C66" i="185"/>
  <c r="E66" i="185" s="1"/>
  <c r="C65" i="185"/>
  <c r="E65" i="185" s="1"/>
  <c r="C64" i="185"/>
  <c r="E64" i="185" s="1"/>
  <c r="G62" i="185"/>
  <c r="G60" i="185"/>
  <c r="C92" i="185"/>
  <c r="E92" i="185" s="1"/>
  <c r="C90" i="185"/>
  <c r="E90" i="185" s="1"/>
  <c r="F82" i="185"/>
  <c r="F80" i="185"/>
  <c r="C76" i="185"/>
  <c r="E76" i="185" s="1"/>
  <c r="C74" i="185"/>
  <c r="E74" i="185" s="1"/>
  <c r="F66" i="185"/>
  <c r="F64" i="185"/>
  <c r="F44" i="185"/>
  <c r="F40" i="185"/>
  <c r="F36" i="185"/>
  <c r="F32" i="185"/>
  <c r="F26" i="185"/>
  <c r="F22" i="185"/>
  <c r="F18" i="185"/>
  <c r="F14" i="185"/>
  <c r="F10" i="185"/>
  <c r="C95" i="185"/>
  <c r="E95" i="185" s="1"/>
  <c r="C93" i="185"/>
  <c r="E93" i="185" s="1"/>
  <c r="F87" i="185"/>
  <c r="F86" i="185"/>
  <c r="F85" i="185"/>
  <c r="F84" i="185"/>
  <c r="G82" i="185"/>
  <c r="G80" i="185"/>
  <c r="C79" i="185"/>
  <c r="E79" i="185" s="1"/>
  <c r="C77" i="185"/>
  <c r="E77" i="185" s="1"/>
  <c r="F71" i="185"/>
  <c r="F70" i="185"/>
  <c r="F69" i="185"/>
  <c r="F68" i="185"/>
  <c r="G66" i="185"/>
  <c r="G64" i="185"/>
  <c r="F63" i="185"/>
  <c r="F62" i="185"/>
  <c r="F61" i="185"/>
  <c r="F60" i="185"/>
  <c r="C59" i="185"/>
  <c r="E59" i="185" s="1"/>
  <c r="F42" i="185"/>
  <c r="F38" i="185"/>
  <c r="F34" i="185"/>
  <c r="F28" i="185"/>
  <c r="F24" i="185"/>
  <c r="F20" i="185"/>
  <c r="F16" i="185"/>
  <c r="F95" i="185"/>
  <c r="F94" i="185"/>
  <c r="F93" i="185"/>
  <c r="F92" i="185"/>
  <c r="G90" i="185"/>
  <c r="G88" i="185"/>
  <c r="C88" i="185"/>
  <c r="E88" i="185" s="1"/>
  <c r="C87" i="185"/>
  <c r="E87" i="185" s="1"/>
  <c r="C86" i="185"/>
  <c r="E86" i="185" s="1"/>
  <c r="C85" i="185"/>
  <c r="E85" i="185" s="1"/>
  <c r="F79" i="185"/>
  <c r="F78" i="185"/>
  <c r="F77" i="185"/>
  <c r="F76" i="185"/>
  <c r="G74" i="185"/>
  <c r="G72" i="185"/>
  <c r="C72" i="185"/>
  <c r="E72" i="185" s="1"/>
  <c r="C71" i="185"/>
  <c r="E71" i="185" s="1"/>
  <c r="C69" i="185"/>
  <c r="E69" i="185" s="1"/>
  <c r="C63" i="185"/>
  <c r="E63" i="185" s="1"/>
  <c r="C61" i="185"/>
  <c r="E61" i="185" s="1"/>
  <c r="C60" i="185"/>
  <c r="E60" i="185" s="1"/>
  <c r="G93" i="185"/>
  <c r="G89" i="185"/>
  <c r="G85" i="185"/>
  <c r="G81" i="185"/>
  <c r="G77" i="185"/>
  <c r="G73" i="185"/>
  <c r="G69" i="185"/>
  <c r="G65" i="185"/>
  <c r="G61" i="185"/>
  <c r="G95" i="185"/>
  <c r="G91" i="185"/>
  <c r="G87" i="185"/>
  <c r="G83" i="185"/>
  <c r="G79" i="185"/>
  <c r="G75" i="185"/>
  <c r="G71" i="185"/>
  <c r="G67" i="185"/>
  <c r="G63" i="185"/>
  <c r="F8" i="185"/>
  <c r="F8" i="184"/>
  <c r="F20" i="184"/>
  <c r="F32" i="184"/>
  <c r="F16" i="184"/>
  <c r="F28" i="184"/>
  <c r="F12" i="184"/>
  <c r="F36" i="184"/>
  <c r="F40" i="184"/>
  <c r="F24" i="184"/>
  <c r="F29" i="184"/>
  <c r="F25" i="184"/>
  <c r="H25" i="184" s="1"/>
  <c r="F21" i="184"/>
  <c r="F17" i="184"/>
  <c r="F13" i="184"/>
  <c r="F9" i="184"/>
  <c r="F37" i="184"/>
  <c r="F38" i="184"/>
  <c r="F34" i="184"/>
  <c r="F30" i="184"/>
  <c r="F26" i="184"/>
  <c r="F22" i="184"/>
  <c r="F18" i="184"/>
  <c r="F14" i="184"/>
  <c r="F10" i="184"/>
  <c r="F33" i="184"/>
  <c r="C86" i="184"/>
  <c r="E86" i="184" s="1"/>
  <c r="C84" i="184"/>
  <c r="E84" i="184" s="1"/>
  <c r="C82" i="184"/>
  <c r="E82" i="184" s="1"/>
  <c r="C72" i="184"/>
  <c r="E72" i="184" s="1"/>
  <c r="C70" i="184"/>
  <c r="E70" i="184" s="1"/>
  <c r="C68" i="184"/>
  <c r="E68" i="184" s="1"/>
  <c r="C66" i="184"/>
  <c r="E66" i="184" s="1"/>
  <c r="F39" i="184"/>
  <c r="F35" i="184"/>
  <c r="F31" i="184"/>
  <c r="F27" i="184"/>
  <c r="F23" i="184"/>
  <c r="F19" i="184"/>
  <c r="F15" i="184"/>
  <c r="F11" i="184"/>
  <c r="C55" i="184"/>
  <c r="E55" i="184" s="1"/>
  <c r="C87" i="184"/>
  <c r="E87" i="184" s="1"/>
  <c r="C85" i="184"/>
  <c r="E85" i="184" s="1"/>
  <c r="F79" i="184"/>
  <c r="F78" i="184"/>
  <c r="F77" i="184"/>
  <c r="F76" i="184"/>
  <c r="G74" i="184"/>
  <c r="G72" i="184"/>
  <c r="C71" i="184"/>
  <c r="E71" i="184" s="1"/>
  <c r="C69" i="184"/>
  <c r="E69" i="184" s="1"/>
  <c r="F63" i="184"/>
  <c r="F62" i="184"/>
  <c r="F61" i="184"/>
  <c r="F60" i="184"/>
  <c r="G58" i="184"/>
  <c r="G56" i="184"/>
  <c r="G86" i="184"/>
  <c r="G84" i="184"/>
  <c r="C83" i="184"/>
  <c r="E83" i="184" s="1"/>
  <c r="C81" i="184"/>
  <c r="E81" i="184" s="1"/>
  <c r="F75" i="184"/>
  <c r="F74" i="184"/>
  <c r="F73" i="184"/>
  <c r="F72" i="184"/>
  <c r="G70" i="184"/>
  <c r="G68" i="184"/>
  <c r="C67" i="184"/>
  <c r="E67" i="184" s="1"/>
  <c r="C65" i="184"/>
  <c r="E65" i="184" s="1"/>
  <c r="F59" i="184"/>
  <c r="F58" i="184"/>
  <c r="F57" i="184"/>
  <c r="F56" i="184"/>
  <c r="F87" i="184"/>
  <c r="F86" i="184"/>
  <c r="F85" i="184"/>
  <c r="F84" i="184"/>
  <c r="G82" i="184"/>
  <c r="G80" i="184"/>
  <c r="C80" i="184"/>
  <c r="E80" i="184" s="1"/>
  <c r="C79" i="184"/>
  <c r="E79" i="184" s="1"/>
  <c r="C78" i="184"/>
  <c r="E78" i="184" s="1"/>
  <c r="C77" i="184"/>
  <c r="E77" i="184" s="1"/>
  <c r="F71" i="184"/>
  <c r="F70" i="184"/>
  <c r="F69" i="184"/>
  <c r="F68" i="184"/>
  <c r="G66" i="184"/>
  <c r="G64" i="184"/>
  <c r="C64" i="184"/>
  <c r="E64" i="184" s="1"/>
  <c r="C63" i="184"/>
  <c r="E63" i="184" s="1"/>
  <c r="C62" i="184"/>
  <c r="E62" i="184" s="1"/>
  <c r="C61" i="184"/>
  <c r="E61" i="184" s="1"/>
  <c r="F83" i="184"/>
  <c r="F82" i="184"/>
  <c r="F81" i="184"/>
  <c r="F80" i="184"/>
  <c r="G78" i="184"/>
  <c r="G76" i="184"/>
  <c r="C76" i="184"/>
  <c r="E76" i="184" s="1"/>
  <c r="C75" i="184"/>
  <c r="E75" i="184" s="1"/>
  <c r="C74" i="184"/>
  <c r="E74" i="184" s="1"/>
  <c r="C73" i="184"/>
  <c r="E73" i="184" s="1"/>
  <c r="F67" i="184"/>
  <c r="F66" i="184"/>
  <c r="F65" i="184"/>
  <c r="F64" i="184"/>
  <c r="G62" i="184"/>
  <c r="G60" i="184"/>
  <c r="C60" i="184"/>
  <c r="E60" i="184" s="1"/>
  <c r="C59" i="184"/>
  <c r="E59" i="184" s="1"/>
  <c r="C57" i="184"/>
  <c r="E57" i="184" s="1"/>
  <c r="C56" i="184"/>
  <c r="E56" i="184" s="1"/>
  <c r="G85" i="184"/>
  <c r="G81" i="184"/>
  <c r="G77" i="184"/>
  <c r="G73" i="184"/>
  <c r="G69" i="184"/>
  <c r="G65" i="184"/>
  <c r="G61" i="184"/>
  <c r="G57" i="184"/>
  <c r="G87" i="184"/>
  <c r="G83" i="184"/>
  <c r="G79" i="184"/>
  <c r="G75" i="184"/>
  <c r="G71" i="184"/>
  <c r="G67" i="184"/>
  <c r="G63" i="184"/>
  <c r="G59" i="184"/>
  <c r="E75" i="183"/>
  <c r="C78" i="183"/>
  <c r="E78" i="183" s="1"/>
  <c r="C70" i="183"/>
  <c r="E70" i="183" s="1"/>
  <c r="C66" i="183"/>
  <c r="E66" i="183" s="1"/>
  <c r="C62" i="183"/>
  <c r="E62" i="183" s="1"/>
  <c r="C58" i="183"/>
  <c r="E58" i="183" s="1"/>
  <c r="C86" i="183"/>
  <c r="E86" i="183" s="1"/>
  <c r="C74" i="183"/>
  <c r="E74" i="183" s="1"/>
  <c r="C83" i="183"/>
  <c r="E83" i="183" s="1"/>
  <c r="C71" i="183"/>
  <c r="E71" i="183" s="1"/>
  <c r="C67" i="183"/>
  <c r="E67" i="183" s="1"/>
  <c r="C63" i="183"/>
  <c r="E63" i="183" s="1"/>
  <c r="C59" i="183"/>
  <c r="E59" i="183" s="1"/>
  <c r="G56" i="183"/>
  <c r="G59" i="183"/>
  <c r="G63" i="183"/>
  <c r="G67" i="183"/>
  <c r="G71" i="183"/>
  <c r="G75" i="183"/>
  <c r="G79" i="183"/>
  <c r="G66" i="183"/>
  <c r="G78" i="183"/>
  <c r="G83" i="183"/>
  <c r="G86" i="183"/>
  <c r="G57" i="183"/>
  <c r="G82" i="183"/>
  <c r="G87" i="183"/>
  <c r="G58" i="183"/>
  <c r="G62" i="183"/>
  <c r="G70" i="183"/>
  <c r="G74" i="183"/>
  <c r="F41" i="183"/>
  <c r="F37" i="183"/>
  <c r="F31" i="183"/>
  <c r="F89" i="183"/>
  <c r="C87" i="183"/>
  <c r="E87" i="183" s="1"/>
  <c r="C82" i="183"/>
  <c r="E82" i="183" s="1"/>
  <c r="F79" i="183"/>
  <c r="F76" i="183"/>
  <c r="F72" i="183"/>
  <c r="F68" i="183"/>
  <c r="F67" i="183"/>
  <c r="F64" i="183"/>
  <c r="F63" i="183"/>
  <c r="F60" i="183"/>
  <c r="F59" i="183"/>
  <c r="C57" i="183"/>
  <c r="E57" i="183" s="1"/>
  <c r="F38" i="183"/>
  <c r="F32" i="183"/>
  <c r="F28" i="183"/>
  <c r="F24" i="183"/>
  <c r="H24" i="183" s="1"/>
  <c r="F23" i="183"/>
  <c r="F21" i="183"/>
  <c r="F17" i="183"/>
  <c r="F13" i="183"/>
  <c r="F9" i="183"/>
  <c r="C85" i="183"/>
  <c r="E85" i="183" s="1"/>
  <c r="F83" i="183"/>
  <c r="F78" i="183"/>
  <c r="F77" i="183"/>
  <c r="F74" i="183"/>
  <c r="F73" i="183"/>
  <c r="F70" i="183"/>
  <c r="F69" i="183"/>
  <c r="F66" i="183"/>
  <c r="F65" i="183"/>
  <c r="F62" i="183"/>
  <c r="F61" i="183"/>
  <c r="F58" i="183"/>
  <c r="F27" i="183"/>
  <c r="F20" i="183"/>
  <c r="F16" i="183"/>
  <c r="F12" i="183"/>
  <c r="C56" i="183"/>
  <c r="E56" i="183" s="1"/>
  <c r="F39" i="183"/>
  <c r="F33" i="183"/>
  <c r="F29" i="183"/>
  <c r="F25" i="183"/>
  <c r="F22" i="183"/>
  <c r="F18" i="183"/>
  <c r="F14" i="183"/>
  <c r="F10" i="183"/>
  <c r="C89" i="183"/>
  <c r="E89" i="183" s="1"/>
  <c r="F87" i="183"/>
  <c r="F82" i="183"/>
  <c r="F81" i="183"/>
  <c r="C79" i="183"/>
  <c r="E79" i="183" s="1"/>
  <c r="C76" i="183"/>
  <c r="E76" i="183" s="1"/>
  <c r="C72" i="183"/>
  <c r="E72" i="183" s="1"/>
  <c r="C68" i="183"/>
  <c r="E68" i="183" s="1"/>
  <c r="C64" i="183"/>
  <c r="E64" i="183" s="1"/>
  <c r="C60" i="183"/>
  <c r="E60" i="183" s="1"/>
  <c r="F57" i="183"/>
  <c r="C81" i="183"/>
  <c r="E81" i="183" s="1"/>
  <c r="F75" i="183"/>
  <c r="F71" i="183"/>
  <c r="F40" i="183"/>
  <c r="F36" i="183"/>
  <c r="F30" i="183"/>
  <c r="F26" i="183"/>
  <c r="F19" i="183"/>
  <c r="F15" i="183"/>
  <c r="F11" i="183"/>
  <c r="F86" i="183"/>
  <c r="F85" i="183"/>
  <c r="F84" i="183"/>
  <c r="C77" i="183"/>
  <c r="E77" i="183" s="1"/>
  <c r="C73" i="183"/>
  <c r="E73" i="183" s="1"/>
  <c r="C69" i="183"/>
  <c r="E69" i="183" s="1"/>
  <c r="C65" i="183"/>
  <c r="E65" i="183" s="1"/>
  <c r="C61" i="183"/>
  <c r="E61" i="183" s="1"/>
  <c r="C80" i="183"/>
  <c r="E80" i="183" s="1"/>
  <c r="G80" i="183"/>
  <c r="C88" i="183"/>
  <c r="E88" i="183" s="1"/>
  <c r="G88" i="183"/>
  <c r="C84" i="183"/>
  <c r="E84" i="183" s="1"/>
  <c r="G84" i="183"/>
  <c r="F88" i="183"/>
  <c r="F80" i="183"/>
  <c r="G89" i="183"/>
  <c r="G85" i="183"/>
  <c r="G81" i="183"/>
  <c r="G77" i="183"/>
  <c r="G73" i="183"/>
  <c r="G69" i="183"/>
  <c r="G65" i="183"/>
  <c r="G61" i="183"/>
  <c r="G76" i="183"/>
  <c r="G72" i="183"/>
  <c r="G68" i="183"/>
  <c r="G64" i="183"/>
  <c r="G60" i="183"/>
  <c r="F35" i="183"/>
  <c r="F34" i="183"/>
  <c r="F9" i="180"/>
  <c r="F11" i="179"/>
  <c r="G78" i="181"/>
  <c r="G72" i="181"/>
  <c r="G55" i="181"/>
  <c r="G68" i="181"/>
  <c r="C80" i="181"/>
  <c r="E80" i="181" s="1"/>
  <c r="C71" i="181"/>
  <c r="E71" i="181" s="1"/>
  <c r="C58" i="181"/>
  <c r="E58" i="181" s="1"/>
  <c r="C76" i="181"/>
  <c r="E76" i="181" s="1"/>
  <c r="C74" i="181"/>
  <c r="E74" i="181" s="1"/>
  <c r="C70" i="181"/>
  <c r="E70" i="181" s="1"/>
  <c r="G76" i="181"/>
  <c r="G58" i="181"/>
  <c r="C78" i="181"/>
  <c r="E78" i="181" s="1"/>
  <c r="C72" i="181"/>
  <c r="E72" i="181" s="1"/>
  <c r="G70" i="181"/>
  <c r="C60" i="181"/>
  <c r="E60" i="181" s="1"/>
  <c r="C57" i="181"/>
  <c r="E57" i="181" s="1"/>
  <c r="E62" i="181"/>
  <c r="C54" i="181"/>
  <c r="E54" i="181" s="1"/>
  <c r="H12" i="181"/>
  <c r="C85" i="181"/>
  <c r="E85" i="181" s="1"/>
  <c r="C69" i="181"/>
  <c r="E69" i="181" s="1"/>
  <c r="F54" i="181"/>
  <c r="F64" i="181"/>
  <c r="F65" i="181"/>
  <c r="F66" i="181"/>
  <c r="F67" i="181"/>
  <c r="F84" i="181"/>
  <c r="F85" i="181"/>
  <c r="F61" i="181"/>
  <c r="F63" i="181"/>
  <c r="F82" i="181"/>
  <c r="F57" i="181"/>
  <c r="F68" i="181"/>
  <c r="F69" i="181"/>
  <c r="F70" i="181"/>
  <c r="F71" i="181"/>
  <c r="F55" i="181"/>
  <c r="F56" i="181"/>
  <c r="F58" i="181"/>
  <c r="F59" i="181"/>
  <c r="F72" i="181"/>
  <c r="F73" i="181"/>
  <c r="F74" i="181"/>
  <c r="F76" i="181"/>
  <c r="F77" i="181"/>
  <c r="F78" i="181"/>
  <c r="F79" i="181"/>
  <c r="F60" i="181"/>
  <c r="F62" i="181"/>
  <c r="F80" i="181"/>
  <c r="F83" i="181"/>
  <c r="F81" i="181"/>
  <c r="F16" i="181"/>
  <c r="F13" i="181"/>
  <c r="F10" i="181"/>
  <c r="F9" i="181"/>
  <c r="F19" i="181"/>
  <c r="C68" i="181"/>
  <c r="E68" i="181" s="1"/>
  <c r="C67" i="181"/>
  <c r="E67" i="181" s="1"/>
  <c r="C66" i="181"/>
  <c r="E66" i="181" s="1"/>
  <c r="C65" i="181"/>
  <c r="E65" i="181" s="1"/>
  <c r="G54" i="181"/>
  <c r="F37" i="181"/>
  <c r="F36" i="181"/>
  <c r="F33" i="181"/>
  <c r="F32" i="181"/>
  <c r="F29" i="181"/>
  <c r="F28" i="181"/>
  <c r="F25" i="181"/>
  <c r="F24" i="181"/>
  <c r="F21" i="181"/>
  <c r="F20" i="181"/>
  <c r="F11" i="181"/>
  <c r="G84" i="181"/>
  <c r="C84" i="181"/>
  <c r="E84" i="181" s="1"/>
  <c r="C83" i="181"/>
  <c r="E83" i="181" s="1"/>
  <c r="C82" i="181"/>
  <c r="E82" i="181" s="1"/>
  <c r="C81" i="181"/>
  <c r="E81" i="181" s="1"/>
  <c r="G66" i="181"/>
  <c r="G64" i="181"/>
  <c r="C64" i="181"/>
  <c r="E64" i="181" s="1"/>
  <c r="C63" i="181"/>
  <c r="E63" i="181" s="1"/>
  <c r="C61" i="181"/>
  <c r="E61" i="181" s="1"/>
  <c r="F15" i="181"/>
  <c r="G82" i="181"/>
  <c r="G80" i="181"/>
  <c r="C79" i="181"/>
  <c r="E79" i="181" s="1"/>
  <c r="C77" i="181"/>
  <c r="E77" i="181" s="1"/>
  <c r="F75" i="181"/>
  <c r="C73" i="181"/>
  <c r="E73" i="181" s="1"/>
  <c r="G62" i="181"/>
  <c r="G60" i="181"/>
  <c r="C59" i="181"/>
  <c r="E59" i="181" s="1"/>
  <c r="C56" i="181"/>
  <c r="E56" i="181" s="1"/>
  <c r="C55" i="181"/>
  <c r="E55" i="181" s="1"/>
  <c r="G85" i="181"/>
  <c r="G81" i="181"/>
  <c r="G77" i="181"/>
  <c r="G73" i="181"/>
  <c r="G69" i="181"/>
  <c r="G65" i="181"/>
  <c r="G61" i="181"/>
  <c r="G57" i="181"/>
  <c r="G56" i="181"/>
  <c r="G83" i="181"/>
  <c r="G79" i="181"/>
  <c r="G75" i="181"/>
  <c r="C75" i="181"/>
  <c r="E75" i="181" s="1"/>
  <c r="G71" i="181"/>
  <c r="G67" i="181"/>
  <c r="G63" i="181"/>
  <c r="G59" i="181"/>
  <c r="F39" i="181"/>
  <c r="F35" i="181"/>
  <c r="F31" i="181"/>
  <c r="F27" i="181"/>
  <c r="F23" i="181"/>
  <c r="F17" i="181"/>
  <c r="F38" i="181"/>
  <c r="F34" i="181"/>
  <c r="F30" i="181"/>
  <c r="F26" i="181"/>
  <c r="F22" i="181"/>
  <c r="F18" i="181"/>
  <c r="F14" i="181"/>
  <c r="F8" i="181"/>
  <c r="F34" i="180"/>
  <c r="F18" i="180"/>
  <c r="G75" i="180"/>
  <c r="C59" i="180"/>
  <c r="E59" i="180" s="1"/>
  <c r="G55" i="180"/>
  <c r="F30" i="180"/>
  <c r="F14" i="180"/>
  <c r="C77" i="180"/>
  <c r="E77" i="180" s="1"/>
  <c r="G73" i="180"/>
  <c r="G53" i="180"/>
  <c r="F26" i="180"/>
  <c r="F10" i="180"/>
  <c r="C75" i="180"/>
  <c r="E75" i="180" s="1"/>
  <c r="G59" i="180"/>
  <c r="C55" i="180"/>
  <c r="E55" i="180" s="1"/>
  <c r="F22" i="180"/>
  <c r="G81" i="180"/>
  <c r="C69" i="180"/>
  <c r="E69" i="180" s="1"/>
  <c r="C67" i="180"/>
  <c r="E67" i="180" s="1"/>
  <c r="C65" i="180"/>
  <c r="E65" i="180" s="1"/>
  <c r="C63" i="180"/>
  <c r="E63" i="180" s="1"/>
  <c r="C61" i="180"/>
  <c r="E61" i="180" s="1"/>
  <c r="G57" i="180"/>
  <c r="F80" i="180"/>
  <c r="F79" i="180"/>
  <c r="F78" i="180"/>
  <c r="F77" i="180"/>
  <c r="C73" i="180"/>
  <c r="E73" i="180" s="1"/>
  <c r="C72" i="180"/>
  <c r="E72" i="180" s="1"/>
  <c r="C71" i="180"/>
  <c r="E71" i="180" s="1"/>
  <c r="C70" i="180"/>
  <c r="E70" i="180" s="1"/>
  <c r="F64" i="180"/>
  <c r="F63" i="180"/>
  <c r="F62" i="180"/>
  <c r="F61" i="180"/>
  <c r="C57" i="180"/>
  <c r="E57" i="180" s="1"/>
  <c r="C52" i="180"/>
  <c r="E52" i="180" s="1"/>
  <c r="F35" i="180"/>
  <c r="F31" i="180"/>
  <c r="F27" i="180"/>
  <c r="F23" i="180"/>
  <c r="F19" i="180"/>
  <c r="F15" i="180"/>
  <c r="F11" i="180"/>
  <c r="F76" i="180"/>
  <c r="F75" i="180"/>
  <c r="F74" i="180"/>
  <c r="F73" i="180"/>
  <c r="G71" i="180"/>
  <c r="G69" i="180"/>
  <c r="C68" i="180"/>
  <c r="E68" i="180" s="1"/>
  <c r="C66" i="180"/>
  <c r="E66" i="180" s="1"/>
  <c r="F60" i="180"/>
  <c r="F59" i="180"/>
  <c r="F58" i="180"/>
  <c r="F57" i="180"/>
  <c r="F55" i="180"/>
  <c r="F54" i="180"/>
  <c r="F53" i="180"/>
  <c r="F72" i="180"/>
  <c r="F71" i="180"/>
  <c r="F70" i="180"/>
  <c r="F69" i="180"/>
  <c r="G67" i="180"/>
  <c r="G65" i="180"/>
  <c r="C64" i="180"/>
  <c r="E64" i="180" s="1"/>
  <c r="C62" i="180"/>
  <c r="E62" i="180" s="1"/>
  <c r="F36" i="180"/>
  <c r="F32" i="180"/>
  <c r="F28" i="180"/>
  <c r="F24" i="180"/>
  <c r="F20" i="180"/>
  <c r="F16" i="180"/>
  <c r="F12" i="180"/>
  <c r="C81" i="180"/>
  <c r="E81" i="180" s="1"/>
  <c r="C80" i="180"/>
  <c r="E80" i="180" s="1"/>
  <c r="C78" i="180"/>
  <c r="E78" i="180" s="1"/>
  <c r="F37" i="180"/>
  <c r="F33" i="180"/>
  <c r="F29" i="180"/>
  <c r="F25" i="180"/>
  <c r="F21" i="180"/>
  <c r="F17" i="180"/>
  <c r="F13" i="180"/>
  <c r="F81" i="180"/>
  <c r="G79" i="180"/>
  <c r="G77" i="180"/>
  <c r="C76" i="180"/>
  <c r="E76" i="180" s="1"/>
  <c r="C74" i="180"/>
  <c r="E74" i="180" s="1"/>
  <c r="F68" i="180"/>
  <c r="F67" i="180"/>
  <c r="F66" i="180"/>
  <c r="F65" i="180"/>
  <c r="G63" i="180"/>
  <c r="G61" i="180"/>
  <c r="C60" i="180"/>
  <c r="E60" i="180" s="1"/>
  <c r="C58" i="180"/>
  <c r="E58" i="180" s="1"/>
  <c r="C56" i="180"/>
  <c r="E56" i="180" s="1"/>
  <c r="C54" i="180"/>
  <c r="E54" i="180" s="1"/>
  <c r="C53" i="180"/>
  <c r="E53" i="180" s="1"/>
  <c r="F56" i="180"/>
  <c r="G78" i="180"/>
  <c r="G74" i="180"/>
  <c r="G70" i="180"/>
  <c r="G66" i="180"/>
  <c r="G62" i="180"/>
  <c r="G58" i="180"/>
  <c r="G54" i="180"/>
  <c r="G80" i="180"/>
  <c r="G76" i="180"/>
  <c r="G72" i="180"/>
  <c r="G68" i="180"/>
  <c r="G64" i="180"/>
  <c r="G60" i="180"/>
  <c r="G56" i="180"/>
  <c r="F8" i="180"/>
  <c r="G60" i="179"/>
  <c r="G94" i="179"/>
  <c r="G83" i="179"/>
  <c r="G88" i="179"/>
  <c r="F95" i="179"/>
  <c r="F90" i="179"/>
  <c r="F85" i="179"/>
  <c r="F75" i="179"/>
  <c r="F68" i="179"/>
  <c r="F66" i="179"/>
  <c r="F84" i="179"/>
  <c r="F74" i="179"/>
  <c r="F67" i="179"/>
  <c r="F76" i="179"/>
  <c r="C93" i="179"/>
  <c r="E93" i="179" s="1"/>
  <c r="C94" i="179"/>
  <c r="E94" i="179" s="1"/>
  <c r="C91" i="179"/>
  <c r="E91" i="179" s="1"/>
  <c r="C88" i="179"/>
  <c r="E88" i="179" s="1"/>
  <c r="C80" i="179"/>
  <c r="E80" i="179" s="1"/>
  <c r="C72" i="179"/>
  <c r="E72" i="179" s="1"/>
  <c r="C64" i="179"/>
  <c r="E64" i="179" s="1"/>
  <c r="C84" i="179"/>
  <c r="E84" i="179" s="1"/>
  <c r="C95" i="179"/>
  <c r="E95" i="179" s="1"/>
  <c r="C92" i="179"/>
  <c r="E92" i="179" s="1"/>
  <c r="C86" i="179"/>
  <c r="E86" i="179" s="1"/>
  <c r="C78" i="179"/>
  <c r="E78" i="179" s="1"/>
  <c r="C75" i="179"/>
  <c r="E75" i="179" s="1"/>
  <c r="C70" i="179"/>
  <c r="E70" i="179" s="1"/>
  <c r="C67" i="179"/>
  <c r="E67" i="179" s="1"/>
  <c r="C62" i="179"/>
  <c r="E62" i="179" s="1"/>
  <c r="C90" i="179"/>
  <c r="E90" i="179" s="1"/>
  <c r="C87" i="179"/>
  <c r="E87" i="179" s="1"/>
  <c r="C83" i="179"/>
  <c r="E83" i="179" s="1"/>
  <c r="C79" i="179"/>
  <c r="E79" i="179" s="1"/>
  <c r="C71" i="179"/>
  <c r="E71" i="179" s="1"/>
  <c r="C63" i="179"/>
  <c r="E63" i="179" s="1"/>
  <c r="F94" i="179"/>
  <c r="G92" i="179"/>
  <c r="F89" i="179"/>
  <c r="F88" i="179"/>
  <c r="G87" i="179"/>
  <c r="F83" i="179"/>
  <c r="G82" i="179"/>
  <c r="C81" i="179"/>
  <c r="E81" i="179" s="1"/>
  <c r="G79" i="179"/>
  <c r="F77" i="179"/>
  <c r="C73" i="179"/>
  <c r="E73" i="179" s="1"/>
  <c r="G71" i="179"/>
  <c r="F69" i="179"/>
  <c r="C65" i="179"/>
  <c r="E65" i="179" s="1"/>
  <c r="G63" i="179"/>
  <c r="F61" i="179"/>
  <c r="F60" i="179"/>
  <c r="F93" i="179"/>
  <c r="F92" i="179"/>
  <c r="G91" i="179"/>
  <c r="F87" i="179"/>
  <c r="G86" i="179"/>
  <c r="C85" i="179"/>
  <c r="E85" i="179" s="1"/>
  <c r="F82" i="179"/>
  <c r="F80" i="179"/>
  <c r="F79" i="179"/>
  <c r="F78" i="179"/>
  <c r="C76" i="179"/>
  <c r="E76" i="179" s="1"/>
  <c r="C74" i="179"/>
  <c r="E74" i="179" s="1"/>
  <c r="F72" i="179"/>
  <c r="F71" i="179"/>
  <c r="F70" i="179"/>
  <c r="C68" i="179"/>
  <c r="E68" i="179" s="1"/>
  <c r="C66" i="179"/>
  <c r="E66" i="179" s="1"/>
  <c r="F64" i="179"/>
  <c r="F63" i="179"/>
  <c r="F62" i="179"/>
  <c r="C59" i="179"/>
  <c r="E59" i="179" s="1"/>
  <c r="G95" i="179"/>
  <c r="F91" i="179"/>
  <c r="G90" i="179"/>
  <c r="C89" i="179"/>
  <c r="E89" i="179" s="1"/>
  <c r="F86" i="179"/>
  <c r="G84" i="179"/>
  <c r="F81" i="179"/>
  <c r="C77" i="179"/>
  <c r="E77" i="179" s="1"/>
  <c r="G75" i="179"/>
  <c r="F73" i="179"/>
  <c r="C69" i="179"/>
  <c r="E69" i="179" s="1"/>
  <c r="F65" i="179"/>
  <c r="C61" i="179"/>
  <c r="E61" i="179" s="1"/>
  <c r="C60" i="179"/>
  <c r="E60" i="179" s="1"/>
  <c r="G78" i="179"/>
  <c r="G74" i="179"/>
  <c r="G70" i="179"/>
  <c r="G66" i="179"/>
  <c r="G62" i="179"/>
  <c r="G93" i="179"/>
  <c r="G89" i="179"/>
  <c r="G85" i="179"/>
  <c r="G81" i="179"/>
  <c r="G77" i="179"/>
  <c r="G73" i="179"/>
  <c r="G69" i="179"/>
  <c r="G65" i="179"/>
  <c r="G61" i="179"/>
  <c r="G80" i="179"/>
  <c r="G76" i="179"/>
  <c r="G72" i="179"/>
  <c r="G68" i="179"/>
  <c r="G64" i="179"/>
  <c r="F42" i="179"/>
  <c r="F38" i="179"/>
  <c r="F30" i="179"/>
  <c r="F18" i="179"/>
  <c r="F14" i="179"/>
  <c r="F10" i="179"/>
  <c r="F41" i="179"/>
  <c r="F37" i="179"/>
  <c r="F33" i="179"/>
  <c r="F29" i="179"/>
  <c r="F25" i="179"/>
  <c r="F21" i="179"/>
  <c r="F17" i="179"/>
  <c r="F13" i="179"/>
  <c r="F9" i="179"/>
  <c r="F34" i="179"/>
  <c r="G59" i="179"/>
  <c r="F44" i="179"/>
  <c r="F40" i="179"/>
  <c r="F36" i="179"/>
  <c r="F32" i="179"/>
  <c r="F28" i="179"/>
  <c r="F24" i="179"/>
  <c r="F20" i="179"/>
  <c r="F16" i="179"/>
  <c r="F12" i="179"/>
  <c r="F26" i="179"/>
  <c r="F22" i="179"/>
  <c r="F43" i="179"/>
  <c r="F39" i="179"/>
  <c r="F35" i="179"/>
  <c r="F31" i="179"/>
  <c r="F27" i="179"/>
  <c r="F23" i="179"/>
  <c r="F19" i="179"/>
  <c r="F15" i="179"/>
  <c r="F8" i="179"/>
  <c r="B58" i="177"/>
  <c r="D58" i="177"/>
  <c r="B59" i="177"/>
  <c r="D59" i="177"/>
  <c r="B60" i="177"/>
  <c r="D60" i="177"/>
  <c r="B61" i="177"/>
  <c r="D61" i="177"/>
  <c r="B62" i="177"/>
  <c r="D62" i="177"/>
  <c r="B63" i="177"/>
  <c r="D63" i="177"/>
  <c r="B64" i="177"/>
  <c r="D64" i="177"/>
  <c r="B65" i="177"/>
  <c r="D65" i="177"/>
  <c r="B66" i="177"/>
  <c r="D66" i="177"/>
  <c r="B67" i="177"/>
  <c r="D67" i="177"/>
  <c r="B68" i="177"/>
  <c r="D68" i="177"/>
  <c r="B69" i="177"/>
  <c r="D69" i="177"/>
  <c r="B70" i="177"/>
  <c r="D70" i="177"/>
  <c r="B71" i="177"/>
  <c r="D71" i="177"/>
  <c r="B72" i="177"/>
  <c r="D72" i="177"/>
  <c r="B73" i="177"/>
  <c r="D73" i="177"/>
  <c r="B74" i="177"/>
  <c r="D74" i="177"/>
  <c r="B75" i="177"/>
  <c r="D75" i="177"/>
  <c r="B76" i="177"/>
  <c r="D76" i="177"/>
  <c r="B77" i="177"/>
  <c r="D77" i="177"/>
  <c r="B78" i="177"/>
  <c r="D78" i="177"/>
  <c r="B79" i="177"/>
  <c r="D79" i="177"/>
  <c r="B80" i="177"/>
  <c r="D80" i="177"/>
  <c r="B81" i="177"/>
  <c r="D81" i="177"/>
  <c r="B82" i="177"/>
  <c r="D82" i="177"/>
  <c r="B83" i="177"/>
  <c r="D83" i="177"/>
  <c r="B84" i="177"/>
  <c r="D84" i="177"/>
  <c r="B85" i="177"/>
  <c r="D85" i="177"/>
  <c r="B86" i="177"/>
  <c r="D86" i="177"/>
  <c r="B87" i="177"/>
  <c r="D87" i="177"/>
  <c r="B88" i="177"/>
  <c r="D88" i="177"/>
  <c r="B89" i="177"/>
  <c r="D89" i="177"/>
  <c r="B90" i="177"/>
  <c r="D90" i="177"/>
  <c r="B91" i="177"/>
  <c r="D91" i="177"/>
  <c r="B9" i="177"/>
  <c r="C9" i="177" s="1"/>
  <c r="E9" i="177" s="1"/>
  <c r="D9" i="177"/>
  <c r="B10" i="177"/>
  <c r="C10" i="177" s="1"/>
  <c r="E10" i="177" s="1"/>
  <c r="D10" i="177"/>
  <c r="B11" i="177"/>
  <c r="C11" i="177" s="1"/>
  <c r="E11" i="177" s="1"/>
  <c r="D11" i="177"/>
  <c r="B12" i="177"/>
  <c r="C12" i="177" s="1"/>
  <c r="E12" i="177" s="1"/>
  <c r="D12" i="177"/>
  <c r="B13" i="177"/>
  <c r="C13" i="177" s="1"/>
  <c r="E13" i="177" s="1"/>
  <c r="D13" i="177"/>
  <c r="B14" i="177"/>
  <c r="C14" i="177" s="1"/>
  <c r="E14" i="177" s="1"/>
  <c r="D14" i="177"/>
  <c r="B15" i="177"/>
  <c r="C15" i="177" s="1"/>
  <c r="E15" i="177" s="1"/>
  <c r="D15" i="177"/>
  <c r="B16" i="177"/>
  <c r="C16" i="177" s="1"/>
  <c r="E16" i="177" s="1"/>
  <c r="D16" i="177"/>
  <c r="B17" i="177"/>
  <c r="C17" i="177" s="1"/>
  <c r="E17" i="177" s="1"/>
  <c r="D17" i="177"/>
  <c r="B18" i="177"/>
  <c r="C18" i="177" s="1"/>
  <c r="E18" i="177" s="1"/>
  <c r="D18" i="177"/>
  <c r="B19" i="177"/>
  <c r="C19" i="177" s="1"/>
  <c r="E19" i="177" s="1"/>
  <c r="D19" i="177"/>
  <c r="B20" i="177"/>
  <c r="C20" i="177" s="1"/>
  <c r="E20" i="177" s="1"/>
  <c r="D20" i="177"/>
  <c r="B21" i="177"/>
  <c r="C21" i="177" s="1"/>
  <c r="E21" i="177" s="1"/>
  <c r="D21" i="177"/>
  <c r="B22" i="177"/>
  <c r="C22" i="177" s="1"/>
  <c r="E22" i="177" s="1"/>
  <c r="D22" i="177"/>
  <c r="B23" i="177"/>
  <c r="C23" i="177" s="1"/>
  <c r="E23" i="177" s="1"/>
  <c r="D23" i="177"/>
  <c r="B24" i="177"/>
  <c r="C24" i="177" s="1"/>
  <c r="E24" i="177" s="1"/>
  <c r="D24" i="177"/>
  <c r="B25" i="177"/>
  <c r="C25" i="177" s="1"/>
  <c r="E25" i="177" s="1"/>
  <c r="D25" i="177"/>
  <c r="B26" i="177"/>
  <c r="C26" i="177" s="1"/>
  <c r="E26" i="177" s="1"/>
  <c r="D26" i="177"/>
  <c r="B27" i="177"/>
  <c r="C27" i="177" s="1"/>
  <c r="E27" i="177" s="1"/>
  <c r="D27" i="177"/>
  <c r="B28" i="177"/>
  <c r="C28" i="177" s="1"/>
  <c r="E28" i="177" s="1"/>
  <c r="D28" i="177"/>
  <c r="B29" i="177"/>
  <c r="C29" i="177" s="1"/>
  <c r="E29" i="177" s="1"/>
  <c r="D29" i="177"/>
  <c r="B30" i="177"/>
  <c r="C30" i="177" s="1"/>
  <c r="E30" i="177" s="1"/>
  <c r="D30" i="177"/>
  <c r="B31" i="177"/>
  <c r="C31" i="177" s="1"/>
  <c r="E31" i="177" s="1"/>
  <c r="D31" i="177"/>
  <c r="B32" i="177"/>
  <c r="C32" i="177" s="1"/>
  <c r="E32" i="177" s="1"/>
  <c r="D32" i="177"/>
  <c r="B33" i="177"/>
  <c r="C33" i="177" s="1"/>
  <c r="E33" i="177" s="1"/>
  <c r="D33" i="177"/>
  <c r="B34" i="177"/>
  <c r="C34" i="177" s="1"/>
  <c r="E34" i="177" s="1"/>
  <c r="D34" i="177"/>
  <c r="B35" i="177"/>
  <c r="C35" i="177" s="1"/>
  <c r="E35" i="177" s="1"/>
  <c r="D35" i="177"/>
  <c r="B36" i="177"/>
  <c r="C36" i="177" s="1"/>
  <c r="E36" i="177" s="1"/>
  <c r="D36" i="177"/>
  <c r="B37" i="177"/>
  <c r="C37" i="177" s="1"/>
  <c r="E37" i="177" s="1"/>
  <c r="D37" i="177"/>
  <c r="B38" i="177"/>
  <c r="C38" i="177" s="1"/>
  <c r="E38" i="177" s="1"/>
  <c r="D38" i="177"/>
  <c r="B39" i="177"/>
  <c r="C39" i="177" s="1"/>
  <c r="E39" i="177" s="1"/>
  <c r="D39" i="177"/>
  <c r="B40" i="177"/>
  <c r="C40" i="177" s="1"/>
  <c r="E40" i="177" s="1"/>
  <c r="D40" i="177"/>
  <c r="B41" i="177"/>
  <c r="C41" i="177" s="1"/>
  <c r="E41" i="177" s="1"/>
  <c r="D41" i="177"/>
  <c r="B42" i="177"/>
  <c r="C42" i="177" s="1"/>
  <c r="E42" i="177" s="1"/>
  <c r="D42" i="177"/>
  <c r="D57" i="177"/>
  <c r="B57" i="177"/>
  <c r="E50" i="177"/>
  <c r="D54" i="177" s="1"/>
  <c r="E48" i="177"/>
  <c r="D53" i="177" s="1"/>
  <c r="E47" i="177"/>
  <c r="E46" i="177"/>
  <c r="D8" i="177"/>
  <c r="B8" i="177"/>
  <c r="C8" i="177" s="1"/>
  <c r="E8" i="177" s="1"/>
  <c r="B53" i="176"/>
  <c r="D53" i="176"/>
  <c r="B54" i="176"/>
  <c r="D54" i="176"/>
  <c r="B55" i="176"/>
  <c r="D55" i="176"/>
  <c r="B56" i="176"/>
  <c r="D56" i="176"/>
  <c r="B57" i="176"/>
  <c r="D57" i="176"/>
  <c r="B58" i="176"/>
  <c r="D58" i="176"/>
  <c r="B59" i="176"/>
  <c r="D59" i="176"/>
  <c r="B60" i="176"/>
  <c r="D60" i="176"/>
  <c r="B61" i="176"/>
  <c r="D61" i="176"/>
  <c r="B62" i="176"/>
  <c r="D62" i="176"/>
  <c r="B63" i="176"/>
  <c r="D63" i="176"/>
  <c r="B64" i="176"/>
  <c r="D64" i="176"/>
  <c r="B65" i="176"/>
  <c r="D65" i="176"/>
  <c r="B66" i="176"/>
  <c r="D66" i="176"/>
  <c r="B67" i="176"/>
  <c r="D67" i="176"/>
  <c r="B68" i="176"/>
  <c r="D68" i="176"/>
  <c r="B69" i="176"/>
  <c r="D69" i="176"/>
  <c r="B70" i="176"/>
  <c r="D70" i="176"/>
  <c r="B71" i="176"/>
  <c r="D71" i="176"/>
  <c r="B72" i="176"/>
  <c r="D72" i="176"/>
  <c r="B73" i="176"/>
  <c r="D73" i="176"/>
  <c r="B74" i="176"/>
  <c r="D74" i="176"/>
  <c r="B75" i="176"/>
  <c r="D75" i="176"/>
  <c r="B76" i="176"/>
  <c r="D76" i="176"/>
  <c r="B77" i="176"/>
  <c r="D77" i="176"/>
  <c r="B78" i="176"/>
  <c r="D78" i="176"/>
  <c r="B79" i="176"/>
  <c r="D79" i="176"/>
  <c r="B80" i="176"/>
  <c r="D80" i="176"/>
  <c r="B81" i="176"/>
  <c r="D81" i="176"/>
  <c r="B9" i="176"/>
  <c r="D9" i="176"/>
  <c r="B10" i="176"/>
  <c r="D10" i="176"/>
  <c r="B11" i="176"/>
  <c r="D11" i="176"/>
  <c r="B12" i="176"/>
  <c r="D12" i="176"/>
  <c r="B13" i="176"/>
  <c r="D13" i="176"/>
  <c r="B14" i="176"/>
  <c r="D14" i="176"/>
  <c r="B15" i="176"/>
  <c r="D15" i="176"/>
  <c r="B16" i="176"/>
  <c r="D16" i="176"/>
  <c r="B17" i="176"/>
  <c r="D17" i="176"/>
  <c r="B18" i="176"/>
  <c r="D18" i="176"/>
  <c r="B19" i="176"/>
  <c r="D19" i="176"/>
  <c r="B20" i="176"/>
  <c r="D20" i="176"/>
  <c r="B21" i="176"/>
  <c r="D21" i="176"/>
  <c r="B22" i="176"/>
  <c r="D22" i="176"/>
  <c r="B23" i="176"/>
  <c r="D23" i="176"/>
  <c r="B24" i="176"/>
  <c r="D24" i="176"/>
  <c r="B25" i="176"/>
  <c r="D25" i="176"/>
  <c r="B26" i="176"/>
  <c r="D26" i="176"/>
  <c r="B27" i="176"/>
  <c r="D27" i="176"/>
  <c r="B28" i="176"/>
  <c r="D28" i="176"/>
  <c r="B29" i="176"/>
  <c r="D29" i="176"/>
  <c r="B30" i="176"/>
  <c r="D30" i="176"/>
  <c r="B31" i="176"/>
  <c r="D31" i="176"/>
  <c r="B32" i="176"/>
  <c r="D32" i="176"/>
  <c r="B33" i="176"/>
  <c r="D33" i="176"/>
  <c r="B34" i="176"/>
  <c r="D34" i="176"/>
  <c r="B35" i="176"/>
  <c r="D35" i="176"/>
  <c r="B36" i="176"/>
  <c r="D36" i="176"/>
  <c r="B37" i="176"/>
  <c r="D37" i="176"/>
  <c r="B8" i="176"/>
  <c r="D8" i="176"/>
  <c r="D52" i="176"/>
  <c r="B52" i="176"/>
  <c r="E45" i="176"/>
  <c r="D49" i="176" s="1"/>
  <c r="E43" i="176"/>
  <c r="D48" i="176" s="1"/>
  <c r="E42" i="176"/>
  <c r="E41" i="176"/>
  <c r="D41" i="175"/>
  <c r="B41" i="175"/>
  <c r="E34" i="175"/>
  <c r="D38" i="175" s="1"/>
  <c r="E32" i="175"/>
  <c r="D37" i="175" s="1"/>
  <c r="E31" i="175"/>
  <c r="E30" i="175"/>
  <c r="D8" i="175"/>
  <c r="B8" i="175"/>
  <c r="C8" i="175" s="1"/>
  <c r="E8" i="175" s="1"/>
  <c r="B9" i="19"/>
  <c r="C9" i="19" s="1"/>
  <c r="E9" i="19" s="1"/>
  <c r="D9" i="19"/>
  <c r="B10" i="19"/>
  <c r="C10" i="19" s="1"/>
  <c r="E10" i="19" s="1"/>
  <c r="D10" i="19"/>
  <c r="B11" i="19"/>
  <c r="C11" i="19" s="1"/>
  <c r="E11" i="19" s="1"/>
  <c r="D11" i="19"/>
  <c r="B12" i="19"/>
  <c r="C12" i="19" s="1"/>
  <c r="E12" i="19" s="1"/>
  <c r="D12" i="19"/>
  <c r="B13" i="19"/>
  <c r="C13" i="19" s="1"/>
  <c r="E13" i="19" s="1"/>
  <c r="D13" i="19"/>
  <c r="B14" i="19"/>
  <c r="C14" i="19" s="1"/>
  <c r="E14" i="19" s="1"/>
  <c r="D14" i="19"/>
  <c r="B15" i="19"/>
  <c r="C15" i="19" s="1"/>
  <c r="E15" i="19" s="1"/>
  <c r="D15" i="19"/>
  <c r="B16" i="19"/>
  <c r="C16" i="19" s="1"/>
  <c r="E16" i="19" s="1"/>
  <c r="D16" i="19"/>
  <c r="B17" i="19"/>
  <c r="C17" i="19" s="1"/>
  <c r="E17" i="19" s="1"/>
  <c r="D17" i="19"/>
  <c r="B18" i="19"/>
  <c r="C18" i="19" s="1"/>
  <c r="E18" i="19" s="1"/>
  <c r="D18" i="19"/>
  <c r="B19" i="19"/>
  <c r="C19" i="19" s="1"/>
  <c r="E19" i="19" s="1"/>
  <c r="D19" i="19"/>
  <c r="B20" i="19"/>
  <c r="C20" i="19" s="1"/>
  <c r="E20" i="19" s="1"/>
  <c r="D20" i="19"/>
  <c r="B21" i="19"/>
  <c r="C21" i="19" s="1"/>
  <c r="E21" i="19" s="1"/>
  <c r="D21" i="19"/>
  <c r="B22" i="19"/>
  <c r="C22" i="19" s="1"/>
  <c r="E22" i="19" s="1"/>
  <c r="D22" i="19"/>
  <c r="B23" i="19"/>
  <c r="C23" i="19" s="1"/>
  <c r="E23" i="19" s="1"/>
  <c r="D23" i="19"/>
  <c r="B24" i="19"/>
  <c r="C24" i="19" s="1"/>
  <c r="E24" i="19" s="1"/>
  <c r="D24" i="19"/>
  <c r="B25" i="19"/>
  <c r="C25" i="19" s="1"/>
  <c r="E25" i="19" s="1"/>
  <c r="D25" i="19"/>
  <c r="B26" i="19"/>
  <c r="C26" i="19" s="1"/>
  <c r="E26" i="19" s="1"/>
  <c r="D26" i="19"/>
  <c r="B27" i="19"/>
  <c r="C27" i="19" s="1"/>
  <c r="E27" i="19" s="1"/>
  <c r="D27" i="19"/>
  <c r="B28" i="19"/>
  <c r="C28" i="19" s="1"/>
  <c r="E28" i="19" s="1"/>
  <c r="D28" i="19"/>
  <c r="B29" i="19"/>
  <c r="C29" i="19" s="1"/>
  <c r="E29" i="19" s="1"/>
  <c r="D29" i="19"/>
  <c r="B30" i="19"/>
  <c r="C30" i="19" s="1"/>
  <c r="E30" i="19" s="1"/>
  <c r="D30" i="19"/>
  <c r="B31" i="19"/>
  <c r="C31" i="19" s="1"/>
  <c r="E31" i="19" s="1"/>
  <c r="D31" i="19"/>
  <c r="B32" i="19"/>
  <c r="C32" i="19" s="1"/>
  <c r="E32" i="19" s="1"/>
  <c r="D32" i="19"/>
  <c r="B33" i="19"/>
  <c r="C33" i="19" s="1"/>
  <c r="E33" i="19" s="1"/>
  <c r="D33" i="19"/>
  <c r="B34" i="19"/>
  <c r="C34" i="19" s="1"/>
  <c r="E34" i="19" s="1"/>
  <c r="D34" i="19"/>
  <c r="B35" i="19"/>
  <c r="C35" i="19" s="1"/>
  <c r="E35" i="19" s="1"/>
  <c r="D35" i="19"/>
  <c r="B36" i="19"/>
  <c r="C36" i="19" s="1"/>
  <c r="E36" i="19" s="1"/>
  <c r="D36" i="19"/>
  <c r="B37" i="19"/>
  <c r="C37" i="19" s="1"/>
  <c r="E37" i="19" s="1"/>
  <c r="D37" i="19"/>
  <c r="B38" i="19"/>
  <c r="C38" i="19" s="1"/>
  <c r="E38" i="19" s="1"/>
  <c r="D38" i="19"/>
  <c r="B39" i="19"/>
  <c r="C39" i="19" s="1"/>
  <c r="E39" i="19" s="1"/>
  <c r="D39" i="19"/>
  <c r="F82" i="226" l="1"/>
  <c r="G82" i="226" s="1"/>
  <c r="C83" i="226"/>
  <c r="B84" i="226"/>
  <c r="A85" i="226"/>
  <c r="L15" i="202"/>
  <c r="M15" i="202" s="1"/>
  <c r="H56" i="183"/>
  <c r="K24" i="189"/>
  <c r="L24" i="189" s="1"/>
  <c r="K36" i="192"/>
  <c r="L36" i="192" s="1"/>
  <c r="K8" i="196"/>
  <c r="L8" i="196" s="1"/>
  <c r="K13" i="201"/>
  <c r="L13" i="201" s="1"/>
  <c r="K33" i="205"/>
  <c r="L33" i="205" s="1"/>
  <c r="K21" i="213"/>
  <c r="L21" i="213" s="1"/>
  <c r="K20" i="201"/>
  <c r="L20" i="201" s="1"/>
  <c r="K32" i="207"/>
  <c r="L32" i="207" s="1"/>
  <c r="K25" i="184"/>
  <c r="L25" i="184" s="1"/>
  <c r="K30" i="186"/>
  <c r="L30" i="186" s="1"/>
  <c r="K20" i="186"/>
  <c r="L20" i="186" s="1"/>
  <c r="K34" i="188"/>
  <c r="L34" i="188" s="1"/>
  <c r="K32" i="188"/>
  <c r="L32" i="188" s="1"/>
  <c r="K29" i="188"/>
  <c r="L29" i="188" s="1"/>
  <c r="K36" i="188"/>
  <c r="L36" i="188" s="1"/>
  <c r="K21" i="189"/>
  <c r="L21" i="189" s="1"/>
  <c r="K9" i="189"/>
  <c r="L9" i="189" s="1"/>
  <c r="K14" i="189"/>
  <c r="L14" i="189" s="1"/>
  <c r="K33" i="190"/>
  <c r="L33" i="190" s="1"/>
  <c r="K25" i="190"/>
  <c r="L25" i="190" s="1"/>
  <c r="K8" i="188"/>
  <c r="L8" i="188" s="1"/>
  <c r="K30" i="191"/>
  <c r="L30" i="191" s="1"/>
  <c r="K18" i="192"/>
  <c r="L18" i="192" s="1"/>
  <c r="K19" i="188"/>
  <c r="L19" i="188" s="1"/>
  <c r="K26" i="188"/>
  <c r="L26" i="188" s="1"/>
  <c r="K33" i="193"/>
  <c r="L33" i="193" s="1"/>
  <c r="K16" i="193"/>
  <c r="L16" i="193" s="1"/>
  <c r="K29" i="193"/>
  <c r="L29" i="193" s="1"/>
  <c r="K25" i="191"/>
  <c r="L25" i="191" s="1"/>
  <c r="K35" i="194"/>
  <c r="L35" i="194" s="1"/>
  <c r="K24" i="194"/>
  <c r="L24" i="194" s="1"/>
  <c r="K34" i="195"/>
  <c r="L34" i="195" s="1"/>
  <c r="K37" i="195"/>
  <c r="L37" i="195" s="1"/>
  <c r="K11" i="195"/>
  <c r="L11" i="195" s="1"/>
  <c r="K24" i="195"/>
  <c r="L24" i="195" s="1"/>
  <c r="K25" i="197"/>
  <c r="L25" i="197" s="1"/>
  <c r="K36" i="198"/>
  <c r="L36" i="198" s="1"/>
  <c r="K22" i="198"/>
  <c r="L22" i="198" s="1"/>
  <c r="K33" i="198"/>
  <c r="L33" i="198" s="1"/>
  <c r="K38" i="199"/>
  <c r="L38" i="199" s="1"/>
  <c r="K8" i="199"/>
  <c r="L8" i="199" s="1"/>
  <c r="K36" i="199"/>
  <c r="L36" i="199" s="1"/>
  <c r="K36" i="200"/>
  <c r="L36" i="200" s="1"/>
  <c r="K23" i="200"/>
  <c r="L23" i="200" s="1"/>
  <c r="K9" i="200"/>
  <c r="L9" i="200" s="1"/>
  <c r="K22" i="199"/>
  <c r="L22" i="199" s="1"/>
  <c r="K23" i="201"/>
  <c r="L23" i="201" s="1"/>
  <c r="K24" i="201"/>
  <c r="L24" i="201" s="1"/>
  <c r="K32" i="197"/>
  <c r="L32" i="197" s="1"/>
  <c r="K22" i="191"/>
  <c r="L22" i="191" s="1"/>
  <c r="K32" i="198"/>
  <c r="L32" i="198" s="1"/>
  <c r="K11" i="197"/>
  <c r="L11" i="197" s="1"/>
  <c r="K14" i="205"/>
  <c r="L14" i="205" s="1"/>
  <c r="K23" i="205"/>
  <c r="L23" i="205" s="1"/>
  <c r="K39" i="207"/>
  <c r="L39" i="207" s="1"/>
  <c r="K43" i="207"/>
  <c r="L43" i="207" s="1"/>
  <c r="K31" i="208"/>
  <c r="L31" i="208" s="1"/>
  <c r="K9" i="208"/>
  <c r="L9" i="208" s="1"/>
  <c r="K25" i="209"/>
  <c r="L25" i="209" s="1"/>
  <c r="K12" i="207"/>
  <c r="L12" i="207" s="1"/>
  <c r="K29" i="209"/>
  <c r="L29" i="209" s="1"/>
  <c r="K27" i="211"/>
  <c r="L27" i="211" s="1"/>
  <c r="K33" i="211"/>
  <c r="L33" i="211" s="1"/>
  <c r="K10" i="213"/>
  <c r="L10" i="213" s="1"/>
  <c r="K20" i="208"/>
  <c r="L20" i="208" s="1"/>
  <c r="K20" i="213"/>
  <c r="L20" i="213" s="1"/>
  <c r="K23" i="196"/>
  <c r="L23" i="196" s="1"/>
  <c r="K9" i="198"/>
  <c r="L9" i="198" s="1"/>
  <c r="K20" i="205"/>
  <c r="L20" i="205" s="1"/>
  <c r="K14" i="214"/>
  <c r="L14" i="214" s="1"/>
  <c r="K11" i="204"/>
  <c r="L11" i="204" s="1"/>
  <c r="K33" i="187"/>
  <c r="L33" i="187" s="1"/>
  <c r="K11" i="193"/>
  <c r="L11" i="193" s="1"/>
  <c r="K28" i="201"/>
  <c r="L28" i="201" s="1"/>
  <c r="K19" i="203"/>
  <c r="L19" i="203" s="1"/>
  <c r="K35" i="192"/>
  <c r="L35" i="192" s="1"/>
  <c r="K38" i="194"/>
  <c r="L38" i="194" s="1"/>
  <c r="K14" i="193"/>
  <c r="L14" i="193" s="1"/>
  <c r="K20" i="203"/>
  <c r="L20" i="203" s="1"/>
  <c r="K16" i="208"/>
  <c r="L16" i="208" s="1"/>
  <c r="K29" i="211"/>
  <c r="L29" i="211" s="1"/>
  <c r="K26" i="209"/>
  <c r="L26" i="209" s="1"/>
  <c r="K24" i="183"/>
  <c r="L24" i="183" s="1"/>
  <c r="K22" i="186"/>
  <c r="L22" i="186" s="1"/>
  <c r="K9" i="187"/>
  <c r="L9" i="187" s="1"/>
  <c r="K13" i="189"/>
  <c r="L13" i="189" s="1"/>
  <c r="K23" i="190"/>
  <c r="L23" i="190" s="1"/>
  <c r="K17" i="190"/>
  <c r="L17" i="190" s="1"/>
  <c r="K39" i="190"/>
  <c r="L39" i="190" s="1"/>
  <c r="K38" i="192"/>
  <c r="L38" i="192" s="1"/>
  <c r="K11" i="188"/>
  <c r="L11" i="188" s="1"/>
  <c r="K10" i="188"/>
  <c r="L10" i="188" s="1"/>
  <c r="K21" i="192"/>
  <c r="L21" i="192" s="1"/>
  <c r="K25" i="193"/>
  <c r="L25" i="193" s="1"/>
  <c r="K9" i="191"/>
  <c r="L9" i="191" s="1"/>
  <c r="K17" i="191"/>
  <c r="L17" i="191" s="1"/>
  <c r="K27" i="194"/>
  <c r="L27" i="194" s="1"/>
  <c r="K8" i="194"/>
  <c r="L8" i="194" s="1"/>
  <c r="K36" i="195"/>
  <c r="L36" i="195" s="1"/>
  <c r="K40" i="195"/>
  <c r="L40" i="195" s="1"/>
  <c r="K12" i="195"/>
  <c r="L12" i="195" s="1"/>
  <c r="K19" i="195"/>
  <c r="L19" i="195" s="1"/>
  <c r="K31" i="194"/>
  <c r="L31" i="194" s="1"/>
  <c r="K13" i="193"/>
  <c r="L13" i="193" s="1"/>
  <c r="K37" i="188"/>
  <c r="L37" i="188" s="1"/>
  <c r="K31" i="197"/>
  <c r="L31" i="197" s="1"/>
  <c r="K17" i="197"/>
  <c r="L17" i="197" s="1"/>
  <c r="K22" i="197"/>
  <c r="L22" i="197" s="1"/>
  <c r="K26" i="197"/>
  <c r="L26" i="197" s="1"/>
  <c r="K21" i="198"/>
  <c r="L21" i="198" s="1"/>
  <c r="K24" i="198"/>
  <c r="L24" i="198" s="1"/>
  <c r="K35" i="199"/>
  <c r="L35" i="199" s="1"/>
  <c r="K34" i="199"/>
  <c r="L34" i="199" s="1"/>
  <c r="K23" i="199"/>
  <c r="L23" i="199" s="1"/>
  <c r="K28" i="200"/>
  <c r="L28" i="200" s="1"/>
  <c r="K15" i="200"/>
  <c r="L15" i="200" s="1"/>
  <c r="K15" i="201"/>
  <c r="L15" i="201" s="1"/>
  <c r="K16" i="201"/>
  <c r="L16" i="201" s="1"/>
  <c r="K29" i="201"/>
  <c r="L29" i="201" s="1"/>
  <c r="K12" i="198"/>
  <c r="L12" i="198" s="1"/>
  <c r="K41" i="200"/>
  <c r="L41" i="200" s="1"/>
  <c r="K18" i="203"/>
  <c r="L18" i="203" s="1"/>
  <c r="K8" i="203"/>
  <c r="L8" i="203" s="1"/>
  <c r="K16" i="204"/>
  <c r="L16" i="204" s="1"/>
  <c r="K10" i="204"/>
  <c r="L10" i="204" s="1"/>
  <c r="K21" i="203"/>
  <c r="L21" i="203" s="1"/>
  <c r="K36" i="205"/>
  <c r="L36" i="205" s="1"/>
  <c r="K15" i="205"/>
  <c r="L15" i="205" s="1"/>
  <c r="K29" i="205"/>
  <c r="L29" i="205" s="1"/>
  <c r="K31" i="207"/>
  <c r="L31" i="207" s="1"/>
  <c r="K35" i="207"/>
  <c r="L35" i="207" s="1"/>
  <c r="K23" i="208"/>
  <c r="L23" i="208" s="1"/>
  <c r="G3" i="208"/>
  <c r="G4" i="208" s="1"/>
  <c r="K40" i="208"/>
  <c r="L40" i="208" s="1"/>
  <c r="K30" i="209"/>
  <c r="L30" i="209" s="1"/>
  <c r="K19" i="211"/>
  <c r="L19" i="211" s="1"/>
  <c r="K25" i="211"/>
  <c r="L25" i="211" s="1"/>
  <c r="K26" i="211"/>
  <c r="L26" i="211" s="1"/>
  <c r="K38" i="209"/>
  <c r="L38" i="209" s="1"/>
  <c r="K19" i="213"/>
  <c r="L19" i="213" s="1"/>
  <c r="K12" i="208"/>
  <c r="L12" i="208" s="1"/>
  <c r="K11" i="208"/>
  <c r="L11" i="208" s="1"/>
  <c r="K12" i="213"/>
  <c r="L12" i="213" s="1"/>
  <c r="K40" i="197"/>
  <c r="L40" i="197" s="1"/>
  <c r="K12" i="205"/>
  <c r="L12" i="205" s="1"/>
  <c r="K21" i="208"/>
  <c r="L21" i="208" s="1"/>
  <c r="K29" i="208"/>
  <c r="L29" i="208" s="1"/>
  <c r="K33" i="208"/>
  <c r="L33" i="208" s="1"/>
  <c r="K21" i="186"/>
  <c r="L21" i="186" s="1"/>
  <c r="K14" i="188"/>
  <c r="L14" i="188" s="1"/>
  <c r="K41" i="194"/>
  <c r="L41" i="194" s="1"/>
  <c r="K8" i="195"/>
  <c r="L8" i="195" s="1"/>
  <c r="K20" i="207"/>
  <c r="L20" i="207" s="1"/>
  <c r="K29" i="192"/>
  <c r="L29" i="192" s="1"/>
  <c r="K24" i="196"/>
  <c r="L24" i="196" s="1"/>
  <c r="K29" i="200"/>
  <c r="L29" i="200" s="1"/>
  <c r="K22" i="207"/>
  <c r="L22" i="207" s="1"/>
  <c r="K21" i="193"/>
  <c r="L21" i="193" s="1"/>
  <c r="K12" i="181"/>
  <c r="L12" i="181" s="1"/>
  <c r="K25" i="186"/>
  <c r="L25" i="186" s="1"/>
  <c r="K14" i="186"/>
  <c r="L14" i="186" s="1"/>
  <c r="K9" i="186"/>
  <c r="L9" i="186" s="1"/>
  <c r="K37" i="187"/>
  <c r="L37" i="187" s="1"/>
  <c r="K9" i="188"/>
  <c r="L9" i="188" s="1"/>
  <c r="K22" i="188"/>
  <c r="L22" i="188" s="1"/>
  <c r="K17" i="188"/>
  <c r="L17" i="188" s="1"/>
  <c r="K18" i="187"/>
  <c r="L18" i="187" s="1"/>
  <c r="K15" i="190"/>
  <c r="L15" i="190" s="1"/>
  <c r="K9" i="190"/>
  <c r="L9" i="190" s="1"/>
  <c r="K18" i="190"/>
  <c r="L18" i="190" s="1"/>
  <c r="K31" i="190"/>
  <c r="L31" i="190" s="1"/>
  <c r="K14" i="191"/>
  <c r="L14" i="191" s="1"/>
  <c r="K28" i="190"/>
  <c r="L28" i="190" s="1"/>
  <c r="K37" i="192"/>
  <c r="L37" i="192" s="1"/>
  <c r="K8" i="192"/>
  <c r="L8" i="192" s="1"/>
  <c r="K41" i="187"/>
  <c r="L41" i="187" s="1"/>
  <c r="K23" i="186"/>
  <c r="L23" i="186" s="1"/>
  <c r="K18" i="193"/>
  <c r="L18" i="193" s="1"/>
  <c r="K31" i="193"/>
  <c r="L31" i="193" s="1"/>
  <c r="K30" i="190"/>
  <c r="L30" i="190" s="1"/>
  <c r="K20" i="189"/>
  <c r="L20" i="189" s="1"/>
  <c r="K19" i="194"/>
  <c r="L19" i="194" s="1"/>
  <c r="K12" i="194"/>
  <c r="L12" i="194" s="1"/>
  <c r="K26" i="195"/>
  <c r="L26" i="195" s="1"/>
  <c r="K9" i="195"/>
  <c r="L9" i="195" s="1"/>
  <c r="K20" i="195"/>
  <c r="L20" i="195" s="1"/>
  <c r="K23" i="194"/>
  <c r="L23" i="194" s="1"/>
  <c r="K10" i="196"/>
  <c r="L10" i="196" s="1"/>
  <c r="K23" i="197"/>
  <c r="L23" i="197" s="1"/>
  <c r="K14" i="197"/>
  <c r="L14" i="197" s="1"/>
  <c r="K18" i="197"/>
  <c r="L18" i="197" s="1"/>
  <c r="K29" i="198"/>
  <c r="L29" i="198" s="1"/>
  <c r="K29" i="197"/>
  <c r="L29" i="197" s="1"/>
  <c r="K11" i="199"/>
  <c r="L11" i="199" s="1"/>
  <c r="K16" i="199"/>
  <c r="L16" i="199" s="1"/>
  <c r="K9" i="199"/>
  <c r="L9" i="199" s="1"/>
  <c r="K20" i="200"/>
  <c r="L20" i="200" s="1"/>
  <c r="K12" i="200"/>
  <c r="L12" i="200" s="1"/>
  <c r="K21" i="201"/>
  <c r="L21" i="201" s="1"/>
  <c r="K14" i="198"/>
  <c r="L14" i="198" s="1"/>
  <c r="K33" i="200"/>
  <c r="L33" i="200" s="1"/>
  <c r="K10" i="203"/>
  <c r="L10" i="203" s="1"/>
  <c r="K21" i="204"/>
  <c r="L21" i="204" s="1"/>
  <c r="K13" i="203"/>
  <c r="L13" i="203" s="1"/>
  <c r="K27" i="205"/>
  <c r="L27" i="205" s="1"/>
  <c r="K21" i="205"/>
  <c r="L21" i="205" s="1"/>
  <c r="K23" i="207"/>
  <c r="L23" i="207" s="1"/>
  <c r="K27" i="207"/>
  <c r="L27" i="207" s="1"/>
  <c r="K15" i="208"/>
  <c r="L15" i="208" s="1"/>
  <c r="K32" i="208"/>
  <c r="L32" i="208" s="1"/>
  <c r="K28" i="209"/>
  <c r="L28" i="209" s="1"/>
  <c r="K24" i="207"/>
  <c r="L24" i="207" s="1"/>
  <c r="K11" i="211"/>
  <c r="L11" i="211" s="1"/>
  <c r="K17" i="211"/>
  <c r="L17" i="211" s="1"/>
  <c r="K22" i="211"/>
  <c r="L22" i="211" s="1"/>
  <c r="K14" i="213"/>
  <c r="L14" i="213" s="1"/>
  <c r="K15" i="214"/>
  <c r="L15" i="214" s="1"/>
  <c r="K33" i="201"/>
  <c r="L33" i="201" s="1"/>
  <c r="K11" i="207"/>
  <c r="L11" i="207" s="1"/>
  <c r="K14" i="187"/>
  <c r="L14" i="187" s="1"/>
  <c r="K26" i="190"/>
  <c r="L26" i="190" s="1"/>
  <c r="K15" i="197"/>
  <c r="L15" i="197" s="1"/>
  <c r="K17" i="199"/>
  <c r="L17" i="199" s="1"/>
  <c r="K13" i="205"/>
  <c r="L13" i="205" s="1"/>
  <c r="K24" i="208"/>
  <c r="L24" i="208" s="1"/>
  <c r="K9" i="211"/>
  <c r="L9" i="211" s="1"/>
  <c r="K24" i="211"/>
  <c r="L24" i="211" s="1"/>
  <c r="K19" i="187"/>
  <c r="L19" i="187" s="1"/>
  <c r="K19" i="189"/>
  <c r="L19" i="189" s="1"/>
  <c r="K36" i="190"/>
  <c r="L36" i="190" s="1"/>
  <c r="K35" i="193"/>
  <c r="L35" i="193" s="1"/>
  <c r="K13" i="195"/>
  <c r="L13" i="195" s="1"/>
  <c r="K29" i="196"/>
  <c r="L29" i="196" s="1"/>
  <c r="K32" i="200"/>
  <c r="L32" i="200" s="1"/>
  <c r="K22" i="203"/>
  <c r="L22" i="203" s="1"/>
  <c r="K8" i="211"/>
  <c r="L8" i="211" s="1"/>
  <c r="K18" i="186"/>
  <c r="L18" i="186" s="1"/>
  <c r="K19" i="186"/>
  <c r="L19" i="186" s="1"/>
  <c r="K20" i="187"/>
  <c r="L20" i="187" s="1"/>
  <c r="K13" i="188"/>
  <c r="L13" i="188" s="1"/>
  <c r="K39" i="188"/>
  <c r="L39" i="188" s="1"/>
  <c r="K40" i="187"/>
  <c r="L40" i="187" s="1"/>
  <c r="K11" i="189"/>
  <c r="L11" i="189" s="1"/>
  <c r="K23" i="189"/>
  <c r="L23" i="189" s="1"/>
  <c r="K27" i="190"/>
  <c r="L27" i="190" s="1"/>
  <c r="K20" i="190"/>
  <c r="L20" i="190" s="1"/>
  <c r="K26" i="191"/>
  <c r="L26" i="191" s="1"/>
  <c r="K20" i="192"/>
  <c r="L20" i="192" s="1"/>
  <c r="K26" i="192"/>
  <c r="L26" i="192" s="1"/>
  <c r="K15" i="187"/>
  <c r="L15" i="187" s="1"/>
  <c r="K29" i="191"/>
  <c r="L29" i="191" s="1"/>
  <c r="K42" i="193"/>
  <c r="L42" i="193" s="1"/>
  <c r="K27" i="193"/>
  <c r="L27" i="193" s="1"/>
  <c r="K28" i="187"/>
  <c r="L28" i="187" s="1"/>
  <c r="K22" i="194"/>
  <c r="L22" i="194" s="1"/>
  <c r="K18" i="195"/>
  <c r="L18" i="195" s="1"/>
  <c r="K17" i="195"/>
  <c r="L17" i="195" s="1"/>
  <c r="K45" i="195"/>
  <c r="L45" i="195" s="1"/>
  <c r="K28" i="191"/>
  <c r="L28" i="191" s="1"/>
  <c r="K15" i="196"/>
  <c r="L15" i="196" s="1"/>
  <c r="K19" i="196"/>
  <c r="L19" i="196" s="1"/>
  <c r="K18" i="196"/>
  <c r="L18" i="196" s="1"/>
  <c r="K37" i="197"/>
  <c r="L37" i="197" s="1"/>
  <c r="K37" i="198"/>
  <c r="L37" i="198" s="1"/>
  <c r="K10" i="199"/>
  <c r="L10" i="199" s="1"/>
  <c r="K31" i="199"/>
  <c r="L31" i="199" s="1"/>
  <c r="K42" i="195"/>
  <c r="L42" i="195" s="1"/>
  <c r="K24" i="200"/>
  <c r="L24" i="200" s="1"/>
  <c r="K38" i="200"/>
  <c r="L38" i="200" s="1"/>
  <c r="K21" i="200"/>
  <c r="L21" i="200" s="1"/>
  <c r="K26" i="201"/>
  <c r="L26" i="201" s="1"/>
  <c r="K14" i="203"/>
  <c r="L14" i="203" s="1"/>
  <c r="K12" i="203"/>
  <c r="L12" i="203" s="1"/>
  <c r="K15" i="204"/>
  <c r="L15" i="204" s="1"/>
  <c r="K35" i="205"/>
  <c r="L35" i="205" s="1"/>
  <c r="K32" i="205"/>
  <c r="L32" i="205" s="1"/>
  <c r="K41" i="207"/>
  <c r="L41" i="207" s="1"/>
  <c r="K30" i="207"/>
  <c r="L30" i="207" s="1"/>
  <c r="K26" i="208"/>
  <c r="L26" i="208" s="1"/>
  <c r="K40" i="209"/>
  <c r="L40" i="209" s="1"/>
  <c r="K36" i="194"/>
  <c r="L36" i="194" s="1"/>
  <c r="K21" i="211"/>
  <c r="L21" i="211" s="1"/>
  <c r="K40" i="211"/>
  <c r="L40" i="211" s="1"/>
  <c r="K15" i="213"/>
  <c r="L15" i="213" s="1"/>
  <c r="K8" i="213"/>
  <c r="L8" i="213" s="1"/>
  <c r="G3" i="207"/>
  <c r="G4" i="207" s="1"/>
  <c r="K45" i="207"/>
  <c r="L45" i="207" s="1"/>
  <c r="K42" i="209"/>
  <c r="L42" i="209" s="1"/>
  <c r="K9" i="201"/>
  <c r="L9" i="201" s="1"/>
  <c r="K12" i="196"/>
  <c r="L12" i="196" s="1"/>
  <c r="K27" i="209"/>
  <c r="L27" i="209" s="1"/>
  <c r="K16" i="197"/>
  <c r="L16" i="197" s="1"/>
  <c r="K34" i="192"/>
  <c r="L34" i="192" s="1"/>
  <c r="K27" i="196"/>
  <c r="L27" i="196" s="1"/>
  <c r="K13" i="204"/>
  <c r="L13" i="204" s="1"/>
  <c r="K26" i="198"/>
  <c r="L26" i="198" s="1"/>
  <c r="K14" i="196"/>
  <c r="L14" i="196" s="1"/>
  <c r="K13" i="200"/>
  <c r="L13" i="200" s="1"/>
  <c r="K19" i="204"/>
  <c r="L19" i="204" s="1"/>
  <c r="K10" i="186"/>
  <c r="L10" i="186" s="1"/>
  <c r="K31" i="188"/>
  <c r="L31" i="188" s="1"/>
  <c r="G3" i="188"/>
  <c r="G4" i="188" s="1"/>
  <c r="K42" i="188"/>
  <c r="L42" i="188" s="1"/>
  <c r="K32" i="187"/>
  <c r="L32" i="187" s="1"/>
  <c r="K28" i="189"/>
  <c r="L28" i="189" s="1"/>
  <c r="K15" i="189"/>
  <c r="L15" i="189" s="1"/>
  <c r="K43" i="190"/>
  <c r="L43" i="190" s="1"/>
  <c r="K8" i="190"/>
  <c r="L8" i="190" s="1"/>
  <c r="K12" i="192"/>
  <c r="L12" i="192" s="1"/>
  <c r="K34" i="190"/>
  <c r="L34" i="190" s="1"/>
  <c r="K21" i="191"/>
  <c r="L21" i="191" s="1"/>
  <c r="K34" i="193"/>
  <c r="L34" i="193" s="1"/>
  <c r="K15" i="193"/>
  <c r="L15" i="193" s="1"/>
  <c r="K11" i="187"/>
  <c r="L11" i="187" s="1"/>
  <c r="K40" i="194"/>
  <c r="L40" i="194" s="1"/>
  <c r="K44" i="194"/>
  <c r="L44" i="194" s="1"/>
  <c r="K30" i="195"/>
  <c r="L30" i="195" s="1"/>
  <c r="K32" i="195"/>
  <c r="L32" i="195" s="1"/>
  <c r="K21" i="190"/>
  <c r="L21" i="190" s="1"/>
  <c r="K32" i="196"/>
  <c r="L32" i="196" s="1"/>
  <c r="K13" i="194"/>
  <c r="L13" i="194" s="1"/>
  <c r="K9" i="197"/>
  <c r="L9" i="197" s="1"/>
  <c r="K34" i="197"/>
  <c r="L34" i="197" s="1"/>
  <c r="K25" i="198"/>
  <c r="L25" i="198" s="1"/>
  <c r="K32" i="192"/>
  <c r="L32" i="192" s="1"/>
  <c r="K18" i="199"/>
  <c r="L18" i="199" s="1"/>
  <c r="K21" i="199"/>
  <c r="L21" i="199" s="1"/>
  <c r="K44" i="195"/>
  <c r="L44" i="195" s="1"/>
  <c r="K16" i="200"/>
  <c r="L16" i="200" s="1"/>
  <c r="K30" i="200"/>
  <c r="L30" i="200" s="1"/>
  <c r="K11" i="200"/>
  <c r="L11" i="200" s="1"/>
  <c r="K18" i="201"/>
  <c r="L18" i="201" s="1"/>
  <c r="K24" i="197"/>
  <c r="L24" i="197" s="1"/>
  <c r="K23" i="203"/>
  <c r="L23" i="203" s="1"/>
  <c r="K9" i="204"/>
  <c r="L9" i="204" s="1"/>
  <c r="K14" i="204"/>
  <c r="L14" i="204" s="1"/>
  <c r="K24" i="205"/>
  <c r="L24" i="205" s="1"/>
  <c r="K18" i="207"/>
  <c r="L18" i="207" s="1"/>
  <c r="K33" i="207"/>
  <c r="L33" i="207" s="1"/>
  <c r="K8" i="205"/>
  <c r="L8" i="205" s="1"/>
  <c r="K18" i="208"/>
  <c r="L18" i="208" s="1"/>
  <c r="K8" i="208"/>
  <c r="L8" i="208" s="1"/>
  <c r="K39" i="209"/>
  <c r="L39" i="209" s="1"/>
  <c r="K34" i="209"/>
  <c r="L34" i="209" s="1"/>
  <c r="K20" i="194"/>
  <c r="L20" i="194" s="1"/>
  <c r="K32" i="199"/>
  <c r="L32" i="199" s="1"/>
  <c r="K13" i="211"/>
  <c r="L13" i="211" s="1"/>
  <c r="K16" i="207"/>
  <c r="L16" i="207" s="1"/>
  <c r="K37" i="207"/>
  <c r="L37" i="207" s="1"/>
  <c r="K12" i="209"/>
  <c r="L12" i="209" s="1"/>
  <c r="K16" i="211"/>
  <c r="L16" i="211" s="1"/>
  <c r="K30" i="201"/>
  <c r="L30" i="201" s="1"/>
  <c r="K8" i="193"/>
  <c r="L8" i="193" s="1"/>
  <c r="K35" i="209"/>
  <c r="L35" i="209" s="1"/>
  <c r="K17" i="208"/>
  <c r="L17" i="208" s="1"/>
  <c r="K36" i="197"/>
  <c r="L36" i="197" s="1"/>
  <c r="K34" i="186"/>
  <c r="L34" i="186" s="1"/>
  <c r="K13" i="192"/>
  <c r="L13" i="192" s="1"/>
  <c r="K41" i="195"/>
  <c r="L41" i="195" s="1"/>
  <c r="K21" i="196"/>
  <c r="L21" i="196" s="1"/>
  <c r="K21" i="197"/>
  <c r="L21" i="197" s="1"/>
  <c r="K28" i="198"/>
  <c r="L28" i="198" s="1"/>
  <c r="K17" i="203"/>
  <c r="L17" i="203" s="1"/>
  <c r="K15" i="207"/>
  <c r="L15" i="207" s="1"/>
  <c r="K21" i="188"/>
  <c r="L21" i="188" s="1"/>
  <c r="K36" i="187"/>
  <c r="L36" i="187" s="1"/>
  <c r="K27" i="199"/>
  <c r="L27" i="199" s="1"/>
  <c r="K17" i="194"/>
  <c r="L17" i="194" s="1"/>
  <c r="K32" i="209"/>
  <c r="L32" i="209" s="1"/>
  <c r="K13" i="213"/>
  <c r="L13" i="213" s="1"/>
  <c r="K33" i="186"/>
  <c r="L33" i="186" s="1"/>
  <c r="K15" i="186"/>
  <c r="L15" i="186" s="1"/>
  <c r="K38" i="187"/>
  <c r="L38" i="187" s="1"/>
  <c r="K35" i="187"/>
  <c r="L35" i="187" s="1"/>
  <c r="K16" i="187"/>
  <c r="L16" i="187" s="1"/>
  <c r="K23" i="188"/>
  <c r="L23" i="188" s="1"/>
  <c r="K18" i="188"/>
  <c r="L18" i="188" s="1"/>
  <c r="K24" i="187"/>
  <c r="L24" i="187" s="1"/>
  <c r="K34" i="189"/>
  <c r="L34" i="189" s="1"/>
  <c r="K37" i="190"/>
  <c r="L37" i="190" s="1"/>
  <c r="K32" i="186"/>
  <c r="L32" i="186" s="1"/>
  <c r="K40" i="190"/>
  <c r="L40" i="190" s="1"/>
  <c r="K16" i="190"/>
  <c r="L16" i="190" s="1"/>
  <c r="K13" i="191"/>
  <c r="L13" i="191" s="1"/>
  <c r="K26" i="193"/>
  <c r="L26" i="193" s="1"/>
  <c r="K17" i="193"/>
  <c r="L17" i="193" s="1"/>
  <c r="K13" i="190"/>
  <c r="L13" i="190" s="1"/>
  <c r="K26" i="196"/>
  <c r="L26" i="196" s="1"/>
  <c r="K32" i="193"/>
  <c r="L32" i="193" s="1"/>
  <c r="K27" i="197"/>
  <c r="L27" i="197" s="1"/>
  <c r="K12" i="191"/>
  <c r="L12" i="191" s="1"/>
  <c r="K13" i="198"/>
  <c r="L13" i="198" s="1"/>
  <c r="K24" i="192"/>
  <c r="L24" i="192" s="1"/>
  <c r="K13" i="199"/>
  <c r="L13" i="199" s="1"/>
  <c r="K11" i="198"/>
  <c r="L11" i="198" s="1"/>
  <c r="K22" i="200"/>
  <c r="L22" i="200" s="1"/>
  <c r="K34" i="200"/>
  <c r="L34" i="200" s="1"/>
  <c r="K35" i="201"/>
  <c r="L35" i="201" s="1"/>
  <c r="K35" i="198"/>
  <c r="L35" i="198" s="1"/>
  <c r="K25" i="199"/>
  <c r="L25" i="199" s="1"/>
  <c r="K21" i="194"/>
  <c r="L21" i="194" s="1"/>
  <c r="K15" i="203"/>
  <c r="L15" i="203" s="1"/>
  <c r="K20" i="204"/>
  <c r="L20" i="204" s="1"/>
  <c r="K10" i="200"/>
  <c r="L10" i="200" s="1"/>
  <c r="K16" i="205"/>
  <c r="L16" i="205" s="1"/>
  <c r="K26" i="207"/>
  <c r="L26" i="207" s="1"/>
  <c r="K25" i="207"/>
  <c r="L25" i="207" s="1"/>
  <c r="K38" i="208"/>
  <c r="L38" i="208" s="1"/>
  <c r="K10" i="208"/>
  <c r="L10" i="208" s="1"/>
  <c r="K25" i="205"/>
  <c r="L25" i="205" s="1"/>
  <c r="K19" i="209"/>
  <c r="L19" i="209" s="1"/>
  <c r="K31" i="209"/>
  <c r="L31" i="209" s="1"/>
  <c r="K20" i="209"/>
  <c r="L20" i="209" s="1"/>
  <c r="K22" i="209"/>
  <c r="L22" i="209" s="1"/>
  <c r="K36" i="207"/>
  <c r="L36" i="207" s="1"/>
  <c r="K39" i="211"/>
  <c r="L39" i="211" s="1"/>
  <c r="K18" i="213"/>
  <c r="L18" i="213" s="1"/>
  <c r="K30" i="197"/>
  <c r="L30" i="197" s="1"/>
  <c r="K29" i="207"/>
  <c r="L29" i="207" s="1"/>
  <c r="K17" i="209"/>
  <c r="L17" i="209" s="1"/>
  <c r="K16" i="209"/>
  <c r="L16" i="209" s="1"/>
  <c r="K22" i="201"/>
  <c r="L22" i="201" s="1"/>
  <c r="K9" i="209"/>
  <c r="L9" i="209" s="1"/>
  <c r="K17" i="204"/>
  <c r="L17" i="204" s="1"/>
  <c r="K18" i="189"/>
  <c r="L18" i="189" s="1"/>
  <c r="K29" i="187"/>
  <c r="L29" i="187" s="1"/>
  <c r="K27" i="189"/>
  <c r="L27" i="189" s="1"/>
  <c r="K28" i="188"/>
  <c r="L28" i="188" s="1"/>
  <c r="K43" i="193"/>
  <c r="L43" i="193" s="1"/>
  <c r="K32" i="194"/>
  <c r="L32" i="194" s="1"/>
  <c r="K40" i="200"/>
  <c r="L40" i="200" s="1"/>
  <c r="K25" i="200"/>
  <c r="L25" i="200" s="1"/>
  <c r="K19" i="205"/>
  <c r="L19" i="205" s="1"/>
  <c r="K8" i="204"/>
  <c r="L8" i="204" s="1"/>
  <c r="K36" i="211"/>
  <c r="L36" i="211" s="1"/>
  <c r="K25" i="201"/>
  <c r="L25" i="201" s="1"/>
  <c r="K26" i="186"/>
  <c r="L26" i="186" s="1"/>
  <c r="K31" i="189"/>
  <c r="L31" i="189" s="1"/>
  <c r="K23" i="193"/>
  <c r="L23" i="193" s="1"/>
  <c r="K29" i="194"/>
  <c r="L29" i="194" s="1"/>
  <c r="K38" i="195"/>
  <c r="L38" i="195" s="1"/>
  <c r="K29" i="199"/>
  <c r="L29" i="199" s="1"/>
  <c r="K11" i="205"/>
  <c r="L11" i="205" s="1"/>
  <c r="K34" i="208"/>
  <c r="L34" i="208" s="1"/>
  <c r="K18" i="214"/>
  <c r="L18" i="214" s="1"/>
  <c r="K11" i="213"/>
  <c r="L11" i="213" s="1"/>
  <c r="K17" i="186"/>
  <c r="L17" i="186" s="1"/>
  <c r="K11" i="186"/>
  <c r="L11" i="186" s="1"/>
  <c r="K30" i="187"/>
  <c r="L30" i="187" s="1"/>
  <c r="K27" i="187"/>
  <c r="L27" i="187" s="1"/>
  <c r="K39" i="187"/>
  <c r="L39" i="187" s="1"/>
  <c r="K8" i="187"/>
  <c r="L8" i="187" s="1"/>
  <c r="K41" i="188"/>
  <c r="L41" i="188" s="1"/>
  <c r="K15" i="188"/>
  <c r="L15" i="188" s="1"/>
  <c r="K12" i="188"/>
  <c r="L12" i="188" s="1"/>
  <c r="K12" i="189"/>
  <c r="L12" i="189" s="1"/>
  <c r="K29" i="190"/>
  <c r="L29" i="190" s="1"/>
  <c r="K24" i="186"/>
  <c r="L24" i="186" s="1"/>
  <c r="K31" i="191"/>
  <c r="L31" i="191" s="1"/>
  <c r="K8" i="191"/>
  <c r="L8" i="191" s="1"/>
  <c r="K32" i="190"/>
  <c r="L32" i="190" s="1"/>
  <c r="K25" i="192"/>
  <c r="L25" i="192" s="1"/>
  <c r="K30" i="192"/>
  <c r="L30" i="192" s="1"/>
  <c r="K38" i="190"/>
  <c r="L38" i="190" s="1"/>
  <c r="K19" i="193"/>
  <c r="L19" i="193" s="1"/>
  <c r="K24" i="193"/>
  <c r="L24" i="193" s="1"/>
  <c r="K33" i="194"/>
  <c r="L33" i="194" s="1"/>
  <c r="K35" i="195"/>
  <c r="L35" i="195" s="1"/>
  <c r="K30" i="189"/>
  <c r="L30" i="189" s="1"/>
  <c r="K17" i="196"/>
  <c r="L17" i="196" s="1"/>
  <c r="K19" i="197"/>
  <c r="L19" i="197" s="1"/>
  <c r="K39" i="197"/>
  <c r="L39" i="197" s="1"/>
  <c r="K8" i="198"/>
  <c r="L8" i="198" s="1"/>
  <c r="K16" i="192"/>
  <c r="L16" i="192" s="1"/>
  <c r="K20" i="199"/>
  <c r="L20" i="199" s="1"/>
  <c r="K26" i="199"/>
  <c r="L26" i="199" s="1"/>
  <c r="K43" i="195"/>
  <c r="L43" i="195" s="1"/>
  <c r="K35" i="200"/>
  <c r="L35" i="200" s="1"/>
  <c r="K14" i="200"/>
  <c r="L14" i="200" s="1"/>
  <c r="K26" i="200"/>
  <c r="L26" i="200" s="1"/>
  <c r="K8" i="200"/>
  <c r="L8" i="200" s="1"/>
  <c r="K27" i="201"/>
  <c r="L27" i="201" s="1"/>
  <c r="K8" i="201"/>
  <c r="L8" i="201" s="1"/>
  <c r="K20" i="197"/>
  <c r="L20" i="197" s="1"/>
  <c r="K15" i="199"/>
  <c r="L15" i="199" s="1"/>
  <c r="K36" i="193"/>
  <c r="L36" i="193" s="1"/>
  <c r="K11" i="191"/>
  <c r="L11" i="191" s="1"/>
  <c r="K12" i="204"/>
  <c r="L12" i="204" s="1"/>
  <c r="K26" i="205"/>
  <c r="L26" i="205" s="1"/>
  <c r="K17" i="207"/>
  <c r="L17" i="207" s="1"/>
  <c r="K30" i="208"/>
  <c r="L30" i="208" s="1"/>
  <c r="K35" i="208"/>
  <c r="L35" i="208" s="1"/>
  <c r="K17" i="205"/>
  <c r="L17" i="205" s="1"/>
  <c r="K21" i="209"/>
  <c r="L21" i="209" s="1"/>
  <c r="K23" i="209"/>
  <c r="L23" i="209" s="1"/>
  <c r="K8" i="209"/>
  <c r="L8" i="209" s="1"/>
  <c r="K18" i="209"/>
  <c r="L18" i="209" s="1"/>
  <c r="K28" i="207"/>
  <c r="L28" i="207" s="1"/>
  <c r="K31" i="211"/>
  <c r="L31" i="211" s="1"/>
  <c r="K22" i="213"/>
  <c r="L22" i="213" s="1"/>
  <c r="K8" i="214"/>
  <c r="L8" i="214" s="1"/>
  <c r="K21" i="207"/>
  <c r="L21" i="207" s="1"/>
  <c r="K40" i="199"/>
  <c r="L40" i="199" s="1"/>
  <c r="K14" i="201"/>
  <c r="L14" i="201" s="1"/>
  <c r="K16" i="195"/>
  <c r="L16" i="195" s="1"/>
  <c r="K10" i="189"/>
  <c r="L10" i="189" s="1"/>
  <c r="K21" i="195"/>
  <c r="L21" i="195" s="1"/>
  <c r="K30" i="188"/>
  <c r="L30" i="188" s="1"/>
  <c r="K14" i="194"/>
  <c r="L14" i="194" s="1"/>
  <c r="K10" i="190"/>
  <c r="L10" i="190" s="1"/>
  <c r="K37" i="211"/>
  <c r="L37" i="211" s="1"/>
  <c r="K17" i="213"/>
  <c r="L17" i="213" s="1"/>
  <c r="K28" i="186"/>
  <c r="L28" i="186" s="1"/>
  <c r="K13" i="187"/>
  <c r="L13" i="187" s="1"/>
  <c r="K17" i="187"/>
  <c r="L17" i="187" s="1"/>
  <c r="K31" i="187"/>
  <c r="L31" i="187" s="1"/>
  <c r="K33" i="188"/>
  <c r="L33" i="188" s="1"/>
  <c r="K25" i="188"/>
  <c r="L25" i="188" s="1"/>
  <c r="K33" i="189"/>
  <c r="L33" i="189" s="1"/>
  <c r="K32" i="189"/>
  <c r="L32" i="189" s="1"/>
  <c r="K19" i="190"/>
  <c r="L19" i="190" s="1"/>
  <c r="K16" i="186"/>
  <c r="L16" i="186" s="1"/>
  <c r="K23" i="191"/>
  <c r="L23" i="191" s="1"/>
  <c r="K22" i="190"/>
  <c r="L22" i="190" s="1"/>
  <c r="K17" i="192"/>
  <c r="L17" i="192" s="1"/>
  <c r="K16" i="191"/>
  <c r="L16" i="191" s="1"/>
  <c r="K10" i="192"/>
  <c r="L10" i="192" s="1"/>
  <c r="K38" i="193"/>
  <c r="L38" i="193" s="1"/>
  <c r="K11" i="192"/>
  <c r="L11" i="192" s="1"/>
  <c r="K42" i="194"/>
  <c r="L42" i="194" s="1"/>
  <c r="K34" i="194"/>
  <c r="L34" i="194" s="1"/>
  <c r="K25" i="194"/>
  <c r="L25" i="194" s="1"/>
  <c r="K19" i="192"/>
  <c r="L19" i="192" s="1"/>
  <c r="G3" i="195"/>
  <c r="G4" i="195" s="1"/>
  <c r="K46" i="195"/>
  <c r="L46" i="195" s="1"/>
  <c r="K30" i="196"/>
  <c r="L30" i="196" s="1"/>
  <c r="K28" i="194"/>
  <c r="L28" i="194" s="1"/>
  <c r="K41" i="197"/>
  <c r="L41" i="197" s="1"/>
  <c r="K38" i="197"/>
  <c r="L38" i="197" s="1"/>
  <c r="K39" i="199"/>
  <c r="L39" i="199" s="1"/>
  <c r="K27" i="200"/>
  <c r="L27" i="200" s="1"/>
  <c r="K18" i="200"/>
  <c r="L18" i="200" s="1"/>
  <c r="K19" i="201"/>
  <c r="L19" i="201" s="1"/>
  <c r="K12" i="197"/>
  <c r="L12" i="197" s="1"/>
  <c r="K31" i="198"/>
  <c r="L31" i="198" s="1"/>
  <c r="K28" i="193"/>
  <c r="L28" i="193" s="1"/>
  <c r="K9" i="194"/>
  <c r="L9" i="194" s="1"/>
  <c r="K24" i="203"/>
  <c r="L24" i="203" s="1"/>
  <c r="K34" i="198"/>
  <c r="L34" i="198" s="1"/>
  <c r="K19" i="199"/>
  <c r="L19" i="199" s="1"/>
  <c r="K18" i="205"/>
  <c r="L18" i="205" s="1"/>
  <c r="K39" i="194"/>
  <c r="L39" i="194" s="1"/>
  <c r="K20" i="198"/>
  <c r="L20" i="198" s="1"/>
  <c r="K42" i="207"/>
  <c r="L42" i="207" s="1"/>
  <c r="K9" i="207"/>
  <c r="L9" i="207" s="1"/>
  <c r="K22" i="208"/>
  <c r="L22" i="208" s="1"/>
  <c r="K27" i="208"/>
  <c r="L27" i="208" s="1"/>
  <c r="K9" i="205"/>
  <c r="L9" i="205" s="1"/>
  <c r="K13" i="209"/>
  <c r="L13" i="209" s="1"/>
  <c r="K15" i="209"/>
  <c r="L15" i="209" s="1"/>
  <c r="K14" i="209"/>
  <c r="L14" i="209" s="1"/>
  <c r="K11" i="203"/>
  <c r="L11" i="203" s="1"/>
  <c r="K23" i="211"/>
  <c r="L23" i="211" s="1"/>
  <c r="K9" i="213"/>
  <c r="L9" i="213" s="1"/>
  <c r="K17" i="214"/>
  <c r="L17" i="214" s="1"/>
  <c r="K13" i="207"/>
  <c r="L13" i="207" s="1"/>
  <c r="K16" i="213"/>
  <c r="L16" i="213" s="1"/>
  <c r="K18" i="211"/>
  <c r="L18" i="211" s="1"/>
  <c r="K18" i="198"/>
  <c r="L18" i="198" s="1"/>
  <c r="K23" i="187"/>
  <c r="L23" i="187" s="1"/>
  <c r="K10" i="193"/>
  <c r="L10" i="193" s="1"/>
  <c r="K34" i="196"/>
  <c r="L34" i="196" s="1"/>
  <c r="K24" i="209"/>
  <c r="L24" i="209" s="1"/>
  <c r="K30" i="211"/>
  <c r="L30" i="211" s="1"/>
  <c r="K14" i="211"/>
  <c r="L14" i="211" s="1"/>
  <c r="K9" i="192"/>
  <c r="L9" i="192" s="1"/>
  <c r="K19" i="191"/>
  <c r="L19" i="191" s="1"/>
  <c r="K25" i="187"/>
  <c r="L25" i="187" s="1"/>
  <c r="K31" i="186"/>
  <c r="L31" i="186" s="1"/>
  <c r="K20" i="196"/>
  <c r="L20" i="196" s="1"/>
  <c r="K17" i="200"/>
  <c r="L17" i="200" s="1"/>
  <c r="K17" i="201"/>
  <c r="L17" i="201" s="1"/>
  <c r="K12" i="186"/>
  <c r="L12" i="186" s="1"/>
  <c r="K42" i="187"/>
  <c r="L42" i="187" s="1"/>
  <c r="K21" i="187"/>
  <c r="L21" i="187" s="1"/>
  <c r="K35" i="186"/>
  <c r="L35" i="186" s="1"/>
  <c r="K24" i="188"/>
  <c r="L24" i="188" s="1"/>
  <c r="K20" i="188"/>
  <c r="L20" i="188" s="1"/>
  <c r="K16" i="189"/>
  <c r="L16" i="189" s="1"/>
  <c r="K25" i="189"/>
  <c r="L25" i="189" s="1"/>
  <c r="K11" i="190"/>
  <c r="L11" i="190" s="1"/>
  <c r="K24" i="190"/>
  <c r="L24" i="190" s="1"/>
  <c r="K14" i="190"/>
  <c r="L14" i="190" s="1"/>
  <c r="K44" i="190"/>
  <c r="L44" i="190" s="1"/>
  <c r="K15" i="191"/>
  <c r="L15" i="191" s="1"/>
  <c r="K18" i="191"/>
  <c r="L18" i="191" s="1"/>
  <c r="K27" i="192"/>
  <c r="L27" i="192" s="1"/>
  <c r="K35" i="188"/>
  <c r="L35" i="188" s="1"/>
  <c r="K22" i="192"/>
  <c r="L22" i="192" s="1"/>
  <c r="K9" i="193"/>
  <c r="L9" i="193" s="1"/>
  <c r="K30" i="193"/>
  <c r="L30" i="193" s="1"/>
  <c r="K16" i="194"/>
  <c r="L16" i="194" s="1"/>
  <c r="K26" i="194"/>
  <c r="L26" i="194" s="1"/>
  <c r="K15" i="194"/>
  <c r="L15" i="194" s="1"/>
  <c r="K10" i="194"/>
  <c r="L10" i="194" s="1"/>
  <c r="K15" i="192"/>
  <c r="L15" i="192" s="1"/>
  <c r="K29" i="195"/>
  <c r="L29" i="195" s="1"/>
  <c r="K31" i="195"/>
  <c r="L31" i="195" s="1"/>
  <c r="K15" i="195"/>
  <c r="L15" i="195" s="1"/>
  <c r="K30" i="194"/>
  <c r="L30" i="194" s="1"/>
  <c r="K22" i="196"/>
  <c r="L22" i="196" s="1"/>
  <c r="K33" i="196"/>
  <c r="L33" i="196" s="1"/>
  <c r="K23" i="192"/>
  <c r="L23" i="192" s="1"/>
  <c r="K28" i="197"/>
  <c r="L28" i="197" s="1"/>
  <c r="K10" i="197"/>
  <c r="L10" i="197" s="1"/>
  <c r="K27" i="198"/>
  <c r="L27" i="198" s="1"/>
  <c r="K17" i="198"/>
  <c r="L17" i="198" s="1"/>
  <c r="K30" i="199"/>
  <c r="L30" i="199" s="1"/>
  <c r="K14" i="199"/>
  <c r="L14" i="199" s="1"/>
  <c r="K24" i="191"/>
  <c r="L24" i="191" s="1"/>
  <c r="K19" i="200"/>
  <c r="L19" i="200" s="1"/>
  <c r="K39" i="200"/>
  <c r="L39" i="200" s="1"/>
  <c r="K11" i="201"/>
  <c r="L11" i="201" s="1"/>
  <c r="K25" i="196"/>
  <c r="L25" i="196" s="1"/>
  <c r="K23" i="198"/>
  <c r="L23" i="198" s="1"/>
  <c r="K12" i="193"/>
  <c r="L12" i="193" s="1"/>
  <c r="K16" i="203"/>
  <c r="L16" i="203" s="1"/>
  <c r="K10" i="198"/>
  <c r="L10" i="198" s="1"/>
  <c r="K18" i="204"/>
  <c r="L18" i="204" s="1"/>
  <c r="K30" i="205"/>
  <c r="L30" i="205" s="1"/>
  <c r="K10" i="205"/>
  <c r="L10" i="205" s="1"/>
  <c r="K14" i="207"/>
  <c r="L14" i="207" s="1"/>
  <c r="K8" i="207"/>
  <c r="L8" i="207" s="1"/>
  <c r="K14" i="208"/>
  <c r="L14" i="208" s="1"/>
  <c r="K19" i="208"/>
  <c r="L19" i="208" s="1"/>
  <c r="K40" i="207"/>
  <c r="L40" i="207" s="1"/>
  <c r="K41" i="209"/>
  <c r="L41" i="209" s="1"/>
  <c r="K34" i="207"/>
  <c r="L34" i="207" s="1"/>
  <c r="K10" i="209"/>
  <c r="L10" i="209" s="1"/>
  <c r="K10" i="195"/>
  <c r="L10" i="195" s="1"/>
  <c r="K15" i="211"/>
  <c r="L15" i="211" s="1"/>
  <c r="K34" i="211"/>
  <c r="L34" i="211" s="1"/>
  <c r="K36" i="208"/>
  <c r="L36" i="208" s="1"/>
  <c r="K12" i="214"/>
  <c r="L12" i="214" s="1"/>
  <c r="K12" i="201"/>
  <c r="L12" i="201" s="1"/>
  <c r="K9" i="196"/>
  <c r="L9" i="196" s="1"/>
  <c r="K34" i="205"/>
  <c r="L34" i="205" s="1"/>
  <c r="K44" i="193"/>
  <c r="L44" i="193" s="1"/>
  <c r="K8" i="186"/>
  <c r="L8" i="186" s="1"/>
  <c r="K27" i="191"/>
  <c r="L27" i="191" s="1"/>
  <c r="K22" i="195"/>
  <c r="L22" i="195" s="1"/>
  <c r="K8" i="197"/>
  <c r="L8" i="197" s="1"/>
  <c r="K37" i="200"/>
  <c r="L37" i="200" s="1"/>
  <c r="K12" i="199"/>
  <c r="L12" i="199" s="1"/>
  <c r="K38" i="188"/>
  <c r="L38" i="188" s="1"/>
  <c r="K28" i="192"/>
  <c r="L28" i="192" s="1"/>
  <c r="K18" i="194"/>
  <c r="L18" i="194" s="1"/>
  <c r="K28" i="196"/>
  <c r="L28" i="196" s="1"/>
  <c r="K13" i="197"/>
  <c r="L13" i="197" s="1"/>
  <c r="K34" i="201"/>
  <c r="L34" i="201" s="1"/>
  <c r="K20" i="211"/>
  <c r="L20" i="211" s="1"/>
  <c r="K42" i="197"/>
  <c r="L42" i="197" s="1"/>
  <c r="K13" i="186"/>
  <c r="L13" i="186" s="1"/>
  <c r="K34" i="187"/>
  <c r="L34" i="187" s="1"/>
  <c r="K29" i="186"/>
  <c r="L29" i="186" s="1"/>
  <c r="K16" i="188"/>
  <c r="L16" i="188" s="1"/>
  <c r="K40" i="188"/>
  <c r="L40" i="188" s="1"/>
  <c r="K29" i="189"/>
  <c r="L29" i="189" s="1"/>
  <c r="K17" i="189"/>
  <c r="L17" i="189" s="1"/>
  <c r="K26" i="189"/>
  <c r="L26" i="189" s="1"/>
  <c r="K41" i="190"/>
  <c r="L41" i="190" s="1"/>
  <c r="K10" i="191"/>
  <c r="L10" i="191" s="1"/>
  <c r="K14" i="192"/>
  <c r="L14" i="192" s="1"/>
  <c r="K27" i="188"/>
  <c r="L27" i="188" s="1"/>
  <c r="K22" i="189"/>
  <c r="L22" i="189" s="1"/>
  <c r="K41" i="193"/>
  <c r="L41" i="193" s="1"/>
  <c r="K22" i="193"/>
  <c r="L22" i="193" s="1"/>
  <c r="K8" i="189"/>
  <c r="L8" i="189" s="1"/>
  <c r="K43" i="194"/>
  <c r="L43" i="194" s="1"/>
  <c r="K37" i="194"/>
  <c r="L37" i="194" s="1"/>
  <c r="K12" i="190"/>
  <c r="L12" i="190" s="1"/>
  <c r="K14" i="195"/>
  <c r="L14" i="195" s="1"/>
  <c r="K25" i="195"/>
  <c r="L25" i="195" s="1"/>
  <c r="K22" i="187"/>
  <c r="L22" i="187" s="1"/>
  <c r="K13" i="196"/>
  <c r="L13" i="196" s="1"/>
  <c r="K31" i="196"/>
  <c r="L31" i="196" s="1"/>
  <c r="K42" i="190"/>
  <c r="L42" i="190" s="1"/>
  <c r="K33" i="197"/>
  <c r="L33" i="197" s="1"/>
  <c r="K19" i="198"/>
  <c r="L19" i="198" s="1"/>
  <c r="K16" i="198"/>
  <c r="L16" i="198" s="1"/>
  <c r="K28" i="199"/>
  <c r="L28" i="199" s="1"/>
  <c r="K24" i="199"/>
  <c r="L24" i="199" s="1"/>
  <c r="K37" i="199"/>
  <c r="L37" i="199" s="1"/>
  <c r="K31" i="200"/>
  <c r="L31" i="200" s="1"/>
  <c r="K30" i="198"/>
  <c r="L30" i="198" s="1"/>
  <c r="K31" i="201"/>
  <c r="L31" i="201" s="1"/>
  <c r="K32" i="201"/>
  <c r="L32" i="201" s="1"/>
  <c r="K15" i="198"/>
  <c r="L15" i="198" s="1"/>
  <c r="K37" i="193"/>
  <c r="L37" i="193" s="1"/>
  <c r="K9" i="203"/>
  <c r="L9" i="203" s="1"/>
  <c r="K33" i="199"/>
  <c r="L33" i="199" s="1"/>
  <c r="K22" i="205"/>
  <c r="L22" i="205" s="1"/>
  <c r="K31" i="205"/>
  <c r="L31" i="205" s="1"/>
  <c r="K10" i="207"/>
  <c r="L10" i="207" s="1"/>
  <c r="K38" i="207"/>
  <c r="L38" i="207" s="1"/>
  <c r="K39" i="208"/>
  <c r="L39" i="208" s="1"/>
  <c r="K28" i="205"/>
  <c r="L28" i="205" s="1"/>
  <c r="K33" i="209"/>
  <c r="L33" i="209" s="1"/>
  <c r="K44" i="207"/>
  <c r="L44" i="207" s="1"/>
  <c r="K37" i="209"/>
  <c r="L37" i="209" s="1"/>
  <c r="K35" i="211"/>
  <c r="L35" i="211" s="1"/>
  <c r="K12" i="211"/>
  <c r="L12" i="211" s="1"/>
  <c r="K28" i="208"/>
  <c r="L28" i="208" s="1"/>
  <c r="K13" i="214"/>
  <c r="L13" i="214" s="1"/>
  <c r="K16" i="214"/>
  <c r="L16" i="214" s="1"/>
  <c r="K10" i="214"/>
  <c r="L10" i="214" s="1"/>
  <c r="K32" i="211"/>
  <c r="L32" i="211" s="1"/>
  <c r="K53" i="186"/>
  <c r="L53" i="186" s="1"/>
  <c r="K74" i="187"/>
  <c r="L74" i="187" s="1"/>
  <c r="K84" i="187"/>
  <c r="L84" i="187" s="1"/>
  <c r="K81" i="187"/>
  <c r="L81" i="187" s="1"/>
  <c r="K89" i="188"/>
  <c r="L89" i="188" s="1"/>
  <c r="K91" i="188"/>
  <c r="L91" i="188" s="1"/>
  <c r="K74" i="188"/>
  <c r="L74" i="188" s="1"/>
  <c r="K63" i="189"/>
  <c r="L63" i="189" s="1"/>
  <c r="K80" i="190"/>
  <c r="L80" i="190" s="1"/>
  <c r="K64" i="190"/>
  <c r="L64" i="190" s="1"/>
  <c r="K86" i="190"/>
  <c r="L86" i="190" s="1"/>
  <c r="K75" i="190"/>
  <c r="L75" i="190" s="1"/>
  <c r="K50" i="191"/>
  <c r="L50" i="191" s="1"/>
  <c r="K72" i="191"/>
  <c r="L72" i="191" s="1"/>
  <c r="K70" i="192"/>
  <c r="L70" i="192" s="1"/>
  <c r="K54" i="192"/>
  <c r="L54" i="192" s="1"/>
  <c r="K84" i="192"/>
  <c r="L84" i="192" s="1"/>
  <c r="K81" i="192"/>
  <c r="L81" i="192" s="1"/>
  <c r="K64" i="193"/>
  <c r="L64" i="193" s="1"/>
  <c r="K62" i="193"/>
  <c r="L62" i="193" s="1"/>
  <c r="K88" i="194"/>
  <c r="L88" i="194" s="1"/>
  <c r="K95" i="194"/>
  <c r="L95" i="194" s="1"/>
  <c r="K90" i="194"/>
  <c r="L90" i="194" s="1"/>
  <c r="K76" i="195"/>
  <c r="L76" i="195" s="1"/>
  <c r="K65" i="195"/>
  <c r="L65" i="195" s="1"/>
  <c r="K67" i="196"/>
  <c r="L67" i="196" s="1"/>
  <c r="K75" i="196"/>
  <c r="L75" i="196" s="1"/>
  <c r="K89" i="197"/>
  <c r="L89" i="197" s="1"/>
  <c r="K72" i="197"/>
  <c r="L72" i="197" s="1"/>
  <c r="K86" i="197"/>
  <c r="L86" i="197" s="1"/>
  <c r="K58" i="198"/>
  <c r="L58" i="198" s="1"/>
  <c r="K71" i="199"/>
  <c r="L71" i="199" s="1"/>
  <c r="K69" i="199"/>
  <c r="L69" i="199" s="1"/>
  <c r="K72" i="198"/>
  <c r="L72" i="198" s="1"/>
  <c r="K88" i="200"/>
  <c r="L88" i="200" s="1"/>
  <c r="K60" i="200"/>
  <c r="L60" i="200" s="1"/>
  <c r="K81" i="200"/>
  <c r="L81" i="200" s="1"/>
  <c r="K75" i="201"/>
  <c r="L75" i="201" s="1"/>
  <c r="K55" i="201"/>
  <c r="L55" i="201" s="1"/>
  <c r="K52" i="201"/>
  <c r="L52" i="201" s="1"/>
  <c r="K77" i="200"/>
  <c r="L77" i="200" s="1"/>
  <c r="K43" i="203"/>
  <c r="L43" i="203" s="1"/>
  <c r="K47" i="204"/>
  <c r="L47" i="204" s="1"/>
  <c r="K50" i="204"/>
  <c r="L50" i="204" s="1"/>
  <c r="K67" i="205"/>
  <c r="L67" i="205" s="1"/>
  <c r="K60" i="205"/>
  <c r="L60" i="205" s="1"/>
  <c r="K92" i="207"/>
  <c r="L92" i="207" s="1"/>
  <c r="K67" i="207"/>
  <c r="L67" i="207" s="1"/>
  <c r="K90" i="207"/>
  <c r="L90" i="207" s="1"/>
  <c r="K87" i="208"/>
  <c r="L87" i="208" s="1"/>
  <c r="K72" i="208"/>
  <c r="L72" i="208" s="1"/>
  <c r="K65" i="208"/>
  <c r="L65" i="208" s="1"/>
  <c r="K74" i="209"/>
  <c r="L74" i="209" s="1"/>
  <c r="K92" i="209"/>
  <c r="L92" i="209" s="1"/>
  <c r="K71" i="209"/>
  <c r="L71" i="209" s="1"/>
  <c r="K70" i="211"/>
  <c r="L70" i="211" s="1"/>
  <c r="K89" i="211"/>
  <c r="L89" i="211" s="1"/>
  <c r="K50" i="213"/>
  <c r="L50" i="213" s="1"/>
  <c r="K42" i="213"/>
  <c r="L42" i="213" s="1"/>
  <c r="K61" i="205"/>
  <c r="L61" i="205" s="1"/>
  <c r="K94" i="207"/>
  <c r="L94" i="207" s="1"/>
  <c r="K61" i="195"/>
  <c r="L61" i="195" s="1"/>
  <c r="K56" i="183"/>
  <c r="L56" i="183" s="1"/>
  <c r="K67" i="186"/>
  <c r="L67" i="186" s="1"/>
  <c r="K57" i="186"/>
  <c r="L57" i="186" s="1"/>
  <c r="K86" i="187"/>
  <c r="L86" i="187" s="1"/>
  <c r="K69" i="187"/>
  <c r="L69" i="187" s="1"/>
  <c r="K63" i="187"/>
  <c r="L63" i="187" s="1"/>
  <c r="K73" i="188"/>
  <c r="L73" i="188" s="1"/>
  <c r="K70" i="189"/>
  <c r="L70" i="189" s="1"/>
  <c r="K96" i="190"/>
  <c r="L96" i="190" s="1"/>
  <c r="K81" i="190"/>
  <c r="L81" i="190" s="1"/>
  <c r="K69" i="190"/>
  <c r="L69" i="190" s="1"/>
  <c r="K61" i="191"/>
  <c r="L61" i="191" s="1"/>
  <c r="K62" i="191"/>
  <c r="L62" i="191" s="1"/>
  <c r="K63" i="192"/>
  <c r="L63" i="192" s="1"/>
  <c r="K78" i="192"/>
  <c r="L78" i="192" s="1"/>
  <c r="K65" i="192"/>
  <c r="L65" i="192" s="1"/>
  <c r="K61" i="193"/>
  <c r="L61" i="193" s="1"/>
  <c r="K82" i="193"/>
  <c r="L82" i="193" s="1"/>
  <c r="K85" i="194"/>
  <c r="L85" i="194" s="1"/>
  <c r="K76" i="194"/>
  <c r="L76" i="194" s="1"/>
  <c r="K79" i="194"/>
  <c r="L79" i="194" s="1"/>
  <c r="K64" i="194"/>
  <c r="L64" i="194" s="1"/>
  <c r="K69" i="195"/>
  <c r="L69" i="195" s="1"/>
  <c r="K57" i="196"/>
  <c r="L57" i="196" s="1"/>
  <c r="K77" i="196"/>
  <c r="L77" i="196" s="1"/>
  <c r="K62" i="196"/>
  <c r="L62" i="196" s="1"/>
  <c r="K63" i="196"/>
  <c r="L63" i="196" s="1"/>
  <c r="K65" i="196"/>
  <c r="L65" i="196" s="1"/>
  <c r="K64" i="197"/>
  <c r="L64" i="197" s="1"/>
  <c r="K74" i="197"/>
  <c r="L74" i="197" s="1"/>
  <c r="K70" i="197"/>
  <c r="L70" i="197" s="1"/>
  <c r="K79" i="198"/>
  <c r="L79" i="198" s="1"/>
  <c r="K60" i="199"/>
  <c r="L60" i="199" s="1"/>
  <c r="K66" i="199"/>
  <c r="L66" i="199" s="1"/>
  <c r="K76" i="200"/>
  <c r="L76" i="200" s="1"/>
  <c r="K59" i="201"/>
  <c r="L59" i="201" s="1"/>
  <c r="K68" i="201"/>
  <c r="L68" i="201" s="1"/>
  <c r="K65" i="201"/>
  <c r="L65" i="201" s="1"/>
  <c r="K55" i="192"/>
  <c r="L55" i="192" s="1"/>
  <c r="K45" i="203"/>
  <c r="L45" i="203" s="1"/>
  <c r="K49" i="204"/>
  <c r="L49" i="204" s="1"/>
  <c r="K45" i="204"/>
  <c r="L45" i="204" s="1"/>
  <c r="K80" i="205"/>
  <c r="L80" i="205" s="1"/>
  <c r="K75" i="205"/>
  <c r="L75" i="205" s="1"/>
  <c r="K84" i="207"/>
  <c r="L84" i="207" s="1"/>
  <c r="K70" i="207"/>
  <c r="L70" i="207" s="1"/>
  <c r="K81" i="207"/>
  <c r="L81" i="207" s="1"/>
  <c r="K71" i="208"/>
  <c r="L71" i="208" s="1"/>
  <c r="K86" i="208"/>
  <c r="L86" i="208" s="1"/>
  <c r="K62" i="208"/>
  <c r="L62" i="208" s="1"/>
  <c r="K89" i="209"/>
  <c r="L89" i="209" s="1"/>
  <c r="K68" i="209"/>
  <c r="L68" i="209" s="1"/>
  <c r="K80" i="209"/>
  <c r="L80" i="209" s="1"/>
  <c r="K83" i="211"/>
  <c r="L83" i="211" s="1"/>
  <c r="K73" i="211"/>
  <c r="L73" i="211" s="1"/>
  <c r="K82" i="211"/>
  <c r="L82" i="211" s="1"/>
  <c r="K48" i="213"/>
  <c r="L48" i="213" s="1"/>
  <c r="K38" i="214"/>
  <c r="L38" i="214" s="1"/>
  <c r="K80" i="211"/>
  <c r="L80" i="211" s="1"/>
  <c r="K55" i="208"/>
  <c r="L55" i="208" s="1"/>
  <c r="K40" i="203"/>
  <c r="L40" i="203" s="1"/>
  <c r="K73" i="186"/>
  <c r="L73" i="186" s="1"/>
  <c r="K60" i="186"/>
  <c r="L60" i="186" s="1"/>
  <c r="K71" i="186"/>
  <c r="L71" i="186" s="1"/>
  <c r="K72" i="187"/>
  <c r="L72" i="187" s="1"/>
  <c r="K82" i="187"/>
  <c r="L82" i="187" s="1"/>
  <c r="K89" i="187"/>
  <c r="L89" i="187" s="1"/>
  <c r="K79" i="187"/>
  <c r="L79" i="187" s="1"/>
  <c r="K58" i="188"/>
  <c r="L58" i="188" s="1"/>
  <c r="K78" i="188"/>
  <c r="L78" i="188" s="1"/>
  <c r="K80" i="188"/>
  <c r="L80" i="188" s="1"/>
  <c r="K64" i="188"/>
  <c r="L64" i="188" s="1"/>
  <c r="K82" i="188"/>
  <c r="L82" i="188" s="1"/>
  <c r="K73" i="189"/>
  <c r="L73" i="189" s="1"/>
  <c r="K72" i="189"/>
  <c r="L72" i="189" s="1"/>
  <c r="K76" i="189"/>
  <c r="L76" i="189" s="1"/>
  <c r="K76" i="190"/>
  <c r="L76" i="190" s="1"/>
  <c r="K74" i="190"/>
  <c r="L74" i="190" s="1"/>
  <c r="K60" i="190"/>
  <c r="L60" i="190" s="1"/>
  <c r="K68" i="191"/>
  <c r="L68" i="191" s="1"/>
  <c r="K94" i="190"/>
  <c r="L94" i="190" s="1"/>
  <c r="K56" i="191"/>
  <c r="L56" i="191" s="1"/>
  <c r="K72" i="192"/>
  <c r="L72" i="192" s="1"/>
  <c r="K68" i="192"/>
  <c r="L68" i="192" s="1"/>
  <c r="K79" i="192"/>
  <c r="L79" i="192" s="1"/>
  <c r="K83" i="193"/>
  <c r="L83" i="193" s="1"/>
  <c r="K92" i="193"/>
  <c r="L92" i="193" s="1"/>
  <c r="K76" i="193"/>
  <c r="L76" i="193" s="1"/>
  <c r="K82" i="194"/>
  <c r="L82" i="194" s="1"/>
  <c r="K68" i="194"/>
  <c r="L68" i="194" s="1"/>
  <c r="K96" i="194"/>
  <c r="L96" i="194" s="1"/>
  <c r="K71" i="195"/>
  <c r="L71" i="195" s="1"/>
  <c r="K74" i="196"/>
  <c r="L74" i="196" s="1"/>
  <c r="K61" i="196"/>
  <c r="L61" i="196" s="1"/>
  <c r="K53" i="196"/>
  <c r="L53" i="196" s="1"/>
  <c r="K93" i="197"/>
  <c r="L93" i="197" s="1"/>
  <c r="K63" i="198"/>
  <c r="L63" i="198" s="1"/>
  <c r="K82" i="198"/>
  <c r="L82" i="198" s="1"/>
  <c r="K84" i="199"/>
  <c r="L84" i="199" s="1"/>
  <c r="K76" i="199"/>
  <c r="L76" i="199" s="1"/>
  <c r="K69" i="198"/>
  <c r="L69" i="198" s="1"/>
  <c r="K78" i="200"/>
  <c r="L78" i="200" s="1"/>
  <c r="K91" i="200"/>
  <c r="L91" i="200" s="1"/>
  <c r="K81" i="198"/>
  <c r="L81" i="198" s="1"/>
  <c r="K80" i="198"/>
  <c r="L80" i="198" s="1"/>
  <c r="K50" i="203"/>
  <c r="L50" i="203" s="1"/>
  <c r="K86" i="195"/>
  <c r="L86" i="195" s="1"/>
  <c r="K63" i="205"/>
  <c r="L63" i="205" s="1"/>
  <c r="K79" i="207"/>
  <c r="L79" i="207" s="1"/>
  <c r="K93" i="207"/>
  <c r="L93" i="207" s="1"/>
  <c r="K63" i="207"/>
  <c r="L63" i="207" s="1"/>
  <c r="K75" i="208"/>
  <c r="L75" i="208" s="1"/>
  <c r="K70" i="208"/>
  <c r="L70" i="208" s="1"/>
  <c r="K77" i="208"/>
  <c r="L77" i="208" s="1"/>
  <c r="K82" i="209"/>
  <c r="L82" i="209" s="1"/>
  <c r="K73" i="209"/>
  <c r="L73" i="209" s="1"/>
  <c r="K94" i="209"/>
  <c r="L94" i="209" s="1"/>
  <c r="K62" i="209"/>
  <c r="L62" i="209" s="1"/>
  <c r="K66" i="211"/>
  <c r="L66" i="211" s="1"/>
  <c r="K51" i="213"/>
  <c r="L51" i="213" s="1"/>
  <c r="K79" i="195"/>
  <c r="L79" i="195" s="1"/>
  <c r="K72" i="186"/>
  <c r="L72" i="186" s="1"/>
  <c r="K68" i="187"/>
  <c r="L68" i="187" s="1"/>
  <c r="K90" i="187"/>
  <c r="L90" i="187" s="1"/>
  <c r="K75" i="187"/>
  <c r="L75" i="187" s="1"/>
  <c r="K62" i="187"/>
  <c r="L62" i="187" s="1"/>
  <c r="K65" i="188"/>
  <c r="L65" i="188" s="1"/>
  <c r="K85" i="188"/>
  <c r="L85" i="188" s="1"/>
  <c r="K69" i="189"/>
  <c r="L69" i="189" s="1"/>
  <c r="K65" i="189"/>
  <c r="L65" i="189" s="1"/>
  <c r="K95" i="190"/>
  <c r="L95" i="190" s="1"/>
  <c r="K65" i="190"/>
  <c r="L65" i="190" s="1"/>
  <c r="K48" i="191"/>
  <c r="L48" i="191" s="1"/>
  <c r="K58" i="192"/>
  <c r="L58" i="192" s="1"/>
  <c r="K56" i="192"/>
  <c r="L56" i="192" s="1"/>
  <c r="K67" i="192"/>
  <c r="L67" i="192" s="1"/>
  <c r="K67" i="193"/>
  <c r="L67" i="193" s="1"/>
  <c r="K93" i="193"/>
  <c r="L93" i="193" s="1"/>
  <c r="K75" i="194"/>
  <c r="L75" i="194" s="1"/>
  <c r="K69" i="194"/>
  <c r="L69" i="194" s="1"/>
  <c r="K84" i="194"/>
  <c r="L84" i="194" s="1"/>
  <c r="K78" i="195"/>
  <c r="L78" i="195" s="1"/>
  <c r="K70" i="195"/>
  <c r="L70" i="195" s="1"/>
  <c r="K78" i="194"/>
  <c r="L78" i="194" s="1"/>
  <c r="K58" i="196"/>
  <c r="L58" i="196" s="1"/>
  <c r="K68" i="196"/>
  <c r="L68" i="196" s="1"/>
  <c r="K64" i="196"/>
  <c r="L64" i="196" s="1"/>
  <c r="K84" i="197"/>
  <c r="L84" i="197" s="1"/>
  <c r="K80" i="197"/>
  <c r="L80" i="197" s="1"/>
  <c r="K78" i="198"/>
  <c r="L78" i="198" s="1"/>
  <c r="K60" i="198"/>
  <c r="L60" i="198" s="1"/>
  <c r="K63" i="199"/>
  <c r="L63" i="199" s="1"/>
  <c r="K79" i="199"/>
  <c r="L79" i="199" s="1"/>
  <c r="K77" i="199"/>
  <c r="L77" i="199" s="1"/>
  <c r="K84" i="200"/>
  <c r="L84" i="200" s="1"/>
  <c r="K75" i="200"/>
  <c r="L75" i="200" s="1"/>
  <c r="K58" i="197"/>
  <c r="L58" i="197" s="1"/>
  <c r="K78" i="201"/>
  <c r="L78" i="201" s="1"/>
  <c r="K69" i="201"/>
  <c r="L69" i="201" s="1"/>
  <c r="K94" i="195"/>
  <c r="L94" i="195" s="1"/>
  <c r="K57" i="203"/>
  <c r="L57" i="203" s="1"/>
  <c r="K70" i="205"/>
  <c r="L70" i="205" s="1"/>
  <c r="K59" i="205"/>
  <c r="L59" i="205" s="1"/>
  <c r="K69" i="205"/>
  <c r="L69" i="205" s="1"/>
  <c r="K64" i="207"/>
  <c r="L64" i="207" s="1"/>
  <c r="K87" i="207"/>
  <c r="L87" i="207" s="1"/>
  <c r="K82" i="207"/>
  <c r="L82" i="207" s="1"/>
  <c r="K59" i="208"/>
  <c r="L59" i="208" s="1"/>
  <c r="K82" i="208"/>
  <c r="L82" i="208" s="1"/>
  <c r="K78" i="208"/>
  <c r="L78" i="208" s="1"/>
  <c r="K72" i="209"/>
  <c r="L72" i="209" s="1"/>
  <c r="K81" i="209"/>
  <c r="L81" i="209" s="1"/>
  <c r="K87" i="209"/>
  <c r="L87" i="209" s="1"/>
  <c r="K83" i="209"/>
  <c r="L83" i="209" s="1"/>
  <c r="K67" i="211"/>
  <c r="L67" i="211" s="1"/>
  <c r="K72" i="211"/>
  <c r="L72" i="211" s="1"/>
  <c r="K45" i="213"/>
  <c r="L45" i="213" s="1"/>
  <c r="K76" i="208"/>
  <c r="L76" i="208" s="1"/>
  <c r="K45" i="214"/>
  <c r="L45" i="214" s="1"/>
  <c r="K62" i="211"/>
  <c r="L62" i="211" s="1"/>
  <c r="K63" i="211"/>
  <c r="L63" i="211" s="1"/>
  <c r="K51" i="201"/>
  <c r="L51" i="201" s="1"/>
  <c r="K77" i="186"/>
  <c r="L77" i="186" s="1"/>
  <c r="K59" i="186"/>
  <c r="L59" i="186" s="1"/>
  <c r="K93" i="187"/>
  <c r="L93" i="187" s="1"/>
  <c r="K76" i="187"/>
  <c r="L76" i="187" s="1"/>
  <c r="K79" i="186"/>
  <c r="L79" i="186" s="1"/>
  <c r="K77" i="188"/>
  <c r="L77" i="188" s="1"/>
  <c r="K90" i="188"/>
  <c r="L90" i="188" s="1"/>
  <c r="K61" i="189"/>
  <c r="L61" i="189" s="1"/>
  <c r="K57" i="189"/>
  <c r="L57" i="189" s="1"/>
  <c r="K82" i="190"/>
  <c r="L82" i="190" s="1"/>
  <c r="K63" i="190"/>
  <c r="L63" i="190" s="1"/>
  <c r="K79" i="190"/>
  <c r="L79" i="190" s="1"/>
  <c r="K91" i="190"/>
  <c r="L91" i="190" s="1"/>
  <c r="K77" i="190"/>
  <c r="L77" i="190" s="1"/>
  <c r="K57" i="191"/>
  <c r="L57" i="191" s="1"/>
  <c r="K69" i="191"/>
  <c r="L69" i="191" s="1"/>
  <c r="K73" i="192"/>
  <c r="L73" i="192" s="1"/>
  <c r="K66" i="192"/>
  <c r="L66" i="192" s="1"/>
  <c r="K65" i="186"/>
  <c r="L65" i="186" s="1"/>
  <c r="K70" i="193"/>
  <c r="L70" i="193" s="1"/>
  <c r="K84" i="193"/>
  <c r="L84" i="193" s="1"/>
  <c r="K76" i="188"/>
  <c r="L76" i="188" s="1"/>
  <c r="K98" i="194"/>
  <c r="L98" i="194" s="1"/>
  <c r="K91" i="194"/>
  <c r="L91" i="194" s="1"/>
  <c r="K92" i="195"/>
  <c r="L92" i="195" s="1"/>
  <c r="K93" i="195"/>
  <c r="L93" i="195" s="1"/>
  <c r="K52" i="196"/>
  <c r="L52" i="196" s="1"/>
  <c r="K68" i="197"/>
  <c r="L68" i="197" s="1"/>
  <c r="K92" i="197"/>
  <c r="L92" i="197" s="1"/>
  <c r="K66" i="197"/>
  <c r="L66" i="197" s="1"/>
  <c r="K62" i="198"/>
  <c r="L62" i="198" s="1"/>
  <c r="K70" i="198"/>
  <c r="L70" i="198" s="1"/>
  <c r="K57" i="198"/>
  <c r="L57" i="198" s="1"/>
  <c r="K80" i="199"/>
  <c r="L80" i="199" s="1"/>
  <c r="K88" i="199"/>
  <c r="L88" i="199" s="1"/>
  <c r="K82" i="199"/>
  <c r="L82" i="199" s="1"/>
  <c r="K68" i="199"/>
  <c r="L68" i="199" s="1"/>
  <c r="K75" i="199"/>
  <c r="L75" i="199" s="1"/>
  <c r="K82" i="200"/>
  <c r="L82" i="200" s="1"/>
  <c r="K89" i="200"/>
  <c r="L89" i="200" s="1"/>
  <c r="K90" i="200"/>
  <c r="L90" i="200" s="1"/>
  <c r="K64" i="201"/>
  <c r="L64" i="201" s="1"/>
  <c r="K63" i="201"/>
  <c r="L63" i="201" s="1"/>
  <c r="K51" i="203"/>
  <c r="L51" i="203" s="1"/>
  <c r="K41" i="204"/>
  <c r="L41" i="204" s="1"/>
  <c r="K54" i="205"/>
  <c r="L54" i="205" s="1"/>
  <c r="K79" i="205"/>
  <c r="L79" i="205" s="1"/>
  <c r="K96" i="207"/>
  <c r="L96" i="207" s="1"/>
  <c r="K86" i="207"/>
  <c r="L86" i="207" s="1"/>
  <c r="K66" i="207"/>
  <c r="L66" i="207" s="1"/>
  <c r="K79" i="208"/>
  <c r="L79" i="208" s="1"/>
  <c r="K63" i="208"/>
  <c r="L63" i="208" s="1"/>
  <c r="K66" i="208"/>
  <c r="L66" i="208" s="1"/>
  <c r="K95" i="209"/>
  <c r="L95" i="209" s="1"/>
  <c r="K65" i="209"/>
  <c r="L65" i="209" s="1"/>
  <c r="K70" i="209"/>
  <c r="L70" i="209" s="1"/>
  <c r="K80" i="207"/>
  <c r="L80" i="207" s="1"/>
  <c r="K76" i="209"/>
  <c r="L76" i="209" s="1"/>
  <c r="K74" i="211"/>
  <c r="L74" i="211" s="1"/>
  <c r="K46" i="213"/>
  <c r="L46" i="213" s="1"/>
  <c r="K39" i="214"/>
  <c r="L39" i="214" s="1"/>
  <c r="K85" i="211"/>
  <c r="L85" i="211" s="1"/>
  <c r="K61" i="186"/>
  <c r="L61" i="186" s="1"/>
  <c r="K66" i="186"/>
  <c r="L66" i="186" s="1"/>
  <c r="K76" i="186"/>
  <c r="L76" i="186" s="1"/>
  <c r="K77" i="187"/>
  <c r="L77" i="187" s="1"/>
  <c r="K88" i="187"/>
  <c r="L88" i="187" s="1"/>
  <c r="K75" i="186"/>
  <c r="L75" i="186" s="1"/>
  <c r="K84" i="188"/>
  <c r="L84" i="188" s="1"/>
  <c r="K88" i="188"/>
  <c r="L88" i="188" s="1"/>
  <c r="K87" i="188"/>
  <c r="L87" i="188" s="1"/>
  <c r="K86" i="188"/>
  <c r="L86" i="188" s="1"/>
  <c r="K51" i="189"/>
  <c r="L51" i="189" s="1"/>
  <c r="K68" i="189"/>
  <c r="L68" i="189" s="1"/>
  <c r="K70" i="190"/>
  <c r="L70" i="190" s="1"/>
  <c r="K66" i="190"/>
  <c r="L66" i="190" s="1"/>
  <c r="K89" i="190"/>
  <c r="L89" i="190" s="1"/>
  <c r="K78" i="190"/>
  <c r="L78" i="190" s="1"/>
  <c r="K93" i="190"/>
  <c r="L93" i="190" s="1"/>
  <c r="K51" i="191"/>
  <c r="L51" i="191" s="1"/>
  <c r="K53" i="191"/>
  <c r="L53" i="191" s="1"/>
  <c r="K74" i="192"/>
  <c r="L74" i="192" s="1"/>
  <c r="K85" i="192"/>
  <c r="L85" i="192" s="1"/>
  <c r="K86" i="193"/>
  <c r="L86" i="193" s="1"/>
  <c r="K77" i="193"/>
  <c r="L77" i="193" s="1"/>
  <c r="K97" i="193"/>
  <c r="L97" i="193" s="1"/>
  <c r="K71" i="194"/>
  <c r="L71" i="194" s="1"/>
  <c r="K66" i="194"/>
  <c r="L66" i="194" s="1"/>
  <c r="K97" i="195"/>
  <c r="L97" i="195" s="1"/>
  <c r="K73" i="195"/>
  <c r="L73" i="195" s="1"/>
  <c r="K87" i="195"/>
  <c r="L87" i="195" s="1"/>
  <c r="K83" i="197"/>
  <c r="L83" i="197" s="1"/>
  <c r="K69" i="197"/>
  <c r="L69" i="197" s="1"/>
  <c r="K76" i="197"/>
  <c r="L76" i="197" s="1"/>
  <c r="K77" i="197"/>
  <c r="L77" i="197" s="1"/>
  <c r="K61" i="197"/>
  <c r="L61" i="197" s="1"/>
  <c r="K65" i="198"/>
  <c r="L65" i="198" s="1"/>
  <c r="K59" i="198"/>
  <c r="L59" i="198" s="1"/>
  <c r="K73" i="198"/>
  <c r="L73" i="198" s="1"/>
  <c r="K83" i="199"/>
  <c r="L83" i="199" s="1"/>
  <c r="K89" i="199"/>
  <c r="L89" i="199" s="1"/>
  <c r="K67" i="199"/>
  <c r="L67" i="199" s="1"/>
  <c r="K64" i="200"/>
  <c r="L64" i="200" s="1"/>
  <c r="K86" i="200"/>
  <c r="L86" i="200" s="1"/>
  <c r="K66" i="200"/>
  <c r="L66" i="200" s="1"/>
  <c r="K76" i="201"/>
  <c r="L76" i="201" s="1"/>
  <c r="K54" i="201"/>
  <c r="L54" i="201" s="1"/>
  <c r="K53" i="203"/>
  <c r="L53" i="203" s="1"/>
  <c r="K51" i="204"/>
  <c r="L51" i="204" s="1"/>
  <c r="K68" i="205"/>
  <c r="L68" i="205" s="1"/>
  <c r="K71" i="205"/>
  <c r="L71" i="205" s="1"/>
  <c r="K53" i="205"/>
  <c r="L53" i="205" s="1"/>
  <c r="K88" i="207"/>
  <c r="L88" i="207" s="1"/>
  <c r="K77" i="207"/>
  <c r="L77" i="207" s="1"/>
  <c r="K65" i="205"/>
  <c r="L65" i="205" s="1"/>
  <c r="K73" i="208"/>
  <c r="L73" i="208" s="1"/>
  <c r="K80" i="208"/>
  <c r="L80" i="208" s="1"/>
  <c r="K91" i="209"/>
  <c r="L91" i="209" s="1"/>
  <c r="K67" i="209"/>
  <c r="L67" i="209" s="1"/>
  <c r="K60" i="209"/>
  <c r="L60" i="209" s="1"/>
  <c r="K90" i="209"/>
  <c r="L90" i="209" s="1"/>
  <c r="K66" i="209"/>
  <c r="L66" i="209" s="1"/>
  <c r="K60" i="208"/>
  <c r="L60" i="208" s="1"/>
  <c r="K76" i="211"/>
  <c r="L76" i="211" s="1"/>
  <c r="K59" i="211"/>
  <c r="L59" i="211" s="1"/>
  <c r="K61" i="211"/>
  <c r="L61" i="211" s="1"/>
  <c r="K37" i="214"/>
  <c r="L37" i="214" s="1"/>
  <c r="K56" i="211"/>
  <c r="L56" i="211" s="1"/>
  <c r="K56" i="186"/>
  <c r="L56" i="186" s="1"/>
  <c r="K52" i="186"/>
  <c r="L52" i="186" s="1"/>
  <c r="K65" i="187"/>
  <c r="L65" i="187" s="1"/>
  <c r="K73" i="187"/>
  <c r="L73" i="187" s="1"/>
  <c r="K87" i="187"/>
  <c r="L87" i="187" s="1"/>
  <c r="K72" i="188"/>
  <c r="L72" i="188" s="1"/>
  <c r="K61" i="188"/>
  <c r="L61" i="188" s="1"/>
  <c r="K71" i="188"/>
  <c r="L71" i="188" s="1"/>
  <c r="K62" i="189"/>
  <c r="L62" i="189" s="1"/>
  <c r="K60" i="189"/>
  <c r="L60" i="189" s="1"/>
  <c r="K72" i="190"/>
  <c r="L72" i="190" s="1"/>
  <c r="K73" i="190"/>
  <c r="L73" i="190" s="1"/>
  <c r="K85" i="190"/>
  <c r="L85" i="190" s="1"/>
  <c r="K70" i="191"/>
  <c r="L70" i="191" s="1"/>
  <c r="K71" i="191"/>
  <c r="L71" i="191" s="1"/>
  <c r="K58" i="191"/>
  <c r="L58" i="191" s="1"/>
  <c r="K60" i="192"/>
  <c r="L60" i="192" s="1"/>
  <c r="K64" i="192"/>
  <c r="L64" i="192" s="1"/>
  <c r="K72" i="193"/>
  <c r="L72" i="193" s="1"/>
  <c r="K79" i="193"/>
  <c r="L79" i="193" s="1"/>
  <c r="K78" i="193"/>
  <c r="L78" i="193" s="1"/>
  <c r="K51" i="186"/>
  <c r="L51" i="186" s="1"/>
  <c r="K63" i="194"/>
  <c r="L63" i="194" s="1"/>
  <c r="K93" i="194"/>
  <c r="L93" i="194" s="1"/>
  <c r="K94" i="194"/>
  <c r="L94" i="194" s="1"/>
  <c r="K77" i="194"/>
  <c r="L77" i="194" s="1"/>
  <c r="K99" i="195"/>
  <c r="L99" i="195" s="1"/>
  <c r="K66" i="195"/>
  <c r="L66" i="195" s="1"/>
  <c r="K59" i="196"/>
  <c r="L59" i="196" s="1"/>
  <c r="K81" i="195"/>
  <c r="L81" i="195" s="1"/>
  <c r="K85" i="197"/>
  <c r="L85" i="197" s="1"/>
  <c r="K60" i="197"/>
  <c r="L60" i="197" s="1"/>
  <c r="K90" i="197"/>
  <c r="L90" i="197" s="1"/>
  <c r="K62" i="197"/>
  <c r="L62" i="197" s="1"/>
  <c r="K71" i="198"/>
  <c r="L71" i="198" s="1"/>
  <c r="K75" i="198"/>
  <c r="L75" i="198" s="1"/>
  <c r="K60" i="193"/>
  <c r="L60" i="193" s="1"/>
  <c r="K56" i="199"/>
  <c r="L56" i="199" s="1"/>
  <c r="K85" i="199"/>
  <c r="L85" i="199" s="1"/>
  <c r="K59" i="200"/>
  <c r="L59" i="200" s="1"/>
  <c r="K58" i="200"/>
  <c r="L58" i="200" s="1"/>
  <c r="K86" i="199"/>
  <c r="L86" i="199" s="1"/>
  <c r="K74" i="201"/>
  <c r="L74" i="201" s="1"/>
  <c r="K58" i="201"/>
  <c r="L58" i="201" s="1"/>
  <c r="K67" i="201"/>
  <c r="L67" i="201" s="1"/>
  <c r="K66" i="201"/>
  <c r="L66" i="201" s="1"/>
  <c r="K79" i="200"/>
  <c r="L79" i="200" s="1"/>
  <c r="K41" i="203"/>
  <c r="L41" i="203" s="1"/>
  <c r="K38" i="204"/>
  <c r="L38" i="204" s="1"/>
  <c r="K78" i="205"/>
  <c r="L78" i="205" s="1"/>
  <c r="K55" i="205"/>
  <c r="L55" i="205" s="1"/>
  <c r="K57" i="200"/>
  <c r="L57" i="200" s="1"/>
  <c r="K73" i="207"/>
  <c r="L73" i="207" s="1"/>
  <c r="K91" i="207"/>
  <c r="L91" i="207" s="1"/>
  <c r="K95" i="207"/>
  <c r="L95" i="207" s="1"/>
  <c r="K57" i="208"/>
  <c r="L57" i="208" s="1"/>
  <c r="K64" i="208"/>
  <c r="L64" i="208" s="1"/>
  <c r="K83" i="208"/>
  <c r="L83" i="208" s="1"/>
  <c r="K61" i="208"/>
  <c r="L61" i="208" s="1"/>
  <c r="K79" i="209"/>
  <c r="L79" i="209" s="1"/>
  <c r="K81" i="208"/>
  <c r="L81" i="208" s="1"/>
  <c r="K78" i="209"/>
  <c r="L78" i="209" s="1"/>
  <c r="K81" i="205"/>
  <c r="L81" i="205" s="1"/>
  <c r="K86" i="211"/>
  <c r="L86" i="211" s="1"/>
  <c r="K87" i="211"/>
  <c r="L87" i="211" s="1"/>
  <c r="K79" i="211"/>
  <c r="L79" i="211" s="1"/>
  <c r="K56" i="208"/>
  <c r="L56" i="208" s="1"/>
  <c r="K44" i="214"/>
  <c r="L44" i="214" s="1"/>
  <c r="K34" i="214"/>
  <c r="L34" i="214" s="1"/>
  <c r="K55" i="203"/>
  <c r="L55" i="203" s="1"/>
  <c r="K58" i="186"/>
  <c r="L58" i="186" s="1"/>
  <c r="K62" i="186"/>
  <c r="L62" i="186" s="1"/>
  <c r="K63" i="186"/>
  <c r="L63" i="186" s="1"/>
  <c r="K74" i="186"/>
  <c r="L74" i="186" s="1"/>
  <c r="K85" i="187"/>
  <c r="L85" i="187" s="1"/>
  <c r="K66" i="187"/>
  <c r="L66" i="187" s="1"/>
  <c r="K70" i="188"/>
  <c r="L70" i="188" s="1"/>
  <c r="K75" i="188"/>
  <c r="L75" i="188" s="1"/>
  <c r="K66" i="188"/>
  <c r="L66" i="188" s="1"/>
  <c r="K53" i="189"/>
  <c r="L53" i="189" s="1"/>
  <c r="K66" i="189"/>
  <c r="L66" i="189" s="1"/>
  <c r="K92" i="190"/>
  <c r="L92" i="190" s="1"/>
  <c r="K61" i="190"/>
  <c r="L61" i="190" s="1"/>
  <c r="K54" i="191"/>
  <c r="L54" i="191" s="1"/>
  <c r="K55" i="191"/>
  <c r="L55" i="191" s="1"/>
  <c r="K68" i="190"/>
  <c r="L68" i="190" s="1"/>
  <c r="K73" i="191"/>
  <c r="L73" i="191" s="1"/>
  <c r="K57" i="192"/>
  <c r="L57" i="192" s="1"/>
  <c r="K83" i="192"/>
  <c r="L83" i="192" s="1"/>
  <c r="K70" i="187"/>
  <c r="L70" i="187" s="1"/>
  <c r="K88" i="193"/>
  <c r="L88" i="193" s="1"/>
  <c r="K89" i="193"/>
  <c r="L89" i="193" s="1"/>
  <c r="K68" i="193"/>
  <c r="L68" i="193" s="1"/>
  <c r="K89" i="194"/>
  <c r="L89" i="194" s="1"/>
  <c r="K70" i="194"/>
  <c r="L70" i="194" s="1"/>
  <c r="K61" i="194"/>
  <c r="L61" i="194" s="1"/>
  <c r="K94" i="193"/>
  <c r="L94" i="193" s="1"/>
  <c r="K85" i="195"/>
  <c r="L85" i="195" s="1"/>
  <c r="K63" i="195"/>
  <c r="L63" i="195" s="1"/>
  <c r="K88" i="195"/>
  <c r="L88" i="195" s="1"/>
  <c r="K70" i="196"/>
  <c r="L70" i="196" s="1"/>
  <c r="K73" i="196"/>
  <c r="L73" i="196" s="1"/>
  <c r="K87" i="197"/>
  <c r="L87" i="197" s="1"/>
  <c r="K78" i="197"/>
  <c r="L78" i="197" s="1"/>
  <c r="K59" i="197"/>
  <c r="L59" i="197" s="1"/>
  <c r="K61" i="198"/>
  <c r="L61" i="198" s="1"/>
  <c r="K57" i="199"/>
  <c r="L57" i="199" s="1"/>
  <c r="K87" i="199"/>
  <c r="L87" i="199" s="1"/>
  <c r="K83" i="200"/>
  <c r="L83" i="200" s="1"/>
  <c r="K70" i="200"/>
  <c r="L70" i="200" s="1"/>
  <c r="K60" i="201"/>
  <c r="L60" i="201" s="1"/>
  <c r="K57" i="201"/>
  <c r="L57" i="201" s="1"/>
  <c r="K53" i="201"/>
  <c r="L53" i="201" s="1"/>
  <c r="K61" i="201"/>
  <c r="L61" i="201" s="1"/>
  <c r="K91" i="187"/>
  <c r="L91" i="187" s="1"/>
  <c r="K54" i="203"/>
  <c r="L54" i="203" s="1"/>
  <c r="K47" i="203"/>
  <c r="L47" i="203" s="1"/>
  <c r="K37" i="204"/>
  <c r="L37" i="204" s="1"/>
  <c r="K62" i="205"/>
  <c r="L62" i="205" s="1"/>
  <c r="K72" i="205"/>
  <c r="L72" i="205" s="1"/>
  <c r="K61" i="207"/>
  <c r="L61" i="207" s="1"/>
  <c r="K89" i="207"/>
  <c r="L89" i="207" s="1"/>
  <c r="K58" i="208"/>
  <c r="L58" i="208" s="1"/>
  <c r="K68" i="208"/>
  <c r="L68" i="208" s="1"/>
  <c r="K85" i="209"/>
  <c r="L85" i="209" s="1"/>
  <c r="K63" i="209"/>
  <c r="L63" i="209" s="1"/>
  <c r="K64" i="209"/>
  <c r="L64" i="209" s="1"/>
  <c r="K60" i="211"/>
  <c r="L60" i="211" s="1"/>
  <c r="K71" i="211"/>
  <c r="L71" i="211" s="1"/>
  <c r="K58" i="211"/>
  <c r="L58" i="211" s="1"/>
  <c r="K81" i="211"/>
  <c r="L81" i="211" s="1"/>
  <c r="K38" i="213"/>
  <c r="L38" i="213" s="1"/>
  <c r="K41" i="213"/>
  <c r="L41" i="213" s="1"/>
  <c r="K42" i="214"/>
  <c r="L42" i="214" s="1"/>
  <c r="K70" i="186"/>
  <c r="L70" i="186" s="1"/>
  <c r="K80" i="187"/>
  <c r="L80" i="187" s="1"/>
  <c r="K61" i="187"/>
  <c r="L61" i="187" s="1"/>
  <c r="K79" i="188"/>
  <c r="L79" i="188" s="1"/>
  <c r="K59" i="188"/>
  <c r="L59" i="188" s="1"/>
  <c r="K69" i="188"/>
  <c r="L69" i="188" s="1"/>
  <c r="K77" i="189"/>
  <c r="L77" i="189" s="1"/>
  <c r="K71" i="189"/>
  <c r="L71" i="189" s="1"/>
  <c r="K59" i="189"/>
  <c r="L59" i="189" s="1"/>
  <c r="K62" i="190"/>
  <c r="L62" i="190" s="1"/>
  <c r="K90" i="190"/>
  <c r="L90" i="190" s="1"/>
  <c r="K65" i="191"/>
  <c r="L65" i="191" s="1"/>
  <c r="K67" i="191"/>
  <c r="L67" i="191" s="1"/>
  <c r="K60" i="191"/>
  <c r="L60" i="191" s="1"/>
  <c r="K77" i="192"/>
  <c r="L77" i="192" s="1"/>
  <c r="K71" i="192"/>
  <c r="L71" i="192" s="1"/>
  <c r="K62" i="192"/>
  <c r="L62" i="192" s="1"/>
  <c r="K59" i="187"/>
  <c r="L59" i="187" s="1"/>
  <c r="K74" i="193"/>
  <c r="L74" i="193" s="1"/>
  <c r="K73" i="193"/>
  <c r="L73" i="193" s="1"/>
  <c r="K81" i="193"/>
  <c r="L81" i="193" s="1"/>
  <c r="K64" i="187"/>
  <c r="L64" i="187" s="1"/>
  <c r="K72" i="194"/>
  <c r="L72" i="194" s="1"/>
  <c r="K73" i="194"/>
  <c r="L73" i="194" s="1"/>
  <c r="K99" i="194"/>
  <c r="L99" i="194" s="1"/>
  <c r="K86" i="194"/>
  <c r="L86" i="194" s="1"/>
  <c r="K80" i="194"/>
  <c r="L80" i="194" s="1"/>
  <c r="K64" i="195"/>
  <c r="L64" i="195" s="1"/>
  <c r="K83" i="195"/>
  <c r="L83" i="195" s="1"/>
  <c r="K68" i="195"/>
  <c r="L68" i="195" s="1"/>
  <c r="K95" i="195"/>
  <c r="L95" i="195" s="1"/>
  <c r="K54" i="196"/>
  <c r="L54" i="196" s="1"/>
  <c r="K55" i="196"/>
  <c r="L55" i="196" s="1"/>
  <c r="K72" i="196"/>
  <c r="L72" i="196" s="1"/>
  <c r="K63" i="197"/>
  <c r="L63" i="197" s="1"/>
  <c r="K82" i="197"/>
  <c r="L82" i="197" s="1"/>
  <c r="K71" i="197"/>
  <c r="L71" i="197" s="1"/>
  <c r="K83" i="198"/>
  <c r="L83" i="198" s="1"/>
  <c r="K55" i="198"/>
  <c r="L55" i="198" s="1"/>
  <c r="K78" i="199"/>
  <c r="L78" i="199" s="1"/>
  <c r="K59" i="199"/>
  <c r="L59" i="199" s="1"/>
  <c r="K70" i="199"/>
  <c r="L70" i="199" s="1"/>
  <c r="K80" i="200"/>
  <c r="L80" i="200" s="1"/>
  <c r="K67" i="200"/>
  <c r="L67" i="200" s="1"/>
  <c r="K85" i="200"/>
  <c r="L85" i="200" s="1"/>
  <c r="K73" i="200"/>
  <c r="L73" i="200" s="1"/>
  <c r="K72" i="201"/>
  <c r="L72" i="201" s="1"/>
  <c r="K70" i="201"/>
  <c r="L70" i="201" s="1"/>
  <c r="K42" i="203"/>
  <c r="L42" i="203" s="1"/>
  <c r="K49" i="203"/>
  <c r="L49" i="203" s="1"/>
  <c r="K65" i="200"/>
  <c r="L65" i="200" s="1"/>
  <c r="K87" i="200"/>
  <c r="L87" i="200" s="1"/>
  <c r="K58" i="205"/>
  <c r="L58" i="205" s="1"/>
  <c r="K64" i="205"/>
  <c r="L64" i="205" s="1"/>
  <c r="K56" i="205"/>
  <c r="L56" i="205" s="1"/>
  <c r="K74" i="207"/>
  <c r="L74" i="207" s="1"/>
  <c r="K76" i="207"/>
  <c r="L76" i="207" s="1"/>
  <c r="K83" i="207"/>
  <c r="L83" i="207" s="1"/>
  <c r="K69" i="208"/>
  <c r="L69" i="208" s="1"/>
  <c r="K93" i="209"/>
  <c r="L93" i="209" s="1"/>
  <c r="K75" i="209"/>
  <c r="L75" i="209" s="1"/>
  <c r="K78" i="211"/>
  <c r="L78" i="211" s="1"/>
  <c r="K69" i="211"/>
  <c r="L69" i="211" s="1"/>
  <c r="K77" i="211"/>
  <c r="L77" i="211" s="1"/>
  <c r="K47" i="213"/>
  <c r="L47" i="213" s="1"/>
  <c r="K53" i="213"/>
  <c r="L53" i="213" s="1"/>
  <c r="K36" i="214"/>
  <c r="L36" i="214" s="1"/>
  <c r="K77" i="201"/>
  <c r="L77" i="201" s="1"/>
  <c r="K58" i="187"/>
  <c r="L58" i="187" s="1"/>
  <c r="K64" i="186"/>
  <c r="L64" i="186" s="1"/>
  <c r="K78" i="187"/>
  <c r="L78" i="187" s="1"/>
  <c r="K63" i="188"/>
  <c r="L63" i="188" s="1"/>
  <c r="K81" i="188"/>
  <c r="L81" i="188" s="1"/>
  <c r="K57" i="188"/>
  <c r="L57" i="188" s="1"/>
  <c r="K55" i="189"/>
  <c r="L55" i="189" s="1"/>
  <c r="K67" i="189"/>
  <c r="L67" i="189" s="1"/>
  <c r="K50" i="189"/>
  <c r="L50" i="189" s="1"/>
  <c r="K83" i="190"/>
  <c r="L83" i="190" s="1"/>
  <c r="K87" i="190"/>
  <c r="L87" i="190" s="1"/>
  <c r="K84" i="190"/>
  <c r="L84" i="190" s="1"/>
  <c r="K59" i="191"/>
  <c r="L59" i="191" s="1"/>
  <c r="K75" i="192"/>
  <c r="L75" i="192" s="1"/>
  <c r="K80" i="192"/>
  <c r="L80" i="192" s="1"/>
  <c r="K64" i="189"/>
  <c r="L64" i="189" s="1"/>
  <c r="K71" i="193"/>
  <c r="L71" i="193" s="1"/>
  <c r="K85" i="193"/>
  <c r="L85" i="193" s="1"/>
  <c r="K80" i="193"/>
  <c r="L80" i="193" s="1"/>
  <c r="K91" i="193"/>
  <c r="L91" i="193" s="1"/>
  <c r="K92" i="194"/>
  <c r="L92" i="194" s="1"/>
  <c r="K83" i="194"/>
  <c r="L83" i="194" s="1"/>
  <c r="K97" i="194"/>
  <c r="L97" i="194" s="1"/>
  <c r="K52" i="191"/>
  <c r="L52" i="191" s="1"/>
  <c r="K75" i="195"/>
  <c r="L75" i="195" s="1"/>
  <c r="K90" i="195"/>
  <c r="L90" i="195" s="1"/>
  <c r="K84" i="195"/>
  <c r="L84" i="195" s="1"/>
  <c r="K89" i="195"/>
  <c r="L89" i="195" s="1"/>
  <c r="K87" i="194"/>
  <c r="L87" i="194" s="1"/>
  <c r="K66" i="196"/>
  <c r="L66" i="196" s="1"/>
  <c r="K56" i="196"/>
  <c r="L56" i="196" s="1"/>
  <c r="K82" i="195"/>
  <c r="L82" i="195" s="1"/>
  <c r="K79" i="197"/>
  <c r="L79" i="197" s="1"/>
  <c r="K75" i="197"/>
  <c r="L75" i="197" s="1"/>
  <c r="K88" i="197"/>
  <c r="L88" i="197" s="1"/>
  <c r="K77" i="198"/>
  <c r="L77" i="198" s="1"/>
  <c r="K66" i="198"/>
  <c r="L66" i="198" s="1"/>
  <c r="K62" i="199"/>
  <c r="L62" i="199" s="1"/>
  <c r="K74" i="199"/>
  <c r="L74" i="199" s="1"/>
  <c r="K74" i="200"/>
  <c r="L74" i="200" s="1"/>
  <c r="K69" i="200"/>
  <c r="L69" i="200" s="1"/>
  <c r="K56" i="201"/>
  <c r="L56" i="201" s="1"/>
  <c r="K56" i="203"/>
  <c r="L56" i="203" s="1"/>
  <c r="K46" i="203"/>
  <c r="L46" i="203" s="1"/>
  <c r="K48" i="203"/>
  <c r="L48" i="203" s="1"/>
  <c r="K42" i="204"/>
  <c r="L42" i="204" s="1"/>
  <c r="K71" i="200"/>
  <c r="L71" i="200" s="1"/>
  <c r="K66" i="205"/>
  <c r="L66" i="205" s="1"/>
  <c r="K77" i="205"/>
  <c r="L77" i="205" s="1"/>
  <c r="K73" i="205"/>
  <c r="L73" i="205" s="1"/>
  <c r="K78" i="207"/>
  <c r="L78" i="207" s="1"/>
  <c r="K65" i="207"/>
  <c r="L65" i="207" s="1"/>
  <c r="K75" i="207"/>
  <c r="L75" i="207" s="1"/>
  <c r="K84" i="208"/>
  <c r="L84" i="208" s="1"/>
  <c r="K84" i="209"/>
  <c r="L84" i="209" s="1"/>
  <c r="K84" i="211"/>
  <c r="L84" i="211" s="1"/>
  <c r="K65" i="211"/>
  <c r="L65" i="211" s="1"/>
  <c r="K57" i="211"/>
  <c r="L57" i="211" s="1"/>
  <c r="K39" i="213"/>
  <c r="L39" i="213" s="1"/>
  <c r="K43" i="213"/>
  <c r="L43" i="213" s="1"/>
  <c r="K43" i="214"/>
  <c r="L43" i="214" s="1"/>
  <c r="K68" i="207"/>
  <c r="L68" i="207" s="1"/>
  <c r="K78" i="186"/>
  <c r="L78" i="186" s="1"/>
  <c r="K68" i="186"/>
  <c r="L68" i="186" s="1"/>
  <c r="K83" i="187"/>
  <c r="L83" i="187" s="1"/>
  <c r="K60" i="187"/>
  <c r="L60" i="187" s="1"/>
  <c r="K62" i="188"/>
  <c r="L62" i="188" s="1"/>
  <c r="K83" i="188"/>
  <c r="L83" i="188" s="1"/>
  <c r="K67" i="187"/>
  <c r="L67" i="187" s="1"/>
  <c r="K74" i="189"/>
  <c r="L74" i="189" s="1"/>
  <c r="K58" i="189"/>
  <c r="L58" i="189" s="1"/>
  <c r="K55" i="186"/>
  <c r="L55" i="186" s="1"/>
  <c r="K67" i="190"/>
  <c r="L67" i="190" s="1"/>
  <c r="K71" i="190"/>
  <c r="L71" i="190" s="1"/>
  <c r="K97" i="190"/>
  <c r="L97" i="190" s="1"/>
  <c r="K63" i="191"/>
  <c r="L63" i="191" s="1"/>
  <c r="K49" i="191"/>
  <c r="L49" i="191" s="1"/>
  <c r="K76" i="192"/>
  <c r="L76" i="192" s="1"/>
  <c r="K59" i="192"/>
  <c r="L59" i="192" s="1"/>
  <c r="K56" i="189"/>
  <c r="L56" i="189" s="1"/>
  <c r="K69" i="193"/>
  <c r="L69" i="193" s="1"/>
  <c r="K87" i="193"/>
  <c r="L87" i="193" s="1"/>
  <c r="K95" i="193"/>
  <c r="L95" i="193" s="1"/>
  <c r="K75" i="193"/>
  <c r="L75" i="193" s="1"/>
  <c r="K67" i="194"/>
  <c r="L67" i="194" s="1"/>
  <c r="K81" i="194"/>
  <c r="L81" i="194" s="1"/>
  <c r="K98" i="195"/>
  <c r="L98" i="195" s="1"/>
  <c r="K77" i="195"/>
  <c r="L77" i="195" s="1"/>
  <c r="K72" i="195"/>
  <c r="L72" i="195" s="1"/>
  <c r="K62" i="195"/>
  <c r="L62" i="195" s="1"/>
  <c r="K74" i="194"/>
  <c r="L74" i="194" s="1"/>
  <c r="K76" i="196"/>
  <c r="L76" i="196" s="1"/>
  <c r="K69" i="196"/>
  <c r="L69" i="196" s="1"/>
  <c r="K51" i="196"/>
  <c r="L51" i="196" s="1"/>
  <c r="K81" i="197"/>
  <c r="L81" i="197" s="1"/>
  <c r="K91" i="197"/>
  <c r="L91" i="197" s="1"/>
  <c r="K76" i="198"/>
  <c r="L76" i="198" s="1"/>
  <c r="K68" i="198"/>
  <c r="L68" i="198" s="1"/>
  <c r="K56" i="198"/>
  <c r="L56" i="198" s="1"/>
  <c r="K67" i="198"/>
  <c r="L67" i="198" s="1"/>
  <c r="K65" i="197"/>
  <c r="L65" i="197" s="1"/>
  <c r="K81" i="199"/>
  <c r="L81" i="199" s="1"/>
  <c r="K58" i="199"/>
  <c r="L58" i="199" s="1"/>
  <c r="K72" i="199"/>
  <c r="L72" i="199" s="1"/>
  <c r="K80" i="195"/>
  <c r="L80" i="195" s="1"/>
  <c r="K62" i="200"/>
  <c r="L62" i="200" s="1"/>
  <c r="K68" i="200"/>
  <c r="L68" i="200" s="1"/>
  <c r="K61" i="200"/>
  <c r="L61" i="200" s="1"/>
  <c r="K64" i="198"/>
  <c r="L64" i="198" s="1"/>
  <c r="K73" i="201"/>
  <c r="L73" i="201" s="1"/>
  <c r="K71" i="201"/>
  <c r="L71" i="201" s="1"/>
  <c r="K52" i="203"/>
  <c r="L52" i="203" s="1"/>
  <c r="K44" i="204"/>
  <c r="L44" i="204" s="1"/>
  <c r="K48" i="204"/>
  <c r="L48" i="204" s="1"/>
  <c r="K40" i="204"/>
  <c r="L40" i="204" s="1"/>
  <c r="K76" i="205"/>
  <c r="L76" i="205" s="1"/>
  <c r="K74" i="205"/>
  <c r="L74" i="205" s="1"/>
  <c r="K85" i="207"/>
  <c r="L85" i="207" s="1"/>
  <c r="K60" i="207"/>
  <c r="L60" i="207" s="1"/>
  <c r="K72" i="207"/>
  <c r="L72" i="207" s="1"/>
  <c r="K74" i="208"/>
  <c r="L74" i="208" s="1"/>
  <c r="K77" i="209"/>
  <c r="L77" i="209" s="1"/>
  <c r="K61" i="209"/>
  <c r="L61" i="209" s="1"/>
  <c r="K96" i="195"/>
  <c r="L96" i="195" s="1"/>
  <c r="K64" i="211"/>
  <c r="L64" i="211" s="1"/>
  <c r="K88" i="211"/>
  <c r="L88" i="211" s="1"/>
  <c r="K40" i="213"/>
  <c r="L40" i="213" s="1"/>
  <c r="K49" i="213"/>
  <c r="L49" i="213" s="1"/>
  <c r="K40" i="214"/>
  <c r="L40" i="214" s="1"/>
  <c r="K59" i="209"/>
  <c r="L59" i="209" s="1"/>
  <c r="K74" i="195"/>
  <c r="L74" i="195" s="1"/>
  <c r="K90" i="193"/>
  <c r="L90" i="193" s="1"/>
  <c r="K69" i="186"/>
  <c r="L69" i="186" s="1"/>
  <c r="K54" i="186"/>
  <c r="L54" i="186" s="1"/>
  <c r="K92" i="187"/>
  <c r="L92" i="187" s="1"/>
  <c r="K71" i="187"/>
  <c r="L71" i="187" s="1"/>
  <c r="K68" i="188"/>
  <c r="L68" i="188" s="1"/>
  <c r="K67" i="188"/>
  <c r="L67" i="188" s="1"/>
  <c r="K60" i="188"/>
  <c r="L60" i="188" s="1"/>
  <c r="K54" i="189"/>
  <c r="L54" i="189" s="1"/>
  <c r="K75" i="189"/>
  <c r="L75" i="189" s="1"/>
  <c r="K88" i="190"/>
  <c r="L88" i="190" s="1"/>
  <c r="K66" i="191"/>
  <c r="L66" i="191" s="1"/>
  <c r="K69" i="192"/>
  <c r="L69" i="192" s="1"/>
  <c r="K61" i="192"/>
  <c r="L61" i="192" s="1"/>
  <c r="K82" i="192"/>
  <c r="L82" i="192" s="1"/>
  <c r="K52" i="189"/>
  <c r="L52" i="189" s="1"/>
  <c r="K96" i="193"/>
  <c r="L96" i="193" s="1"/>
  <c r="K65" i="193"/>
  <c r="L65" i="193" s="1"/>
  <c r="K63" i="193"/>
  <c r="L63" i="193" s="1"/>
  <c r="K64" i="191"/>
  <c r="L64" i="191" s="1"/>
  <c r="K65" i="194"/>
  <c r="L65" i="194" s="1"/>
  <c r="K91" i="195"/>
  <c r="L91" i="195" s="1"/>
  <c r="K67" i="195"/>
  <c r="L67" i="195" s="1"/>
  <c r="K60" i="196"/>
  <c r="L60" i="196" s="1"/>
  <c r="K71" i="196"/>
  <c r="L71" i="196" s="1"/>
  <c r="K67" i="197"/>
  <c r="L67" i="197" s="1"/>
  <c r="K73" i="197"/>
  <c r="L73" i="197" s="1"/>
  <c r="K74" i="198"/>
  <c r="L74" i="198" s="1"/>
  <c r="K53" i="198"/>
  <c r="L53" i="198" s="1"/>
  <c r="K65" i="199"/>
  <c r="L65" i="199" s="1"/>
  <c r="K61" i="199"/>
  <c r="L61" i="199" s="1"/>
  <c r="K73" i="199"/>
  <c r="L73" i="199" s="1"/>
  <c r="K72" i="200"/>
  <c r="L72" i="200" s="1"/>
  <c r="K63" i="200"/>
  <c r="L63" i="200" s="1"/>
  <c r="K54" i="198"/>
  <c r="L54" i="198" s="1"/>
  <c r="K64" i="199"/>
  <c r="L64" i="199" s="1"/>
  <c r="K62" i="201"/>
  <c r="L62" i="201" s="1"/>
  <c r="K66" i="193"/>
  <c r="L66" i="193" s="1"/>
  <c r="K62" i="194"/>
  <c r="L62" i="194" s="1"/>
  <c r="K44" i="203"/>
  <c r="L44" i="203" s="1"/>
  <c r="K46" i="204"/>
  <c r="L46" i="204" s="1"/>
  <c r="K43" i="204"/>
  <c r="L43" i="204" s="1"/>
  <c r="K52" i="205"/>
  <c r="L52" i="205" s="1"/>
  <c r="K57" i="205"/>
  <c r="L57" i="205" s="1"/>
  <c r="K71" i="207"/>
  <c r="L71" i="207" s="1"/>
  <c r="K69" i="207"/>
  <c r="L69" i="207" s="1"/>
  <c r="K62" i="207"/>
  <c r="L62" i="207" s="1"/>
  <c r="K67" i="208"/>
  <c r="L67" i="208" s="1"/>
  <c r="K85" i="208"/>
  <c r="L85" i="208" s="1"/>
  <c r="K69" i="209"/>
  <c r="L69" i="209" s="1"/>
  <c r="K88" i="209"/>
  <c r="L88" i="209" s="1"/>
  <c r="K86" i="209"/>
  <c r="L86" i="209" s="1"/>
  <c r="K68" i="211"/>
  <c r="L68" i="211" s="1"/>
  <c r="K75" i="211"/>
  <c r="L75" i="211" s="1"/>
  <c r="K52" i="213"/>
  <c r="L52" i="213" s="1"/>
  <c r="K35" i="214"/>
  <c r="L35" i="214" s="1"/>
  <c r="K79" i="201"/>
  <c r="L79" i="201" s="1"/>
  <c r="M76" i="202"/>
  <c r="M74" i="202"/>
  <c r="M58" i="202"/>
  <c r="M62" i="202"/>
  <c r="M56" i="202"/>
  <c r="M54" i="202"/>
  <c r="M52" i="202"/>
  <c r="M78" i="202"/>
  <c r="M60" i="202"/>
  <c r="M69" i="202"/>
  <c r="M59" i="202"/>
  <c r="M70" i="202"/>
  <c r="M72" i="202"/>
  <c r="M71" i="202"/>
  <c r="M53" i="202"/>
  <c r="M63" i="202"/>
  <c r="M73" i="202"/>
  <c r="M55" i="202"/>
  <c r="M75" i="202"/>
  <c r="M61" i="202"/>
  <c r="M67" i="202"/>
  <c r="M64" i="202"/>
  <c r="M65" i="202"/>
  <c r="M66" i="202"/>
  <c r="M77" i="202"/>
  <c r="M79" i="202"/>
  <c r="M57" i="202"/>
  <c r="M68" i="202"/>
  <c r="M51" i="202"/>
  <c r="M27" i="202"/>
  <c r="M32" i="202"/>
  <c r="M16" i="202"/>
  <c r="M14" i="202"/>
  <c r="M12" i="202"/>
  <c r="M31" i="202"/>
  <c r="M22" i="202"/>
  <c r="M23" i="202"/>
  <c r="M19" i="202"/>
  <c r="M34" i="202"/>
  <c r="M33" i="202"/>
  <c r="M28" i="202"/>
  <c r="M26" i="202"/>
  <c r="M29" i="202"/>
  <c r="M25" i="202"/>
  <c r="M24" i="202"/>
  <c r="M30" i="202"/>
  <c r="M20" i="202"/>
  <c r="M9" i="202"/>
  <c r="M18" i="202"/>
  <c r="M21" i="202"/>
  <c r="M17" i="202"/>
  <c r="M10" i="202"/>
  <c r="M13" i="202"/>
  <c r="G3" i="202"/>
  <c r="G4" i="202" s="1"/>
  <c r="M35" i="202"/>
  <c r="M8" i="202"/>
  <c r="L219" i="220"/>
  <c r="L218" i="220"/>
  <c r="H59" i="185"/>
  <c r="H55" i="184"/>
  <c r="H52" i="180"/>
  <c r="L4" i="220"/>
  <c r="L37" i="205"/>
  <c r="G3" i="205"/>
  <c r="G4" i="205" s="1"/>
  <c r="L41" i="211"/>
  <c r="G3" i="211"/>
  <c r="G4" i="211" s="1"/>
  <c r="L38" i="211"/>
  <c r="L38" i="198"/>
  <c r="G3" i="198"/>
  <c r="G4" i="198" s="1"/>
  <c r="L43" i="197"/>
  <c r="G3" i="197"/>
  <c r="G4" i="197" s="1"/>
  <c r="L35" i="197"/>
  <c r="L35" i="196"/>
  <c r="G3" i="196"/>
  <c r="G4" i="196" s="1"/>
  <c r="L46" i="194"/>
  <c r="G3" i="194"/>
  <c r="G4" i="194" s="1"/>
  <c r="L45" i="194"/>
  <c r="L45" i="193"/>
  <c r="G3" i="193"/>
  <c r="G4" i="193" s="1"/>
  <c r="L39" i="193"/>
  <c r="L39" i="192"/>
  <c r="G3" i="192"/>
  <c r="G4" i="192" s="1"/>
  <c r="L33" i="192"/>
  <c r="L33" i="191"/>
  <c r="G3" i="191"/>
  <c r="G4" i="191" s="1"/>
  <c r="L36" i="201"/>
  <c r="G3" i="201"/>
  <c r="G4" i="201" s="1"/>
  <c r="L45" i="190"/>
  <c r="G3" i="190"/>
  <c r="G4" i="190" s="1"/>
  <c r="L35" i="190"/>
  <c r="L35" i="189"/>
  <c r="G3" i="189"/>
  <c r="G4" i="189" s="1"/>
  <c r="L42" i="200"/>
  <c r="G3" i="200"/>
  <c r="G4" i="200" s="1"/>
  <c r="L43" i="187"/>
  <c r="G3" i="187"/>
  <c r="G4" i="187" s="1"/>
  <c r="L26" i="187"/>
  <c r="L44" i="209"/>
  <c r="G3" i="209"/>
  <c r="G4" i="209" s="1"/>
  <c r="L36" i="209"/>
  <c r="L36" i="186"/>
  <c r="G3" i="186"/>
  <c r="G4" i="186" s="1"/>
  <c r="L41" i="199"/>
  <c r="G3" i="199"/>
  <c r="G4" i="199" s="1"/>
  <c r="L97" i="207"/>
  <c r="L19" i="207"/>
  <c r="L19" i="214"/>
  <c r="G3" i="214"/>
  <c r="G4" i="214" s="1"/>
  <c r="L41" i="214"/>
  <c r="G3" i="204"/>
  <c r="G4" i="204" s="1"/>
  <c r="L22" i="204"/>
  <c r="L39" i="204"/>
  <c r="L23" i="213"/>
  <c r="G3" i="213"/>
  <c r="G4" i="213" s="1"/>
  <c r="L44" i="213"/>
  <c r="L25" i="203"/>
  <c r="G3" i="203"/>
  <c r="G4" i="203" s="1"/>
  <c r="M36" i="202"/>
  <c r="H30" i="180"/>
  <c r="H37" i="183"/>
  <c r="H33" i="185"/>
  <c r="H32" i="183"/>
  <c r="H28" i="183"/>
  <c r="F8" i="176"/>
  <c r="H38" i="183"/>
  <c r="H67" i="179"/>
  <c r="H27" i="185"/>
  <c r="H14" i="180"/>
  <c r="C70" i="176"/>
  <c r="G52" i="176"/>
  <c r="C52" i="176"/>
  <c r="C56" i="176"/>
  <c r="E56" i="176" s="1"/>
  <c r="F50" i="175"/>
  <c r="F51" i="175"/>
  <c r="F52" i="175"/>
  <c r="F53" i="175"/>
  <c r="F54" i="175"/>
  <c r="F55" i="175"/>
  <c r="F56" i="175"/>
  <c r="F57" i="175"/>
  <c r="F42" i="175"/>
  <c r="F43" i="175"/>
  <c r="F44" i="175"/>
  <c r="F45" i="175"/>
  <c r="F58" i="175"/>
  <c r="F59" i="175"/>
  <c r="F46" i="175"/>
  <c r="F47" i="175"/>
  <c r="F48" i="175"/>
  <c r="F49" i="175"/>
  <c r="C44" i="175"/>
  <c r="E44" i="175" s="1"/>
  <c r="C46" i="175"/>
  <c r="E46" i="175" s="1"/>
  <c r="C48" i="175"/>
  <c r="E48" i="175" s="1"/>
  <c r="C50" i="175"/>
  <c r="E50" i="175" s="1"/>
  <c r="C56" i="175"/>
  <c r="E56" i="175" s="1"/>
  <c r="C58" i="175"/>
  <c r="E58" i="175" s="1"/>
  <c r="C54" i="175"/>
  <c r="E54" i="175" s="1"/>
  <c r="C55" i="175"/>
  <c r="E55" i="175" s="1"/>
  <c r="C49" i="175"/>
  <c r="E49" i="175" s="1"/>
  <c r="C43" i="175"/>
  <c r="E43" i="175" s="1"/>
  <c r="C52" i="175"/>
  <c r="E52" i="175" s="1"/>
  <c r="C47" i="175"/>
  <c r="E47" i="175" s="1"/>
  <c r="C42" i="175"/>
  <c r="E42" i="175" s="1"/>
  <c r="C53" i="175"/>
  <c r="E53" i="175" s="1"/>
  <c r="C59" i="175"/>
  <c r="E59" i="175" s="1"/>
  <c r="C57" i="175"/>
  <c r="E57" i="175" s="1"/>
  <c r="C51" i="175"/>
  <c r="E51" i="175" s="1"/>
  <c r="C45" i="175"/>
  <c r="E45" i="175" s="1"/>
  <c r="F10" i="175"/>
  <c r="F14" i="175"/>
  <c r="F18" i="175"/>
  <c r="F22" i="175"/>
  <c r="F26" i="175"/>
  <c r="F9" i="175"/>
  <c r="F13" i="175"/>
  <c r="F17" i="175"/>
  <c r="F21" i="175"/>
  <c r="F25" i="175"/>
  <c r="F12" i="175"/>
  <c r="F16" i="175"/>
  <c r="F20" i="175"/>
  <c r="F24" i="175"/>
  <c r="F11" i="175"/>
  <c r="F15" i="175"/>
  <c r="F19" i="175"/>
  <c r="F23" i="175"/>
  <c r="G46" i="175"/>
  <c r="G48" i="175"/>
  <c r="G50" i="175"/>
  <c r="G52" i="175"/>
  <c r="G54" i="175"/>
  <c r="G56" i="175"/>
  <c r="G42" i="175"/>
  <c r="G44" i="175"/>
  <c r="G58" i="175"/>
  <c r="G59" i="175"/>
  <c r="G43" i="175"/>
  <c r="G45" i="175"/>
  <c r="G55" i="175"/>
  <c r="G57" i="175"/>
  <c r="G51" i="175"/>
  <c r="G53" i="175"/>
  <c r="G47" i="175"/>
  <c r="G49" i="175"/>
  <c r="H56" i="184"/>
  <c r="H66" i="183"/>
  <c r="H14" i="183"/>
  <c r="H8" i="183"/>
  <c r="H9" i="180"/>
  <c r="H23" i="183"/>
  <c r="H78" i="183"/>
  <c r="H68" i="184"/>
  <c r="H17" i="184"/>
  <c r="H28" i="184"/>
  <c r="H21" i="184"/>
  <c r="H8" i="184"/>
  <c r="H87" i="184"/>
  <c r="C41" i="175"/>
  <c r="E41" i="175" s="1"/>
  <c r="H29" i="184"/>
  <c r="H37" i="184"/>
  <c r="H16" i="184"/>
  <c r="H85" i="183"/>
  <c r="H13" i="181"/>
  <c r="H67" i="185"/>
  <c r="H39" i="185"/>
  <c r="H18" i="185"/>
  <c r="H26" i="185"/>
  <c r="H36" i="185"/>
  <c r="H44" i="185"/>
  <c r="K44" i="185" s="1"/>
  <c r="H16" i="181"/>
  <c r="H60" i="185"/>
  <c r="H70" i="185"/>
  <c r="H11" i="185"/>
  <c r="H18" i="180"/>
  <c r="H86" i="185"/>
  <c r="H31" i="185"/>
  <c r="H43" i="185"/>
  <c r="H84" i="185"/>
  <c r="H22" i="180"/>
  <c r="H57" i="181"/>
  <c r="H63" i="179"/>
  <c r="H12" i="185"/>
  <c r="H37" i="185"/>
  <c r="H17" i="185"/>
  <c r="H34" i="180"/>
  <c r="H70" i="181"/>
  <c r="H12" i="183"/>
  <c r="H36" i="184"/>
  <c r="H15" i="185"/>
  <c r="H23" i="185"/>
  <c r="H72" i="184"/>
  <c r="H94" i="185"/>
  <c r="H77" i="185"/>
  <c r="H93" i="185"/>
  <c r="H21" i="185"/>
  <c r="H10" i="185"/>
  <c r="H8" i="185"/>
  <c r="H87" i="185"/>
  <c r="H65" i="185"/>
  <c r="H19" i="185"/>
  <c r="H29" i="185"/>
  <c r="H30" i="185"/>
  <c r="H75" i="185"/>
  <c r="H91" i="185"/>
  <c r="H35" i="185"/>
  <c r="H78" i="185"/>
  <c r="H61" i="185"/>
  <c r="H69" i="185"/>
  <c r="H80" i="185"/>
  <c r="H63" i="185"/>
  <c r="H79" i="185"/>
  <c r="H95" i="185"/>
  <c r="H73" i="185"/>
  <c r="H89" i="185"/>
  <c r="H62" i="185"/>
  <c r="H82" i="185"/>
  <c r="H41" i="185"/>
  <c r="H83" i="185"/>
  <c r="H71" i="185"/>
  <c r="H81" i="185"/>
  <c r="H72" i="185"/>
  <c r="H16" i="185"/>
  <c r="H24" i="185"/>
  <c r="H34" i="185"/>
  <c r="H42" i="185"/>
  <c r="H74" i="185"/>
  <c r="H90" i="185"/>
  <c r="H64" i="185"/>
  <c r="H68" i="185"/>
  <c r="H85" i="185"/>
  <c r="H76" i="185"/>
  <c r="H92" i="185"/>
  <c r="H88" i="185"/>
  <c r="H14" i="185"/>
  <c r="H22" i="185"/>
  <c r="H32" i="185"/>
  <c r="H40" i="185"/>
  <c r="K40" i="185" s="1"/>
  <c r="H25" i="185"/>
  <c r="H20" i="185"/>
  <c r="H28" i="185"/>
  <c r="H38" i="185"/>
  <c r="H9" i="185"/>
  <c r="H66" i="185"/>
  <c r="H13" i="185"/>
  <c r="H33" i="184"/>
  <c r="H72" i="181"/>
  <c r="H10" i="181"/>
  <c r="H13" i="184"/>
  <c r="H12" i="184"/>
  <c r="H20" i="184"/>
  <c r="H40" i="184"/>
  <c r="H71" i="184"/>
  <c r="H9" i="184"/>
  <c r="H38" i="184"/>
  <c r="H84" i="184"/>
  <c r="H15" i="184"/>
  <c r="H23" i="184"/>
  <c r="H31" i="184"/>
  <c r="H57" i="184"/>
  <c r="H66" i="184"/>
  <c r="H70" i="184"/>
  <c r="H35" i="184"/>
  <c r="H22" i="184"/>
  <c r="H67" i="184"/>
  <c r="H83" i="184"/>
  <c r="H69" i="184"/>
  <c r="H26" i="184"/>
  <c r="H61" i="184"/>
  <c r="H86" i="184"/>
  <c r="H58" i="184"/>
  <c r="H85" i="184"/>
  <c r="H82" i="184"/>
  <c r="H24" i="184"/>
  <c r="H32" i="184"/>
  <c r="H11" i="184"/>
  <c r="H19" i="184"/>
  <c r="H27" i="184"/>
  <c r="H10" i="184"/>
  <c r="H59" i="184"/>
  <c r="H81" i="184"/>
  <c r="H76" i="184"/>
  <c r="H30" i="184"/>
  <c r="H18" i="184"/>
  <c r="H73" i="184"/>
  <c r="H63" i="184"/>
  <c r="H79" i="184"/>
  <c r="H77" i="184"/>
  <c r="H74" i="184"/>
  <c r="H14" i="184"/>
  <c r="H39" i="184"/>
  <c r="H34" i="184"/>
  <c r="H65" i="184"/>
  <c r="H62" i="184"/>
  <c r="H80" i="184"/>
  <c r="H75" i="184"/>
  <c r="H60" i="184"/>
  <c r="H64" i="184"/>
  <c r="H78" i="184"/>
  <c r="H65" i="183"/>
  <c r="H8" i="181"/>
  <c r="H26" i="181"/>
  <c r="H11" i="181"/>
  <c r="H10" i="180"/>
  <c r="H19" i="181"/>
  <c r="H74" i="181"/>
  <c r="H29" i="183"/>
  <c r="H39" i="183"/>
  <c r="H22" i="183"/>
  <c r="H62" i="183"/>
  <c r="H31" i="183"/>
  <c r="H13" i="183"/>
  <c r="H21" i="183"/>
  <c r="H25" i="183"/>
  <c r="H9" i="183"/>
  <c r="H17" i="183"/>
  <c r="H41" i="183"/>
  <c r="K41" i="183" s="1"/>
  <c r="H11" i="183"/>
  <c r="H19" i="183"/>
  <c r="H75" i="183"/>
  <c r="H71" i="183"/>
  <c r="H18" i="183"/>
  <c r="H68" i="183"/>
  <c r="H73" i="183"/>
  <c r="H77" i="183"/>
  <c r="H81" i="183"/>
  <c r="H83" i="183"/>
  <c r="H70" i="183"/>
  <c r="H34" i="183"/>
  <c r="H59" i="183"/>
  <c r="H67" i="183"/>
  <c r="H74" i="183"/>
  <c r="H35" i="183"/>
  <c r="H72" i="183"/>
  <c r="H69" i="183"/>
  <c r="H79" i="183"/>
  <c r="H33" i="183"/>
  <c r="H89" i="183"/>
  <c r="H10" i="183"/>
  <c r="H58" i="183"/>
  <c r="H64" i="183"/>
  <c r="H86" i="183"/>
  <c r="H20" i="183"/>
  <c r="H63" i="183"/>
  <c r="H80" i="183"/>
  <c r="H40" i="183"/>
  <c r="H87" i="183"/>
  <c r="H26" i="183"/>
  <c r="H57" i="183"/>
  <c r="H60" i="183"/>
  <c r="H76" i="183"/>
  <c r="H16" i="183"/>
  <c r="H36" i="183"/>
  <c r="H61" i="183"/>
  <c r="H27" i="183"/>
  <c r="H15" i="183"/>
  <c r="H30" i="183"/>
  <c r="H82" i="183"/>
  <c r="H84" i="183"/>
  <c r="H88" i="183"/>
  <c r="H15" i="181"/>
  <c r="H21" i="181"/>
  <c r="H37" i="181"/>
  <c r="K37" i="181" s="1"/>
  <c r="H82" i="179"/>
  <c r="H29" i="181"/>
  <c r="H20" i="181"/>
  <c r="H36" i="181"/>
  <c r="H58" i="181"/>
  <c r="H14" i="181"/>
  <c r="H11" i="179"/>
  <c r="H26" i="180"/>
  <c r="H71" i="181"/>
  <c r="H9" i="181"/>
  <c r="H24" i="181"/>
  <c r="H80" i="181"/>
  <c r="H28" i="181"/>
  <c r="H33" i="181"/>
  <c r="H25" i="181"/>
  <c r="H35" i="181"/>
  <c r="H84" i="181"/>
  <c r="H81" i="181"/>
  <c r="H18" i="181"/>
  <c r="H34" i="181"/>
  <c r="H76" i="181"/>
  <c r="H63" i="181"/>
  <c r="H54" i="181"/>
  <c r="H78" i="181"/>
  <c r="H65" i="181"/>
  <c r="H22" i="181"/>
  <c r="H38" i="181"/>
  <c r="H27" i="181"/>
  <c r="H60" i="181"/>
  <c r="H30" i="181"/>
  <c r="H73" i="181"/>
  <c r="H56" i="181"/>
  <c r="H69" i="181"/>
  <c r="H32" i="181"/>
  <c r="H67" i="181"/>
  <c r="H23" i="181"/>
  <c r="H39" i="181"/>
  <c r="K39" i="181" s="1"/>
  <c r="H83" i="181"/>
  <c r="H17" i="181"/>
  <c r="H64" i="181"/>
  <c r="H62" i="181"/>
  <c r="H31" i="181"/>
  <c r="H59" i="181"/>
  <c r="H75" i="181"/>
  <c r="H85" i="181"/>
  <c r="H66" i="181"/>
  <c r="H55" i="181"/>
  <c r="H82" i="181"/>
  <c r="H79" i="181"/>
  <c r="H61" i="181"/>
  <c r="H77" i="181"/>
  <c r="H68" i="181"/>
  <c r="H58" i="180"/>
  <c r="H74" i="180"/>
  <c r="H36" i="179"/>
  <c r="H25" i="179"/>
  <c r="H15" i="179"/>
  <c r="H68" i="179"/>
  <c r="H67" i="180"/>
  <c r="H15" i="180"/>
  <c r="H23" i="180"/>
  <c r="K23" i="180" s="1"/>
  <c r="H31" i="180"/>
  <c r="H69" i="180"/>
  <c r="H65" i="180"/>
  <c r="H8" i="180"/>
  <c r="H53" i="180"/>
  <c r="H55" i="180"/>
  <c r="H59" i="180"/>
  <c r="H68" i="180"/>
  <c r="H70" i="180"/>
  <c r="H75" i="180"/>
  <c r="H81" i="180"/>
  <c r="H63" i="180"/>
  <c r="H79" i="180"/>
  <c r="H32" i="180"/>
  <c r="H66" i="180"/>
  <c r="H17" i="180"/>
  <c r="H25" i="180"/>
  <c r="H33" i="180"/>
  <c r="H64" i="180"/>
  <c r="H28" i="180"/>
  <c r="H61" i="180"/>
  <c r="H77" i="180"/>
  <c r="H54" i="180"/>
  <c r="H57" i="180"/>
  <c r="H72" i="180"/>
  <c r="H12" i="180"/>
  <c r="H36" i="180"/>
  <c r="H60" i="180"/>
  <c r="H76" i="180"/>
  <c r="H62" i="180"/>
  <c r="H78" i="180"/>
  <c r="H13" i="180"/>
  <c r="H21" i="180"/>
  <c r="H29" i="180"/>
  <c r="H37" i="180"/>
  <c r="K37" i="180" s="1"/>
  <c r="H71" i="180"/>
  <c r="H16" i="180"/>
  <c r="H73" i="180"/>
  <c r="H80" i="180"/>
  <c r="H56" i="180"/>
  <c r="H11" i="180"/>
  <c r="H19" i="180"/>
  <c r="H27" i="180"/>
  <c r="H35" i="180"/>
  <c r="H24" i="180"/>
  <c r="H20" i="180"/>
  <c r="H32" i="179"/>
  <c r="H10" i="179"/>
  <c r="H18" i="179"/>
  <c r="H86" i="179"/>
  <c r="H16" i="179"/>
  <c r="H34" i="179"/>
  <c r="H76" i="179"/>
  <c r="H95" i="179"/>
  <c r="H80" i="179"/>
  <c r="H40" i="179"/>
  <c r="H85" i="179"/>
  <c r="H60" i="179"/>
  <c r="H84" i="179"/>
  <c r="H91" i="179"/>
  <c r="H83" i="179"/>
  <c r="H81" i="179"/>
  <c r="H75" i="179"/>
  <c r="H94" i="179"/>
  <c r="H12" i="179"/>
  <c r="H20" i="179"/>
  <c r="H44" i="179"/>
  <c r="H41" i="179"/>
  <c r="H14" i="179"/>
  <c r="H77" i="179"/>
  <c r="H93" i="179"/>
  <c r="H74" i="179"/>
  <c r="H79" i="179"/>
  <c r="H92" i="179"/>
  <c r="H90" i="179"/>
  <c r="H37" i="179"/>
  <c r="H88" i="179"/>
  <c r="H9" i="179"/>
  <c r="H23" i="179"/>
  <c r="H22" i="179"/>
  <c r="H24" i="179"/>
  <c r="H33" i="179"/>
  <c r="H66" i="179"/>
  <c r="H29" i="179"/>
  <c r="H26" i="179"/>
  <c r="H21" i="179"/>
  <c r="H64" i="179"/>
  <c r="H89" i="179"/>
  <c r="H70" i="179"/>
  <c r="H62" i="179"/>
  <c r="H69" i="179"/>
  <c r="H28" i="179"/>
  <c r="H38" i="179"/>
  <c r="H61" i="179"/>
  <c r="H30" i="179"/>
  <c r="H73" i="179"/>
  <c r="H59" i="179"/>
  <c r="H42" i="179"/>
  <c r="K42" i="179" s="1"/>
  <c r="H72" i="179"/>
  <c r="H65" i="179"/>
  <c r="H78" i="179"/>
  <c r="H31" i="179"/>
  <c r="H39" i="179"/>
  <c r="H17" i="179"/>
  <c r="H71" i="179"/>
  <c r="H19" i="179"/>
  <c r="H87" i="179"/>
  <c r="H8" i="179"/>
  <c r="H27" i="179"/>
  <c r="H35" i="179"/>
  <c r="H43" i="179"/>
  <c r="H13" i="179"/>
  <c r="G57" i="177"/>
  <c r="C76" i="177"/>
  <c r="E76" i="177" s="1"/>
  <c r="C84" i="177"/>
  <c r="E84" i="177" s="1"/>
  <c r="C80" i="177"/>
  <c r="E80" i="177" s="1"/>
  <c r="C72" i="177"/>
  <c r="E72" i="177" s="1"/>
  <c r="C60" i="177"/>
  <c r="E60" i="177" s="1"/>
  <c r="F57" i="177"/>
  <c r="C71" i="177"/>
  <c r="E71" i="177" s="1"/>
  <c r="C63" i="177"/>
  <c r="E63" i="177" s="1"/>
  <c r="C59" i="177"/>
  <c r="E59" i="177" s="1"/>
  <c r="C86" i="177"/>
  <c r="E86" i="177" s="1"/>
  <c r="C78" i="177"/>
  <c r="E78" i="177" s="1"/>
  <c r="C70" i="177"/>
  <c r="E70" i="177" s="1"/>
  <c r="F88" i="177"/>
  <c r="F84" i="177"/>
  <c r="C82" i="177"/>
  <c r="E82" i="177" s="1"/>
  <c r="F79" i="177"/>
  <c r="F77" i="177"/>
  <c r="G75" i="177"/>
  <c r="G68" i="177"/>
  <c r="C67" i="177"/>
  <c r="E67" i="177" s="1"/>
  <c r="F64" i="177"/>
  <c r="G62" i="177"/>
  <c r="C57" i="177"/>
  <c r="E57" i="177" s="1"/>
  <c r="C91" i="177"/>
  <c r="E91" i="177" s="1"/>
  <c r="F87" i="177"/>
  <c r="G78" i="177"/>
  <c r="F75" i="177"/>
  <c r="F68" i="177"/>
  <c r="F61" i="177"/>
  <c r="G59" i="177"/>
  <c r="C81" i="177"/>
  <c r="E81" i="177" s="1"/>
  <c r="F78" i="177"/>
  <c r="C77" i="177"/>
  <c r="E77" i="177" s="1"/>
  <c r="F72" i="177"/>
  <c r="F59" i="177"/>
  <c r="C90" i="177"/>
  <c r="E90" i="177" s="1"/>
  <c r="C87" i="177"/>
  <c r="E87" i="177" s="1"/>
  <c r="G85" i="177"/>
  <c r="G76" i="177"/>
  <c r="C75" i="177"/>
  <c r="E75" i="177" s="1"/>
  <c r="C68" i="177"/>
  <c r="E68" i="177" s="1"/>
  <c r="C66" i="177"/>
  <c r="E66" i="177" s="1"/>
  <c r="F63" i="177"/>
  <c r="G61" i="177"/>
  <c r="G87" i="177"/>
  <c r="F85" i="177"/>
  <c r="G83" i="177"/>
  <c r="F76" i="177"/>
  <c r="G69" i="177"/>
  <c r="F62" i="177"/>
  <c r="G60" i="177"/>
  <c r="C89" i="177"/>
  <c r="E89" i="177" s="1"/>
  <c r="G86" i="177"/>
  <c r="F80" i="177"/>
  <c r="C74" i="177"/>
  <c r="E74" i="177" s="1"/>
  <c r="F71" i="177"/>
  <c r="F69" i="177"/>
  <c r="G67" i="177"/>
  <c r="C65" i="177"/>
  <c r="E65" i="177" s="1"/>
  <c r="F60" i="177"/>
  <c r="F86" i="177"/>
  <c r="C85" i="177"/>
  <c r="E85" i="177" s="1"/>
  <c r="C83" i="177"/>
  <c r="E83" i="177" s="1"/>
  <c r="G70" i="177"/>
  <c r="F67" i="177"/>
  <c r="G91" i="177"/>
  <c r="C88" i="177"/>
  <c r="E88" i="177" s="1"/>
  <c r="G84" i="177"/>
  <c r="C79" i="177"/>
  <c r="E79" i="177" s="1"/>
  <c r="G77" i="177"/>
  <c r="C73" i="177"/>
  <c r="E73" i="177" s="1"/>
  <c r="F70" i="177"/>
  <c r="C69" i="177"/>
  <c r="E69" i="177" s="1"/>
  <c r="C64" i="177"/>
  <c r="E64" i="177" s="1"/>
  <c r="C62" i="177"/>
  <c r="E62" i="177" s="1"/>
  <c r="C58" i="177"/>
  <c r="E58" i="177" s="1"/>
  <c r="F91" i="177"/>
  <c r="G90" i="177"/>
  <c r="F83" i="177"/>
  <c r="G82" i="177"/>
  <c r="G74" i="177"/>
  <c r="G66" i="177"/>
  <c r="G58" i="177"/>
  <c r="F90" i="177"/>
  <c r="G89" i="177"/>
  <c r="F82" i="177"/>
  <c r="G81" i="177"/>
  <c r="F74" i="177"/>
  <c r="G73" i="177"/>
  <c r="F66" i="177"/>
  <c r="G65" i="177"/>
  <c r="C61" i="177"/>
  <c r="E61" i="177" s="1"/>
  <c r="F58" i="177"/>
  <c r="F89" i="177"/>
  <c r="G88" i="177"/>
  <c r="F81" i="177"/>
  <c r="G80" i="177"/>
  <c r="F73" i="177"/>
  <c r="G72" i="177"/>
  <c r="F65" i="177"/>
  <c r="G64" i="177"/>
  <c r="G79" i="177"/>
  <c r="G71" i="177"/>
  <c r="G63" i="177"/>
  <c r="F42" i="177"/>
  <c r="F41" i="177"/>
  <c r="F40" i="177"/>
  <c r="F39" i="177"/>
  <c r="F38" i="177"/>
  <c r="F37" i="177"/>
  <c r="F36" i="177"/>
  <c r="F35" i="177"/>
  <c r="F34" i="177"/>
  <c r="F33" i="177"/>
  <c r="F32" i="177"/>
  <c r="F31" i="177"/>
  <c r="F30" i="177"/>
  <c r="F29" i="177"/>
  <c r="F28" i="177"/>
  <c r="F27" i="177"/>
  <c r="F26" i="177"/>
  <c r="F25" i="177"/>
  <c r="F24" i="177"/>
  <c r="F23" i="177"/>
  <c r="F22" i="177"/>
  <c r="F21" i="177"/>
  <c r="F20" i="177"/>
  <c r="F19" i="177"/>
  <c r="F18" i="177"/>
  <c r="F17" i="177"/>
  <c r="F16" i="177"/>
  <c r="F15" i="177"/>
  <c r="F14" i="177"/>
  <c r="F13" i="177"/>
  <c r="F12" i="177"/>
  <c r="F11" i="177"/>
  <c r="F10" i="177"/>
  <c r="F9" i="177"/>
  <c r="F8" i="177"/>
  <c r="F52" i="176"/>
  <c r="F72" i="176"/>
  <c r="F63" i="176"/>
  <c r="C78" i="176"/>
  <c r="E78" i="176" s="1"/>
  <c r="E52" i="176"/>
  <c r="C62" i="176"/>
  <c r="E62" i="176" s="1"/>
  <c r="C54" i="176"/>
  <c r="E54" i="176" s="1"/>
  <c r="C80" i="176"/>
  <c r="E80" i="176" s="1"/>
  <c r="C76" i="176"/>
  <c r="E76" i="176" s="1"/>
  <c r="E70" i="176"/>
  <c r="C72" i="176"/>
  <c r="E72" i="176" s="1"/>
  <c r="C64" i="176"/>
  <c r="E64" i="176" s="1"/>
  <c r="G76" i="176"/>
  <c r="F73" i="176"/>
  <c r="G69" i="176"/>
  <c r="G72" i="176"/>
  <c r="C71" i="176"/>
  <c r="E71" i="176" s="1"/>
  <c r="F69" i="176"/>
  <c r="F67" i="176"/>
  <c r="G64" i="176"/>
  <c r="C60" i="176"/>
  <c r="E60" i="176" s="1"/>
  <c r="G79" i="176"/>
  <c r="G70" i="176"/>
  <c r="G56" i="176"/>
  <c r="F79" i="176"/>
  <c r="F70" i="176"/>
  <c r="C69" i="176"/>
  <c r="E69" i="176" s="1"/>
  <c r="F66" i="176"/>
  <c r="G61" i="176"/>
  <c r="F59" i="176"/>
  <c r="F55" i="176"/>
  <c r="F81" i="176"/>
  <c r="G77" i="176"/>
  <c r="F75" i="176"/>
  <c r="C63" i="176"/>
  <c r="E63" i="176" s="1"/>
  <c r="F61" i="176"/>
  <c r="G53" i="176"/>
  <c r="G80" i="176"/>
  <c r="C79" i="176"/>
  <c r="E79" i="176" s="1"/>
  <c r="F77" i="176"/>
  <c r="G68" i="176"/>
  <c r="F65" i="176"/>
  <c r="G62" i="176"/>
  <c r="F58" i="176"/>
  <c r="C55" i="176"/>
  <c r="E55" i="176" s="1"/>
  <c r="F53" i="176"/>
  <c r="F80" i="176"/>
  <c r="G78" i="176"/>
  <c r="F74" i="176"/>
  <c r="G71" i="176"/>
  <c r="F64" i="176"/>
  <c r="F62" i="176"/>
  <c r="C61" i="176"/>
  <c r="E61" i="176" s="1"/>
  <c r="G54" i="176"/>
  <c r="F78" i="176"/>
  <c r="C77" i="176"/>
  <c r="E77" i="176" s="1"/>
  <c r="F71" i="176"/>
  <c r="C68" i="176"/>
  <c r="E68" i="176" s="1"/>
  <c r="G60" i="176"/>
  <c r="F57" i="176"/>
  <c r="F54" i="176"/>
  <c r="C53" i="176"/>
  <c r="E53" i="176" s="1"/>
  <c r="C75" i="176"/>
  <c r="E75" i="176" s="1"/>
  <c r="C67" i="176"/>
  <c r="E67" i="176" s="1"/>
  <c r="G63" i="176"/>
  <c r="C59" i="176"/>
  <c r="E59" i="176" s="1"/>
  <c r="F56" i="176"/>
  <c r="G55" i="176"/>
  <c r="C74" i="176"/>
  <c r="E74" i="176" s="1"/>
  <c r="C66" i="176"/>
  <c r="E66" i="176" s="1"/>
  <c r="C58" i="176"/>
  <c r="E58" i="176" s="1"/>
  <c r="C81" i="176"/>
  <c r="E81" i="176" s="1"/>
  <c r="C73" i="176"/>
  <c r="E73" i="176" s="1"/>
  <c r="C65" i="176"/>
  <c r="E65" i="176" s="1"/>
  <c r="C57" i="176"/>
  <c r="E57" i="176" s="1"/>
  <c r="F76" i="176"/>
  <c r="G75" i="176"/>
  <c r="F68" i="176"/>
  <c r="G67" i="176"/>
  <c r="F60" i="176"/>
  <c r="G59" i="176"/>
  <c r="G74" i="176"/>
  <c r="G66" i="176"/>
  <c r="G58" i="176"/>
  <c r="G81" i="176"/>
  <c r="G73" i="176"/>
  <c r="G65" i="176"/>
  <c r="G57" i="176"/>
  <c r="F37" i="176"/>
  <c r="F36" i="176"/>
  <c r="F35" i="176"/>
  <c r="F34" i="176"/>
  <c r="F33" i="176"/>
  <c r="F32" i="176"/>
  <c r="F31" i="176"/>
  <c r="F30" i="176"/>
  <c r="F29" i="176"/>
  <c r="F28" i="176"/>
  <c r="F27" i="176"/>
  <c r="F26" i="176"/>
  <c r="F25" i="176"/>
  <c r="F24" i="176"/>
  <c r="F23" i="176"/>
  <c r="F22" i="176"/>
  <c r="F21" i="176"/>
  <c r="F20" i="176"/>
  <c r="F19" i="176"/>
  <c r="F18" i="176"/>
  <c r="F17" i="176"/>
  <c r="F16" i="176"/>
  <c r="F15" i="176"/>
  <c r="F14" i="176"/>
  <c r="F13" i="176"/>
  <c r="F12" i="176"/>
  <c r="F11" i="176"/>
  <c r="F10" i="176"/>
  <c r="F9" i="176"/>
  <c r="F41" i="175"/>
  <c r="F8" i="175"/>
  <c r="G41" i="175"/>
  <c r="E44" i="19"/>
  <c r="F83" i="226" l="1"/>
  <c r="G83" i="226" s="1"/>
  <c r="C84" i="226"/>
  <c r="B85" i="226"/>
  <c r="A86" i="226"/>
  <c r="K18" i="184"/>
  <c r="L18" i="184" s="1"/>
  <c r="K43" i="179"/>
  <c r="L43" i="179" s="1"/>
  <c r="K16" i="179"/>
  <c r="L16" i="179" s="1"/>
  <c r="K36" i="180"/>
  <c r="L36" i="180" s="1"/>
  <c r="K27" i="181"/>
  <c r="L27" i="181" s="1"/>
  <c r="K35" i="181"/>
  <c r="L35" i="181" s="1"/>
  <c r="K36" i="181"/>
  <c r="L36" i="181" s="1"/>
  <c r="K27" i="183"/>
  <c r="L27" i="183" s="1"/>
  <c r="K20" i="183"/>
  <c r="L20" i="183" s="1"/>
  <c r="K19" i="183"/>
  <c r="L19" i="183" s="1"/>
  <c r="K29" i="183"/>
  <c r="L29" i="183" s="1"/>
  <c r="K30" i="184"/>
  <c r="L30" i="184" s="1"/>
  <c r="K31" i="184"/>
  <c r="L31" i="184" s="1"/>
  <c r="K14" i="185"/>
  <c r="L14" i="185" s="1"/>
  <c r="K16" i="185"/>
  <c r="L16" i="185" s="1"/>
  <c r="K18" i="180"/>
  <c r="L18" i="180" s="1"/>
  <c r="K23" i="183"/>
  <c r="L23" i="183" s="1"/>
  <c r="K38" i="183"/>
  <c r="L38" i="183" s="1"/>
  <c r="K33" i="185"/>
  <c r="L33" i="185" s="1"/>
  <c r="L47" i="195"/>
  <c r="L38" i="205"/>
  <c r="L4" i="205" s="1"/>
  <c r="K10" i="181"/>
  <c r="L10" i="181" s="1"/>
  <c r="K24" i="185"/>
  <c r="L24" i="185" s="1"/>
  <c r="K20" i="181"/>
  <c r="L20" i="181" s="1"/>
  <c r="K16" i="184"/>
  <c r="L16" i="184" s="1"/>
  <c r="K17" i="185"/>
  <c r="L17" i="185" s="1"/>
  <c r="L36" i="196"/>
  <c r="L4" i="196" s="1"/>
  <c r="K22" i="185"/>
  <c r="L22" i="185" s="1"/>
  <c r="K35" i="179"/>
  <c r="L35" i="179" s="1"/>
  <c r="K12" i="180"/>
  <c r="L12" i="180" s="1"/>
  <c r="K11" i="185"/>
  <c r="L11" i="185" s="1"/>
  <c r="L34" i="191"/>
  <c r="K18" i="179"/>
  <c r="L18" i="179" s="1"/>
  <c r="K33" i="181"/>
  <c r="L33" i="181" s="1"/>
  <c r="K10" i="185"/>
  <c r="L10" i="185" s="1"/>
  <c r="K8" i="183"/>
  <c r="L8" i="183" s="1"/>
  <c r="L43" i="200"/>
  <c r="L4" i="200" s="1"/>
  <c r="K8" i="179"/>
  <c r="L8" i="179" s="1"/>
  <c r="K29" i="179"/>
  <c r="L29" i="179" s="1"/>
  <c r="K10" i="179"/>
  <c r="L10" i="179" s="1"/>
  <c r="K28" i="181"/>
  <c r="L28" i="181" s="1"/>
  <c r="K16" i="183"/>
  <c r="L16" i="183" s="1"/>
  <c r="K17" i="183"/>
  <c r="L17" i="183" s="1"/>
  <c r="K10" i="180"/>
  <c r="L10" i="180" s="1"/>
  <c r="K34" i="184"/>
  <c r="L34" i="184" s="1"/>
  <c r="K26" i="184"/>
  <c r="L26" i="184" s="1"/>
  <c r="K21" i="185"/>
  <c r="L21" i="185" s="1"/>
  <c r="K37" i="185"/>
  <c r="L37" i="185" s="1"/>
  <c r="K29" i="184"/>
  <c r="L29" i="184" s="1"/>
  <c r="K14" i="183"/>
  <c r="L14" i="183" s="1"/>
  <c r="K37" i="179"/>
  <c r="L37" i="179" s="1"/>
  <c r="K15" i="183"/>
  <c r="L15" i="183" s="1"/>
  <c r="L37" i="201"/>
  <c r="L4" i="201" s="1"/>
  <c r="K25" i="181"/>
  <c r="L25" i="181" s="1"/>
  <c r="K8" i="185"/>
  <c r="L8" i="185" s="1"/>
  <c r="K16" i="180"/>
  <c r="L16" i="180" s="1"/>
  <c r="K36" i="183"/>
  <c r="L36" i="183" s="1"/>
  <c r="K37" i="184"/>
  <c r="L37" i="184" s="1"/>
  <c r="K28" i="183"/>
  <c r="L28" i="183" s="1"/>
  <c r="L41" i="208"/>
  <c r="L4" i="208" s="1"/>
  <c r="K30" i="179"/>
  <c r="L30" i="179" s="1"/>
  <c r="K32" i="179"/>
  <c r="L32" i="179" s="1"/>
  <c r="K15" i="180"/>
  <c r="L15" i="180" s="1"/>
  <c r="K23" i="181"/>
  <c r="L23" i="181" s="1"/>
  <c r="K10" i="183"/>
  <c r="L10" i="183" s="1"/>
  <c r="K9" i="183"/>
  <c r="L9" i="183" s="1"/>
  <c r="K11" i="181"/>
  <c r="L11" i="181" s="1"/>
  <c r="K39" i="184"/>
  <c r="L39" i="184" s="1"/>
  <c r="K10" i="184"/>
  <c r="L10" i="184" s="1"/>
  <c r="K38" i="184"/>
  <c r="L38" i="184" s="1"/>
  <c r="K9" i="185"/>
  <c r="L9" i="185" s="1"/>
  <c r="K12" i="185"/>
  <c r="L12" i="185" s="1"/>
  <c r="K16" i="181"/>
  <c r="L16" i="181" s="1"/>
  <c r="L23" i="204"/>
  <c r="L4" i="204" s="1"/>
  <c r="L42" i="199"/>
  <c r="L4" i="199" s="1"/>
  <c r="L43" i="188"/>
  <c r="L4" i="188" s="1"/>
  <c r="K34" i="179"/>
  <c r="L34" i="179" s="1"/>
  <c r="K32" i="180"/>
  <c r="L32" i="180" s="1"/>
  <c r="K31" i="180"/>
  <c r="L31" i="180" s="1"/>
  <c r="K29" i="180"/>
  <c r="L29" i="180" s="1"/>
  <c r="K24" i="181"/>
  <c r="L24" i="181" s="1"/>
  <c r="K25" i="183"/>
  <c r="L25" i="183" s="1"/>
  <c r="K14" i="184"/>
  <c r="L14" i="184" s="1"/>
  <c r="K27" i="184"/>
  <c r="L27" i="184" s="1"/>
  <c r="K9" i="184"/>
  <c r="L9" i="184" s="1"/>
  <c r="K38" i="185"/>
  <c r="L38" i="185" s="1"/>
  <c r="K41" i="185"/>
  <c r="L41" i="185" s="1"/>
  <c r="K35" i="185"/>
  <c r="L35" i="185" s="1"/>
  <c r="K13" i="179"/>
  <c r="L13" i="179" s="1"/>
  <c r="K32" i="183"/>
  <c r="L32" i="183" s="1"/>
  <c r="K26" i="179"/>
  <c r="L26" i="179" s="1"/>
  <c r="K22" i="181"/>
  <c r="L22" i="181" s="1"/>
  <c r="K19" i="181"/>
  <c r="L19" i="181" s="1"/>
  <c r="K13" i="185"/>
  <c r="L13" i="185" s="1"/>
  <c r="L24" i="213"/>
  <c r="L4" i="213" s="1"/>
  <c r="K21" i="181"/>
  <c r="L21" i="181" s="1"/>
  <c r="K26" i="181"/>
  <c r="L26" i="181" s="1"/>
  <c r="K38" i="179"/>
  <c r="L38" i="179" s="1"/>
  <c r="K24" i="179"/>
  <c r="L24" i="179" s="1"/>
  <c r="K14" i="179"/>
  <c r="L14" i="179" s="1"/>
  <c r="K24" i="180"/>
  <c r="L24" i="180" s="1"/>
  <c r="K21" i="180"/>
  <c r="L21" i="180" s="1"/>
  <c r="K32" i="181"/>
  <c r="L32" i="181" s="1"/>
  <c r="K9" i="181"/>
  <c r="L9" i="181" s="1"/>
  <c r="K15" i="181"/>
  <c r="L15" i="181" s="1"/>
  <c r="K33" i="183"/>
  <c r="L33" i="183" s="1"/>
  <c r="K21" i="183"/>
  <c r="L21" i="183" s="1"/>
  <c r="K8" i="181"/>
  <c r="L8" i="181" s="1"/>
  <c r="K19" i="184"/>
  <c r="L19" i="184" s="1"/>
  <c r="K28" i="185"/>
  <c r="L28" i="185" s="1"/>
  <c r="K36" i="185"/>
  <c r="L36" i="185" s="1"/>
  <c r="K8" i="184"/>
  <c r="L8" i="184" s="1"/>
  <c r="L37" i="186"/>
  <c r="L4" i="186" s="1"/>
  <c r="L36" i="189"/>
  <c r="K8" i="180"/>
  <c r="L8" i="180" s="1"/>
  <c r="K12" i="183"/>
  <c r="L12" i="183" s="1"/>
  <c r="K17" i="181"/>
  <c r="L17" i="181" s="1"/>
  <c r="K23" i="184"/>
  <c r="L23" i="184" s="1"/>
  <c r="K27" i="179"/>
  <c r="L27" i="179" s="1"/>
  <c r="K19" i="179"/>
  <c r="L19" i="179" s="1"/>
  <c r="K33" i="179"/>
  <c r="L33" i="179" s="1"/>
  <c r="K20" i="180"/>
  <c r="L20" i="180" s="1"/>
  <c r="K17" i="179"/>
  <c r="L17" i="179" s="1"/>
  <c r="K28" i="179"/>
  <c r="L28" i="179" s="1"/>
  <c r="K22" i="179"/>
  <c r="L22" i="179" s="1"/>
  <c r="K41" i="179"/>
  <c r="L41" i="179" s="1"/>
  <c r="K40" i="179"/>
  <c r="L40" i="179" s="1"/>
  <c r="K35" i="180"/>
  <c r="L35" i="180" s="1"/>
  <c r="K13" i="180"/>
  <c r="L13" i="180" s="1"/>
  <c r="K28" i="180"/>
  <c r="L28" i="180" s="1"/>
  <c r="K15" i="179"/>
  <c r="L15" i="179" s="1"/>
  <c r="K26" i="183"/>
  <c r="L26" i="183" s="1"/>
  <c r="K13" i="183"/>
  <c r="L13" i="183" s="1"/>
  <c r="K11" i="184"/>
  <c r="L11" i="184" s="1"/>
  <c r="K22" i="184"/>
  <c r="L22" i="184" s="1"/>
  <c r="G3" i="184"/>
  <c r="G4" i="184" s="1"/>
  <c r="K40" i="184"/>
  <c r="L40" i="184" s="1"/>
  <c r="K20" i="185"/>
  <c r="L20" i="185" s="1"/>
  <c r="K22" i="180"/>
  <c r="L22" i="180" s="1"/>
  <c r="K26" i="185"/>
  <c r="L26" i="185" s="1"/>
  <c r="K21" i="184"/>
  <c r="L21" i="184" s="1"/>
  <c r="K37" i="183"/>
  <c r="L37" i="183" s="1"/>
  <c r="L39" i="198"/>
  <c r="L4" i="198" s="1"/>
  <c r="K17" i="180"/>
  <c r="L17" i="180" s="1"/>
  <c r="K39" i="183"/>
  <c r="L39" i="183" s="1"/>
  <c r="K38" i="181"/>
  <c r="L38" i="181" s="1"/>
  <c r="K33" i="184"/>
  <c r="L33" i="184" s="1"/>
  <c r="K29" i="181"/>
  <c r="L29" i="181" s="1"/>
  <c r="K26" i="180"/>
  <c r="L26" i="180" s="1"/>
  <c r="K31" i="183"/>
  <c r="L31" i="183" s="1"/>
  <c r="K35" i="184"/>
  <c r="L35" i="184" s="1"/>
  <c r="K25" i="185"/>
  <c r="L25" i="185" s="1"/>
  <c r="K14" i="180"/>
  <c r="L14" i="180" s="1"/>
  <c r="K30" i="180"/>
  <c r="L30" i="180" s="1"/>
  <c r="L20" i="214"/>
  <c r="L4" i="214" s="1"/>
  <c r="K13" i="181"/>
  <c r="L13" i="181" s="1"/>
  <c r="L26" i="203"/>
  <c r="L4" i="203" s="1"/>
  <c r="K9" i="180"/>
  <c r="L9" i="180" s="1"/>
  <c r="K39" i="179"/>
  <c r="L39" i="179" s="1"/>
  <c r="K23" i="179"/>
  <c r="L23" i="179" s="1"/>
  <c r="K27" i="180"/>
  <c r="L27" i="180" s="1"/>
  <c r="K25" i="179"/>
  <c r="L25" i="179" s="1"/>
  <c r="K34" i="181"/>
  <c r="L34" i="181" s="1"/>
  <c r="K32" i="184"/>
  <c r="L32" i="184" s="1"/>
  <c r="K20" i="184"/>
  <c r="L20" i="184" s="1"/>
  <c r="K30" i="185"/>
  <c r="L30" i="185" s="1"/>
  <c r="K23" i="185"/>
  <c r="L23" i="185" s="1"/>
  <c r="K18" i="185"/>
  <c r="L18" i="185" s="1"/>
  <c r="K28" i="184"/>
  <c r="L28" i="184" s="1"/>
  <c r="K31" i="179"/>
  <c r="L31" i="179" s="1"/>
  <c r="K9" i="179"/>
  <c r="L9" i="179" s="1"/>
  <c r="K20" i="179"/>
  <c r="L20" i="179" s="1"/>
  <c r="K19" i="180"/>
  <c r="L19" i="180" s="1"/>
  <c r="K33" i="180"/>
  <c r="L33" i="180" s="1"/>
  <c r="K36" i="179"/>
  <c r="L36" i="179" s="1"/>
  <c r="K18" i="181"/>
  <c r="L18" i="181" s="1"/>
  <c r="K11" i="179"/>
  <c r="L11" i="179" s="1"/>
  <c r="K40" i="183"/>
  <c r="L40" i="183" s="1"/>
  <c r="K18" i="183"/>
  <c r="L18" i="183" s="1"/>
  <c r="K24" i="184"/>
  <c r="L24" i="184" s="1"/>
  <c r="K12" i="184"/>
  <c r="L12" i="184" s="1"/>
  <c r="K42" i="185"/>
  <c r="L42" i="185" s="1"/>
  <c r="K29" i="185"/>
  <c r="L29" i="185" s="1"/>
  <c r="K15" i="185"/>
  <c r="L15" i="185" s="1"/>
  <c r="K43" i="185"/>
  <c r="L43" i="185" s="1"/>
  <c r="K39" i="185"/>
  <c r="L39" i="185" s="1"/>
  <c r="K17" i="184"/>
  <c r="L17" i="184" s="1"/>
  <c r="K21" i="179"/>
  <c r="L21" i="179" s="1"/>
  <c r="K11" i="183"/>
  <c r="L11" i="183" s="1"/>
  <c r="K34" i="180"/>
  <c r="L34" i="180" s="1"/>
  <c r="K34" i="183"/>
  <c r="L34" i="183" s="1"/>
  <c r="K15" i="184"/>
  <c r="L15" i="184" s="1"/>
  <c r="G3" i="179"/>
  <c r="G4" i="179" s="1"/>
  <c r="K44" i="179"/>
  <c r="L44" i="179" s="1"/>
  <c r="K12" i="179"/>
  <c r="L12" i="179" s="1"/>
  <c r="K11" i="180"/>
  <c r="L11" i="180" s="1"/>
  <c r="K25" i="180"/>
  <c r="L25" i="180" s="1"/>
  <c r="K31" i="181"/>
  <c r="L31" i="181" s="1"/>
  <c r="K30" i="181"/>
  <c r="L30" i="181" s="1"/>
  <c r="K14" i="181"/>
  <c r="L14" i="181" s="1"/>
  <c r="K30" i="183"/>
  <c r="L30" i="183" s="1"/>
  <c r="K35" i="183"/>
  <c r="L35" i="183" s="1"/>
  <c r="K22" i="183"/>
  <c r="L22" i="183" s="1"/>
  <c r="K13" i="184"/>
  <c r="L13" i="184" s="1"/>
  <c r="K32" i="185"/>
  <c r="L32" i="185" s="1"/>
  <c r="K34" i="185"/>
  <c r="L34" i="185" s="1"/>
  <c r="K19" i="185"/>
  <c r="L19" i="185" s="1"/>
  <c r="K36" i="184"/>
  <c r="L36" i="184" s="1"/>
  <c r="K31" i="185"/>
  <c r="L31" i="185" s="1"/>
  <c r="K27" i="185"/>
  <c r="L27" i="185" s="1"/>
  <c r="L58" i="203"/>
  <c r="L5" i="203" s="1"/>
  <c r="L94" i="197"/>
  <c r="L5" i="197" s="1"/>
  <c r="L88" i="208"/>
  <c r="L5" i="208" s="1"/>
  <c r="L92" i="200"/>
  <c r="L5" i="200" s="1"/>
  <c r="L100" i="195"/>
  <c r="L5" i="195" s="1"/>
  <c r="L80" i="186"/>
  <c r="L5" i="186" s="1"/>
  <c r="L78" i="189"/>
  <c r="L94" i="187"/>
  <c r="L94" i="198"/>
  <c r="L86" i="192"/>
  <c r="L5" i="192" s="1"/>
  <c r="L98" i="193"/>
  <c r="L5" i="193" s="1"/>
  <c r="L80" i="201"/>
  <c r="L5" i="201" s="1"/>
  <c r="L74" i="191"/>
  <c r="L92" i="188"/>
  <c r="L5" i="188" s="1"/>
  <c r="L98" i="190"/>
  <c r="L96" i="209"/>
  <c r="L5" i="209" s="1"/>
  <c r="L90" i="199"/>
  <c r="L78" i="196"/>
  <c r="L5" i="196" s="1"/>
  <c r="L100" i="194"/>
  <c r="L5" i="194" s="1"/>
  <c r="L90" i="211"/>
  <c r="L5" i="211" s="1"/>
  <c r="L82" i="205"/>
  <c r="K61" i="179"/>
  <c r="L61" i="179" s="1"/>
  <c r="K77" i="179"/>
  <c r="L77" i="179" s="1"/>
  <c r="K60" i="179"/>
  <c r="L60" i="179" s="1"/>
  <c r="K77" i="180"/>
  <c r="L77" i="180" s="1"/>
  <c r="K75" i="180"/>
  <c r="L75" i="180" s="1"/>
  <c r="K67" i="180"/>
  <c r="L67" i="180" s="1"/>
  <c r="K55" i="181"/>
  <c r="L55" i="181" s="1"/>
  <c r="K67" i="181"/>
  <c r="L67" i="181" s="1"/>
  <c r="K54" i="181"/>
  <c r="L54" i="181" s="1"/>
  <c r="K60" i="183"/>
  <c r="L60" i="183" s="1"/>
  <c r="K89" i="183"/>
  <c r="L89" i="183" s="1"/>
  <c r="K81" i="183"/>
  <c r="L81" i="183" s="1"/>
  <c r="K83" i="184"/>
  <c r="L83" i="184" s="1"/>
  <c r="K68" i="185"/>
  <c r="L68" i="185" s="1"/>
  <c r="K77" i="185"/>
  <c r="L77" i="185" s="1"/>
  <c r="K63" i="179"/>
  <c r="L63" i="179" s="1"/>
  <c r="K71" i="179"/>
  <c r="L71" i="179" s="1"/>
  <c r="K85" i="179"/>
  <c r="L85" i="179" s="1"/>
  <c r="K61" i="180"/>
  <c r="L61" i="180" s="1"/>
  <c r="K70" i="180"/>
  <c r="L70" i="180" s="1"/>
  <c r="K68" i="179"/>
  <c r="L68" i="179" s="1"/>
  <c r="K66" i="181"/>
  <c r="L66" i="181" s="1"/>
  <c r="K63" i="181"/>
  <c r="L63" i="181" s="1"/>
  <c r="K57" i="183"/>
  <c r="L57" i="183" s="1"/>
  <c r="K77" i="183"/>
  <c r="L77" i="183" s="1"/>
  <c r="K74" i="184"/>
  <c r="L74" i="184" s="1"/>
  <c r="K67" i="184"/>
  <c r="L67" i="184" s="1"/>
  <c r="K71" i="184"/>
  <c r="L71" i="184" s="1"/>
  <c r="K64" i="185"/>
  <c r="L64" i="185" s="1"/>
  <c r="K82" i="185"/>
  <c r="L82" i="185" s="1"/>
  <c r="K91" i="185"/>
  <c r="L91" i="185" s="1"/>
  <c r="K94" i="185"/>
  <c r="L94" i="185" s="1"/>
  <c r="K57" i="181"/>
  <c r="L57" i="181" s="1"/>
  <c r="K65" i="179"/>
  <c r="L65" i="179" s="1"/>
  <c r="K68" i="180"/>
  <c r="L68" i="180" s="1"/>
  <c r="K85" i="181"/>
  <c r="L85" i="181" s="1"/>
  <c r="K69" i="181"/>
  <c r="L69" i="181" s="1"/>
  <c r="K76" i="181"/>
  <c r="L76" i="181" s="1"/>
  <c r="K71" i="181"/>
  <c r="L71" i="181" s="1"/>
  <c r="K88" i="183"/>
  <c r="L88" i="183" s="1"/>
  <c r="K79" i="183"/>
  <c r="L79" i="183" s="1"/>
  <c r="K73" i="183"/>
  <c r="L73" i="183" s="1"/>
  <c r="K65" i="183"/>
  <c r="L65" i="183" s="1"/>
  <c r="K77" i="184"/>
  <c r="L77" i="184" s="1"/>
  <c r="K90" i="185"/>
  <c r="L90" i="185" s="1"/>
  <c r="K62" i="185"/>
  <c r="L62" i="185" s="1"/>
  <c r="K75" i="185"/>
  <c r="L75" i="185" s="1"/>
  <c r="K72" i="184"/>
  <c r="L72" i="184" s="1"/>
  <c r="K64" i="179"/>
  <c r="L64" i="179" s="1"/>
  <c r="K69" i="179"/>
  <c r="L69" i="179" s="1"/>
  <c r="K80" i="179"/>
  <c r="L80" i="179" s="1"/>
  <c r="K78" i="180"/>
  <c r="L78" i="180" s="1"/>
  <c r="K64" i="180"/>
  <c r="L64" i="180" s="1"/>
  <c r="K59" i="180"/>
  <c r="L59" i="180" s="1"/>
  <c r="K75" i="181"/>
  <c r="L75" i="181" s="1"/>
  <c r="K56" i="181"/>
  <c r="L56" i="181" s="1"/>
  <c r="K84" i="183"/>
  <c r="L84" i="183" s="1"/>
  <c r="K87" i="183"/>
  <c r="L87" i="183" s="1"/>
  <c r="K69" i="183"/>
  <c r="L69" i="183" s="1"/>
  <c r="K68" i="183"/>
  <c r="L68" i="183" s="1"/>
  <c r="K78" i="184"/>
  <c r="L78" i="184" s="1"/>
  <c r="K79" i="184"/>
  <c r="L79" i="184" s="1"/>
  <c r="K74" i="185"/>
  <c r="L74" i="185" s="1"/>
  <c r="K89" i="185"/>
  <c r="L89" i="185" s="1"/>
  <c r="K84" i="185"/>
  <c r="L84" i="185" s="1"/>
  <c r="K67" i="179"/>
  <c r="L67" i="179" s="1"/>
  <c r="K62" i="179"/>
  <c r="L62" i="179" s="1"/>
  <c r="K95" i="179"/>
  <c r="L95" i="179" s="1"/>
  <c r="K62" i="180"/>
  <c r="L62" i="180" s="1"/>
  <c r="K55" i="180"/>
  <c r="L55" i="180" s="1"/>
  <c r="K59" i="181"/>
  <c r="L59" i="181" s="1"/>
  <c r="K73" i="181"/>
  <c r="L73" i="181" s="1"/>
  <c r="K82" i="183"/>
  <c r="L82" i="183" s="1"/>
  <c r="K72" i="183"/>
  <c r="L72" i="183" s="1"/>
  <c r="K62" i="183"/>
  <c r="L62" i="183" s="1"/>
  <c r="K64" i="184"/>
  <c r="L64" i="184" s="1"/>
  <c r="K63" i="184"/>
  <c r="L63" i="184" s="1"/>
  <c r="K70" i="184"/>
  <c r="L70" i="184" s="1"/>
  <c r="K73" i="185"/>
  <c r="L73" i="185" s="1"/>
  <c r="L54" i="213"/>
  <c r="L5" i="213" s="1"/>
  <c r="L98" i="207"/>
  <c r="L5" i="207" s="1"/>
  <c r="K78" i="179"/>
  <c r="L78" i="179" s="1"/>
  <c r="K70" i="179"/>
  <c r="L70" i="179" s="1"/>
  <c r="K88" i="179"/>
  <c r="L88" i="179" s="1"/>
  <c r="K76" i="179"/>
  <c r="L76" i="179" s="1"/>
  <c r="K76" i="180"/>
  <c r="L76" i="180" s="1"/>
  <c r="K53" i="180"/>
  <c r="L53" i="180" s="1"/>
  <c r="K74" i="180"/>
  <c r="L74" i="180" s="1"/>
  <c r="K81" i="181"/>
  <c r="L81" i="181" s="1"/>
  <c r="K80" i="183"/>
  <c r="L80" i="183" s="1"/>
  <c r="K71" i="183"/>
  <c r="L71" i="183" s="1"/>
  <c r="K60" i="184"/>
  <c r="L60" i="184" s="1"/>
  <c r="K73" i="184"/>
  <c r="L73" i="184" s="1"/>
  <c r="K82" i="184"/>
  <c r="L82" i="184" s="1"/>
  <c r="K66" i="184"/>
  <c r="L66" i="184" s="1"/>
  <c r="K95" i="185"/>
  <c r="L95" i="185" s="1"/>
  <c r="K94" i="179"/>
  <c r="L94" i="179" s="1"/>
  <c r="K56" i="180"/>
  <c r="L56" i="180" s="1"/>
  <c r="K60" i="180"/>
  <c r="L60" i="180" s="1"/>
  <c r="K58" i="180"/>
  <c r="L58" i="180" s="1"/>
  <c r="K62" i="181"/>
  <c r="L62" i="181" s="1"/>
  <c r="K60" i="181"/>
  <c r="L60" i="181" s="1"/>
  <c r="K84" i="181"/>
  <c r="L84" i="181" s="1"/>
  <c r="K58" i="181"/>
  <c r="L58" i="181" s="1"/>
  <c r="K63" i="183"/>
  <c r="L63" i="183" s="1"/>
  <c r="K74" i="183"/>
  <c r="L74" i="183" s="1"/>
  <c r="K75" i="183"/>
  <c r="L75" i="183" s="1"/>
  <c r="K75" i="184"/>
  <c r="L75" i="184" s="1"/>
  <c r="K85" i="184"/>
  <c r="L85" i="184" s="1"/>
  <c r="K57" i="184"/>
  <c r="L57" i="184" s="1"/>
  <c r="K79" i="185"/>
  <c r="L79" i="185" s="1"/>
  <c r="K65" i="185"/>
  <c r="L65" i="185" s="1"/>
  <c r="K87" i="184"/>
  <c r="L87" i="184" s="1"/>
  <c r="K52" i="180"/>
  <c r="L52" i="180" s="1"/>
  <c r="K75" i="179"/>
  <c r="L75" i="179" s="1"/>
  <c r="K66" i="180"/>
  <c r="L66" i="180" s="1"/>
  <c r="K65" i="180"/>
  <c r="L65" i="180" s="1"/>
  <c r="K68" i="181"/>
  <c r="L68" i="181" s="1"/>
  <c r="K67" i="183"/>
  <c r="L67" i="183" s="1"/>
  <c r="K80" i="184"/>
  <c r="L80" i="184" s="1"/>
  <c r="K58" i="184"/>
  <c r="L58" i="184" s="1"/>
  <c r="K72" i="181"/>
  <c r="L72" i="181" s="1"/>
  <c r="K63" i="185"/>
  <c r="L63" i="185" s="1"/>
  <c r="K87" i="185"/>
  <c r="L87" i="185" s="1"/>
  <c r="K70" i="181"/>
  <c r="L70" i="181" s="1"/>
  <c r="K86" i="185"/>
  <c r="L86" i="185" s="1"/>
  <c r="K68" i="184"/>
  <c r="L68" i="184" s="1"/>
  <c r="L52" i="204"/>
  <c r="L5" i="204" s="1"/>
  <c r="K55" i="184"/>
  <c r="L55" i="184" s="1"/>
  <c r="K80" i="180"/>
  <c r="L80" i="180" s="1"/>
  <c r="K64" i="181"/>
  <c r="L64" i="181" s="1"/>
  <c r="K92" i="179"/>
  <c r="L92" i="179" s="1"/>
  <c r="K81" i="179"/>
  <c r="L81" i="179" s="1"/>
  <c r="K86" i="179"/>
  <c r="L86" i="179" s="1"/>
  <c r="K73" i="180"/>
  <c r="L73" i="180" s="1"/>
  <c r="K69" i="180"/>
  <c r="L69" i="180" s="1"/>
  <c r="K77" i="181"/>
  <c r="L77" i="181" s="1"/>
  <c r="K61" i="183"/>
  <c r="L61" i="183" s="1"/>
  <c r="K86" i="183"/>
  <c r="L86" i="183" s="1"/>
  <c r="K59" i="183"/>
  <c r="L59" i="183" s="1"/>
  <c r="K74" i="181"/>
  <c r="L74" i="181" s="1"/>
  <c r="K62" i="184"/>
  <c r="L62" i="184" s="1"/>
  <c r="K76" i="184"/>
  <c r="L76" i="184" s="1"/>
  <c r="K86" i="184"/>
  <c r="L86" i="184" s="1"/>
  <c r="K88" i="185"/>
  <c r="L88" i="185" s="1"/>
  <c r="K72" i="185"/>
  <c r="L72" i="185" s="1"/>
  <c r="K80" i="185"/>
  <c r="L80" i="185" s="1"/>
  <c r="K67" i="185"/>
  <c r="L67" i="185" s="1"/>
  <c r="K78" i="183"/>
  <c r="L78" i="183" s="1"/>
  <c r="K66" i="183"/>
  <c r="L66" i="183" s="1"/>
  <c r="K59" i="185"/>
  <c r="L59" i="185" s="1"/>
  <c r="K90" i="179"/>
  <c r="L90" i="179" s="1"/>
  <c r="K59" i="179"/>
  <c r="L59" i="179" s="1"/>
  <c r="K79" i="179"/>
  <c r="L79" i="179" s="1"/>
  <c r="K83" i="179"/>
  <c r="L83" i="179" s="1"/>
  <c r="K72" i="180"/>
  <c r="L72" i="180" s="1"/>
  <c r="K79" i="180"/>
  <c r="L79" i="180" s="1"/>
  <c r="K61" i="181"/>
  <c r="L61" i="181" s="1"/>
  <c r="K83" i="181"/>
  <c r="L83" i="181" s="1"/>
  <c r="K64" i="183"/>
  <c r="L64" i="183" s="1"/>
  <c r="K65" i="184"/>
  <c r="L65" i="184" s="1"/>
  <c r="K81" i="184"/>
  <c r="L81" i="184" s="1"/>
  <c r="K61" i="184"/>
  <c r="L61" i="184" s="1"/>
  <c r="K92" i="185"/>
  <c r="L92" i="185" s="1"/>
  <c r="K81" i="185"/>
  <c r="L81" i="185" s="1"/>
  <c r="K69" i="185"/>
  <c r="L69" i="185" s="1"/>
  <c r="K56" i="184"/>
  <c r="L56" i="184" s="1"/>
  <c r="K89" i="179"/>
  <c r="L89" i="179" s="1"/>
  <c r="K73" i="179"/>
  <c r="L73" i="179" s="1"/>
  <c r="K74" i="179"/>
  <c r="L74" i="179" s="1"/>
  <c r="K91" i="179"/>
  <c r="L91" i="179" s="1"/>
  <c r="K71" i="180"/>
  <c r="L71" i="180" s="1"/>
  <c r="K57" i="180"/>
  <c r="L57" i="180" s="1"/>
  <c r="K63" i="180"/>
  <c r="L63" i="180" s="1"/>
  <c r="K79" i="181"/>
  <c r="L79" i="181" s="1"/>
  <c r="K65" i="181"/>
  <c r="L65" i="181" s="1"/>
  <c r="K82" i="179"/>
  <c r="L82" i="179" s="1"/>
  <c r="K58" i="183"/>
  <c r="L58" i="183" s="1"/>
  <c r="K70" i="183"/>
  <c r="L70" i="183" s="1"/>
  <c r="K59" i="184"/>
  <c r="L59" i="184" s="1"/>
  <c r="K84" i="184"/>
  <c r="L84" i="184" s="1"/>
  <c r="K66" i="185"/>
  <c r="L66" i="185" s="1"/>
  <c r="K76" i="185"/>
  <c r="L76" i="185" s="1"/>
  <c r="K71" i="185"/>
  <c r="L71" i="185" s="1"/>
  <c r="K61" i="185"/>
  <c r="L61" i="185" s="1"/>
  <c r="K70" i="185"/>
  <c r="L70" i="185" s="1"/>
  <c r="L46" i="214"/>
  <c r="L5" i="214" s="1"/>
  <c r="K72" i="179"/>
  <c r="L72" i="179" s="1"/>
  <c r="K87" i="179"/>
  <c r="L87" i="179" s="1"/>
  <c r="K66" i="179"/>
  <c r="L66" i="179" s="1"/>
  <c r="K93" i="179"/>
  <c r="L93" i="179" s="1"/>
  <c r="K84" i="179"/>
  <c r="L84" i="179" s="1"/>
  <c r="K54" i="180"/>
  <c r="L54" i="180" s="1"/>
  <c r="K81" i="180"/>
  <c r="L81" i="180" s="1"/>
  <c r="K82" i="181"/>
  <c r="L82" i="181" s="1"/>
  <c r="K78" i="181"/>
  <c r="L78" i="181" s="1"/>
  <c r="K80" i="181"/>
  <c r="L80" i="181" s="1"/>
  <c r="K76" i="183"/>
  <c r="L76" i="183" s="1"/>
  <c r="K83" i="183"/>
  <c r="L83" i="183" s="1"/>
  <c r="K69" i="184"/>
  <c r="L69" i="184" s="1"/>
  <c r="K85" i="185"/>
  <c r="L85" i="185" s="1"/>
  <c r="K83" i="185"/>
  <c r="L83" i="185" s="1"/>
  <c r="K78" i="185"/>
  <c r="L78" i="185" s="1"/>
  <c r="K93" i="185"/>
  <c r="L93" i="185" s="1"/>
  <c r="K60" i="185"/>
  <c r="L60" i="185" s="1"/>
  <c r="K85" i="183"/>
  <c r="L85" i="183" s="1"/>
  <c r="M80" i="202"/>
  <c r="M5" i="202" s="1"/>
  <c r="L5" i="220"/>
  <c r="M37" i="202"/>
  <c r="L42" i="211"/>
  <c r="L44" i="197"/>
  <c r="L4" i="197" s="1"/>
  <c r="L47" i="194"/>
  <c r="L46" i="193"/>
  <c r="L40" i="192"/>
  <c r="L46" i="190"/>
  <c r="L45" i="209"/>
  <c r="L44" i="187"/>
  <c r="L4" i="187" s="1"/>
  <c r="L46" i="207"/>
  <c r="L4" i="207" s="1"/>
  <c r="L44" i="185"/>
  <c r="G3" i="185"/>
  <c r="G4" i="185" s="1"/>
  <c r="L40" i="185"/>
  <c r="L41" i="183"/>
  <c r="G3" i="183"/>
  <c r="G4" i="183" s="1"/>
  <c r="L39" i="181"/>
  <c r="G3" i="181"/>
  <c r="G4" i="181" s="1"/>
  <c r="L37" i="181"/>
  <c r="L37" i="180"/>
  <c r="G3" i="180"/>
  <c r="G4" i="180" s="1"/>
  <c r="L23" i="180"/>
  <c r="L42" i="179"/>
  <c r="H52" i="176"/>
  <c r="H8" i="176"/>
  <c r="H51" i="175"/>
  <c r="H43" i="175"/>
  <c r="H18" i="177"/>
  <c r="H49" i="175"/>
  <c r="H59" i="175"/>
  <c r="H57" i="175"/>
  <c r="H55" i="175"/>
  <c r="H53" i="175"/>
  <c r="H47" i="175"/>
  <c r="H50" i="175"/>
  <c r="H18" i="175"/>
  <c r="H22" i="175"/>
  <c r="H19" i="175"/>
  <c r="H16" i="175"/>
  <c r="H52" i="175"/>
  <c r="H54" i="175"/>
  <c r="H48" i="175"/>
  <c r="H21" i="175"/>
  <c r="H9" i="175"/>
  <c r="H10" i="175"/>
  <c r="H23" i="175"/>
  <c r="H45" i="175"/>
  <c r="H58" i="175"/>
  <c r="H46" i="175"/>
  <c r="H20" i="175"/>
  <c r="H24" i="175"/>
  <c r="H25" i="175"/>
  <c r="H26" i="175"/>
  <c r="K26" i="175" s="1"/>
  <c r="H14" i="175"/>
  <c r="H42" i="175"/>
  <c r="H56" i="175"/>
  <c r="H44" i="175"/>
  <c r="K44" i="175" s="1"/>
  <c r="H11" i="175"/>
  <c r="H15" i="175"/>
  <c r="H12" i="175"/>
  <c r="H13" i="175"/>
  <c r="H17" i="175"/>
  <c r="H20" i="177"/>
  <c r="H27" i="177"/>
  <c r="H62" i="177"/>
  <c r="H63" i="176"/>
  <c r="H31" i="177"/>
  <c r="H57" i="177"/>
  <c r="H85" i="177"/>
  <c r="H23" i="177"/>
  <c r="H70" i="177"/>
  <c r="H12" i="177"/>
  <c r="H72" i="177"/>
  <c r="H21" i="177"/>
  <c r="H37" i="177"/>
  <c r="H79" i="177"/>
  <c r="H15" i="177"/>
  <c r="H9" i="176"/>
  <c r="H29" i="177"/>
  <c r="H16" i="177"/>
  <c r="H76" i="177"/>
  <c r="H26" i="177"/>
  <c r="H37" i="176"/>
  <c r="K37" i="176" s="1"/>
  <c r="H80" i="177"/>
  <c r="H22" i="177"/>
  <c r="H78" i="177"/>
  <c r="H39" i="177"/>
  <c r="H60" i="177"/>
  <c r="H63" i="177"/>
  <c r="H91" i="177"/>
  <c r="H30" i="177"/>
  <c r="H38" i="177"/>
  <c r="H58" i="177"/>
  <c r="H32" i="177"/>
  <c r="H9" i="177"/>
  <c r="H25" i="177"/>
  <c r="H41" i="177"/>
  <c r="H10" i="177"/>
  <c r="H34" i="177"/>
  <c r="H42" i="177"/>
  <c r="K42" i="177" s="1"/>
  <c r="H11" i="177"/>
  <c r="H8" i="177"/>
  <c r="H22" i="176"/>
  <c r="H28" i="177"/>
  <c r="H36" i="177"/>
  <c r="H71" i="177"/>
  <c r="H18" i="176"/>
  <c r="H86" i="177"/>
  <c r="H24" i="177"/>
  <c r="H33" i="177"/>
  <c r="H87" i="177"/>
  <c r="H59" i="177"/>
  <c r="H84" i="177"/>
  <c r="H70" i="176"/>
  <c r="H17" i="177"/>
  <c r="H88" i="177"/>
  <c r="H35" i="177"/>
  <c r="H83" i="177"/>
  <c r="H19" i="177"/>
  <c r="H65" i="177"/>
  <c r="H61" i="177"/>
  <c r="H90" i="177"/>
  <c r="H69" i="177"/>
  <c r="H67" i="177"/>
  <c r="H64" i="177"/>
  <c r="H13" i="177"/>
  <c r="H73" i="177"/>
  <c r="H66" i="177"/>
  <c r="H68" i="177"/>
  <c r="H77" i="177"/>
  <c r="H14" i="177"/>
  <c r="H75" i="177"/>
  <c r="H81" i="177"/>
  <c r="H74" i="177"/>
  <c r="H82" i="177"/>
  <c r="H40" i="177"/>
  <c r="H89" i="177"/>
  <c r="H20" i="176"/>
  <c r="H14" i="176"/>
  <c r="H64" i="176"/>
  <c r="H33" i="176"/>
  <c r="H72" i="176"/>
  <c r="H13" i="176"/>
  <c r="H15" i="176"/>
  <c r="H29" i="176"/>
  <c r="H17" i="176"/>
  <c r="H34" i="176"/>
  <c r="H62" i="176"/>
  <c r="H36" i="176"/>
  <c r="H30" i="176"/>
  <c r="H31" i="176"/>
  <c r="H25" i="176"/>
  <c r="H54" i="176"/>
  <c r="H24" i="176"/>
  <c r="H81" i="176"/>
  <c r="H67" i="176"/>
  <c r="H26" i="176"/>
  <c r="H78" i="176"/>
  <c r="H80" i="176"/>
  <c r="H16" i="176"/>
  <c r="H19" i="176"/>
  <c r="H21" i="176"/>
  <c r="H56" i="176"/>
  <c r="H23" i="176"/>
  <c r="H55" i="176"/>
  <c r="H10" i="176"/>
  <c r="H11" i="176"/>
  <c r="H27" i="176"/>
  <c r="H35" i="176"/>
  <c r="H68" i="176"/>
  <c r="H12" i="176"/>
  <c r="H28" i="176"/>
  <c r="H32" i="176"/>
  <c r="H53" i="176"/>
  <c r="H76" i="176"/>
  <c r="H61" i="176"/>
  <c r="H69" i="176"/>
  <c r="H71" i="176"/>
  <c r="H60" i="176"/>
  <c r="H58" i="176"/>
  <c r="H75" i="176"/>
  <c r="H77" i="176"/>
  <c r="H79" i="176"/>
  <c r="H66" i="176"/>
  <c r="H74" i="176"/>
  <c r="H57" i="176"/>
  <c r="H65" i="176"/>
  <c r="H59" i="176"/>
  <c r="H73" i="176"/>
  <c r="H8" i="175"/>
  <c r="H41" i="175"/>
  <c r="F84" i="226" l="1"/>
  <c r="G84" i="226" s="1"/>
  <c r="C85" i="226"/>
  <c r="B86" i="226"/>
  <c r="A87" i="226"/>
  <c r="L4" i="195"/>
  <c r="L4" i="191"/>
  <c r="L4" i="189"/>
  <c r="L5" i="199"/>
  <c r="L5" i="187"/>
  <c r="L5" i="190"/>
  <c r="M4" i="202"/>
  <c r="K19" i="176"/>
  <c r="L19" i="176" s="1"/>
  <c r="K31" i="176"/>
  <c r="L31" i="176" s="1"/>
  <c r="K22" i="176"/>
  <c r="L22" i="176" s="1"/>
  <c r="K29" i="177"/>
  <c r="L29" i="177" s="1"/>
  <c r="K10" i="175"/>
  <c r="L10" i="175" s="1"/>
  <c r="L41" i="184"/>
  <c r="K21" i="176"/>
  <c r="L21" i="176" s="1"/>
  <c r="K30" i="176"/>
  <c r="L30" i="176" s="1"/>
  <c r="K20" i="176"/>
  <c r="L20" i="176" s="1"/>
  <c r="K13" i="177"/>
  <c r="L13" i="177" s="1"/>
  <c r="K8" i="177"/>
  <c r="L8" i="177" s="1"/>
  <c r="K9" i="176"/>
  <c r="L9" i="176" s="1"/>
  <c r="L5" i="205"/>
  <c r="K9" i="175"/>
  <c r="L9" i="175" s="1"/>
  <c r="K34" i="176"/>
  <c r="L34" i="176" s="1"/>
  <c r="K39" i="177"/>
  <c r="L39" i="177" s="1"/>
  <c r="L5" i="189"/>
  <c r="L5" i="198"/>
  <c r="K34" i="177"/>
  <c r="L34" i="177" s="1"/>
  <c r="K10" i="177"/>
  <c r="L10" i="177" s="1"/>
  <c r="K21" i="177"/>
  <c r="L21" i="177" s="1"/>
  <c r="K25" i="175"/>
  <c r="L25" i="175" s="1"/>
  <c r="K18" i="177"/>
  <c r="L18" i="177" s="1"/>
  <c r="K36" i="176"/>
  <c r="L36" i="176" s="1"/>
  <c r="K15" i="177"/>
  <c r="L15" i="177" s="1"/>
  <c r="K12" i="176"/>
  <c r="L12" i="176" s="1"/>
  <c r="K37" i="177"/>
  <c r="L37" i="177" s="1"/>
  <c r="K17" i="176"/>
  <c r="L17" i="176" s="1"/>
  <c r="K33" i="177"/>
  <c r="L33" i="177" s="1"/>
  <c r="K35" i="176"/>
  <c r="L35" i="176" s="1"/>
  <c r="K26" i="176"/>
  <c r="L26" i="176" s="1"/>
  <c r="K29" i="176"/>
  <c r="L29" i="176" s="1"/>
  <c r="K24" i="177"/>
  <c r="L24" i="177" s="1"/>
  <c r="K41" i="177"/>
  <c r="L41" i="177" s="1"/>
  <c r="K22" i="177"/>
  <c r="L22" i="177" s="1"/>
  <c r="K24" i="175"/>
  <c r="L24" i="175" s="1"/>
  <c r="K16" i="175"/>
  <c r="L16" i="175" s="1"/>
  <c r="K27" i="176"/>
  <c r="L27" i="176" s="1"/>
  <c r="K15" i="176"/>
  <c r="L15" i="176" s="1"/>
  <c r="K25" i="177"/>
  <c r="L25" i="177" s="1"/>
  <c r="K12" i="177"/>
  <c r="L12" i="177" s="1"/>
  <c r="K17" i="175"/>
  <c r="L17" i="175" s="1"/>
  <c r="K20" i="175"/>
  <c r="L20" i="175" s="1"/>
  <c r="K19" i="175"/>
  <c r="L19" i="175" s="1"/>
  <c r="K32" i="176"/>
  <c r="L32" i="176" s="1"/>
  <c r="K21" i="175"/>
  <c r="L21" i="175" s="1"/>
  <c r="K16" i="176"/>
  <c r="L16" i="176" s="1"/>
  <c r="K11" i="176"/>
  <c r="L11" i="176" s="1"/>
  <c r="K13" i="176"/>
  <c r="L13" i="176" s="1"/>
  <c r="K14" i="177"/>
  <c r="L14" i="177" s="1"/>
  <c r="K19" i="177"/>
  <c r="L19" i="177" s="1"/>
  <c r="K18" i="176"/>
  <c r="L18" i="176" s="1"/>
  <c r="K9" i="177"/>
  <c r="L9" i="177" s="1"/>
  <c r="K20" i="177"/>
  <c r="L20" i="177" s="1"/>
  <c r="K13" i="175"/>
  <c r="L13" i="175" s="1"/>
  <c r="K22" i="175"/>
  <c r="L22" i="175" s="1"/>
  <c r="K40" i="177"/>
  <c r="L40" i="177" s="1"/>
  <c r="K24" i="176"/>
  <c r="L24" i="176" s="1"/>
  <c r="K32" i="177"/>
  <c r="L32" i="177" s="1"/>
  <c r="K11" i="177"/>
  <c r="L11" i="177" s="1"/>
  <c r="K28" i="176"/>
  <c r="L28" i="176" s="1"/>
  <c r="K14" i="175"/>
  <c r="L14" i="175" s="1"/>
  <c r="K23" i="177"/>
  <c r="L23" i="177" s="1"/>
  <c r="K12" i="175"/>
  <c r="L12" i="175" s="1"/>
  <c r="K33" i="176"/>
  <c r="L33" i="176" s="1"/>
  <c r="K35" i="177"/>
  <c r="L35" i="177" s="1"/>
  <c r="K36" i="177"/>
  <c r="L36" i="177" s="1"/>
  <c r="K15" i="175"/>
  <c r="L15" i="175" s="1"/>
  <c r="K8" i="176"/>
  <c r="L8" i="176" s="1"/>
  <c r="L42" i="183"/>
  <c r="L4" i="183" s="1"/>
  <c r="K8" i="175"/>
  <c r="L8" i="175" s="1"/>
  <c r="K10" i="176"/>
  <c r="L10" i="176" s="1"/>
  <c r="K26" i="177"/>
  <c r="L26" i="177" s="1"/>
  <c r="K18" i="175"/>
  <c r="L18" i="175" s="1"/>
  <c r="K23" i="176"/>
  <c r="L23" i="176" s="1"/>
  <c r="K25" i="176"/>
  <c r="L25" i="176" s="1"/>
  <c r="K28" i="177"/>
  <c r="L28" i="177" s="1"/>
  <c r="K38" i="177"/>
  <c r="L38" i="177" s="1"/>
  <c r="K16" i="177"/>
  <c r="L16" i="177" s="1"/>
  <c r="K27" i="177"/>
  <c r="L27" i="177" s="1"/>
  <c r="K11" i="175"/>
  <c r="L11" i="175" s="1"/>
  <c r="K23" i="175"/>
  <c r="L23" i="175" s="1"/>
  <c r="K14" i="176"/>
  <c r="L14" i="176" s="1"/>
  <c r="K17" i="177"/>
  <c r="L17" i="177" s="1"/>
  <c r="K30" i="177"/>
  <c r="L30" i="177" s="1"/>
  <c r="K31" i="177"/>
  <c r="L31" i="177" s="1"/>
  <c r="L82" i="180"/>
  <c r="L96" i="179"/>
  <c r="L5" i="179" s="1"/>
  <c r="L96" i="185"/>
  <c r="L90" i="183"/>
  <c r="L5" i="183" s="1"/>
  <c r="L88" i="184"/>
  <c r="L86" i="181"/>
  <c r="L5" i="181" s="1"/>
  <c r="K77" i="177"/>
  <c r="L77" i="177" s="1"/>
  <c r="K41" i="175"/>
  <c r="L41" i="175" s="1"/>
  <c r="K60" i="176"/>
  <c r="L60" i="176" s="1"/>
  <c r="K81" i="176"/>
  <c r="L81" i="176" s="1"/>
  <c r="K70" i="177"/>
  <c r="L70" i="177" s="1"/>
  <c r="K42" i="175"/>
  <c r="L42" i="175" s="1"/>
  <c r="K57" i="175"/>
  <c r="L57" i="175" s="1"/>
  <c r="K73" i="176"/>
  <c r="L73" i="176" s="1"/>
  <c r="K69" i="176"/>
  <c r="L69" i="176" s="1"/>
  <c r="K55" i="176"/>
  <c r="L55" i="176" s="1"/>
  <c r="K54" i="176"/>
  <c r="L54" i="176" s="1"/>
  <c r="K68" i="177"/>
  <c r="L68" i="177" s="1"/>
  <c r="K58" i="177"/>
  <c r="L58" i="177" s="1"/>
  <c r="K76" i="177"/>
  <c r="L76" i="177" s="1"/>
  <c r="K85" i="177"/>
  <c r="L85" i="177" s="1"/>
  <c r="K54" i="175"/>
  <c r="L54" i="175" s="1"/>
  <c r="K49" i="175"/>
  <c r="L49" i="175" s="1"/>
  <c r="K61" i="176"/>
  <c r="L61" i="176" s="1"/>
  <c r="K88" i="177"/>
  <c r="L88" i="177" s="1"/>
  <c r="K76" i="176"/>
  <c r="L76" i="176" s="1"/>
  <c r="K56" i="176"/>
  <c r="L56" i="176" s="1"/>
  <c r="K73" i="177"/>
  <c r="L73" i="177" s="1"/>
  <c r="K43" i="175"/>
  <c r="L43" i="175" s="1"/>
  <c r="K71" i="177"/>
  <c r="L71" i="177" s="1"/>
  <c r="K70" i="176"/>
  <c r="L70" i="176" s="1"/>
  <c r="K91" i="177"/>
  <c r="L91" i="177" s="1"/>
  <c r="K63" i="176"/>
  <c r="L63" i="176" s="1"/>
  <c r="L5" i="191"/>
  <c r="K51" i="175"/>
  <c r="L51" i="175" s="1"/>
  <c r="K72" i="176"/>
  <c r="L72" i="176" s="1"/>
  <c r="K59" i="175"/>
  <c r="L59" i="175" s="1"/>
  <c r="K66" i="177"/>
  <c r="L66" i="177" s="1"/>
  <c r="K89" i="177"/>
  <c r="L89" i="177" s="1"/>
  <c r="K64" i="177"/>
  <c r="L64" i="177" s="1"/>
  <c r="K84" i="177"/>
  <c r="L84" i="177" s="1"/>
  <c r="K63" i="177"/>
  <c r="L63" i="177" s="1"/>
  <c r="K46" i="175"/>
  <c r="L46" i="175" s="1"/>
  <c r="K66" i="176"/>
  <c r="L66" i="176" s="1"/>
  <c r="K62" i="176"/>
  <c r="L62" i="176" s="1"/>
  <c r="K67" i="177"/>
  <c r="L67" i="177" s="1"/>
  <c r="K59" i="177"/>
  <c r="L59" i="177" s="1"/>
  <c r="K60" i="177"/>
  <c r="L60" i="177" s="1"/>
  <c r="K79" i="177"/>
  <c r="L79" i="177" s="1"/>
  <c r="K62" i="177"/>
  <c r="L62" i="177" s="1"/>
  <c r="K58" i="175"/>
  <c r="L58" i="175" s="1"/>
  <c r="K71" i="176"/>
  <c r="L71" i="176" s="1"/>
  <c r="K48" i="175"/>
  <c r="L48" i="175" s="1"/>
  <c r="K57" i="177"/>
  <c r="L57" i="177" s="1"/>
  <c r="K52" i="175"/>
  <c r="L52" i="175" s="1"/>
  <c r="K74" i="176"/>
  <c r="L74" i="176" s="1"/>
  <c r="K79" i="176"/>
  <c r="L79" i="176" s="1"/>
  <c r="K80" i="176"/>
  <c r="L80" i="176" s="1"/>
  <c r="K82" i="177"/>
  <c r="L82" i="177" s="1"/>
  <c r="K69" i="177"/>
  <c r="L69" i="177" s="1"/>
  <c r="K87" i="177"/>
  <c r="L87" i="177" s="1"/>
  <c r="K45" i="175"/>
  <c r="L45" i="175" s="1"/>
  <c r="K50" i="175"/>
  <c r="L50" i="175" s="1"/>
  <c r="K83" i="177"/>
  <c r="L83" i="177" s="1"/>
  <c r="K65" i="176"/>
  <c r="L65" i="176" s="1"/>
  <c r="K53" i="176"/>
  <c r="L53" i="176" s="1"/>
  <c r="K77" i="176"/>
  <c r="L77" i="176" s="1"/>
  <c r="K68" i="176"/>
  <c r="L68" i="176" s="1"/>
  <c r="K78" i="176"/>
  <c r="L78" i="176" s="1"/>
  <c r="K74" i="177"/>
  <c r="L74" i="177" s="1"/>
  <c r="K90" i="177"/>
  <c r="L90" i="177" s="1"/>
  <c r="K78" i="177"/>
  <c r="L78" i="177" s="1"/>
  <c r="K47" i="175"/>
  <c r="L47" i="175" s="1"/>
  <c r="K52" i="176"/>
  <c r="L52" i="176" s="1"/>
  <c r="K57" i="176"/>
  <c r="L57" i="176" s="1"/>
  <c r="K75" i="176"/>
  <c r="L75" i="176" s="1"/>
  <c r="K81" i="177"/>
  <c r="L81" i="177" s="1"/>
  <c r="K61" i="177"/>
  <c r="L61" i="177" s="1"/>
  <c r="K72" i="177"/>
  <c r="L72" i="177" s="1"/>
  <c r="K53" i="175"/>
  <c r="L53" i="175" s="1"/>
  <c r="K59" i="176"/>
  <c r="L59" i="176" s="1"/>
  <c r="K64" i="176"/>
  <c r="L64" i="176" s="1"/>
  <c r="K58" i="176"/>
  <c r="L58" i="176" s="1"/>
  <c r="K67" i="176"/>
  <c r="L67" i="176" s="1"/>
  <c r="K75" i="177"/>
  <c r="L75" i="177" s="1"/>
  <c r="K65" i="177"/>
  <c r="L65" i="177" s="1"/>
  <c r="K86" i="177"/>
  <c r="L86" i="177" s="1"/>
  <c r="K80" i="177"/>
  <c r="L80" i="177" s="1"/>
  <c r="K56" i="175"/>
  <c r="L56" i="175" s="1"/>
  <c r="K55" i="175"/>
  <c r="L55" i="175" s="1"/>
  <c r="L4" i="211"/>
  <c r="L4" i="193"/>
  <c r="L4" i="194"/>
  <c r="L4" i="190"/>
  <c r="L4" i="192"/>
  <c r="L4" i="209"/>
  <c r="L45" i="185"/>
  <c r="L26" i="175"/>
  <c r="G3" i="175"/>
  <c r="G4" i="175" s="1"/>
  <c r="L44" i="175"/>
  <c r="L38" i="180"/>
  <c r="L40" i="181"/>
  <c r="L45" i="179"/>
  <c r="L42" i="177"/>
  <c r="G3" i="177"/>
  <c r="G4" i="177" s="1"/>
  <c r="L37" i="176"/>
  <c r="G3" i="176"/>
  <c r="G4" i="176" s="1"/>
  <c r="F85" i="226" l="1"/>
  <c r="G85" i="226" s="1"/>
  <c r="C86" i="226"/>
  <c r="B87" i="226"/>
  <c r="A88" i="226"/>
  <c r="L5" i="180"/>
  <c r="L4" i="184"/>
  <c r="L27" i="175"/>
  <c r="L5" i="184"/>
  <c r="L5" i="185"/>
  <c r="L43" i="177"/>
  <c r="L4" i="177" s="1"/>
  <c r="L38" i="176"/>
  <c r="L4" i="176" s="1"/>
  <c r="L92" i="177"/>
  <c r="L5" i="177" s="1"/>
  <c r="L82" i="176"/>
  <c r="L5" i="176" s="1"/>
  <c r="L60" i="175"/>
  <c r="L4" i="185"/>
  <c r="L4" i="180"/>
  <c r="L4" i="181"/>
  <c r="L4" i="179"/>
  <c r="F86" i="226" l="1"/>
  <c r="G86" i="226" s="1"/>
  <c r="C87" i="226"/>
  <c r="B88" i="226"/>
  <c r="A89" i="226"/>
  <c r="L4" i="175"/>
  <c r="L5" i="175"/>
  <c r="F87" i="226" l="1"/>
  <c r="G87" i="226" s="1"/>
  <c r="C88" i="226"/>
  <c r="B89" i="226"/>
  <c r="A90" i="226"/>
  <c r="E43" i="19"/>
  <c r="E45" i="19"/>
  <c r="D50" i="19" s="1"/>
  <c r="E47" i="19"/>
  <c r="D51" i="19" s="1"/>
  <c r="B54" i="19"/>
  <c r="D54" i="19"/>
  <c r="B55" i="19"/>
  <c r="D55" i="19"/>
  <c r="B56" i="19"/>
  <c r="D56" i="19"/>
  <c r="B57" i="19"/>
  <c r="D57" i="19"/>
  <c r="B58" i="19"/>
  <c r="D58" i="19"/>
  <c r="B59" i="19"/>
  <c r="D59" i="19"/>
  <c r="B60" i="19"/>
  <c r="D60" i="19"/>
  <c r="B61" i="19"/>
  <c r="D61" i="19"/>
  <c r="B62" i="19"/>
  <c r="D62" i="19"/>
  <c r="B63" i="19"/>
  <c r="D63" i="19"/>
  <c r="B64" i="19"/>
  <c r="D64" i="19"/>
  <c r="B65" i="19"/>
  <c r="D65" i="19"/>
  <c r="B66" i="19"/>
  <c r="D66" i="19"/>
  <c r="B67" i="19"/>
  <c r="D67" i="19"/>
  <c r="B68" i="19"/>
  <c r="D68" i="19"/>
  <c r="B69" i="19"/>
  <c r="D69" i="19"/>
  <c r="B70" i="19"/>
  <c r="D70" i="19"/>
  <c r="B71" i="19"/>
  <c r="D71" i="19"/>
  <c r="B72" i="19"/>
  <c r="D72" i="19"/>
  <c r="B73" i="19"/>
  <c r="D73" i="19"/>
  <c r="B74" i="19"/>
  <c r="D74" i="19"/>
  <c r="B75" i="19"/>
  <c r="D75" i="19"/>
  <c r="B76" i="19"/>
  <c r="D76" i="19"/>
  <c r="B77" i="19"/>
  <c r="D77" i="19"/>
  <c r="B78" i="19"/>
  <c r="D78" i="19"/>
  <c r="B79" i="19"/>
  <c r="D79" i="19"/>
  <c r="B80" i="19"/>
  <c r="D80" i="19"/>
  <c r="B81" i="19"/>
  <c r="D81" i="19"/>
  <c r="B82" i="19"/>
  <c r="D82" i="19"/>
  <c r="B83" i="19"/>
  <c r="D83" i="19"/>
  <c r="B84" i="19"/>
  <c r="D84" i="19"/>
  <c r="B85" i="19"/>
  <c r="D85" i="19"/>
  <c r="F88" i="226" l="1"/>
  <c r="G88" i="226" s="1"/>
  <c r="C89" i="226"/>
  <c r="B90" i="226"/>
  <c r="A91" i="226"/>
  <c r="C63" i="19"/>
  <c r="E63" i="19" s="1"/>
  <c r="C84" i="19"/>
  <c r="E84" i="19" s="1"/>
  <c r="C72" i="19"/>
  <c r="E72" i="19" s="1"/>
  <c r="C68" i="19"/>
  <c r="E68" i="19" s="1"/>
  <c r="C75" i="19"/>
  <c r="E75" i="19" s="1"/>
  <c r="C59" i="19"/>
  <c r="E59" i="19" s="1"/>
  <c r="C82" i="19"/>
  <c r="E82" i="19" s="1"/>
  <c r="C78" i="19"/>
  <c r="E78" i="19" s="1"/>
  <c r="C74" i="19"/>
  <c r="E74" i="19" s="1"/>
  <c r="C70" i="19"/>
  <c r="E70" i="19" s="1"/>
  <c r="C66" i="19"/>
  <c r="E66" i="19" s="1"/>
  <c r="C62" i="19"/>
  <c r="E62" i="19" s="1"/>
  <c r="C58" i="19"/>
  <c r="E58" i="19" s="1"/>
  <c r="C54" i="19"/>
  <c r="E54" i="19" s="1"/>
  <c r="C67" i="19"/>
  <c r="E67" i="19" s="1"/>
  <c r="C85" i="19"/>
  <c r="E85" i="19" s="1"/>
  <c r="C81" i="19"/>
  <c r="E81" i="19" s="1"/>
  <c r="C77" i="19"/>
  <c r="E77" i="19" s="1"/>
  <c r="C73" i="19"/>
  <c r="E73" i="19" s="1"/>
  <c r="C69" i="19"/>
  <c r="E69" i="19" s="1"/>
  <c r="C65" i="19"/>
  <c r="E65" i="19" s="1"/>
  <c r="C61" i="19"/>
  <c r="E61" i="19" s="1"/>
  <c r="C57" i="19"/>
  <c r="E57" i="19" s="1"/>
  <c r="C76" i="19"/>
  <c r="E76" i="19" s="1"/>
  <c r="C64" i="19"/>
  <c r="E64" i="19" s="1"/>
  <c r="C56" i="19"/>
  <c r="E56" i="19" s="1"/>
  <c r="C80" i="19"/>
  <c r="E80" i="19" s="1"/>
  <c r="C60" i="19"/>
  <c r="E60" i="19" s="1"/>
  <c r="C83" i="19"/>
  <c r="E83" i="19" s="1"/>
  <c r="C71" i="19"/>
  <c r="E71" i="19" s="1"/>
  <c r="C55" i="19"/>
  <c r="E55" i="19" s="1"/>
  <c r="C79" i="19"/>
  <c r="E79" i="19" s="1"/>
  <c r="G59" i="19"/>
  <c r="G55" i="19"/>
  <c r="F54" i="19"/>
  <c r="F56" i="19"/>
  <c r="F58" i="19"/>
  <c r="F60" i="19"/>
  <c r="F62" i="19"/>
  <c r="F64" i="19"/>
  <c r="F66" i="19"/>
  <c r="F68" i="19"/>
  <c r="F70" i="19"/>
  <c r="F72" i="19"/>
  <c r="F74" i="19"/>
  <c r="F76" i="19"/>
  <c r="F78" i="19"/>
  <c r="F80" i="19"/>
  <c r="F82" i="19"/>
  <c r="F84" i="19"/>
  <c r="F55" i="19"/>
  <c r="F57" i="19"/>
  <c r="F59" i="19"/>
  <c r="F61" i="19"/>
  <c r="F63" i="19"/>
  <c r="F65" i="19"/>
  <c r="F67" i="19"/>
  <c r="F69" i="19"/>
  <c r="F71" i="19"/>
  <c r="F73" i="19"/>
  <c r="F75" i="19"/>
  <c r="F77" i="19"/>
  <c r="F79" i="19"/>
  <c r="F81" i="19"/>
  <c r="F83" i="19"/>
  <c r="F85" i="19"/>
  <c r="G85" i="19"/>
  <c r="G71" i="19"/>
  <c r="G79" i="19"/>
  <c r="G63" i="19"/>
  <c r="G84" i="19"/>
  <c r="G75" i="19"/>
  <c r="G67" i="19"/>
  <c r="G54" i="19"/>
  <c r="G81" i="19"/>
  <c r="G77" i="19"/>
  <c r="G73" i="19"/>
  <c r="G69" i="19"/>
  <c r="G65" i="19"/>
  <c r="G61" i="19"/>
  <c r="G57" i="19"/>
  <c r="G83" i="19"/>
  <c r="G82" i="19"/>
  <c r="G80" i="19"/>
  <c r="G78" i="19"/>
  <c r="G76" i="19"/>
  <c r="G74" i="19"/>
  <c r="G72" i="19"/>
  <c r="G70" i="19"/>
  <c r="G68" i="19"/>
  <c r="G66" i="19"/>
  <c r="G64" i="19"/>
  <c r="G62" i="19"/>
  <c r="G60" i="19"/>
  <c r="G58" i="19"/>
  <c r="G56" i="19"/>
  <c r="F89" i="226" l="1"/>
  <c r="G89" i="226" s="1"/>
  <c r="C90" i="226"/>
  <c r="B91" i="226"/>
  <c r="A92" i="226"/>
  <c r="F90" i="226" l="1"/>
  <c r="G90" i="226" s="1"/>
  <c r="C91" i="226"/>
  <c r="B92" i="226"/>
  <c r="A93" i="226"/>
  <c r="F91" i="226" l="1"/>
  <c r="G91" i="226" s="1"/>
  <c r="C92" i="226"/>
  <c r="B93" i="226"/>
  <c r="A94" i="226"/>
  <c r="F92" i="226" l="1"/>
  <c r="G92" i="226" s="1"/>
  <c r="C93" i="226"/>
  <c r="B94" i="226"/>
  <c r="A95" i="226"/>
  <c r="F93" i="226" l="1"/>
  <c r="G93" i="226" s="1"/>
  <c r="C94" i="226"/>
  <c r="B95" i="226"/>
  <c r="A96" i="226"/>
  <c r="F94" i="226" l="1"/>
  <c r="G94" i="226" s="1"/>
  <c r="C95" i="226"/>
  <c r="B96" i="226"/>
  <c r="A97" i="226"/>
  <c r="F95" i="226" l="1"/>
  <c r="G95" i="226" s="1"/>
  <c r="C96" i="226"/>
  <c r="B97" i="226"/>
  <c r="A98" i="226"/>
  <c r="P49" i="115"/>
  <c r="P48" i="115"/>
  <c r="P47" i="115"/>
  <c r="P46" i="115"/>
  <c r="P45" i="115"/>
  <c r="P44" i="115"/>
  <c r="P43" i="115"/>
  <c r="P42" i="115"/>
  <c r="P41" i="115"/>
  <c r="P40" i="115"/>
  <c r="P39" i="115"/>
  <c r="P38" i="115"/>
  <c r="P37" i="115"/>
  <c r="P36" i="115"/>
  <c r="P35" i="115"/>
  <c r="P34" i="115"/>
  <c r="P33" i="115"/>
  <c r="P32" i="115"/>
  <c r="P31" i="115"/>
  <c r="P30" i="115"/>
  <c r="P29" i="115"/>
  <c r="P28" i="115"/>
  <c r="P27" i="115"/>
  <c r="P26" i="115"/>
  <c r="P25" i="115"/>
  <c r="P24" i="115"/>
  <c r="P23" i="115"/>
  <c r="P22" i="115"/>
  <c r="P21" i="115"/>
  <c r="P20" i="115"/>
  <c r="P19" i="115"/>
  <c r="P18" i="115"/>
  <c r="P17" i="115"/>
  <c r="P16" i="115"/>
  <c r="P15" i="115"/>
  <c r="P14" i="115"/>
  <c r="P13" i="115"/>
  <c r="P12" i="115"/>
  <c r="P11" i="115"/>
  <c r="P10" i="115"/>
  <c r="P9" i="115"/>
  <c r="P8" i="115"/>
  <c r="P7" i="115"/>
  <c r="P6" i="115"/>
  <c r="P5" i="115"/>
  <c r="P4" i="115"/>
  <c r="P3" i="115"/>
  <c r="D8" i="19"/>
  <c r="B8" i="19"/>
  <c r="C8" i="19" s="1"/>
  <c r="E8" i="19" s="1" a="1"/>
  <c r="E8" i="19" s="1"/>
  <c r="B35" i="1"/>
  <c r="B34" i="1"/>
  <c r="L482" i="3"/>
  <c r="K481" i="3"/>
  <c r="F481" i="3"/>
  <c r="L481" i="3" s="1"/>
  <c r="K480" i="3"/>
  <c r="F480" i="3"/>
  <c r="L480" i="3" s="1"/>
  <c r="K479" i="3"/>
  <c r="F479" i="3"/>
  <c r="L479" i="3" s="1"/>
  <c r="L478" i="3"/>
  <c r="K478" i="3"/>
  <c r="L477" i="3"/>
  <c r="K477" i="3"/>
  <c r="L476" i="3"/>
  <c r="K476" i="3"/>
  <c r="L475" i="3"/>
  <c r="K475" i="3"/>
  <c r="L474" i="3"/>
  <c r="K474" i="3"/>
  <c r="L473" i="3"/>
  <c r="K473" i="3"/>
  <c r="L472" i="3"/>
  <c r="K472" i="3"/>
  <c r="L471" i="3"/>
  <c r="K471" i="3"/>
  <c r="L470" i="3"/>
  <c r="K470" i="3"/>
  <c r="L469" i="3"/>
  <c r="K469" i="3"/>
  <c r="L468" i="3"/>
  <c r="K468" i="3"/>
  <c r="L467" i="3"/>
  <c r="K467" i="3"/>
  <c r="L466" i="3"/>
  <c r="K466" i="3"/>
  <c r="L465" i="3"/>
  <c r="K465" i="3"/>
  <c r="L464" i="3"/>
  <c r="K464" i="3"/>
  <c r="L463" i="3"/>
  <c r="K463" i="3"/>
  <c r="L462" i="3"/>
  <c r="K462" i="3"/>
  <c r="L461" i="3"/>
  <c r="K461" i="3"/>
  <c r="L460" i="3"/>
  <c r="K460" i="3"/>
  <c r="L459" i="3"/>
  <c r="K459" i="3"/>
  <c r="L458" i="3"/>
  <c r="K458" i="3"/>
  <c r="L457" i="3"/>
  <c r="K457" i="3"/>
  <c r="L456" i="3"/>
  <c r="K456" i="3"/>
  <c r="L455" i="3"/>
  <c r="K455" i="3"/>
  <c r="L454" i="3"/>
  <c r="K454" i="3"/>
  <c r="L453" i="3"/>
  <c r="K453" i="3"/>
  <c r="L452" i="3"/>
  <c r="K452" i="3"/>
  <c r="L451" i="3"/>
  <c r="K451" i="3"/>
  <c r="L450" i="3"/>
  <c r="K450" i="3"/>
  <c r="L449" i="3"/>
  <c r="K449" i="3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37" i="3"/>
  <c r="K437" i="3"/>
  <c r="L436" i="3"/>
  <c r="K436" i="3"/>
  <c r="L435" i="3"/>
  <c r="K435" i="3"/>
  <c r="L434" i="3"/>
  <c r="K434" i="3"/>
  <c r="L433" i="3"/>
  <c r="K433" i="3"/>
  <c r="L432" i="3"/>
  <c r="K432" i="3"/>
  <c r="L431" i="3"/>
  <c r="K431" i="3"/>
  <c r="L430" i="3"/>
  <c r="K430" i="3"/>
  <c r="L429" i="3"/>
  <c r="K429" i="3"/>
  <c r="L428" i="3"/>
  <c r="K428" i="3"/>
  <c r="L427" i="3"/>
  <c r="K427" i="3"/>
  <c r="L426" i="3"/>
  <c r="K426" i="3"/>
  <c r="L425" i="3"/>
  <c r="K425" i="3"/>
  <c r="L424" i="3"/>
  <c r="K424" i="3"/>
  <c r="L423" i="3"/>
  <c r="K423" i="3"/>
  <c r="L422" i="3"/>
  <c r="K422" i="3"/>
  <c r="L421" i="3"/>
  <c r="K421" i="3"/>
  <c r="L420" i="3"/>
  <c r="K420" i="3"/>
  <c r="L419" i="3"/>
  <c r="K419" i="3"/>
  <c r="L418" i="3"/>
  <c r="K418" i="3"/>
  <c r="L417" i="3"/>
  <c r="K417" i="3"/>
  <c r="L416" i="3"/>
  <c r="K416" i="3"/>
  <c r="L415" i="3"/>
  <c r="K415" i="3"/>
  <c r="L414" i="3"/>
  <c r="K414" i="3"/>
  <c r="L413" i="3"/>
  <c r="K413" i="3"/>
  <c r="L412" i="3"/>
  <c r="K412" i="3"/>
  <c r="L411" i="3"/>
  <c r="K411" i="3"/>
  <c r="L410" i="3"/>
  <c r="K410" i="3"/>
  <c r="L409" i="3"/>
  <c r="K409" i="3"/>
  <c r="L408" i="3"/>
  <c r="K408" i="3"/>
  <c r="L407" i="3"/>
  <c r="K407" i="3"/>
  <c r="L406" i="3"/>
  <c r="K406" i="3"/>
  <c r="L405" i="3"/>
  <c r="K405" i="3"/>
  <c r="L404" i="3"/>
  <c r="K404" i="3"/>
  <c r="L403" i="3"/>
  <c r="K403" i="3"/>
  <c r="L402" i="3"/>
  <c r="K402" i="3"/>
  <c r="L401" i="3"/>
  <c r="K401" i="3"/>
  <c r="L400" i="3"/>
  <c r="K400" i="3"/>
  <c r="L399" i="3"/>
  <c r="K399" i="3"/>
  <c r="L398" i="3"/>
  <c r="K398" i="3"/>
  <c r="L397" i="3"/>
  <c r="K397" i="3"/>
  <c r="L396" i="3"/>
  <c r="K396" i="3"/>
  <c r="L395" i="3"/>
  <c r="K395" i="3"/>
  <c r="L394" i="3"/>
  <c r="K394" i="3"/>
  <c r="L393" i="3"/>
  <c r="K393" i="3"/>
  <c r="L392" i="3"/>
  <c r="K392" i="3"/>
  <c r="L391" i="3"/>
  <c r="K391" i="3"/>
  <c r="L390" i="3"/>
  <c r="K390" i="3"/>
  <c r="L389" i="3"/>
  <c r="K389" i="3"/>
  <c r="L388" i="3"/>
  <c r="K388" i="3"/>
  <c r="L387" i="3"/>
  <c r="K387" i="3"/>
  <c r="L386" i="3"/>
  <c r="K386" i="3"/>
  <c r="L385" i="3"/>
  <c r="K385" i="3"/>
  <c r="L384" i="3"/>
  <c r="K384" i="3"/>
  <c r="L383" i="3"/>
  <c r="K383" i="3"/>
  <c r="L382" i="3"/>
  <c r="K382" i="3"/>
  <c r="L381" i="3"/>
  <c r="K381" i="3"/>
  <c r="L380" i="3"/>
  <c r="K380" i="3"/>
  <c r="L379" i="3"/>
  <c r="K379" i="3"/>
  <c r="L378" i="3"/>
  <c r="K378" i="3"/>
  <c r="L377" i="3"/>
  <c r="K377" i="3"/>
  <c r="L376" i="3"/>
  <c r="K376" i="3"/>
  <c r="L375" i="3"/>
  <c r="K375" i="3"/>
  <c r="L374" i="3"/>
  <c r="K374" i="3"/>
  <c r="L373" i="3"/>
  <c r="K373" i="3"/>
  <c r="L372" i="3"/>
  <c r="K372" i="3"/>
  <c r="L371" i="3"/>
  <c r="K371" i="3"/>
  <c r="L370" i="3"/>
  <c r="K370" i="3"/>
  <c r="L369" i="3"/>
  <c r="K369" i="3"/>
  <c r="L368" i="3"/>
  <c r="K368" i="3"/>
  <c r="L367" i="3"/>
  <c r="K367" i="3"/>
  <c r="L366" i="3"/>
  <c r="K366" i="3"/>
  <c r="L365" i="3"/>
  <c r="K365" i="3"/>
  <c r="L364" i="3"/>
  <c r="K364" i="3"/>
  <c r="L363" i="3"/>
  <c r="K363" i="3"/>
  <c r="L362" i="3"/>
  <c r="K362" i="3"/>
  <c r="L361" i="3"/>
  <c r="K361" i="3"/>
  <c r="L360" i="3"/>
  <c r="K360" i="3"/>
  <c r="L359" i="3"/>
  <c r="K359" i="3"/>
  <c r="L358" i="3"/>
  <c r="K358" i="3"/>
  <c r="L357" i="3"/>
  <c r="K357" i="3"/>
  <c r="L356" i="3"/>
  <c r="K356" i="3"/>
  <c r="L355" i="3"/>
  <c r="K355" i="3"/>
  <c r="L354" i="3"/>
  <c r="K354" i="3"/>
  <c r="L353" i="3"/>
  <c r="K353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L346" i="3"/>
  <c r="K346" i="3"/>
  <c r="L345" i="3"/>
  <c r="K345" i="3"/>
  <c r="L344" i="3"/>
  <c r="K344" i="3"/>
  <c r="L343" i="3"/>
  <c r="K343" i="3"/>
  <c r="L342" i="3"/>
  <c r="K342" i="3"/>
  <c r="L341" i="3"/>
  <c r="K341" i="3"/>
  <c r="L340" i="3"/>
  <c r="K340" i="3"/>
  <c r="L339" i="3"/>
  <c r="K339" i="3"/>
  <c r="L338" i="3"/>
  <c r="K338" i="3"/>
  <c r="L337" i="3"/>
  <c r="K337" i="3"/>
  <c r="L336" i="3"/>
  <c r="K336" i="3"/>
  <c r="L335" i="3"/>
  <c r="K335" i="3"/>
  <c r="L334" i="3"/>
  <c r="K334" i="3"/>
  <c r="L333" i="3"/>
  <c r="K333" i="3"/>
  <c r="L332" i="3"/>
  <c r="K332" i="3"/>
  <c r="L331" i="3"/>
  <c r="K331" i="3"/>
  <c r="L330" i="3"/>
  <c r="K330" i="3"/>
  <c r="L329" i="3"/>
  <c r="K329" i="3"/>
  <c r="L328" i="3"/>
  <c r="K328" i="3"/>
  <c r="L327" i="3"/>
  <c r="K327" i="3"/>
  <c r="L326" i="3"/>
  <c r="K326" i="3"/>
  <c r="L325" i="3"/>
  <c r="K325" i="3"/>
  <c r="L324" i="3"/>
  <c r="K324" i="3"/>
  <c r="L323" i="3"/>
  <c r="K323" i="3"/>
  <c r="L322" i="3"/>
  <c r="K322" i="3"/>
  <c r="L321" i="3"/>
  <c r="K321" i="3"/>
  <c r="L320" i="3"/>
  <c r="K320" i="3"/>
  <c r="L319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L258" i="3"/>
  <c r="K258" i="3"/>
  <c r="L257" i="3"/>
  <c r="K257" i="3"/>
  <c r="L256" i="3"/>
  <c r="K256" i="3"/>
  <c r="L255" i="3"/>
  <c r="K255" i="3"/>
  <c r="L254" i="3"/>
  <c r="K254" i="3"/>
  <c r="L253" i="3"/>
  <c r="K253" i="3"/>
  <c r="L252" i="3"/>
  <c r="K252" i="3"/>
  <c r="L251" i="3"/>
  <c r="K251" i="3"/>
  <c r="L250" i="3"/>
  <c r="K250" i="3"/>
  <c r="L249" i="3"/>
  <c r="K249" i="3"/>
  <c r="L248" i="3"/>
  <c r="K248" i="3"/>
  <c r="L247" i="3"/>
  <c r="K247" i="3"/>
  <c r="L246" i="3"/>
  <c r="K246" i="3"/>
  <c r="L245" i="3"/>
  <c r="K245" i="3"/>
  <c r="L244" i="3"/>
  <c r="K244" i="3"/>
  <c r="L243" i="3"/>
  <c r="K243" i="3"/>
  <c r="L242" i="3"/>
  <c r="K242" i="3"/>
  <c r="L241" i="3"/>
  <c r="K241" i="3"/>
  <c r="L240" i="3"/>
  <c r="K240" i="3"/>
  <c r="L239" i="3"/>
  <c r="K239" i="3"/>
  <c r="L238" i="3"/>
  <c r="K238" i="3"/>
  <c r="L237" i="3"/>
  <c r="K237" i="3"/>
  <c r="L236" i="3"/>
  <c r="K236" i="3"/>
  <c r="L235" i="3"/>
  <c r="K235" i="3"/>
  <c r="L234" i="3"/>
  <c r="K234" i="3"/>
  <c r="L233" i="3"/>
  <c r="K233" i="3"/>
  <c r="L232" i="3"/>
  <c r="K232" i="3"/>
  <c r="L231" i="3"/>
  <c r="K231" i="3"/>
  <c r="L230" i="3"/>
  <c r="K230" i="3"/>
  <c r="L229" i="3"/>
  <c r="K229" i="3"/>
  <c r="L228" i="3"/>
  <c r="K228" i="3"/>
  <c r="L227" i="3"/>
  <c r="K227" i="3"/>
  <c r="L226" i="3"/>
  <c r="K226" i="3"/>
  <c r="L225" i="3"/>
  <c r="K225" i="3"/>
  <c r="L224" i="3"/>
  <c r="K224" i="3"/>
  <c r="L223" i="3"/>
  <c r="K223" i="3"/>
  <c r="L222" i="3"/>
  <c r="K222" i="3"/>
  <c r="L221" i="3"/>
  <c r="K221" i="3"/>
  <c r="L220" i="3"/>
  <c r="K220" i="3"/>
  <c r="L219" i="3"/>
  <c r="K219" i="3"/>
  <c r="L218" i="3"/>
  <c r="K218" i="3"/>
  <c r="L217" i="3"/>
  <c r="K217" i="3"/>
  <c r="L216" i="3"/>
  <c r="K216" i="3"/>
  <c r="L215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9" i="3"/>
  <c r="L178" i="3"/>
  <c r="K178" i="3"/>
  <c r="L177" i="3"/>
  <c r="K177" i="3"/>
  <c r="L176" i="3"/>
  <c r="K176" i="3"/>
  <c r="L175" i="3"/>
  <c r="K175" i="3"/>
  <c r="L174" i="3"/>
  <c r="K174" i="3"/>
  <c r="L173" i="3"/>
  <c r="K173" i="3"/>
  <c r="L172" i="3"/>
  <c r="K172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L165" i="3"/>
  <c r="K165" i="3"/>
  <c r="L164" i="3"/>
  <c r="K164" i="3"/>
  <c r="L163" i="3"/>
  <c r="K163" i="3"/>
  <c r="L162" i="3"/>
  <c r="K162" i="3"/>
  <c r="L161" i="3"/>
  <c r="K161" i="3"/>
  <c r="L160" i="3"/>
  <c r="K160" i="3"/>
  <c r="L159" i="3"/>
  <c r="K159" i="3"/>
  <c r="L158" i="3"/>
  <c r="K158" i="3"/>
  <c r="L157" i="3"/>
  <c r="K157" i="3"/>
  <c r="L156" i="3"/>
  <c r="K156" i="3"/>
  <c r="L155" i="3"/>
  <c r="K155" i="3"/>
  <c r="L154" i="3"/>
  <c r="K154" i="3"/>
  <c r="L153" i="3"/>
  <c r="K153" i="3"/>
  <c r="L152" i="3"/>
  <c r="K152" i="3"/>
  <c r="L151" i="3"/>
  <c r="K151" i="3"/>
  <c r="L150" i="3"/>
  <c r="K150" i="3"/>
  <c r="L149" i="3"/>
  <c r="K149" i="3"/>
  <c r="L148" i="3"/>
  <c r="K148" i="3"/>
  <c r="L147" i="3"/>
  <c r="K147" i="3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9" i="3"/>
  <c r="K79" i="3"/>
  <c r="L78" i="3"/>
  <c r="K78" i="3"/>
  <c r="L77" i="3"/>
  <c r="K77" i="3"/>
  <c r="L76" i="3"/>
  <c r="K76" i="3"/>
  <c r="L75" i="3"/>
  <c r="K75" i="3"/>
  <c r="L74" i="3"/>
  <c r="K74" i="3"/>
  <c r="L73" i="3"/>
  <c r="K73" i="3"/>
  <c r="L72" i="3"/>
  <c r="K72" i="3"/>
  <c r="L71" i="3"/>
  <c r="K71" i="3"/>
  <c r="L70" i="3"/>
  <c r="K70" i="3"/>
  <c r="L69" i="3"/>
  <c r="K69" i="3"/>
  <c r="L68" i="3"/>
  <c r="K68" i="3"/>
  <c r="L67" i="3"/>
  <c r="K67" i="3"/>
  <c r="L66" i="3"/>
  <c r="K66" i="3"/>
  <c r="L65" i="3"/>
  <c r="K65" i="3"/>
  <c r="L64" i="3"/>
  <c r="K64" i="3"/>
  <c r="L63" i="3"/>
  <c r="K63" i="3"/>
  <c r="L62" i="3"/>
  <c r="K62" i="3"/>
  <c r="L61" i="3"/>
  <c r="K61" i="3"/>
  <c r="L60" i="3"/>
  <c r="K60" i="3"/>
  <c r="L59" i="3"/>
  <c r="K59" i="3"/>
  <c r="L58" i="3"/>
  <c r="K58" i="3"/>
  <c r="L57" i="3"/>
  <c r="K57" i="3"/>
  <c r="L56" i="3"/>
  <c r="K56" i="3"/>
  <c r="L55" i="3"/>
  <c r="K55" i="3"/>
  <c r="L54" i="3"/>
  <c r="K54" i="3"/>
  <c r="L53" i="3"/>
  <c r="K53" i="3"/>
  <c r="L52" i="3"/>
  <c r="K52" i="3"/>
  <c r="L51" i="3"/>
  <c r="K51" i="3"/>
  <c r="L50" i="3"/>
  <c r="K50" i="3"/>
  <c r="L49" i="3"/>
  <c r="K49" i="3"/>
  <c r="L48" i="3"/>
  <c r="K48" i="3"/>
  <c r="L47" i="3"/>
  <c r="K47" i="3"/>
  <c r="L46" i="3"/>
  <c r="K46" i="3"/>
  <c r="L45" i="3"/>
  <c r="K45" i="3"/>
  <c r="L44" i="3"/>
  <c r="K44" i="3"/>
  <c r="L43" i="3"/>
  <c r="K43" i="3"/>
  <c r="L42" i="3"/>
  <c r="K42" i="3"/>
  <c r="L41" i="3"/>
  <c r="K41" i="3"/>
  <c r="L40" i="3"/>
  <c r="K40" i="3"/>
  <c r="L39" i="3"/>
  <c r="K39" i="3"/>
  <c r="L38" i="3"/>
  <c r="K38" i="3"/>
  <c r="L37" i="3"/>
  <c r="K37" i="3"/>
  <c r="L36" i="3"/>
  <c r="K36" i="3"/>
  <c r="L35" i="3"/>
  <c r="K35" i="3"/>
  <c r="L34" i="3"/>
  <c r="K34" i="3"/>
  <c r="L33" i="3"/>
  <c r="K33" i="3"/>
  <c r="L32" i="3"/>
  <c r="K32" i="3"/>
  <c r="L31" i="3"/>
  <c r="K31" i="3"/>
  <c r="L30" i="3"/>
  <c r="K30" i="3"/>
  <c r="L29" i="3"/>
  <c r="K29" i="3"/>
  <c r="L28" i="3"/>
  <c r="K28" i="3"/>
  <c r="L27" i="3"/>
  <c r="K27" i="3"/>
  <c r="L26" i="3"/>
  <c r="K26" i="3"/>
  <c r="L25" i="3"/>
  <c r="K25" i="3"/>
  <c r="L24" i="3"/>
  <c r="K24" i="3"/>
  <c r="L23" i="3"/>
  <c r="K23" i="3"/>
  <c r="L22" i="3"/>
  <c r="K22" i="3"/>
  <c r="L21" i="3"/>
  <c r="K21" i="3"/>
  <c r="L20" i="3"/>
  <c r="K20" i="3"/>
  <c r="L19" i="3"/>
  <c r="K19" i="3"/>
  <c r="L18" i="3"/>
  <c r="K18" i="3"/>
  <c r="L17" i="3"/>
  <c r="K17" i="3"/>
  <c r="L16" i="3"/>
  <c r="K16" i="3"/>
  <c r="L15" i="3"/>
  <c r="K15" i="3"/>
  <c r="L14" i="3"/>
  <c r="K14" i="3"/>
  <c r="L13" i="3"/>
  <c r="K13" i="3"/>
  <c r="L12" i="3"/>
  <c r="K12" i="3"/>
  <c r="L11" i="3"/>
  <c r="K11" i="3"/>
  <c r="L10" i="3"/>
  <c r="K10" i="3"/>
  <c r="L9" i="3"/>
  <c r="K9" i="3"/>
  <c r="L8" i="3"/>
  <c r="K8" i="3"/>
  <c r="L7" i="3"/>
  <c r="K7" i="3"/>
  <c r="F96" i="226" l="1"/>
  <c r="G96" i="226" s="1"/>
  <c r="C97" i="226"/>
  <c r="B98" i="226"/>
  <c r="Q7" i="3"/>
  <c r="A99" i="226"/>
  <c r="M12" i="3"/>
  <c r="M16" i="3"/>
  <c r="M13" i="3"/>
  <c r="M15" i="3"/>
  <c r="M14" i="3"/>
  <c r="F17" i="19"/>
  <c r="F25" i="19"/>
  <c r="F20" i="19"/>
  <c r="F28" i="19"/>
  <c r="F36" i="19"/>
  <c r="F31" i="19"/>
  <c r="F24" i="19"/>
  <c r="F23" i="19"/>
  <c r="F39" i="19"/>
  <c r="F18" i="19"/>
  <c r="F26" i="19"/>
  <c r="F34" i="19"/>
  <c r="F21" i="19"/>
  <c r="F29" i="19"/>
  <c r="F37" i="19"/>
  <c r="F19" i="19"/>
  <c r="F27" i="19"/>
  <c r="F35" i="19"/>
  <c r="F22" i="19"/>
  <c r="F30" i="19"/>
  <c r="F38" i="19"/>
  <c r="F33" i="19"/>
  <c r="F32" i="19"/>
  <c r="F16" i="19"/>
  <c r="F15" i="19"/>
  <c r="F14" i="19"/>
  <c r="F13" i="19"/>
  <c r="F12" i="19"/>
  <c r="F11" i="19"/>
  <c r="F10" i="19"/>
  <c r="F9" i="19"/>
  <c r="F8" i="19"/>
  <c r="H54" i="19"/>
  <c r="K54" i="19" s="1"/>
  <c r="T8" i="3"/>
  <c r="M10" i="3"/>
  <c r="T265" i="3"/>
  <c r="M267" i="3"/>
  <c r="T136" i="3"/>
  <c r="M138" i="3"/>
  <c r="T393" i="3"/>
  <c r="M395" i="3"/>
  <c r="T72" i="3"/>
  <c r="M74" i="3"/>
  <c r="T201" i="3"/>
  <c r="M203" i="3"/>
  <c r="T329" i="3"/>
  <c r="M331" i="3"/>
  <c r="T457" i="3"/>
  <c r="M459" i="3"/>
  <c r="T40" i="3"/>
  <c r="M42" i="3"/>
  <c r="T104" i="3"/>
  <c r="M106" i="3"/>
  <c r="T168" i="3"/>
  <c r="M170" i="3"/>
  <c r="T233" i="3"/>
  <c r="M235" i="3"/>
  <c r="T297" i="3"/>
  <c r="M299" i="3"/>
  <c r="T361" i="3"/>
  <c r="M363" i="3"/>
  <c r="T425" i="3"/>
  <c r="M427" i="3"/>
  <c r="T24" i="3"/>
  <c r="M26" i="3"/>
  <c r="T56" i="3"/>
  <c r="M58" i="3"/>
  <c r="T88" i="3"/>
  <c r="M90" i="3"/>
  <c r="T120" i="3"/>
  <c r="M122" i="3"/>
  <c r="T152" i="3"/>
  <c r="M154" i="3"/>
  <c r="T184" i="3"/>
  <c r="M186" i="3"/>
  <c r="T217" i="3"/>
  <c r="M219" i="3"/>
  <c r="T249" i="3"/>
  <c r="M251" i="3"/>
  <c r="T281" i="3"/>
  <c r="M283" i="3"/>
  <c r="T313" i="3"/>
  <c r="M315" i="3"/>
  <c r="T345" i="3"/>
  <c r="M347" i="3"/>
  <c r="T377" i="3"/>
  <c r="M379" i="3"/>
  <c r="T409" i="3"/>
  <c r="M411" i="3"/>
  <c r="T441" i="3"/>
  <c r="M443" i="3"/>
  <c r="T473" i="3"/>
  <c r="M475" i="3"/>
  <c r="T16" i="3"/>
  <c r="M18" i="3"/>
  <c r="T32" i="3"/>
  <c r="M34" i="3"/>
  <c r="T48" i="3"/>
  <c r="M50" i="3"/>
  <c r="T64" i="3"/>
  <c r="M66" i="3"/>
  <c r="T80" i="3"/>
  <c r="M82" i="3"/>
  <c r="T96" i="3"/>
  <c r="M98" i="3"/>
  <c r="T112" i="3"/>
  <c r="M114" i="3"/>
  <c r="T128" i="3"/>
  <c r="M130" i="3"/>
  <c r="T144" i="3"/>
  <c r="M146" i="3"/>
  <c r="T160" i="3"/>
  <c r="M162" i="3"/>
  <c r="T176" i="3"/>
  <c r="M178" i="3"/>
  <c r="T192" i="3"/>
  <c r="T193" i="3"/>
  <c r="M195" i="3"/>
  <c r="T209" i="3"/>
  <c r="M211" i="3"/>
  <c r="T225" i="3"/>
  <c r="M227" i="3"/>
  <c r="T241" i="3"/>
  <c r="M243" i="3"/>
  <c r="T257" i="3"/>
  <c r="M259" i="3"/>
  <c r="T273" i="3"/>
  <c r="M275" i="3"/>
  <c r="T289" i="3"/>
  <c r="M291" i="3"/>
  <c r="T305" i="3"/>
  <c r="M307" i="3"/>
  <c r="T321" i="3"/>
  <c r="M323" i="3"/>
  <c r="T337" i="3"/>
  <c r="M339" i="3"/>
  <c r="T353" i="3"/>
  <c r="M355" i="3"/>
  <c r="T369" i="3"/>
  <c r="M371" i="3"/>
  <c r="T385" i="3"/>
  <c r="M387" i="3"/>
  <c r="T401" i="3"/>
  <c r="M403" i="3"/>
  <c r="T417" i="3"/>
  <c r="M419" i="3"/>
  <c r="T433" i="3"/>
  <c r="M435" i="3"/>
  <c r="T449" i="3"/>
  <c r="M451" i="3"/>
  <c r="T465" i="3"/>
  <c r="M467" i="3"/>
  <c r="T12" i="3"/>
  <c r="T20" i="3"/>
  <c r="M22" i="3"/>
  <c r="T28" i="3"/>
  <c r="M30" i="3"/>
  <c r="T36" i="3"/>
  <c r="M38" i="3"/>
  <c r="T44" i="3"/>
  <c r="M46" i="3"/>
  <c r="T52" i="3"/>
  <c r="M54" i="3"/>
  <c r="T60" i="3"/>
  <c r="M62" i="3"/>
  <c r="T68" i="3"/>
  <c r="M70" i="3"/>
  <c r="T76" i="3"/>
  <c r="M78" i="3"/>
  <c r="T84" i="3"/>
  <c r="M86" i="3"/>
  <c r="T92" i="3"/>
  <c r="M94" i="3"/>
  <c r="T100" i="3"/>
  <c r="M102" i="3"/>
  <c r="T108" i="3"/>
  <c r="M110" i="3"/>
  <c r="T116" i="3"/>
  <c r="M118" i="3"/>
  <c r="T124" i="3"/>
  <c r="M126" i="3"/>
  <c r="T132" i="3"/>
  <c r="M134" i="3"/>
  <c r="T140" i="3"/>
  <c r="M142" i="3"/>
  <c r="T148" i="3"/>
  <c r="M150" i="3"/>
  <c r="T156" i="3"/>
  <c r="M158" i="3"/>
  <c r="T164" i="3"/>
  <c r="M166" i="3"/>
  <c r="T172" i="3"/>
  <c r="M174" i="3"/>
  <c r="T180" i="3"/>
  <c r="M182" i="3"/>
  <c r="T188" i="3"/>
  <c r="M190" i="3"/>
  <c r="T197" i="3"/>
  <c r="M199" i="3"/>
  <c r="T205" i="3"/>
  <c r="M207" i="3"/>
  <c r="T213" i="3"/>
  <c r="M215" i="3"/>
  <c r="T221" i="3"/>
  <c r="M223" i="3"/>
  <c r="T229" i="3"/>
  <c r="M231" i="3"/>
  <c r="T237" i="3"/>
  <c r="M239" i="3"/>
  <c r="T245" i="3"/>
  <c r="M247" i="3"/>
  <c r="T253" i="3"/>
  <c r="M255" i="3"/>
  <c r="T261" i="3"/>
  <c r="M263" i="3"/>
  <c r="T269" i="3"/>
  <c r="M271" i="3"/>
  <c r="T277" i="3"/>
  <c r="M279" i="3"/>
  <c r="T285" i="3"/>
  <c r="M287" i="3"/>
  <c r="T293" i="3"/>
  <c r="M295" i="3"/>
  <c r="T301" i="3"/>
  <c r="M303" i="3"/>
  <c r="T309" i="3"/>
  <c r="M311" i="3"/>
  <c r="T317" i="3"/>
  <c r="M319" i="3"/>
  <c r="T325" i="3"/>
  <c r="M327" i="3"/>
  <c r="T333" i="3"/>
  <c r="M335" i="3"/>
  <c r="T341" i="3"/>
  <c r="M343" i="3"/>
  <c r="T349" i="3"/>
  <c r="M351" i="3"/>
  <c r="T357" i="3"/>
  <c r="M359" i="3"/>
  <c r="T365" i="3"/>
  <c r="M367" i="3"/>
  <c r="T373" i="3"/>
  <c r="M375" i="3"/>
  <c r="T381" i="3"/>
  <c r="M383" i="3"/>
  <c r="T389" i="3"/>
  <c r="M391" i="3"/>
  <c r="T397" i="3"/>
  <c r="M399" i="3"/>
  <c r="T405" i="3"/>
  <c r="M407" i="3"/>
  <c r="T413" i="3"/>
  <c r="M415" i="3"/>
  <c r="T421" i="3"/>
  <c r="M423" i="3"/>
  <c r="T429" i="3"/>
  <c r="M431" i="3"/>
  <c r="T437" i="3"/>
  <c r="M439" i="3"/>
  <c r="T445" i="3"/>
  <c r="M447" i="3"/>
  <c r="T453" i="3"/>
  <c r="M455" i="3"/>
  <c r="T461" i="3"/>
  <c r="M463" i="3"/>
  <c r="T469" i="3"/>
  <c r="M471" i="3"/>
  <c r="T477" i="3"/>
  <c r="Q10" i="3"/>
  <c r="Q14" i="3"/>
  <c r="Q18" i="3"/>
  <c r="Q22" i="3"/>
  <c r="Q26" i="3"/>
  <c r="Q30" i="3"/>
  <c r="Q34" i="3"/>
  <c r="Q38" i="3"/>
  <c r="Q42" i="3"/>
  <c r="Q46" i="3"/>
  <c r="Q50" i="3"/>
  <c r="Q54" i="3"/>
  <c r="Q58" i="3"/>
  <c r="Q62" i="3"/>
  <c r="Q66" i="3"/>
  <c r="Q70" i="3"/>
  <c r="Q74" i="3"/>
  <c r="Q78" i="3"/>
  <c r="Q82" i="3"/>
  <c r="Q86" i="3"/>
  <c r="Q90" i="3"/>
  <c r="Q94" i="3"/>
  <c r="Q98" i="3"/>
  <c r="Q102" i="3"/>
  <c r="Q106" i="3"/>
  <c r="Q110" i="3"/>
  <c r="Q114" i="3"/>
  <c r="Q118" i="3"/>
  <c r="Q122" i="3"/>
  <c r="Q126" i="3"/>
  <c r="Q130" i="3"/>
  <c r="Q134" i="3"/>
  <c r="Q138" i="3"/>
  <c r="Q142" i="3"/>
  <c r="Q146" i="3"/>
  <c r="Q150" i="3"/>
  <c r="Q154" i="3"/>
  <c r="Q158" i="3"/>
  <c r="Q162" i="3"/>
  <c r="Q166" i="3"/>
  <c r="Q170" i="3"/>
  <c r="Q174" i="3"/>
  <c r="Q178" i="3"/>
  <c r="Q182" i="3"/>
  <c r="Q186" i="3"/>
  <c r="Q190" i="3"/>
  <c r="Q195" i="3"/>
  <c r="Q199" i="3"/>
  <c r="Q203" i="3"/>
  <c r="Q207" i="3"/>
  <c r="Q211" i="3"/>
  <c r="Q215" i="3"/>
  <c r="Q219" i="3"/>
  <c r="Q223" i="3"/>
  <c r="Q227" i="3"/>
  <c r="Q231" i="3"/>
  <c r="Q235" i="3"/>
  <c r="Q239" i="3"/>
  <c r="Q243" i="3"/>
  <c r="Q247" i="3"/>
  <c r="Q251" i="3"/>
  <c r="Q255" i="3"/>
  <c r="Q259" i="3"/>
  <c r="Q263" i="3"/>
  <c r="Q267" i="3"/>
  <c r="Q271" i="3"/>
  <c r="Q275" i="3"/>
  <c r="Q279" i="3"/>
  <c r="Q283" i="3"/>
  <c r="Q287" i="3"/>
  <c r="Q291" i="3"/>
  <c r="Q295" i="3"/>
  <c r="Q299" i="3"/>
  <c r="Q303" i="3"/>
  <c r="Q307" i="3"/>
  <c r="Q311" i="3"/>
  <c r="Q315" i="3"/>
  <c r="Q319" i="3"/>
  <c r="Q323" i="3"/>
  <c r="Q327" i="3"/>
  <c r="Q331" i="3"/>
  <c r="Q335" i="3"/>
  <c r="Q339" i="3"/>
  <c r="Q343" i="3"/>
  <c r="Q347" i="3"/>
  <c r="Q351" i="3"/>
  <c r="Q355" i="3"/>
  <c r="Q359" i="3"/>
  <c r="Q363" i="3"/>
  <c r="Q367" i="3"/>
  <c r="Q371" i="3"/>
  <c r="Q375" i="3"/>
  <c r="Q379" i="3"/>
  <c r="Q383" i="3"/>
  <c r="Q387" i="3"/>
  <c r="Q391" i="3"/>
  <c r="Q395" i="3"/>
  <c r="Q399" i="3"/>
  <c r="Q403" i="3"/>
  <c r="Q407" i="3"/>
  <c r="Q411" i="3"/>
  <c r="Q415" i="3"/>
  <c r="Q419" i="3"/>
  <c r="Q423" i="3"/>
  <c r="Q427" i="3"/>
  <c r="Q431" i="3"/>
  <c r="Q435" i="3"/>
  <c r="Q439" i="3"/>
  <c r="Q443" i="3"/>
  <c r="Q447" i="3"/>
  <c r="Q451" i="3"/>
  <c r="Q455" i="3"/>
  <c r="Q459" i="3"/>
  <c r="Q463" i="3"/>
  <c r="Q467" i="3"/>
  <c r="Q471" i="3"/>
  <c r="Q475" i="3"/>
  <c r="M8" i="3"/>
  <c r="Q8" i="3"/>
  <c r="T10" i="3"/>
  <c r="Q12" i="3"/>
  <c r="T14" i="3"/>
  <c r="Q16" i="3"/>
  <c r="T18" i="3"/>
  <c r="M20" i="3"/>
  <c r="Q20" i="3"/>
  <c r="T22" i="3"/>
  <c r="M24" i="3"/>
  <c r="Q24" i="3"/>
  <c r="T26" i="3"/>
  <c r="M28" i="3"/>
  <c r="Q28" i="3"/>
  <c r="T30" i="3"/>
  <c r="M32" i="3"/>
  <c r="Q32" i="3"/>
  <c r="T34" i="3"/>
  <c r="M36" i="3"/>
  <c r="Q36" i="3"/>
  <c r="T38" i="3"/>
  <c r="M40" i="3"/>
  <c r="Q40" i="3"/>
  <c r="T42" i="3"/>
  <c r="M44" i="3"/>
  <c r="Q44" i="3"/>
  <c r="T46" i="3"/>
  <c r="M48" i="3"/>
  <c r="Q48" i="3"/>
  <c r="T50" i="3"/>
  <c r="M52" i="3"/>
  <c r="Q52" i="3"/>
  <c r="T54" i="3"/>
  <c r="M56" i="3"/>
  <c r="Q56" i="3"/>
  <c r="T58" i="3"/>
  <c r="M60" i="3"/>
  <c r="Q60" i="3"/>
  <c r="T62" i="3"/>
  <c r="M64" i="3"/>
  <c r="Q64" i="3"/>
  <c r="T66" i="3"/>
  <c r="M68" i="3"/>
  <c r="Q68" i="3"/>
  <c r="T70" i="3"/>
  <c r="M72" i="3"/>
  <c r="Q72" i="3"/>
  <c r="T74" i="3"/>
  <c r="M76" i="3"/>
  <c r="Q76" i="3"/>
  <c r="T78" i="3"/>
  <c r="M80" i="3"/>
  <c r="Q80" i="3"/>
  <c r="T82" i="3"/>
  <c r="M84" i="3"/>
  <c r="Q84" i="3"/>
  <c r="T86" i="3"/>
  <c r="M88" i="3"/>
  <c r="Q88" i="3"/>
  <c r="T90" i="3"/>
  <c r="M92" i="3"/>
  <c r="Q92" i="3"/>
  <c r="T94" i="3"/>
  <c r="M96" i="3"/>
  <c r="Q96" i="3"/>
  <c r="T98" i="3"/>
  <c r="M100" i="3"/>
  <c r="Q100" i="3"/>
  <c r="T102" i="3"/>
  <c r="M104" i="3"/>
  <c r="Q104" i="3"/>
  <c r="T106" i="3"/>
  <c r="M108" i="3"/>
  <c r="Q108" i="3"/>
  <c r="T110" i="3"/>
  <c r="M112" i="3"/>
  <c r="Q112" i="3"/>
  <c r="T114" i="3"/>
  <c r="M116" i="3"/>
  <c r="Q116" i="3"/>
  <c r="T118" i="3"/>
  <c r="M120" i="3"/>
  <c r="Q120" i="3"/>
  <c r="T122" i="3"/>
  <c r="M124" i="3"/>
  <c r="Q124" i="3"/>
  <c r="T126" i="3"/>
  <c r="M128" i="3"/>
  <c r="Q128" i="3"/>
  <c r="T130" i="3"/>
  <c r="M132" i="3"/>
  <c r="Q132" i="3"/>
  <c r="T134" i="3"/>
  <c r="M136" i="3"/>
  <c r="Q136" i="3"/>
  <c r="T138" i="3"/>
  <c r="M140" i="3"/>
  <c r="Q140" i="3"/>
  <c r="T142" i="3"/>
  <c r="M144" i="3"/>
  <c r="Q144" i="3"/>
  <c r="T146" i="3"/>
  <c r="M148" i="3"/>
  <c r="Q148" i="3"/>
  <c r="T150" i="3"/>
  <c r="M152" i="3"/>
  <c r="Q152" i="3"/>
  <c r="T154" i="3"/>
  <c r="M156" i="3"/>
  <c r="Q156" i="3"/>
  <c r="T158" i="3"/>
  <c r="M160" i="3"/>
  <c r="Q160" i="3"/>
  <c r="T162" i="3"/>
  <c r="M164" i="3"/>
  <c r="Q164" i="3"/>
  <c r="T166" i="3"/>
  <c r="M168" i="3"/>
  <c r="Q168" i="3"/>
  <c r="T170" i="3"/>
  <c r="M172" i="3"/>
  <c r="Q172" i="3"/>
  <c r="T174" i="3"/>
  <c r="M176" i="3"/>
  <c r="Q176" i="3"/>
  <c r="T178" i="3"/>
  <c r="M180" i="3"/>
  <c r="Q180" i="3"/>
  <c r="T182" i="3"/>
  <c r="M184" i="3"/>
  <c r="Q184" i="3"/>
  <c r="T186" i="3"/>
  <c r="M188" i="3"/>
  <c r="Q188" i="3"/>
  <c r="T190" i="3"/>
  <c r="M192" i="3"/>
  <c r="Q192" i="3"/>
  <c r="M193" i="3"/>
  <c r="Q193" i="3"/>
  <c r="T195" i="3"/>
  <c r="M197" i="3"/>
  <c r="Q197" i="3"/>
  <c r="T199" i="3"/>
  <c r="M201" i="3"/>
  <c r="Q201" i="3"/>
  <c r="T203" i="3"/>
  <c r="M205" i="3"/>
  <c r="Q205" i="3"/>
  <c r="T207" i="3"/>
  <c r="M209" i="3"/>
  <c r="Q209" i="3"/>
  <c r="T211" i="3"/>
  <c r="M213" i="3"/>
  <c r="Q213" i="3"/>
  <c r="T215" i="3"/>
  <c r="M217" i="3"/>
  <c r="Q217" i="3"/>
  <c r="T219" i="3"/>
  <c r="M221" i="3"/>
  <c r="Q221" i="3"/>
  <c r="T223" i="3"/>
  <c r="M225" i="3"/>
  <c r="Q225" i="3"/>
  <c r="T227" i="3"/>
  <c r="M229" i="3"/>
  <c r="Q229" i="3"/>
  <c r="T231" i="3"/>
  <c r="M233" i="3"/>
  <c r="Q233" i="3"/>
  <c r="T235" i="3"/>
  <c r="M237" i="3"/>
  <c r="Q237" i="3"/>
  <c r="T239" i="3"/>
  <c r="M241" i="3"/>
  <c r="Q241" i="3"/>
  <c r="T243" i="3"/>
  <c r="M245" i="3"/>
  <c r="Q245" i="3"/>
  <c r="T247" i="3"/>
  <c r="M249" i="3"/>
  <c r="Q249" i="3"/>
  <c r="T251" i="3"/>
  <c r="M253" i="3"/>
  <c r="Q253" i="3"/>
  <c r="T255" i="3"/>
  <c r="M257" i="3"/>
  <c r="Q257" i="3"/>
  <c r="T259" i="3"/>
  <c r="M261" i="3"/>
  <c r="Q261" i="3"/>
  <c r="T263" i="3"/>
  <c r="M265" i="3"/>
  <c r="Q265" i="3"/>
  <c r="T267" i="3"/>
  <c r="M269" i="3"/>
  <c r="Q269" i="3"/>
  <c r="T271" i="3"/>
  <c r="M273" i="3"/>
  <c r="Q273" i="3"/>
  <c r="T275" i="3"/>
  <c r="M277" i="3"/>
  <c r="Q277" i="3"/>
  <c r="T279" i="3"/>
  <c r="M281" i="3"/>
  <c r="Q281" i="3"/>
  <c r="T283" i="3"/>
  <c r="M285" i="3"/>
  <c r="Q285" i="3"/>
  <c r="T287" i="3"/>
  <c r="M289" i="3"/>
  <c r="Q289" i="3"/>
  <c r="T291" i="3"/>
  <c r="M293" i="3"/>
  <c r="Q293" i="3"/>
  <c r="T295" i="3"/>
  <c r="M297" i="3"/>
  <c r="Q297" i="3"/>
  <c r="T299" i="3"/>
  <c r="M301" i="3"/>
  <c r="Q301" i="3"/>
  <c r="T303" i="3"/>
  <c r="M305" i="3"/>
  <c r="Q305" i="3"/>
  <c r="T307" i="3"/>
  <c r="M309" i="3"/>
  <c r="Q309" i="3"/>
  <c r="T311" i="3"/>
  <c r="M313" i="3"/>
  <c r="Q313" i="3"/>
  <c r="T315" i="3"/>
  <c r="M317" i="3"/>
  <c r="Q317" i="3"/>
  <c r="T319" i="3"/>
  <c r="M321" i="3"/>
  <c r="Q321" i="3"/>
  <c r="T323" i="3"/>
  <c r="M325" i="3"/>
  <c r="Q325" i="3"/>
  <c r="T327" i="3"/>
  <c r="M329" i="3"/>
  <c r="Q329" i="3"/>
  <c r="T331" i="3"/>
  <c r="M333" i="3"/>
  <c r="Q333" i="3"/>
  <c r="T335" i="3"/>
  <c r="M337" i="3"/>
  <c r="Q337" i="3"/>
  <c r="T339" i="3"/>
  <c r="M341" i="3"/>
  <c r="Q341" i="3"/>
  <c r="T343" i="3"/>
  <c r="M345" i="3"/>
  <c r="Q345" i="3"/>
  <c r="T347" i="3"/>
  <c r="M349" i="3"/>
  <c r="Q349" i="3"/>
  <c r="T351" i="3"/>
  <c r="M353" i="3"/>
  <c r="Q353" i="3"/>
  <c r="T355" i="3"/>
  <c r="M357" i="3"/>
  <c r="Q357" i="3"/>
  <c r="T359" i="3"/>
  <c r="M361" i="3"/>
  <c r="Q361" i="3"/>
  <c r="T363" i="3"/>
  <c r="M365" i="3"/>
  <c r="Q365" i="3"/>
  <c r="T367" i="3"/>
  <c r="M369" i="3"/>
  <c r="Q369" i="3"/>
  <c r="T371" i="3"/>
  <c r="M373" i="3"/>
  <c r="Q373" i="3"/>
  <c r="T375" i="3"/>
  <c r="M377" i="3"/>
  <c r="Q377" i="3"/>
  <c r="T379" i="3"/>
  <c r="M381" i="3"/>
  <c r="Q381" i="3"/>
  <c r="T383" i="3"/>
  <c r="M385" i="3"/>
  <c r="Q385" i="3"/>
  <c r="T387" i="3"/>
  <c r="M389" i="3"/>
  <c r="Q389" i="3"/>
  <c r="T391" i="3"/>
  <c r="M393" i="3"/>
  <c r="Q393" i="3"/>
  <c r="T395" i="3"/>
  <c r="M397" i="3"/>
  <c r="Q397" i="3"/>
  <c r="T399" i="3"/>
  <c r="M401" i="3"/>
  <c r="Q401" i="3"/>
  <c r="T403" i="3"/>
  <c r="M405" i="3"/>
  <c r="Q405" i="3"/>
  <c r="T407" i="3"/>
  <c r="M409" i="3"/>
  <c r="Q409" i="3"/>
  <c r="T411" i="3"/>
  <c r="M413" i="3"/>
  <c r="Q413" i="3"/>
  <c r="T415" i="3"/>
  <c r="M417" i="3"/>
  <c r="Q417" i="3"/>
  <c r="T419" i="3"/>
  <c r="M421" i="3"/>
  <c r="Q421" i="3"/>
  <c r="T423" i="3"/>
  <c r="M425" i="3"/>
  <c r="Q425" i="3"/>
  <c r="T427" i="3"/>
  <c r="M429" i="3"/>
  <c r="Q429" i="3"/>
  <c r="T431" i="3"/>
  <c r="M433" i="3"/>
  <c r="Q433" i="3"/>
  <c r="T435" i="3"/>
  <c r="M437" i="3"/>
  <c r="Q437" i="3"/>
  <c r="T439" i="3"/>
  <c r="M441" i="3"/>
  <c r="Q441" i="3"/>
  <c r="T443" i="3"/>
  <c r="M445" i="3"/>
  <c r="Q445" i="3"/>
  <c r="T447" i="3"/>
  <c r="M449" i="3"/>
  <c r="Q449" i="3"/>
  <c r="T451" i="3"/>
  <c r="M453" i="3"/>
  <c r="Q453" i="3"/>
  <c r="T455" i="3"/>
  <c r="M457" i="3"/>
  <c r="Q457" i="3"/>
  <c r="T459" i="3"/>
  <c r="M461" i="3"/>
  <c r="Q461" i="3"/>
  <c r="T463" i="3"/>
  <c r="M465" i="3"/>
  <c r="Q465" i="3"/>
  <c r="T467" i="3"/>
  <c r="M469" i="3"/>
  <c r="Q469" i="3"/>
  <c r="T471" i="3"/>
  <c r="M473" i="3"/>
  <c r="Q473" i="3"/>
  <c r="T475" i="3"/>
  <c r="M477" i="3"/>
  <c r="Q477" i="3"/>
  <c r="U192" i="3"/>
  <c r="Q479" i="3"/>
  <c r="M479" i="3"/>
  <c r="T479" i="3"/>
  <c r="Q481" i="3"/>
  <c r="M481" i="3"/>
  <c r="T481" i="3"/>
  <c r="Q480" i="3"/>
  <c r="M480" i="3"/>
  <c r="T480" i="3"/>
  <c r="Q482" i="3"/>
  <c r="M482" i="3"/>
  <c r="T482" i="3"/>
  <c r="T7" i="3"/>
  <c r="T9" i="3"/>
  <c r="T11" i="3"/>
  <c r="T25" i="3"/>
  <c r="T27" i="3"/>
  <c r="T33" i="3"/>
  <c r="T35" i="3"/>
  <c r="T37" i="3"/>
  <c r="T39" i="3"/>
  <c r="T41" i="3"/>
  <c r="T43" i="3"/>
  <c r="T45" i="3"/>
  <c r="T47" i="3"/>
  <c r="T49" i="3"/>
  <c r="T51" i="3"/>
  <c r="T53" i="3"/>
  <c r="T55" i="3"/>
  <c r="T57" i="3"/>
  <c r="T59" i="3"/>
  <c r="T61" i="3"/>
  <c r="T63" i="3"/>
  <c r="T65" i="3"/>
  <c r="T67" i="3"/>
  <c r="T69" i="3"/>
  <c r="T71" i="3"/>
  <c r="T73" i="3"/>
  <c r="T75" i="3"/>
  <c r="T77" i="3"/>
  <c r="T79" i="3"/>
  <c r="T81" i="3"/>
  <c r="T83" i="3"/>
  <c r="T85" i="3"/>
  <c r="T87" i="3"/>
  <c r="T89" i="3"/>
  <c r="T91" i="3"/>
  <c r="T93" i="3"/>
  <c r="T95" i="3"/>
  <c r="T97" i="3"/>
  <c r="T99" i="3"/>
  <c r="T101" i="3"/>
  <c r="T103" i="3"/>
  <c r="T105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4" i="3"/>
  <c r="T196" i="3"/>
  <c r="T198" i="3"/>
  <c r="T200" i="3"/>
  <c r="T202" i="3"/>
  <c r="T204" i="3"/>
  <c r="T206" i="3"/>
  <c r="T208" i="3"/>
  <c r="T210" i="3"/>
  <c r="T212" i="3"/>
  <c r="T214" i="3"/>
  <c r="T216" i="3"/>
  <c r="T218" i="3"/>
  <c r="T220" i="3"/>
  <c r="T222" i="3"/>
  <c r="T224" i="3"/>
  <c r="T226" i="3"/>
  <c r="T228" i="3"/>
  <c r="T230" i="3"/>
  <c r="T232" i="3"/>
  <c r="T234" i="3"/>
  <c r="T236" i="3"/>
  <c r="T238" i="3"/>
  <c r="T240" i="3"/>
  <c r="T242" i="3"/>
  <c r="T244" i="3"/>
  <c r="T246" i="3"/>
  <c r="T248" i="3"/>
  <c r="T250" i="3"/>
  <c r="T252" i="3"/>
  <c r="T254" i="3"/>
  <c r="T256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6" i="3"/>
  <c r="T408" i="3"/>
  <c r="T410" i="3"/>
  <c r="T412" i="3"/>
  <c r="T414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L483" i="3"/>
  <c r="T13" i="3"/>
  <c r="T15" i="3"/>
  <c r="T17" i="3"/>
  <c r="T19" i="3"/>
  <c r="T21" i="3"/>
  <c r="T23" i="3"/>
  <c r="T29" i="3"/>
  <c r="T31" i="3"/>
  <c r="M7" i="3"/>
  <c r="M9" i="3"/>
  <c r="Q9" i="3"/>
  <c r="M11" i="3"/>
  <c r="Q11" i="3"/>
  <c r="Q13" i="3"/>
  <c r="Q15" i="3"/>
  <c r="M17" i="3"/>
  <c r="Q17" i="3"/>
  <c r="M19" i="3"/>
  <c r="Q19" i="3"/>
  <c r="M21" i="3"/>
  <c r="Q21" i="3"/>
  <c r="M23" i="3"/>
  <c r="Q23" i="3"/>
  <c r="M25" i="3"/>
  <c r="Q25" i="3"/>
  <c r="M27" i="3"/>
  <c r="Q27" i="3"/>
  <c r="M29" i="3"/>
  <c r="Q29" i="3"/>
  <c r="M31" i="3"/>
  <c r="Q31" i="3"/>
  <c r="M33" i="3"/>
  <c r="Q33" i="3"/>
  <c r="M35" i="3"/>
  <c r="Q35" i="3"/>
  <c r="M37" i="3"/>
  <c r="Q37" i="3"/>
  <c r="M39" i="3"/>
  <c r="Q39" i="3"/>
  <c r="M41" i="3"/>
  <c r="Q41" i="3"/>
  <c r="M43" i="3"/>
  <c r="Q43" i="3"/>
  <c r="M45" i="3"/>
  <c r="Q45" i="3"/>
  <c r="M47" i="3"/>
  <c r="Q47" i="3"/>
  <c r="M49" i="3"/>
  <c r="Q49" i="3"/>
  <c r="M51" i="3"/>
  <c r="Q51" i="3"/>
  <c r="M53" i="3"/>
  <c r="Q53" i="3"/>
  <c r="M55" i="3"/>
  <c r="Q55" i="3"/>
  <c r="M57" i="3"/>
  <c r="Q57" i="3"/>
  <c r="M59" i="3"/>
  <c r="Q59" i="3"/>
  <c r="M61" i="3"/>
  <c r="Q61" i="3"/>
  <c r="M63" i="3"/>
  <c r="Q63" i="3"/>
  <c r="M65" i="3"/>
  <c r="Q65" i="3"/>
  <c r="M67" i="3"/>
  <c r="Q67" i="3"/>
  <c r="M69" i="3"/>
  <c r="Q69" i="3"/>
  <c r="M71" i="3"/>
  <c r="Q71" i="3"/>
  <c r="M73" i="3"/>
  <c r="Q73" i="3"/>
  <c r="M75" i="3"/>
  <c r="Q75" i="3"/>
  <c r="M77" i="3"/>
  <c r="Q77" i="3"/>
  <c r="M79" i="3"/>
  <c r="Q79" i="3"/>
  <c r="M81" i="3"/>
  <c r="Q81" i="3"/>
  <c r="M83" i="3"/>
  <c r="Q83" i="3"/>
  <c r="M85" i="3"/>
  <c r="Q85" i="3"/>
  <c r="M87" i="3"/>
  <c r="Q87" i="3"/>
  <c r="M89" i="3"/>
  <c r="Q89" i="3"/>
  <c r="M91" i="3"/>
  <c r="Q91" i="3"/>
  <c r="M93" i="3"/>
  <c r="Q93" i="3"/>
  <c r="M95" i="3"/>
  <c r="Q95" i="3"/>
  <c r="M97" i="3"/>
  <c r="Q97" i="3"/>
  <c r="M99" i="3"/>
  <c r="Q99" i="3"/>
  <c r="M101" i="3"/>
  <c r="Q101" i="3"/>
  <c r="M103" i="3"/>
  <c r="Q103" i="3"/>
  <c r="M105" i="3"/>
  <c r="Q105" i="3"/>
  <c r="M107" i="3"/>
  <c r="Q107" i="3"/>
  <c r="M109" i="3"/>
  <c r="Q109" i="3"/>
  <c r="M111" i="3"/>
  <c r="Q111" i="3"/>
  <c r="M113" i="3"/>
  <c r="Q113" i="3"/>
  <c r="M115" i="3"/>
  <c r="Q115" i="3"/>
  <c r="M117" i="3"/>
  <c r="Q117" i="3"/>
  <c r="M119" i="3"/>
  <c r="Q119" i="3"/>
  <c r="M121" i="3"/>
  <c r="Q121" i="3"/>
  <c r="M123" i="3"/>
  <c r="Q123" i="3"/>
  <c r="M125" i="3"/>
  <c r="Q125" i="3"/>
  <c r="M127" i="3"/>
  <c r="Q127" i="3"/>
  <c r="M129" i="3"/>
  <c r="Q129" i="3"/>
  <c r="M131" i="3"/>
  <c r="Q131" i="3"/>
  <c r="M133" i="3"/>
  <c r="Q133" i="3"/>
  <c r="M135" i="3"/>
  <c r="Q135" i="3"/>
  <c r="M137" i="3"/>
  <c r="Q137" i="3"/>
  <c r="M139" i="3"/>
  <c r="Q139" i="3"/>
  <c r="M141" i="3"/>
  <c r="Q141" i="3"/>
  <c r="M143" i="3"/>
  <c r="Q143" i="3"/>
  <c r="M145" i="3"/>
  <c r="Q145" i="3"/>
  <c r="M147" i="3"/>
  <c r="Q147" i="3"/>
  <c r="M149" i="3"/>
  <c r="Q149" i="3"/>
  <c r="M151" i="3"/>
  <c r="Q151" i="3"/>
  <c r="M153" i="3"/>
  <c r="Q153" i="3"/>
  <c r="M155" i="3"/>
  <c r="Q155" i="3"/>
  <c r="M157" i="3"/>
  <c r="Q157" i="3"/>
  <c r="M159" i="3"/>
  <c r="Q159" i="3"/>
  <c r="M161" i="3"/>
  <c r="Q161" i="3"/>
  <c r="M163" i="3"/>
  <c r="Q163" i="3"/>
  <c r="M165" i="3"/>
  <c r="Q165" i="3"/>
  <c r="M167" i="3"/>
  <c r="Q167" i="3"/>
  <c r="M169" i="3"/>
  <c r="Q169" i="3"/>
  <c r="M171" i="3"/>
  <c r="Q171" i="3"/>
  <c r="M173" i="3"/>
  <c r="Q173" i="3"/>
  <c r="M175" i="3"/>
  <c r="Q175" i="3"/>
  <c r="M177" i="3"/>
  <c r="Q177" i="3"/>
  <c r="M179" i="3"/>
  <c r="Q179" i="3"/>
  <c r="M181" i="3"/>
  <c r="Q181" i="3"/>
  <c r="M183" i="3"/>
  <c r="Q183" i="3"/>
  <c r="M185" i="3"/>
  <c r="Q185" i="3"/>
  <c r="M187" i="3"/>
  <c r="Q187" i="3"/>
  <c r="M189" i="3"/>
  <c r="Q189" i="3"/>
  <c r="M191" i="3"/>
  <c r="Q191" i="3"/>
  <c r="M194" i="3"/>
  <c r="Q194" i="3"/>
  <c r="M196" i="3"/>
  <c r="Q196" i="3"/>
  <c r="M198" i="3"/>
  <c r="Q198" i="3"/>
  <c r="M200" i="3"/>
  <c r="Q200" i="3"/>
  <c r="M202" i="3"/>
  <c r="Q202" i="3"/>
  <c r="M204" i="3"/>
  <c r="Q204" i="3"/>
  <c r="M206" i="3"/>
  <c r="Q206" i="3"/>
  <c r="M208" i="3"/>
  <c r="Q208" i="3"/>
  <c r="M210" i="3"/>
  <c r="Q210" i="3"/>
  <c r="M212" i="3"/>
  <c r="Q212" i="3"/>
  <c r="M214" i="3"/>
  <c r="Q214" i="3"/>
  <c r="M216" i="3"/>
  <c r="Q216" i="3"/>
  <c r="M218" i="3"/>
  <c r="Q218" i="3"/>
  <c r="M220" i="3"/>
  <c r="Q220" i="3"/>
  <c r="M222" i="3"/>
  <c r="Q222" i="3"/>
  <c r="M224" i="3"/>
  <c r="Q224" i="3"/>
  <c r="M226" i="3"/>
  <c r="Q226" i="3"/>
  <c r="M228" i="3"/>
  <c r="Q228" i="3"/>
  <c r="M230" i="3"/>
  <c r="Q230" i="3"/>
  <c r="M232" i="3"/>
  <c r="Q232" i="3"/>
  <c r="M234" i="3"/>
  <c r="Q234" i="3"/>
  <c r="M236" i="3"/>
  <c r="Q236" i="3"/>
  <c r="M238" i="3"/>
  <c r="Q238" i="3"/>
  <c r="M240" i="3"/>
  <c r="Q240" i="3"/>
  <c r="M242" i="3"/>
  <c r="Q242" i="3"/>
  <c r="M244" i="3"/>
  <c r="Q244" i="3"/>
  <c r="M246" i="3"/>
  <c r="Q246" i="3"/>
  <c r="M248" i="3"/>
  <c r="Q248" i="3"/>
  <c r="M250" i="3"/>
  <c r="Q250" i="3"/>
  <c r="M252" i="3"/>
  <c r="Q252" i="3"/>
  <c r="M254" i="3"/>
  <c r="Q254" i="3"/>
  <c r="M256" i="3"/>
  <c r="Q256" i="3"/>
  <c r="M258" i="3"/>
  <c r="Q258" i="3"/>
  <c r="M260" i="3"/>
  <c r="Q260" i="3"/>
  <c r="M262" i="3"/>
  <c r="Q262" i="3"/>
  <c r="M264" i="3"/>
  <c r="Q264" i="3"/>
  <c r="M266" i="3"/>
  <c r="Q266" i="3"/>
  <c r="M268" i="3"/>
  <c r="Q268" i="3"/>
  <c r="M270" i="3"/>
  <c r="Q270" i="3"/>
  <c r="M272" i="3"/>
  <c r="Q272" i="3"/>
  <c r="M274" i="3"/>
  <c r="Q274" i="3"/>
  <c r="M276" i="3"/>
  <c r="Q276" i="3"/>
  <c r="M278" i="3"/>
  <c r="Q278" i="3"/>
  <c r="M280" i="3"/>
  <c r="Q280" i="3"/>
  <c r="M282" i="3"/>
  <c r="Q282" i="3"/>
  <c r="M284" i="3"/>
  <c r="Q284" i="3"/>
  <c r="M286" i="3"/>
  <c r="Q286" i="3"/>
  <c r="M288" i="3"/>
  <c r="Q288" i="3"/>
  <c r="M290" i="3"/>
  <c r="Q290" i="3"/>
  <c r="M292" i="3"/>
  <c r="Q292" i="3"/>
  <c r="M294" i="3"/>
  <c r="Q294" i="3"/>
  <c r="M296" i="3"/>
  <c r="Q296" i="3"/>
  <c r="M298" i="3"/>
  <c r="Q298" i="3"/>
  <c r="M300" i="3"/>
  <c r="Q300" i="3"/>
  <c r="M302" i="3"/>
  <c r="Q302" i="3"/>
  <c r="M304" i="3"/>
  <c r="Q304" i="3"/>
  <c r="M306" i="3"/>
  <c r="Q306" i="3"/>
  <c r="M308" i="3"/>
  <c r="Q308" i="3"/>
  <c r="M310" i="3"/>
  <c r="Q310" i="3"/>
  <c r="M312" i="3"/>
  <c r="Q312" i="3"/>
  <c r="M314" i="3"/>
  <c r="Q314" i="3"/>
  <c r="M316" i="3"/>
  <c r="Q316" i="3"/>
  <c r="M318" i="3"/>
  <c r="Q318" i="3"/>
  <c r="M320" i="3"/>
  <c r="Q320" i="3"/>
  <c r="M322" i="3"/>
  <c r="Q322" i="3"/>
  <c r="M324" i="3"/>
  <c r="Q324" i="3"/>
  <c r="M326" i="3"/>
  <c r="Q326" i="3"/>
  <c r="M328" i="3"/>
  <c r="Q328" i="3"/>
  <c r="M330" i="3"/>
  <c r="Q330" i="3"/>
  <c r="M332" i="3"/>
  <c r="Q332" i="3"/>
  <c r="M334" i="3"/>
  <c r="Q334" i="3"/>
  <c r="M336" i="3"/>
  <c r="Q336" i="3"/>
  <c r="M338" i="3"/>
  <c r="Q338" i="3"/>
  <c r="M340" i="3"/>
  <c r="Q340" i="3"/>
  <c r="M342" i="3"/>
  <c r="Q342" i="3"/>
  <c r="M344" i="3"/>
  <c r="Q344" i="3"/>
  <c r="M346" i="3"/>
  <c r="Q346" i="3"/>
  <c r="M348" i="3"/>
  <c r="Q348" i="3"/>
  <c r="M350" i="3"/>
  <c r="Q350" i="3"/>
  <c r="M352" i="3"/>
  <c r="Q352" i="3"/>
  <c r="M354" i="3"/>
  <c r="Q354" i="3"/>
  <c r="M356" i="3"/>
  <c r="Q356" i="3"/>
  <c r="M358" i="3"/>
  <c r="Q358" i="3"/>
  <c r="M360" i="3"/>
  <c r="Q360" i="3"/>
  <c r="M362" i="3"/>
  <c r="Q362" i="3"/>
  <c r="M364" i="3"/>
  <c r="Q364" i="3"/>
  <c r="M366" i="3"/>
  <c r="Q366" i="3"/>
  <c r="M368" i="3"/>
  <c r="Q368" i="3"/>
  <c r="M370" i="3"/>
  <c r="Q370" i="3"/>
  <c r="M372" i="3"/>
  <c r="Q372" i="3"/>
  <c r="M374" i="3"/>
  <c r="Q374" i="3"/>
  <c r="M376" i="3"/>
  <c r="Q376" i="3"/>
  <c r="M378" i="3"/>
  <c r="Q378" i="3"/>
  <c r="M380" i="3"/>
  <c r="Q380" i="3"/>
  <c r="M382" i="3"/>
  <c r="Q382" i="3"/>
  <c r="M384" i="3"/>
  <c r="Q384" i="3"/>
  <c r="M386" i="3"/>
  <c r="Q386" i="3"/>
  <c r="M388" i="3"/>
  <c r="Q388" i="3"/>
  <c r="M390" i="3"/>
  <c r="Q390" i="3"/>
  <c r="M392" i="3"/>
  <c r="Q392" i="3"/>
  <c r="M394" i="3"/>
  <c r="Q394" i="3"/>
  <c r="M396" i="3"/>
  <c r="Q396" i="3"/>
  <c r="M398" i="3"/>
  <c r="Q398" i="3"/>
  <c r="M400" i="3"/>
  <c r="Q400" i="3"/>
  <c r="M402" i="3"/>
  <c r="Q402" i="3"/>
  <c r="M404" i="3"/>
  <c r="Q404" i="3"/>
  <c r="M406" i="3"/>
  <c r="Q406" i="3"/>
  <c r="M408" i="3"/>
  <c r="Q408" i="3"/>
  <c r="M410" i="3"/>
  <c r="Q410" i="3"/>
  <c r="M412" i="3"/>
  <c r="Q412" i="3"/>
  <c r="M414" i="3"/>
  <c r="Q414" i="3"/>
  <c r="M416" i="3"/>
  <c r="Q416" i="3"/>
  <c r="M418" i="3"/>
  <c r="Q418" i="3"/>
  <c r="M420" i="3"/>
  <c r="Q420" i="3"/>
  <c r="M422" i="3"/>
  <c r="Q422" i="3"/>
  <c r="M424" i="3"/>
  <c r="Q424" i="3"/>
  <c r="M426" i="3"/>
  <c r="Q426" i="3"/>
  <c r="M428" i="3"/>
  <c r="Q428" i="3"/>
  <c r="M430" i="3"/>
  <c r="Q430" i="3"/>
  <c r="M432" i="3"/>
  <c r="Q432" i="3"/>
  <c r="M434" i="3"/>
  <c r="Q434" i="3"/>
  <c r="M436" i="3"/>
  <c r="Q436" i="3"/>
  <c r="M438" i="3"/>
  <c r="Q438" i="3"/>
  <c r="M440" i="3"/>
  <c r="Q440" i="3"/>
  <c r="M442" i="3"/>
  <c r="Q442" i="3"/>
  <c r="M444" i="3"/>
  <c r="Q444" i="3"/>
  <c r="M446" i="3"/>
  <c r="Q446" i="3"/>
  <c r="M448" i="3"/>
  <c r="Q448" i="3"/>
  <c r="M450" i="3"/>
  <c r="Q450" i="3"/>
  <c r="M452" i="3"/>
  <c r="Q452" i="3"/>
  <c r="M454" i="3"/>
  <c r="Q454" i="3"/>
  <c r="M456" i="3"/>
  <c r="Q456" i="3"/>
  <c r="M458" i="3"/>
  <c r="Q458" i="3"/>
  <c r="M460" i="3"/>
  <c r="Q460" i="3"/>
  <c r="M462" i="3"/>
  <c r="Q462" i="3"/>
  <c r="M464" i="3"/>
  <c r="Q464" i="3"/>
  <c r="M466" i="3"/>
  <c r="Q466" i="3"/>
  <c r="M468" i="3"/>
  <c r="Q468" i="3"/>
  <c r="M470" i="3"/>
  <c r="Q470" i="3"/>
  <c r="M472" i="3"/>
  <c r="Q472" i="3"/>
  <c r="M474" i="3"/>
  <c r="Q474" i="3"/>
  <c r="M476" i="3"/>
  <c r="Q476" i="3"/>
  <c r="M478" i="3"/>
  <c r="Q478" i="3"/>
  <c r="F97" i="226" l="1"/>
  <c r="G97" i="226" s="1"/>
  <c r="C98" i="226"/>
  <c r="B99" i="226"/>
  <c r="Q483" i="3"/>
  <c r="A100" i="226"/>
  <c r="T483" i="3"/>
  <c r="E3" i="3" s="1"/>
  <c r="Q484" i="3"/>
  <c r="E2" i="3" s="1"/>
  <c r="H33" i="19"/>
  <c r="H16" i="19"/>
  <c r="H15" i="19"/>
  <c r="H23" i="19"/>
  <c r="H10" i="19"/>
  <c r="H14" i="19"/>
  <c r="H9" i="19"/>
  <c r="H12" i="19"/>
  <c r="H13" i="19"/>
  <c r="H32" i="19"/>
  <c r="H22" i="19"/>
  <c r="H37" i="19"/>
  <c r="H20" i="19"/>
  <c r="H24" i="19"/>
  <c r="H38" i="19"/>
  <c r="H39" i="19"/>
  <c r="K39" i="19" s="1"/>
  <c r="H36" i="19"/>
  <c r="H34" i="19"/>
  <c r="H17" i="19"/>
  <c r="H27" i="19"/>
  <c r="H35" i="19"/>
  <c r="H18" i="19"/>
  <c r="H11" i="19"/>
  <c r="H21" i="19"/>
  <c r="H26" i="19"/>
  <c r="H29" i="19"/>
  <c r="H31" i="19"/>
  <c r="H25" i="19"/>
  <c r="K25" i="19" s="1"/>
  <c r="H30" i="19"/>
  <c r="H19" i="19"/>
  <c r="H28" i="19"/>
  <c r="H8" i="19"/>
  <c r="K8" i="19" s="1"/>
  <c r="H58" i="19"/>
  <c r="K58" i="19" s="1"/>
  <c r="H74" i="19"/>
  <c r="K74" i="19" s="1"/>
  <c r="H84" i="19"/>
  <c r="K84" i="19" s="1"/>
  <c r="H63" i="19"/>
  <c r="K63" i="19" s="1"/>
  <c r="H79" i="19"/>
  <c r="K79" i="19" s="1"/>
  <c r="H67" i="19"/>
  <c r="K67" i="19" s="1"/>
  <c r="H83" i="19"/>
  <c r="K83" i="19" s="1"/>
  <c r="H62" i="19"/>
  <c r="K62" i="19" s="1"/>
  <c r="H78" i="19"/>
  <c r="K78" i="19" s="1"/>
  <c r="H81" i="19"/>
  <c r="K81" i="19" s="1"/>
  <c r="H77" i="19"/>
  <c r="K77" i="19" s="1"/>
  <c r="H73" i="19"/>
  <c r="K73" i="19" s="1"/>
  <c r="H69" i="19"/>
  <c r="K69" i="19" s="1"/>
  <c r="H65" i="19"/>
  <c r="K65" i="19" s="1"/>
  <c r="H61" i="19"/>
  <c r="K61" i="19" s="1"/>
  <c r="H57" i="19"/>
  <c r="K57" i="19" s="1"/>
  <c r="H66" i="19"/>
  <c r="K66" i="19" s="1"/>
  <c r="H82" i="19"/>
  <c r="K82" i="19" s="1"/>
  <c r="H55" i="19"/>
  <c r="K55" i="19" s="1"/>
  <c r="H71" i="19"/>
  <c r="K71" i="19" s="1"/>
  <c r="H59" i="19"/>
  <c r="K59" i="19" s="1"/>
  <c r="H75" i="19"/>
  <c r="K75" i="19" s="1"/>
  <c r="H70" i="19"/>
  <c r="K70" i="19" s="1"/>
  <c r="H85" i="19"/>
  <c r="K85" i="19" s="1"/>
  <c r="H80" i="19"/>
  <c r="K80" i="19" s="1"/>
  <c r="H76" i="19"/>
  <c r="K76" i="19" s="1"/>
  <c r="H72" i="19"/>
  <c r="K72" i="19" s="1"/>
  <c r="H68" i="19"/>
  <c r="K68" i="19" s="1"/>
  <c r="H64" i="19"/>
  <c r="K64" i="19" s="1"/>
  <c r="H60" i="19"/>
  <c r="K60" i="19" s="1"/>
  <c r="H56" i="19"/>
  <c r="K56" i="19" s="1"/>
  <c r="M483" i="3"/>
  <c r="F98" i="226" l="1"/>
  <c r="G98" i="226" s="1"/>
  <c r="C99" i="226"/>
  <c r="B100" i="226"/>
  <c r="A101" i="226"/>
  <c r="K24" i="19"/>
  <c r="L24" i="19" s="1"/>
  <c r="K26" i="19"/>
  <c r="L26" i="19" s="1"/>
  <c r="K21" i="19"/>
  <c r="L21" i="19" s="1"/>
  <c r="K37" i="19"/>
  <c r="L37" i="19" s="1"/>
  <c r="K11" i="19"/>
  <c r="L11" i="19" s="1"/>
  <c r="K22" i="19"/>
  <c r="L22" i="19" s="1"/>
  <c r="K16" i="19"/>
  <c r="L16" i="19" s="1"/>
  <c r="K15" i="19"/>
  <c r="L15" i="19" s="1"/>
  <c r="K18" i="19"/>
  <c r="L18" i="19" s="1"/>
  <c r="K35" i="19"/>
  <c r="L35" i="19" s="1"/>
  <c r="K13" i="19"/>
  <c r="L13" i="19" s="1"/>
  <c r="K29" i="19"/>
  <c r="L29" i="19" s="1"/>
  <c r="K20" i="19"/>
  <c r="L20" i="19" s="1"/>
  <c r="K27" i="19"/>
  <c r="L27" i="19" s="1"/>
  <c r="K12" i="19"/>
  <c r="L12" i="19" s="1"/>
  <c r="K28" i="19"/>
  <c r="L28" i="19" s="1"/>
  <c r="K17" i="19"/>
  <c r="L17" i="19" s="1"/>
  <c r="K9" i="19"/>
  <c r="L9" i="19" s="1"/>
  <c r="K31" i="19"/>
  <c r="L31" i="19" s="1"/>
  <c r="K33" i="19"/>
  <c r="L33" i="19" s="1"/>
  <c r="K32" i="19"/>
  <c r="L32" i="19" s="1"/>
  <c r="K19" i="19"/>
  <c r="L19" i="19" s="1"/>
  <c r="K34" i="19"/>
  <c r="L34" i="19" s="1"/>
  <c r="K14" i="19"/>
  <c r="L14" i="19" s="1"/>
  <c r="K30" i="19"/>
  <c r="L30" i="19" s="1"/>
  <c r="K36" i="19"/>
  <c r="L36" i="19" s="1"/>
  <c r="K10" i="19"/>
  <c r="L10" i="19" s="1"/>
  <c r="K38" i="19"/>
  <c r="L38" i="19" s="1"/>
  <c r="K23" i="19"/>
  <c r="L23" i="19" s="1"/>
  <c r="L39" i="19"/>
  <c r="G3" i="19"/>
  <c r="G4" i="19" s="1"/>
  <c r="L25" i="19"/>
  <c r="L68" i="19"/>
  <c r="L85" i="19"/>
  <c r="L71" i="19"/>
  <c r="L55" i="19"/>
  <c r="L82" i="19"/>
  <c r="L66" i="19"/>
  <c r="L78" i="19"/>
  <c r="L62" i="19"/>
  <c r="L79" i="19"/>
  <c r="L63" i="19"/>
  <c r="L84" i="19"/>
  <c r="L74" i="19"/>
  <c r="L58" i="19"/>
  <c r="L56" i="19"/>
  <c r="L60" i="19"/>
  <c r="L64" i="19"/>
  <c r="L72" i="19"/>
  <c r="L76" i="19"/>
  <c r="L80" i="19"/>
  <c r="L70" i="19"/>
  <c r="L75" i="19"/>
  <c r="L59" i="19"/>
  <c r="L57" i="19"/>
  <c r="L61" i="19"/>
  <c r="L65" i="19"/>
  <c r="L69" i="19"/>
  <c r="L73" i="19"/>
  <c r="L77" i="19"/>
  <c r="L81" i="19"/>
  <c r="L83" i="19"/>
  <c r="L67" i="19"/>
  <c r="F99" i="226" l="1"/>
  <c r="G99" i="226" s="1"/>
  <c r="C100" i="226"/>
  <c r="B101" i="226"/>
  <c r="L54" i="19"/>
  <c r="L86" i="19" s="1"/>
  <c r="F100" i="226" l="1"/>
  <c r="G100" i="226" s="1"/>
  <c r="C101" i="226"/>
  <c r="F101" i="226" s="1"/>
  <c r="L5" i="19"/>
  <c r="G101" i="226" l="1"/>
  <c r="H102" i="226"/>
  <c r="H103" i="226" s="1"/>
  <c r="L8" i="19" l="1"/>
  <c r="L40" i="19" s="1"/>
  <c r="L4" i="1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<sst xmlns="http://schemas.openxmlformats.org/spreadsheetml/2006/main" count="2396" uniqueCount="708">
  <si>
    <t>Seconds per year (s/y)</t>
  </si>
  <si>
    <t>Name</t>
  </si>
  <si>
    <t>Red Shift (z)</t>
  </si>
  <si>
    <t>Aphrodite</t>
  </si>
  <si>
    <t>Greenberg</t>
  </si>
  <si>
    <t>Lancaster</t>
  </si>
  <si>
    <t>Sasquatch</t>
  </si>
  <si>
    <t>SDSS10028</t>
  </si>
  <si>
    <t>SDSS10106</t>
  </si>
  <si>
    <t>SDSS10434</t>
  </si>
  <si>
    <t>SDSS10449</t>
  </si>
  <si>
    <t>SDSS10550</t>
  </si>
  <si>
    <t>SDSS11300</t>
  </si>
  <si>
    <t>SDSS11864</t>
  </si>
  <si>
    <t>Torngasek</t>
  </si>
  <si>
    <t>SN UDS10Wil</t>
  </si>
  <si>
    <t>Bulge Mass</t>
  </si>
  <si>
    <t>Disk Mass</t>
  </si>
  <si>
    <t>SolarLuminosity</t>
  </si>
  <si>
    <t>Radius
(pc)</t>
  </si>
  <si>
    <t>Radius
(kpc)</t>
  </si>
  <si>
    <t>Bulge Mass
(kg)</t>
  </si>
  <si>
    <t>Disk Mass
(kg)</t>
  </si>
  <si>
    <t>Total Mass
(kg)</t>
  </si>
  <si>
    <t>Scaled Radius</t>
  </si>
  <si>
    <t>Scaled Mass</t>
  </si>
  <si>
    <t>Scaled Density</t>
  </si>
  <si>
    <r>
      <t>Radius
(R/R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)</t>
    </r>
  </si>
  <si>
    <t>Dark Halo Mass (kg)</t>
  </si>
  <si>
    <r>
      <t>Radius (R/R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)</t>
    </r>
  </si>
  <si>
    <t>Bulge Effective Radius</t>
  </si>
  <si>
    <t>Electron Mass</t>
  </si>
  <si>
    <t>Scaled Mean Density</t>
  </si>
  <si>
    <t>GND12Col</t>
  </si>
  <si>
    <t xml:space="preserve"> GND13Sto </t>
  </si>
  <si>
    <t>B Band Magnitude</t>
  </si>
  <si>
    <t>Stretch Parameter</t>
  </si>
  <si>
    <t>Color</t>
  </si>
  <si>
    <t>Model Parameters</t>
  </si>
  <si>
    <t>α</t>
  </si>
  <si>
    <t>β</t>
  </si>
  <si>
    <r>
      <t>M</t>
    </r>
    <r>
      <rPr>
        <vertAlign val="subscript"/>
        <sz val="11"/>
        <color theme="1"/>
        <rFont val="Calibri"/>
        <family val="2"/>
        <scheme val="minor"/>
      </rPr>
      <t>b</t>
    </r>
  </si>
  <si>
    <t>Total Error</t>
  </si>
  <si>
    <t>sn2004s</t>
  </si>
  <si>
    <t>sn1999ac</t>
  </si>
  <si>
    <t>sn1997do</t>
  </si>
  <si>
    <t>sn2006bh</t>
  </si>
  <si>
    <t>sn2002dp</t>
  </si>
  <si>
    <t>sn2005al</t>
  </si>
  <si>
    <t>sn2001ep</t>
  </si>
  <si>
    <t>sn1997e</t>
  </si>
  <si>
    <t>sn2001fe</t>
  </si>
  <si>
    <t>sn2005bo</t>
  </si>
  <si>
    <t>sn2002ha</t>
  </si>
  <si>
    <t>sn2006n</t>
  </si>
  <si>
    <t>sn1999dq</t>
  </si>
  <si>
    <t>sn1999aa</t>
  </si>
  <si>
    <t>sn1992al</t>
  </si>
  <si>
    <t>sn2001bt</t>
  </si>
  <si>
    <t>sn2005el</t>
  </si>
  <si>
    <t>sn1999dk</t>
  </si>
  <si>
    <t>sn2001v</t>
  </si>
  <si>
    <t>sn2005kc</t>
  </si>
  <si>
    <t>sn1994s</t>
  </si>
  <si>
    <t>sn2001cz</t>
  </si>
  <si>
    <t>sn2001cn</t>
  </si>
  <si>
    <t>sn2001bf</t>
  </si>
  <si>
    <t>sn2004eo</t>
  </si>
  <si>
    <t>sn2004ey</t>
  </si>
  <si>
    <t>sn2001en</t>
  </si>
  <si>
    <t>sn2006td</t>
  </si>
  <si>
    <t>sn1996bv</t>
  </si>
  <si>
    <t>sn2006ax</t>
  </si>
  <si>
    <t>sn2001da</t>
  </si>
  <si>
    <t>sn2000dk</t>
  </si>
  <si>
    <t>sn1998v</t>
  </si>
  <si>
    <t>sn1998ef</t>
  </si>
  <si>
    <t>sn2007ci</t>
  </si>
  <si>
    <t>sn1992bo</t>
  </si>
  <si>
    <t>sn2002kf</t>
  </si>
  <si>
    <t>sn2005ki</t>
  </si>
  <si>
    <t>sn2003w</t>
  </si>
  <si>
    <t>sn1992bc</t>
  </si>
  <si>
    <t>sn2006ej</t>
  </si>
  <si>
    <t>sn2007bc</t>
  </si>
  <si>
    <t>sn2002jy</t>
  </si>
  <si>
    <t>sn2008bf</t>
  </si>
  <si>
    <t>sn2006bq</t>
  </si>
  <si>
    <t>sn2006et</t>
  </si>
  <si>
    <t>sn2006cp</t>
  </si>
  <si>
    <t>sn2006ar</t>
  </si>
  <si>
    <t>sn1995ak</t>
  </si>
  <si>
    <t>sn2006mp</t>
  </si>
  <si>
    <t>sn2005bg</t>
  </si>
  <si>
    <t>sn2006ac</t>
  </si>
  <si>
    <t>sn1994m</t>
  </si>
  <si>
    <t>sn2000cn</t>
  </si>
  <si>
    <t>sn2007f</t>
  </si>
  <si>
    <t>sn2000ca</t>
  </si>
  <si>
    <t>sn2007qe</t>
  </si>
  <si>
    <t>sn2006sr</t>
  </si>
  <si>
    <t>sn1993h</t>
  </si>
  <si>
    <t>sn2002bf</t>
  </si>
  <si>
    <t>sn2002he</t>
  </si>
  <si>
    <t>sn1992ag</t>
  </si>
  <si>
    <t>sn2005ms</t>
  </si>
  <si>
    <t>sn1992p</t>
  </si>
  <si>
    <t>sn2007cq</t>
  </si>
  <si>
    <t>sn2005na</t>
  </si>
  <si>
    <t>sn2004gs</t>
  </si>
  <si>
    <t>sn1999gp</t>
  </si>
  <si>
    <t>sn2007co</t>
  </si>
  <si>
    <t>sn1998ab</t>
  </si>
  <si>
    <t>sn2002de</t>
  </si>
  <si>
    <t>sn2003u</t>
  </si>
  <si>
    <t>sn2005eq</t>
  </si>
  <si>
    <t>sn2001ba</t>
  </si>
  <si>
    <t>sn1996c</t>
  </si>
  <si>
    <t>sn2006qo</t>
  </si>
  <si>
    <t>sn2003ch</t>
  </si>
  <si>
    <t>sn1990o</t>
  </si>
  <si>
    <t>sn1997dg</t>
  </si>
  <si>
    <t>sn2006az</t>
  </si>
  <si>
    <t>sn2004as</t>
  </si>
  <si>
    <t>sn2007bd</t>
  </si>
  <si>
    <t>sn1999cc</t>
  </si>
  <si>
    <t>sn2006s</t>
  </si>
  <si>
    <t>sn2006bt</t>
  </si>
  <si>
    <t>sn2004l</t>
  </si>
  <si>
    <t>sn2005iq</t>
  </si>
  <si>
    <t>sn2003iv</t>
  </si>
  <si>
    <t>sn2006gr</t>
  </si>
  <si>
    <t>sn2005eu</t>
  </si>
  <si>
    <t>sn2002hd</t>
  </si>
  <si>
    <t>sn1992bg</t>
  </si>
  <si>
    <t>sn1996bl</t>
  </si>
  <si>
    <t>sn2000cf</t>
  </si>
  <si>
    <t>sn2006mo</t>
  </si>
  <si>
    <t>sn2001eh</t>
  </si>
  <si>
    <t>sn1999aw</t>
  </si>
  <si>
    <t>sn2002hu</t>
  </si>
  <si>
    <t>sn2003fa</t>
  </si>
  <si>
    <t>sn2001az</t>
  </si>
  <si>
    <t>sn2005lz</t>
  </si>
  <si>
    <t>sn1992bl</t>
  </si>
  <si>
    <t>sn1992bh</t>
  </si>
  <si>
    <t>sn2004gu</t>
  </si>
  <si>
    <t>sn2005hc</t>
  </si>
  <si>
    <t>sn1993ag</t>
  </si>
  <si>
    <t>sn1995ac</t>
  </si>
  <si>
    <t>sn1990af</t>
  </si>
  <si>
    <t>sn1993o</t>
  </si>
  <si>
    <t>sn1999ao</t>
  </si>
  <si>
    <t>sn1998dx</t>
  </si>
  <si>
    <t>sn2006ob</t>
  </si>
  <si>
    <t>sn2006oa</t>
  </si>
  <si>
    <t>SDSS3901</t>
  </si>
  <si>
    <t>sn1992bs</t>
  </si>
  <si>
    <t>sn2006an</t>
  </si>
  <si>
    <t>sn2007ae</t>
  </si>
  <si>
    <t>SDSS6057</t>
  </si>
  <si>
    <t>sn2006al</t>
  </si>
  <si>
    <t>sn1993b</t>
  </si>
  <si>
    <t>sn2006on</t>
  </si>
  <si>
    <t>sn1992ae</t>
  </si>
  <si>
    <t>sn2005ir</t>
  </si>
  <si>
    <t>sn1999bp</t>
  </si>
  <si>
    <t>sn1992bp</t>
  </si>
  <si>
    <t>sn2005ag</t>
  </si>
  <si>
    <t>SDSS1241</t>
  </si>
  <si>
    <t>SDSS3592</t>
  </si>
  <si>
    <t>SDSS6773</t>
  </si>
  <si>
    <t>SDSS2102</t>
  </si>
  <si>
    <t>SDSS3256</t>
  </si>
  <si>
    <t>SDSS7147</t>
  </si>
  <si>
    <t>SDSS8719</t>
  </si>
  <si>
    <t>SDSS5395</t>
  </si>
  <si>
    <t>SDSS2561</t>
  </si>
  <si>
    <t>SDSS1371</t>
  </si>
  <si>
    <t>SDSS5549</t>
  </si>
  <si>
    <t>SDSS2916</t>
  </si>
  <si>
    <t>06D2fb</t>
  </si>
  <si>
    <t>SDSS6406</t>
  </si>
  <si>
    <t>SDSS2992</t>
  </si>
  <si>
    <t>SDSS744</t>
  </si>
  <si>
    <t>SDSS5751</t>
  </si>
  <si>
    <t>SDSS1032</t>
  </si>
  <si>
    <t>SDSS2635</t>
  </si>
  <si>
    <t>SDSS1794</t>
  </si>
  <si>
    <t>SDSS8921</t>
  </si>
  <si>
    <t>SDSS5103</t>
  </si>
  <si>
    <t>SDSS2308</t>
  </si>
  <si>
    <t>SDSS2031</t>
  </si>
  <si>
    <t>SDSS5550</t>
  </si>
  <si>
    <t>SDSS2689</t>
  </si>
  <si>
    <t>SDSS3087</t>
  </si>
  <si>
    <t>05D3ne</t>
  </si>
  <si>
    <t>SDSS5916</t>
  </si>
  <si>
    <t>SDSS3080</t>
  </si>
  <si>
    <t>SDSS5350</t>
  </si>
  <si>
    <t>SDSS5635</t>
  </si>
  <si>
    <t>SDSS2372</t>
  </si>
  <si>
    <t>SDSS6936</t>
  </si>
  <si>
    <t>SDSS1580</t>
  </si>
  <si>
    <t>05D2ah</t>
  </si>
  <si>
    <t>SDSS6422</t>
  </si>
  <si>
    <t>SDSS8213</t>
  </si>
  <si>
    <t>SDSS5994</t>
  </si>
  <si>
    <t>SDSS6304</t>
  </si>
  <si>
    <t>SDSS762</t>
  </si>
  <si>
    <t>SDSS2440</t>
  </si>
  <si>
    <t>SDSS7335</t>
  </si>
  <si>
    <t>SDSS6780</t>
  </si>
  <si>
    <t>SDSS7243</t>
  </si>
  <si>
    <t>SDSS3331</t>
  </si>
  <si>
    <t>04D1dc</t>
  </si>
  <si>
    <t>SDSS7847</t>
  </si>
  <si>
    <t>SDSS6933</t>
  </si>
  <si>
    <t>SDSS8495</t>
  </si>
  <si>
    <t>SDSS1316</t>
  </si>
  <si>
    <t>SDSS9467</t>
  </si>
  <si>
    <t>05D3kx</t>
  </si>
  <si>
    <t>SDSS7512</t>
  </si>
  <si>
    <t>SDSS5533</t>
  </si>
  <si>
    <t>SDSS3452</t>
  </si>
  <si>
    <t>SDSS3377</t>
  </si>
  <si>
    <t>05D3mq</t>
  </si>
  <si>
    <t>SDSS3451</t>
  </si>
  <si>
    <t>06D3gn</t>
  </si>
  <si>
    <t>SDSS3199</t>
  </si>
  <si>
    <t>SDSS5717</t>
  </si>
  <si>
    <t>SDSS5736</t>
  </si>
  <si>
    <t>SDSS9032</t>
  </si>
  <si>
    <t>SDSS9457</t>
  </si>
  <si>
    <t>SDSS1112</t>
  </si>
  <si>
    <t>SDSS8046</t>
  </si>
  <si>
    <t>SDSS6108</t>
  </si>
  <si>
    <t>SDSS3241</t>
  </si>
  <si>
    <t>SDSS1253</t>
  </si>
  <si>
    <t>SDSS2017</t>
  </si>
  <si>
    <t>04D3ez</t>
  </si>
  <si>
    <t>05D1hk</t>
  </si>
  <si>
    <t>SDSS2422</t>
  </si>
  <si>
    <t>SDSS2943</t>
  </si>
  <si>
    <t>SDSS6315</t>
  </si>
  <si>
    <t>06D3fp</t>
  </si>
  <si>
    <t>03D4cj</t>
  </si>
  <si>
    <t>SDSS6192</t>
  </si>
  <si>
    <t>SDSS5957</t>
  </si>
  <si>
    <t>06D3dt</t>
  </si>
  <si>
    <t>03D4ag</t>
  </si>
  <si>
    <t>SDSS2165</t>
  </si>
  <si>
    <t>SDSS2789</t>
  </si>
  <si>
    <t>03D3ba</t>
  </si>
  <si>
    <t>SDSS6249</t>
  </si>
  <si>
    <t>06D4dh</t>
  </si>
  <si>
    <t>SDSS5966</t>
  </si>
  <si>
    <t>SDSS6699</t>
  </si>
  <si>
    <t>SDSS5844</t>
  </si>
  <si>
    <t>SDSS6649</t>
  </si>
  <si>
    <t>SDSS7475</t>
  </si>
  <si>
    <t>05D2ab</t>
  </si>
  <si>
    <t>SDSS6924</t>
  </si>
  <si>
    <t>03D1fc</t>
  </si>
  <si>
    <t>04D3kr</t>
  </si>
  <si>
    <t>SDSS2533</t>
  </si>
  <si>
    <t>04D3nh</t>
  </si>
  <si>
    <t>03D1bp</t>
  </si>
  <si>
    <t>04D2mc</t>
  </si>
  <si>
    <t>05D2ie</t>
  </si>
  <si>
    <t>SDSS9207</t>
  </si>
  <si>
    <t>05D2hc</t>
  </si>
  <si>
    <t>05D2mp</t>
  </si>
  <si>
    <t>03D3bl</t>
  </si>
  <si>
    <t>04D2fs</t>
  </si>
  <si>
    <t>04D3fk</t>
  </si>
  <si>
    <t>04D1hd</t>
  </si>
  <si>
    <t>04D2cf</t>
  </si>
  <si>
    <t>05D3jr</t>
  </si>
  <si>
    <t>03D3ay</t>
  </si>
  <si>
    <t>05D4bm</t>
  </si>
  <si>
    <t>05D4fo</t>
  </si>
  <si>
    <t>05D4cw</t>
  </si>
  <si>
    <t>SDSS7779</t>
  </si>
  <si>
    <t>SDSS5737</t>
  </si>
  <si>
    <t>SDSS8707</t>
  </si>
  <si>
    <t>05D4ff</t>
  </si>
  <si>
    <t>06D3ed</t>
  </si>
  <si>
    <t>05D4dt</t>
  </si>
  <si>
    <t>06D4cq</t>
  </si>
  <si>
    <t>04D2fp</t>
  </si>
  <si>
    <t>05D2dw</t>
  </si>
  <si>
    <t>05D3cf</t>
  </si>
  <si>
    <t>04D4gg</t>
  </si>
  <si>
    <t>05D2cb</t>
  </si>
  <si>
    <t>04D1rh</t>
  </si>
  <si>
    <t>06D4co</t>
  </si>
  <si>
    <t>06D2gb</t>
  </si>
  <si>
    <t>06D3df</t>
  </si>
  <si>
    <t>03D3aw</t>
  </si>
  <si>
    <t>04D2gb</t>
  </si>
  <si>
    <t>04D3gt</t>
  </si>
  <si>
    <t>03D3cd</t>
  </si>
  <si>
    <t>05D3lc</t>
  </si>
  <si>
    <t>03D4au</t>
  </si>
  <si>
    <t>05D3mx</t>
  </si>
  <si>
    <t>04D4jr</t>
  </si>
  <si>
    <t>04D3df</t>
  </si>
  <si>
    <t>04D4ju</t>
  </si>
  <si>
    <t>05D2bv</t>
  </si>
  <si>
    <t>05D2ac</t>
  </si>
  <si>
    <t>05D3dd</t>
  </si>
  <si>
    <t>05D1ix</t>
  </si>
  <si>
    <t>03D1ax</t>
  </si>
  <si>
    <t>05D4af</t>
  </si>
  <si>
    <t>06D2bk</t>
  </si>
  <si>
    <t>03D1au</t>
  </si>
  <si>
    <t>05D4av</t>
  </si>
  <si>
    <t>05D2dy</t>
  </si>
  <si>
    <t>04D2mj</t>
  </si>
  <si>
    <t>04D1pg</t>
  </si>
  <si>
    <t>05D3ci</t>
  </si>
  <si>
    <t>04D4in</t>
  </si>
  <si>
    <t>06D3el</t>
  </si>
  <si>
    <t>04D2gc</t>
  </si>
  <si>
    <t>06D2ca</t>
  </si>
  <si>
    <t>06D2cc</t>
  </si>
  <si>
    <t>05D2eb</t>
  </si>
  <si>
    <t>05D4ek</t>
  </si>
  <si>
    <t>05D4be</t>
  </si>
  <si>
    <t>04D4bq</t>
  </si>
  <si>
    <t>04D3hn</t>
  </si>
  <si>
    <t>06D2ck</t>
  </si>
  <si>
    <t>06D4bo</t>
  </si>
  <si>
    <t>05D1ee</t>
  </si>
  <si>
    <t>04D1hx</t>
  </si>
  <si>
    <t>05D1kl</t>
  </si>
  <si>
    <t>05D1cc</t>
  </si>
  <si>
    <t>05D1dn</t>
  </si>
  <si>
    <t>03D4gl</t>
  </si>
  <si>
    <t>05D2dt</t>
  </si>
  <si>
    <t>06D3et</t>
  </si>
  <si>
    <t>05D3jq</t>
  </si>
  <si>
    <t>05D3gp</t>
  </si>
  <si>
    <t>03D4gf</t>
  </si>
  <si>
    <t>05D1dx</t>
  </si>
  <si>
    <t>03D1aw</t>
  </si>
  <si>
    <t>04D1jg</t>
  </si>
  <si>
    <t>04D1kj</t>
  </si>
  <si>
    <t>05D4ej</t>
  </si>
  <si>
    <t>04D1sa</t>
  </si>
  <si>
    <t>05D1hm</t>
  </si>
  <si>
    <t>05D4bf</t>
  </si>
  <si>
    <t>04D2mh</t>
  </si>
  <si>
    <t>04D1oh</t>
  </si>
  <si>
    <t>03D4gg</t>
  </si>
  <si>
    <t>05D3lr</t>
  </si>
  <si>
    <t>05D4ef</t>
  </si>
  <si>
    <t>05D2he</t>
  </si>
  <si>
    <t>03D4dy</t>
  </si>
  <si>
    <t>04D3do</t>
  </si>
  <si>
    <t>03D1dt</t>
  </si>
  <si>
    <t>04D4an</t>
  </si>
  <si>
    <t>05D1ck</t>
  </si>
  <si>
    <t>04D2an</t>
  </si>
  <si>
    <t>04D3co</t>
  </si>
  <si>
    <t>03D4dh</t>
  </si>
  <si>
    <t>04D4fx</t>
  </si>
  <si>
    <t>05D2ci</t>
  </si>
  <si>
    <t>05D1cb</t>
  </si>
  <si>
    <t>03D4at</t>
  </si>
  <si>
    <t>04D1pu</t>
  </si>
  <si>
    <t>05D2ec</t>
  </si>
  <si>
    <t>05D4ag</t>
  </si>
  <si>
    <t>05D3ax</t>
  </si>
  <si>
    <t>04D3cy</t>
  </si>
  <si>
    <t>05D3lb</t>
  </si>
  <si>
    <t>05D3kt</t>
  </si>
  <si>
    <t>04D1sk</t>
  </si>
  <si>
    <t>05D3hs</t>
  </si>
  <si>
    <t>05D3mh</t>
  </si>
  <si>
    <t>03D1co</t>
  </si>
  <si>
    <t>05D2bt</t>
  </si>
  <si>
    <t>06D3cc</t>
  </si>
  <si>
    <t>04D4ic</t>
  </si>
  <si>
    <t>06D3em</t>
  </si>
  <si>
    <t>05D1ke</t>
  </si>
  <si>
    <t>03D4cz</t>
  </si>
  <si>
    <t>05D2ck</t>
  </si>
  <si>
    <t>04D4ib</t>
  </si>
  <si>
    <t>04D2iu</t>
  </si>
  <si>
    <t>06D4ba</t>
  </si>
  <si>
    <t>05D2le</t>
  </si>
  <si>
    <t>05D4cq</t>
  </si>
  <si>
    <t>05D4bj</t>
  </si>
  <si>
    <t>04D1si</t>
  </si>
  <si>
    <t>04D4hu</t>
  </si>
  <si>
    <t>05D3gv</t>
  </si>
  <si>
    <t>05D3jh</t>
  </si>
  <si>
    <t>06D3gh</t>
  </si>
  <si>
    <t>04D1aj</t>
  </si>
  <si>
    <t>05D4ev</t>
  </si>
  <si>
    <t>06D3do</t>
  </si>
  <si>
    <t>06D3bz</t>
  </si>
  <si>
    <t>04D2gp</t>
  </si>
  <si>
    <t>06D4bw</t>
  </si>
  <si>
    <t>05D2fq</t>
  </si>
  <si>
    <t>05D2ct</t>
  </si>
  <si>
    <t>04D1pp</t>
  </si>
  <si>
    <t>05D3jk</t>
  </si>
  <si>
    <t>05D1eo</t>
  </si>
  <si>
    <t>04D2ja</t>
  </si>
  <si>
    <t>04D3fq</t>
  </si>
  <si>
    <t>04D2kr</t>
  </si>
  <si>
    <t>05D3jb</t>
  </si>
  <si>
    <t>04D3ks</t>
  </si>
  <si>
    <t>04D4im</t>
  </si>
  <si>
    <t>04D3oe</t>
  </si>
  <si>
    <t>05D2nt</t>
  </si>
  <si>
    <t>05D3mn</t>
  </si>
  <si>
    <t>06D3gx</t>
  </si>
  <si>
    <t>05D4cn</t>
  </si>
  <si>
    <t>05D1if</t>
  </si>
  <si>
    <t>05D3hh</t>
  </si>
  <si>
    <t>04D1qd</t>
  </si>
  <si>
    <t>04D1de</t>
  </si>
  <si>
    <t>04D4id</t>
  </si>
  <si>
    <t>04D1pc</t>
  </si>
  <si>
    <t>05D4bi</t>
  </si>
  <si>
    <t>04D1jd</t>
  </si>
  <si>
    <t>05D4cs</t>
  </si>
  <si>
    <t>03D4fd</t>
  </si>
  <si>
    <t>04D1ks</t>
  </si>
  <si>
    <t>05D3dh</t>
  </si>
  <si>
    <t>03D1fq</t>
  </si>
  <si>
    <t>05D3cx</t>
  </si>
  <si>
    <t>05D3ha</t>
  </si>
  <si>
    <t>05D4gw</t>
  </si>
  <si>
    <t>05D4dy</t>
  </si>
  <si>
    <t>04D3ny</t>
  </si>
  <si>
    <t>04D4dm</t>
  </si>
  <si>
    <t>04D3mk</t>
  </si>
  <si>
    <t>04D3nc</t>
  </si>
  <si>
    <t>06D2ce</t>
  </si>
  <si>
    <t>04D3lu</t>
  </si>
  <si>
    <t>05D1cl</t>
  </si>
  <si>
    <t>04D3cp</t>
  </si>
  <si>
    <t>04D2al</t>
  </si>
  <si>
    <t>Elvis</t>
  </si>
  <si>
    <t>05D4fg</t>
  </si>
  <si>
    <t>06D2ga</t>
  </si>
  <si>
    <t>05D1az</t>
  </si>
  <si>
    <t>05D4hn</t>
  </si>
  <si>
    <t>04D1hy</t>
  </si>
  <si>
    <t>06D4ce</t>
  </si>
  <si>
    <t>05D3kp</t>
  </si>
  <si>
    <t>05D4dw</t>
  </si>
  <si>
    <t>04D1ff</t>
  </si>
  <si>
    <t>05D1iz</t>
  </si>
  <si>
    <t>05D1er</t>
  </si>
  <si>
    <t>03D1bk</t>
  </si>
  <si>
    <t>05D1em</t>
  </si>
  <si>
    <t>04D4ii</t>
  </si>
  <si>
    <t>03D1ew</t>
  </si>
  <si>
    <t>05D2nn</t>
  </si>
  <si>
    <t>04D4bk</t>
  </si>
  <si>
    <t>05D3cq</t>
  </si>
  <si>
    <t>05D2by</t>
  </si>
  <si>
    <t>03D4di</t>
  </si>
  <si>
    <t>05D3ht</t>
  </si>
  <si>
    <t>04D3gx</t>
  </si>
  <si>
    <t>04D1ow</t>
  </si>
  <si>
    <t>05D2bw</t>
  </si>
  <si>
    <t>05D2ay</t>
  </si>
  <si>
    <t>05D2ob</t>
  </si>
  <si>
    <t>03D4cy</t>
  </si>
  <si>
    <t>06D2cd</t>
  </si>
  <si>
    <t>04D4jy</t>
  </si>
  <si>
    <t>04D4ih</t>
  </si>
  <si>
    <t>Vilas</t>
  </si>
  <si>
    <t>04D4hf</t>
  </si>
  <si>
    <t>05D3la</t>
  </si>
  <si>
    <t>03D4cx</t>
  </si>
  <si>
    <t>04D1pd</t>
  </si>
  <si>
    <t>04D3ml</t>
  </si>
  <si>
    <t>04D3nr</t>
  </si>
  <si>
    <t>05D3km</t>
  </si>
  <si>
    <t>04D4jw</t>
  </si>
  <si>
    <t>Patuxent</t>
  </si>
  <si>
    <t>Ombo</t>
  </si>
  <si>
    <t>05D2my</t>
  </si>
  <si>
    <t>04D3lp</t>
  </si>
  <si>
    <t>04D1rx</t>
  </si>
  <si>
    <t>04D1iv</t>
  </si>
  <si>
    <t>06D4cl</t>
  </si>
  <si>
    <t>04D3dd</t>
  </si>
  <si>
    <t>Strolger</t>
  </si>
  <si>
    <t>Eagle</t>
  </si>
  <si>
    <t>Ferguson</t>
  </si>
  <si>
    <t>04D4dw</t>
  </si>
  <si>
    <t>06D3en</t>
  </si>
  <si>
    <t>Gabi</t>
  </si>
  <si>
    <t>Borg</t>
  </si>
  <si>
    <t>B Band Magnitude Error</t>
  </si>
  <si>
    <t>Stretch Parameter Error</t>
  </si>
  <si>
    <t>Color Error</t>
  </si>
  <si>
    <t>Intrinsic Scatter Error</t>
  </si>
  <si>
    <t>Red Shift Error</t>
  </si>
  <si>
    <t>Observed Distance Moduli</t>
  </si>
  <si>
    <t>Primo</t>
  </si>
  <si>
    <t>DDO210</t>
  </si>
  <si>
    <t>1,2</t>
  </si>
  <si>
    <t>CamB</t>
  </si>
  <si>
    <t>UGC8215</t>
  </si>
  <si>
    <t>DDO183</t>
  </si>
  <si>
    <t>UGC8833</t>
  </si>
  <si>
    <t>D564-8</t>
  </si>
  <si>
    <t>DDO181</t>
  </si>
  <si>
    <t>P51659</t>
  </si>
  <si>
    <t>KK9824</t>
  </si>
  <si>
    <t>UGCA92</t>
  </si>
  <si>
    <t>D512-2</t>
  </si>
  <si>
    <t>UGCA444</t>
  </si>
  <si>
    <t>KK98251</t>
  </si>
  <si>
    <t>UGC7242</t>
  </si>
  <si>
    <t>UGC6145</t>
  </si>
  <si>
    <t>NGC3741</t>
  </si>
  <si>
    <t>D500-3</t>
  </si>
  <si>
    <t>D631-7</t>
  </si>
  <si>
    <t>DDO168</t>
  </si>
  <si>
    <t>KKH11</t>
  </si>
  <si>
    <t>UGC8550</t>
  </si>
  <si>
    <t>D575-2</t>
  </si>
  <si>
    <t>UGC4115</t>
  </si>
  <si>
    <t>UGC3851</t>
  </si>
  <si>
    <t>UGC9211</t>
  </si>
  <si>
    <t>NGC3109</t>
  </si>
  <si>
    <t>UGC8055</t>
  </si>
  <si>
    <t>D500-2</t>
  </si>
  <si>
    <t>IC2574</t>
  </si>
  <si>
    <t>UGC6818</t>
  </si>
  <si>
    <t>UGC4499</t>
  </si>
  <si>
    <t>NGC1560</t>
  </si>
  <si>
    <t>UGC8490</t>
  </si>
  <si>
    <t>UGC5721</t>
  </si>
  <si>
    <t>F565-V2</t>
  </si>
  <si>
    <t>F571-V1</t>
  </si>
  <si>
    <t>IC2233</t>
  </si>
  <si>
    <t>NGC2915</t>
  </si>
  <si>
    <t>NGC5585</t>
  </si>
  <si>
    <t>UGC3711</t>
  </si>
  <si>
    <t>UGC6983</t>
  </si>
  <si>
    <t>F563-V2</t>
  </si>
  <si>
    <t>F568-1</t>
  </si>
  <si>
    <t>F568-3</t>
  </si>
  <si>
    <t>F568-V1</t>
  </si>
  <si>
    <t>NGC2403</t>
  </si>
  <si>
    <t>NGC3198</t>
  </si>
  <si>
    <t>McGaugh (2011)</t>
  </si>
  <si>
    <t>Red Shift of CMB</t>
  </si>
  <si>
    <t>Observed Luminous Distance (Mpc)</t>
  </si>
  <si>
    <t>Temperature of CMB</t>
  </si>
  <si>
    <t>z</t>
  </si>
  <si>
    <t>QEH</t>
  </si>
  <si>
    <t>LDCM</t>
  </si>
  <si>
    <t>Halo Representative Density</t>
  </si>
  <si>
    <t xml:space="preserve">NGC 0342 </t>
  </si>
  <si>
    <t>Central Surface Density</t>
  </si>
  <si>
    <t>NGC 0598</t>
  </si>
  <si>
    <t>Disk Scale Radius</t>
  </si>
  <si>
    <t>Halo Scale Radius</t>
  </si>
  <si>
    <r>
      <t xml:space="preserve">Halo Mass at </t>
    </r>
    <r>
      <rPr>
        <i/>
        <sz val="11"/>
        <color theme="1"/>
        <rFont val="Calibri"/>
        <family val="2"/>
        <scheme val="minor"/>
      </rPr>
      <t>h</t>
    </r>
  </si>
  <si>
    <t>NGC 0891</t>
  </si>
  <si>
    <t>NGC 1365</t>
  </si>
  <si>
    <t>NGC 2403</t>
  </si>
  <si>
    <t>NGC 2903</t>
  </si>
  <si>
    <t>NGC 3079</t>
  </si>
  <si>
    <t>NGC 3198</t>
  </si>
  <si>
    <t>NGC 4258</t>
  </si>
  <si>
    <t>NGC 3628</t>
  </si>
  <si>
    <t>NGC 4321</t>
  </si>
  <si>
    <t>NGC 4527</t>
  </si>
  <si>
    <t>NGC 4565</t>
  </si>
  <si>
    <t>NGC 4736</t>
  </si>
  <si>
    <t>NGC 4945</t>
  </si>
  <si>
    <t>NGC 5033</t>
  </si>
  <si>
    <t>NGC 5055</t>
  </si>
  <si>
    <t>NGC 5236</t>
  </si>
  <si>
    <t>NGC 5457</t>
  </si>
  <si>
    <t>NGC 5907</t>
  </si>
  <si>
    <t>NGC 6946</t>
  </si>
  <si>
    <t>NGC 3521</t>
  </si>
  <si>
    <t>NGC 4303</t>
  </si>
  <si>
    <t>NGC 4569</t>
  </si>
  <si>
    <t>NGC 0253</t>
  </si>
  <si>
    <t>NGC 0266</t>
  </si>
  <si>
    <t>NGC 2543</t>
  </si>
  <si>
    <t>UGC 03993</t>
  </si>
  <si>
    <t>NGC 2654</t>
  </si>
  <si>
    <t>NGC 2985</t>
  </si>
  <si>
    <t>NGC 3900</t>
  </si>
  <si>
    <t>NGC 7013</t>
  </si>
  <si>
    <t>NGC 1642</t>
  </si>
  <si>
    <t>NGC 2649</t>
  </si>
  <si>
    <t>NGC 3982</t>
  </si>
  <si>
    <t>NGC 2599</t>
  </si>
  <si>
    <t>NGC 0660</t>
  </si>
  <si>
    <t>NGC 1808</t>
  </si>
  <si>
    <t>Hubble Constant from SNe Ia</t>
  </si>
  <si>
    <t>CMB</t>
  </si>
  <si>
    <r>
      <t>Boltzman Constant (J K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</si>
  <si>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QES Distance Moduli</t>
  </si>
  <si>
    <r>
      <t>QES Χ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</si>
  <si>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t>QES</t>
  </si>
  <si>
    <r>
      <t>QEH χ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RED</t>
    </r>
  </si>
  <si>
    <r>
      <t>ΛCDM χ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RED</t>
    </r>
  </si>
  <si>
    <t>Bulge Mass (kg)</t>
  </si>
  <si>
    <t>Bulge Effective Radius (pc)</t>
  </si>
  <si>
    <t>Disk Scale Radius (pc)</t>
  </si>
  <si>
    <r>
      <t>Disk Central Density (☉ pc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</si>
  <si>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Luminosity</t>
  </si>
  <si>
    <t>Mass</t>
  </si>
  <si>
    <t>M/L</t>
  </si>
  <si>
    <t>Karachentsev (2005)</t>
  </si>
  <si>
    <t>Angular Scale (θ100)</t>
  </si>
  <si>
    <t>Hubble Constant from CMB (Plank 2018)</t>
  </si>
  <si>
    <t>Angular Scale (100θ)(Planck 2018)</t>
  </si>
  <si>
    <t>Thousand Years (kyr)</t>
  </si>
  <si>
    <t>Billion Years (Gyr)</t>
  </si>
  <si>
    <t>Million Years (Myr)</t>
  </si>
  <si>
    <t>Hydrogen Mass (kg)</t>
  </si>
  <si>
    <t>Helium Mass (kg)</t>
  </si>
  <si>
    <r>
      <t>QES Hubble Constant (H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</si>
  <si>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Parsec (m)</t>
  </si>
  <si>
    <t>Kiloparsec(m)</t>
  </si>
  <si>
    <t>Megaparsec (m)</t>
  </si>
  <si>
    <t>Gigaparsec (m)</t>
  </si>
  <si>
    <t>kilometer (m)</t>
  </si>
  <si>
    <r>
      <t>Gravitational Constant (m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kg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>)</t>
    </r>
  </si>
  <si>
    <t>SolarMass (kg)</t>
  </si>
  <si>
    <r>
      <t>Universe Acceleration (m s</t>
    </r>
    <r>
      <rPr>
        <vertAlign val="superscript"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²)</t>
    </r>
  </si>
  <si>
    <r>
      <t>Planck Constant (kg 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s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>)</t>
    </r>
  </si>
  <si>
    <r>
      <t>Reduced Planck Constant (kg 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s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>)</t>
    </r>
  </si>
  <si>
    <t>Velocity of Light (m/s)</t>
  </si>
  <si>
    <t>QES Luminous Distance (m)</t>
  </si>
  <si>
    <t>Observed Velocity
(km)</t>
  </si>
  <si>
    <t>Velocity Error
(km)</t>
  </si>
  <si>
    <t>Model Velocity
(km)</t>
  </si>
  <si>
    <t>Residual
(km)</t>
  </si>
  <si>
    <t>Radius
(m)</t>
  </si>
  <si>
    <t>Hydrogen Abundance</t>
  </si>
  <si>
    <t>Helium Abundance</t>
  </si>
  <si>
    <t>ζ(3)</t>
  </si>
  <si>
    <t>Stefan–Boltzmann constant</t>
  </si>
  <si>
    <t>Radiation Density constant</t>
  </si>
  <si>
    <t>Proton Mass (kg)</t>
  </si>
  <si>
    <t>ΛCDM CMBR Redshift</t>
  </si>
  <si>
    <r>
      <t>Particle Horizon H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(t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 (Gpc)</t>
    </r>
  </si>
  <si>
    <t>Comoving Particle Horizon of CMB (Gpc)</t>
  </si>
  <si>
    <t>NGC 0224</t>
  </si>
  <si>
    <t>Radius of Curvature</t>
  </si>
  <si>
    <t>Age of CMB (s) (Myr)</t>
  </si>
  <si>
    <r>
      <t>Curvature (m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>)</t>
    </r>
  </si>
  <si>
    <t>ΛCDM Unverse Age (s) (Gyr)</t>
  </si>
  <si>
    <t>QES Universe Age (s) (Gyr)</t>
  </si>
  <si>
    <r>
      <t>Conversion Factor  (m s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>)</t>
    </r>
  </si>
  <si>
    <t>Baryon Density</t>
  </si>
  <si>
    <t>Univesre Size (m) (Mpc)</t>
  </si>
  <si>
    <t>Light Year</t>
  </si>
  <si>
    <r>
      <t>Constant of Integration (c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</si>
  <si>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Sound Horizon (Mpc)</t>
  </si>
  <si>
    <t>Observed Velocity
(m)</t>
  </si>
  <si>
    <t>FLRW Distance Moduli</t>
  </si>
  <si>
    <r>
      <t>FLRW Χ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</si>
  <si>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t>Universe Total Baryonic Mass (kg)</t>
  </si>
  <si>
    <r>
      <t>Critical Density (kg m</t>
    </r>
    <r>
      <rPr>
        <vertAlign val="superscript"/>
        <sz val="11"/>
        <color theme="1"/>
        <rFont val="Calibri"/>
        <family val="2"/>
        <scheme val="minor"/>
      </rPr>
      <t>-3</t>
    </r>
    <r>
      <rPr>
        <sz val="11"/>
        <color theme="1"/>
        <rFont val="Calibri"/>
        <family val="2"/>
        <scheme val="minor"/>
      </rPr>
      <t>)</t>
    </r>
  </si>
  <si>
    <t>FLRW</t>
  </si>
  <si>
    <t>t</t>
  </si>
  <si>
    <r>
      <t>a</t>
    </r>
    <r>
      <rPr>
        <vertAlign val="subscript"/>
        <sz val="14"/>
        <color theme="1"/>
        <rFont val="Calibri"/>
        <family val="2"/>
        <scheme val="minor"/>
      </rPr>
      <t>3</t>
    </r>
  </si>
  <si>
    <r>
      <t>v</t>
    </r>
    <r>
      <rPr>
        <vertAlign val="subscript"/>
        <sz val="14"/>
        <color theme="1"/>
        <rFont val="Calibri"/>
        <family val="2"/>
        <scheme val="minor"/>
      </rPr>
      <t>3</t>
    </r>
  </si>
  <si>
    <t>τ</t>
  </si>
  <si>
    <t>dt/dτ</t>
  </si>
  <si>
    <r>
      <t>d</t>
    </r>
    <r>
      <rPr>
        <vertAlign val="superscript"/>
        <sz val="14"/>
        <color theme="1"/>
        <rFont val="Calibri"/>
        <family val="2"/>
        <scheme val="minor"/>
      </rPr>
      <t>2</t>
    </r>
    <r>
      <rPr>
        <sz val="14"/>
        <color theme="1"/>
        <rFont val="Calibri"/>
        <family val="2"/>
        <scheme val="minor"/>
      </rPr>
      <t>t/dτ</t>
    </r>
    <r>
      <rPr>
        <vertAlign val="superscript"/>
        <sz val="14"/>
        <color theme="1"/>
        <rFont val="Calibri"/>
        <family val="2"/>
        <scheme val="minor"/>
      </rPr>
      <t>2</t>
    </r>
  </si>
  <si>
    <t>dt</t>
  </si>
  <si>
    <t>Time of CMB (Gyr)</t>
  </si>
  <si>
    <t>Present Day Time (Gyr)</t>
  </si>
  <si>
    <r>
      <t>D</t>
    </r>
    <r>
      <rPr>
        <vertAlign val="subscript"/>
        <sz val="11"/>
        <color theme="1"/>
        <rFont val="Calibri"/>
        <family val="2"/>
        <scheme val="minor"/>
      </rPr>
      <t>LSS</t>
    </r>
    <r>
      <rPr>
        <sz val="11"/>
        <color theme="1"/>
        <rFont val="Calibri"/>
        <family val="2"/>
        <scheme val="minor"/>
      </rPr>
      <t xml:space="preserve"> (Gpc)</t>
    </r>
  </si>
  <si>
    <r>
      <t>D</t>
    </r>
    <r>
      <rPr>
        <vertAlign val="subscript"/>
        <sz val="11"/>
        <color theme="1"/>
        <rFont val="Calibri"/>
        <family val="2"/>
        <scheme val="minor"/>
      </rPr>
      <t>LSS</t>
    </r>
    <r>
      <rPr>
        <sz val="11"/>
        <color theme="1"/>
        <rFont val="Calibri"/>
        <family val="2"/>
        <scheme val="minor"/>
      </rPr>
      <t xml:space="preserve"> (m) (Gpc)</t>
    </r>
  </si>
  <si>
    <r>
      <t>Proper D</t>
    </r>
    <r>
      <rPr>
        <vertAlign val="subscript"/>
        <sz val="11"/>
        <color theme="1"/>
        <rFont val="Calibri"/>
        <family val="2"/>
        <scheme val="minor"/>
      </rPr>
      <t>LSS</t>
    </r>
    <r>
      <rPr>
        <sz val="11"/>
        <color theme="1"/>
        <rFont val="Calibri"/>
        <family val="2"/>
        <scheme val="minor"/>
      </rPr>
      <t xml:space="preserve"> (Mpc)</t>
    </r>
  </si>
  <si>
    <r>
      <t>Particle Horizon H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(t</t>
    </r>
    <r>
      <rPr>
        <vertAlign val="subscript"/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) (Mpc)</t>
    </r>
  </si>
  <si>
    <t>Error</t>
  </si>
  <si>
    <t>ref</t>
  </si>
  <si>
    <t>Distance
 (Mpc)</t>
  </si>
  <si>
    <r>
      <t>Velocity
(km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</si>
  <si>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log(M</t>
    </r>
    <r>
      <rPr>
        <vertAlign val="subscript"/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)
(M</t>
    </r>
    <r>
      <rPr>
        <vertAlign val="subscript"/>
        <sz val="11"/>
        <color theme="1"/>
        <rFont val="Calibri"/>
        <family val="2"/>
        <scheme val="minor"/>
      </rPr>
      <t>⊙</t>
    </r>
    <r>
      <rPr>
        <sz val="11"/>
        <color theme="1"/>
        <rFont val="Calibri"/>
        <family val="2"/>
        <scheme val="minor"/>
      </rPr>
      <t>)</t>
    </r>
  </si>
  <si>
    <r>
      <t>log(M</t>
    </r>
    <r>
      <rPr>
        <vertAlign val="subscript"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)
(M</t>
    </r>
    <r>
      <rPr>
        <vertAlign val="subscript"/>
        <sz val="11"/>
        <color theme="1"/>
        <rFont val="Calibri"/>
        <family val="2"/>
        <scheme val="minor"/>
      </rPr>
      <t>⊙</t>
    </r>
    <r>
      <rPr>
        <sz val="11"/>
        <color theme="1"/>
        <rFont val="Calibri"/>
        <family val="2"/>
        <scheme val="minor"/>
      </rPr>
      <t>)</t>
    </r>
  </si>
  <si>
    <t>Error
(kg)</t>
  </si>
  <si>
    <t>Predicted Mass
(kg)</t>
  </si>
  <si>
    <t>Observed
Mass
(kg)</t>
  </si>
  <si>
    <t>Log
(velocity)</t>
  </si>
  <si>
    <t>Log
(observed
Mass)</t>
  </si>
  <si>
    <t>Log
(predicted
Mass)</t>
  </si>
  <si>
    <t>Residual
Mass
(kg)</t>
  </si>
  <si>
    <r>
      <t>QES
χ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</si>
  <si>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ΛCDM
χ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</si>
  <si>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χ</t>
    </r>
    <r>
      <rPr>
        <vertAlign val="superscript"/>
        <sz val="11"/>
        <color theme="1"/>
        <rFont val="Calibri"/>
        <family val="2"/>
        <scheme val="minor"/>
      </rPr>
      <t>2</t>
    </r>
  </si>
  <si>
    <t>Initial Tangent Velocity</t>
  </si>
  <si>
    <r>
      <t>f</t>
    </r>
    <r>
      <rPr>
        <vertAlign val="subscript"/>
        <sz val="14"/>
        <color theme="1"/>
        <rFont val="Calibri"/>
        <family val="2"/>
        <scheme val="minor"/>
      </rPr>
      <t>t</t>
    </r>
    <r>
      <rPr>
        <sz val="14"/>
        <color theme="1"/>
        <rFont val="Calibri"/>
        <family val="2"/>
        <scheme val="minor"/>
      </rPr>
      <t>(τ)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</si>
</sst>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"/>
    <numFmt numFmtId="165" formatCode="0.0000"/>
    <numFmt numFmtId="166" formatCode="0.00000"/>
    <numFmt numFmtId="167" formatCode="0.0"/>
    <numFmt numFmtId="168" formatCode="0.000E+00"/>
    <numFmt numFmtId="169" formatCode="0.000000000000"/>
    <numFmt numFmtId="170" formatCode="0.0000E+00"/>
    <numFmt numFmtId="171" formatCode="#,##0.00000"/>
    <numFmt numFmtId="172" formatCode="#,##0.0000"/>
  </numFmts>
  <fonts count="30" x14ac:knownFonts="1">
    <font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4"/>
      <color theme="1"/>
      <name val="Calibri"/>
      <family val="2"/>
      <scheme val="minor"/>
    </font>
    <font>
      <vertAlign val="superscript"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6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1" fillId="0" borderId="1" applyNumberFormat="0" applyFill="0" applyAlignment="0" applyProtection="0"/>
    <xf numFmtId="0" fontId="12" fillId="0" borderId="2" applyNumberFormat="0" applyFill="0" applyAlignment="0" applyProtection="0"/>
    <xf numFmtId="0" fontId="13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4" applyNumberFormat="0" applyAlignment="0" applyProtection="0"/>
    <xf numFmtId="0" fontId="18" fillId="6" borderId="5" applyNumberFormat="0" applyAlignment="0" applyProtection="0"/>
    <xf numFmtId="0" fontId="19" fillId="6" borderId="4" applyNumberFormat="0" applyAlignment="0" applyProtection="0"/>
    <xf numFmtId="0" fontId="20" fillId="0" borderId="6" applyNumberFormat="0" applyFill="0" applyAlignment="0" applyProtection="0"/>
    <xf numFmtId="0" fontId="21" fillId="7" borderId="7" applyNumberFormat="0" applyAlignment="0" applyProtection="0"/>
    <xf numFmtId="0" fontId="22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23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24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24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24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24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24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24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</cellStyleXfs>
  <cellXfs count="84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0" borderId="0" xfId="0" applyAlignment="1">
      <alignment horizontal="right" vertical="top" wrapText="1"/>
    </xf>
    <xf numFmtId="11" fontId="0" fillId="0" borderId="0" xfId="0" applyNumberFormat="1" applyAlignment="1">
      <alignment horizontal="right" vertical="top" wrapText="1"/>
    </xf>
    <xf numFmtId="1" fontId="0" fillId="0" borderId="0" xfId="0" applyNumberFormat="1" applyAlignment="1">
      <alignment horizontal="right" vertical="top" wrapText="1"/>
    </xf>
    <xf numFmtId="1" fontId="0" fillId="0" borderId="0" xfId="0" applyNumberFormat="1"/>
    <xf numFmtId="2" fontId="0" fillId="0" borderId="0" xfId="0" applyNumberFormat="1" applyAlignment="1">
      <alignment horizontal="right" vertical="top" wrapText="1"/>
    </xf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0" fillId="0" borderId="0" xfId="0"/>
    <xf numFmtId="11" fontId="0" fillId="0" borderId="0" xfId="0" applyNumberFormat="1"/>
    <xf numFmtId="2" fontId="0" fillId="0" borderId="0" xfId="0" applyNumberFormat="1"/>
    <xf numFmtId="1" fontId="0" fillId="0" borderId="0" xfId="0" applyNumberFormat="1"/>
    <xf numFmtId="168" fontId="0" fillId="0" borderId="0" xfId="0" applyNumberFormat="1"/>
    <xf numFmtId="167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ont="1"/>
    <xf numFmtId="0" fontId="0" fillId="0" borderId="0" xfId="0" applyFont="1" applyAlignment="1">
      <alignment horizontal="right" vertical="top" wrapText="1"/>
    </xf>
    <xf numFmtId="1" fontId="0" fillId="0" borderId="0" xfId="0" applyNumberFormat="1" applyFont="1"/>
    <xf numFmtId="167" fontId="0" fillId="0" borderId="0" xfId="0" applyNumberFormat="1" applyAlignment="1">
      <alignment horizontal="right" vertical="top" wrapText="1"/>
    </xf>
    <xf numFmtId="2" fontId="2" fillId="0" borderId="0" xfId="0" applyNumberFormat="1" applyFont="1"/>
    <xf numFmtId="2" fontId="0" fillId="0" borderId="0" xfId="0" applyNumberFormat="1" applyFont="1" applyAlignment="1">
      <alignment horizontal="right" vertical="top" wrapText="1"/>
    </xf>
    <xf numFmtId="11" fontId="0" fillId="0" borderId="0" xfId="0" applyNumberFormat="1" applyFont="1" applyAlignment="1">
      <alignment horizontal="right" vertical="top" wrapText="1"/>
    </xf>
    <xf numFmtId="2" fontId="0" fillId="0" borderId="0" xfId="0" applyNumberFormat="1" applyFont="1"/>
    <xf numFmtId="11" fontId="0" fillId="0" borderId="0" xfId="0" applyNumberFormat="1" applyFont="1"/>
    <xf numFmtId="0" fontId="0" fillId="0" borderId="0" xfId="0" applyAlignment="1">
      <alignment horizontal="right" vertical="top"/>
    </xf>
    <xf numFmtId="2" fontId="1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Font="1"/>
    <xf numFmtId="2" fontId="0" fillId="0" borderId="0" xfId="0" applyNumberFormat="1" applyFont="1" applyAlignment="1">
      <alignment horizontal="left" vertical="top" wrapText="1"/>
    </xf>
    <xf numFmtId="169" fontId="0" fillId="0" borderId="0" xfId="0" applyNumberFormat="1"/>
    <xf numFmtId="164" fontId="0" fillId="0" borderId="0" xfId="0" applyNumberFormat="1" applyFont="1"/>
    <xf numFmtId="2" fontId="3" fillId="0" borderId="0" xfId="0" applyNumberFormat="1" applyFont="1"/>
    <xf numFmtId="11" fontId="1" fillId="0" borderId="0" xfId="0" applyNumberFormat="1" applyFont="1"/>
    <xf numFmtId="2" fontId="0" fillId="0" borderId="0" xfId="0" applyNumberFormat="1" applyAlignment="1">
      <alignment horizontal="right" vertical="top"/>
    </xf>
    <xf numFmtId="170" fontId="0" fillId="0" borderId="0" xfId="0" applyNumberFormat="1"/>
    <xf numFmtId="168" fontId="0" fillId="0" borderId="0" xfId="0" applyNumberFormat="1" applyAlignment="1">
      <alignment horizontal="right" vertical="top" wrapText="1"/>
    </xf>
    <xf numFmtId="0" fontId="0" fillId="0" borderId="0" xfId="0"/>
    <xf numFmtId="0" fontId="25" fillId="0" borderId="0" xfId="0" applyFont="1"/>
    <xf numFmtId="2" fontId="26" fillId="0" borderId="0" xfId="0" applyNumberFormat="1" applyFont="1"/>
    <xf numFmtId="2" fontId="25" fillId="0" borderId="0" xfId="0" applyNumberFormat="1" applyFont="1"/>
    <xf numFmtId="167" fontId="0" fillId="0" borderId="0" xfId="0" applyNumberFormat="1" applyFont="1"/>
    <xf numFmtId="2" fontId="26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NumberFormat="1" applyAlignment="1">
      <alignment horizontal="right" vertical="center"/>
    </xf>
    <xf numFmtId="2" fontId="0" fillId="0" borderId="0" xfId="0" applyNumberFormat="1" applyFont="1" applyAlignment="1">
      <alignment horizontal="left" vertical="center" wrapText="1"/>
    </xf>
    <xf numFmtId="168" fontId="0" fillId="0" borderId="0" xfId="0" applyNumberFormat="1" applyAlignment="1">
      <alignment vertical="center"/>
    </xf>
    <xf numFmtId="2" fontId="0" fillId="0" borderId="0" xfId="0" applyNumberFormat="1" applyAlignment="1">
      <alignment horizontal="right" vertical="center"/>
    </xf>
    <xf numFmtId="4" fontId="0" fillId="0" borderId="0" xfId="4" applyNumberFormat="1" applyFont="1"/>
    <xf numFmtId="9" fontId="0" fillId="0" borderId="0" xfId="3" applyFont="1"/>
    <xf numFmtId="167" fontId="0" fillId="0" borderId="0" xfId="0" applyNumberFormat="1" applyFont="1" applyAlignment="1">
      <alignment horizontal="right" vertical="top" wrapText="1"/>
    </xf>
    <xf numFmtId="1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NumberFormat="1"/>
    <xf numFmtId="0" fontId="26" fillId="0" borderId="0" xfId="0" applyFont="1"/>
    <xf numFmtId="2" fontId="26" fillId="0" borderId="0" xfId="0" applyNumberFormat="1" applyFont="1" applyAlignment="1">
      <alignment horizontal="right"/>
    </xf>
    <xf numFmtId="167" fontId="26" fillId="0" borderId="0" xfId="0" applyNumberFormat="1" applyFont="1"/>
    <xf numFmtId="167" fontId="26" fillId="0" borderId="0" xfId="0" applyNumberFormat="1" applyFont="1" applyAlignment="1">
      <alignment horizontal="right"/>
    </xf>
    <xf numFmtId="171" fontId="0" fillId="0" borderId="0" xfId="0" applyNumberFormat="1"/>
    <xf numFmtId="171" fontId="0" fillId="0" borderId="0" xfId="0" applyNumberFormat="1" applyAlignment="1">
      <alignment horizontal="right"/>
    </xf>
    <xf numFmtId="171" fontId="0" fillId="0" borderId="0" xfId="4" applyNumberFormat="1" applyFont="1"/>
    <xf numFmtId="172" fontId="0" fillId="0" borderId="0" xfId="0" applyNumberFormat="1"/>
    <xf numFmtId="4" fontId="0" fillId="0" borderId="0" xfId="0" applyNumberFormat="1"/>
    <xf numFmtId="3" fontId="0" fillId="0" borderId="0" xfId="3" applyNumberFormat="1" applyFont="1"/>
    <xf numFmtId="4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49" fontId="0" fillId="0" borderId="0" xfId="0" applyNumberFormat="1" applyAlignment="1">
      <alignment horizontal="right" vertical="top"/>
    </xf>
    <xf numFmtId="11" fontId="0" fillId="0" borderId="0" xfId="0" applyNumberFormat="1" applyAlignment="1">
      <alignment horizontal="right" vertical="top"/>
    </xf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Comma" xfId="4" builtinId="3"/>
    <cellStyle name="Explanatory Text" xfId="21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1" xr:uid="{00000000-0005-0000-0000-000026000000}"/>
    <cellStyle name="Normal 3" xfId="2" xr:uid="{00000000-0005-0000-0000-000027000000}"/>
    <cellStyle name="Normal 4" xfId="5" xr:uid="{00000000-0005-0000-0000-000028000000}"/>
    <cellStyle name="Note" xfId="20" builtinId="10" customBuiltin="1"/>
    <cellStyle name="Output" xfId="15" builtinId="21" customBuiltin="1"/>
    <cellStyle name="Percent" xfId="3" builtinId="5"/>
    <cellStyle name="Title" xfId="6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2" defaultPivotStyle="PivotStyleLight16"/>
  <colors>
    <mruColors>
      <color rgb="FF000000"/>
      <color rgb="FFE7C6C6"/>
      <color rgb="FFFF00FF"/>
      <color rgb="FFFF0000"/>
      <color rgb="FF00FFFF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55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84273840769904"/>
          <c:y val="2.2933193792821844E-2"/>
          <c:w val="0.85367125984251968"/>
          <c:h val="0.86898551306557059"/>
        </c:manualLayout>
      </c:layout>
      <c:scatterChart>
        <c:scatterStyle val="lineMarker"/>
        <c:varyColors val="0"/>
        <c:ser>
          <c:idx val="2"/>
          <c:order val="2"/>
          <c:tx>
            <c:v>Observed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Data'!$M$7:$M$482</c:f>
              <c:numCache>
                <c:formatCode>0.00E+00</c:formatCode>
                <c:ptCount val="476"/>
                <c:pt idx="0">
                  <c:v>48.072443757165757</c:v>
                </c:pt>
                <c:pt idx="1">
                  <c:v>45.557701005203917</c:v>
                </c:pt>
                <c:pt idx="2">
                  <c:v>49.641420450258337</c:v>
                </c:pt>
                <c:pt idx="3">
                  <c:v>57.557457302629494</c:v>
                </c:pt>
                <c:pt idx="4">
                  <c:v>51.983821172009236</c:v>
                </c:pt>
                <c:pt idx="5">
                  <c:v>75.59714599990032</c:v>
                </c:pt>
                <c:pt idx="6">
                  <c:v>61.781749181261212</c:v>
                </c:pt>
                <c:pt idx="7">
                  <c:v>73.070587641155655</c:v>
                </c:pt>
                <c:pt idx="8">
                  <c:v>64.345147387447213</c:v>
                </c:pt>
                <c:pt idx="9">
                  <c:v>70.07349838926153</c:v>
                </c:pt>
                <c:pt idx="10">
                  <c:v>69.142614888634384</c:v>
                </c:pt>
                <c:pt idx="11">
                  <c:v>78.36746525124002</c:v>
                </c:pt>
                <c:pt idx="12">
                  <c:v>50.801694675579675</c:v>
                </c:pt>
                <c:pt idx="13">
                  <c:v>70.742434278278921</c:v>
                </c:pt>
                <c:pt idx="14">
                  <c:v>66.230281356335922</c:v>
                </c:pt>
                <c:pt idx="15">
                  <c:v>65.426034752892662</c:v>
                </c:pt>
                <c:pt idx="16">
                  <c:v>76.158292776011223</c:v>
                </c:pt>
                <c:pt idx="17">
                  <c:v>61.673614240126895</c:v>
                </c:pt>
                <c:pt idx="18">
                  <c:v>59.540626489037528</c:v>
                </c:pt>
                <c:pt idx="19">
                  <c:v>71.821455154709071</c:v>
                </c:pt>
                <c:pt idx="20">
                  <c:v>71.166138255333365</c:v>
                </c:pt>
                <c:pt idx="21">
                  <c:v>69.240436969306231</c:v>
                </c:pt>
                <c:pt idx="22">
                  <c:v>68.621498880735416</c:v>
                </c:pt>
                <c:pt idx="23">
                  <c:v>65.273965861250986</c:v>
                </c:pt>
                <c:pt idx="24">
                  <c:v>70.625900786377059</c:v>
                </c:pt>
                <c:pt idx="25">
                  <c:v>74.167117412195594</c:v>
                </c:pt>
                <c:pt idx="26">
                  <c:v>72.376203764123289</c:v>
                </c:pt>
                <c:pt idx="27">
                  <c:v>85.76841808253829</c:v>
                </c:pt>
                <c:pt idx="28">
                  <c:v>69.035043048196584</c:v>
                </c:pt>
                <c:pt idx="29">
                  <c:v>83.520945091792626</c:v>
                </c:pt>
                <c:pt idx="30">
                  <c:v>80.435024789651493</c:v>
                </c:pt>
                <c:pt idx="31">
                  <c:v>85.90238069159642</c:v>
                </c:pt>
                <c:pt idx="32">
                  <c:v>76.912371056056344</c:v>
                </c:pt>
                <c:pt idx="33">
                  <c:v>74.781263724673366</c:v>
                </c:pt>
                <c:pt idx="34">
                  <c:v>100.11902232131553</c:v>
                </c:pt>
                <c:pt idx="35">
                  <c:v>109.15594655130438</c:v>
                </c:pt>
                <c:pt idx="36">
                  <c:v>103.93810631627954</c:v>
                </c:pt>
                <c:pt idx="37">
                  <c:v>102.93322977207376</c:v>
                </c:pt>
                <c:pt idx="38">
                  <c:v>91.603106083433232</c:v>
                </c:pt>
                <c:pt idx="39">
                  <c:v>89.78781436595213</c:v>
                </c:pt>
                <c:pt idx="40">
                  <c:v>100.74005879745931</c:v>
                </c:pt>
                <c:pt idx="41">
                  <c:v>109.43665245601915</c:v>
                </c:pt>
                <c:pt idx="42">
                  <c:v>106.61359795451364</c:v>
                </c:pt>
                <c:pt idx="43">
                  <c:v>102.01442828239168</c:v>
                </c:pt>
                <c:pt idx="44">
                  <c:v>112.7917149578883</c:v>
                </c:pt>
                <c:pt idx="45">
                  <c:v>92.879100335706866</c:v>
                </c:pt>
                <c:pt idx="46">
                  <c:v>102.46010580194832</c:v>
                </c:pt>
                <c:pt idx="47">
                  <c:v>120.84263873124272</c:v>
                </c:pt>
                <c:pt idx="48">
                  <c:v>113.00664979976912</c:v>
                </c:pt>
                <c:pt idx="49">
                  <c:v>112.19378506567409</c:v>
                </c:pt>
                <c:pt idx="50">
                  <c:v>109.08664874961777</c:v>
                </c:pt>
                <c:pt idx="51">
                  <c:v>113.09229047780407</c:v>
                </c:pt>
                <c:pt idx="52">
                  <c:v>123.50484643097693</c:v>
                </c:pt>
                <c:pt idx="53">
                  <c:v>125.77867054143005</c:v>
                </c:pt>
                <c:pt idx="54">
                  <c:v>116.15946416703835</c:v>
                </c:pt>
                <c:pt idx="55">
                  <c:v>108.82302650182643</c:v>
                </c:pt>
                <c:pt idx="56">
                  <c:v>110.30433990069987</c:v>
                </c:pt>
                <c:pt idx="57">
                  <c:v>122.50753459909662</c:v>
                </c:pt>
                <c:pt idx="58">
                  <c:v>126.20902159892788</c:v>
                </c:pt>
                <c:pt idx="59">
                  <c:v>107.62778437903465</c:v>
                </c:pt>
                <c:pt idx="60">
                  <c:v>133.17417038297521</c:v>
                </c:pt>
                <c:pt idx="61">
                  <c:v>105.88879350750462</c:v>
                </c:pt>
                <c:pt idx="62">
                  <c:v>129.29537794920287</c:v>
                </c:pt>
                <c:pt idx="63">
                  <c:v>134.63581387424148</c:v>
                </c:pt>
                <c:pt idx="64">
                  <c:v>108.2179244030648</c:v>
                </c:pt>
                <c:pt idx="65">
                  <c:v>126.51965529429147</c:v>
                </c:pt>
                <c:pt idx="66">
                  <c:v>153.40418227771059</c:v>
                </c:pt>
                <c:pt idx="67">
                  <c:v>115.87688179994919</c:v>
                </c:pt>
                <c:pt idx="68">
                  <c:v>126.99704038047254</c:v>
                </c:pt>
                <c:pt idx="69">
                  <c:v>110.65086160575582</c:v>
                </c:pt>
                <c:pt idx="70">
                  <c:v>132.61993172687821</c:v>
                </c:pt>
                <c:pt idx="71">
                  <c:v>145.94102763971043</c:v>
                </c:pt>
                <c:pt idx="72">
                  <c:v>132.06830377604587</c:v>
                </c:pt>
                <c:pt idx="73">
                  <c:v>150.1430382936847</c:v>
                </c:pt>
                <c:pt idx="74">
                  <c:v>140.11486090431177</c:v>
                </c:pt>
                <c:pt idx="75">
                  <c:v>132.50101343800554</c:v>
                </c:pt>
                <c:pt idx="76">
                  <c:v>161.80085044984077</c:v>
                </c:pt>
                <c:pt idx="77">
                  <c:v>136.16008065601477</c:v>
                </c:pt>
                <c:pt idx="78">
                  <c:v>177.53721382083666</c:v>
                </c:pt>
                <c:pt idx="79">
                  <c:v>161.17185335479141</c:v>
                </c:pt>
                <c:pt idx="80">
                  <c:v>167.27791243008363</c:v>
                </c:pt>
                <c:pt idx="81">
                  <c:v>158.25578700273803</c:v>
                </c:pt>
                <c:pt idx="82">
                  <c:v>162.06259921898123</c:v>
                </c:pt>
                <c:pt idx="83">
                  <c:v>160.16543588947061</c:v>
                </c:pt>
                <c:pt idx="84">
                  <c:v>151.75513660936366</c:v>
                </c:pt>
                <c:pt idx="85">
                  <c:v>166.95637244521023</c:v>
                </c:pt>
                <c:pt idx="86">
                  <c:v>186.04722643207745</c:v>
                </c:pt>
                <c:pt idx="87">
                  <c:v>195.62547076303255</c:v>
                </c:pt>
                <c:pt idx="88">
                  <c:v>162.26625012701302</c:v>
                </c:pt>
                <c:pt idx="89">
                  <c:v>155.62214605035953</c:v>
                </c:pt>
                <c:pt idx="90">
                  <c:v>153.64527178421153</c:v>
                </c:pt>
                <c:pt idx="91">
                  <c:v>173.64744595717264</c:v>
                </c:pt>
                <c:pt idx="92">
                  <c:v>158.13448917235462</c:v>
                </c:pt>
                <c:pt idx="93">
                  <c:v>194.95231649448533</c:v>
                </c:pt>
                <c:pt idx="94">
                  <c:v>207.69431059661005</c:v>
                </c:pt>
                <c:pt idx="95">
                  <c:v>161.93584804972488</c:v>
                </c:pt>
                <c:pt idx="96">
                  <c:v>179.10660424536417</c:v>
                </c:pt>
                <c:pt idx="97">
                  <c:v>175.23909433286479</c:v>
                </c:pt>
                <c:pt idx="98">
                  <c:v>170.34476834928009</c:v>
                </c:pt>
                <c:pt idx="99">
                  <c:v>199.08988695437671</c:v>
                </c:pt>
                <c:pt idx="100">
                  <c:v>218.77394590297055</c:v>
                </c:pt>
                <c:pt idx="101">
                  <c:v>225.66853003779119</c:v>
                </c:pt>
                <c:pt idx="102">
                  <c:v>227.41337315354698</c:v>
                </c:pt>
                <c:pt idx="103">
                  <c:v>198.02471640461786</c:v>
                </c:pt>
                <c:pt idx="104">
                  <c:v>215.99773645880614</c:v>
                </c:pt>
                <c:pt idx="105">
                  <c:v>242.31460996174712</c:v>
                </c:pt>
                <c:pt idx="106">
                  <c:v>197.79303751909211</c:v>
                </c:pt>
                <c:pt idx="107">
                  <c:v>265.05829498656789</c:v>
                </c:pt>
                <c:pt idx="108">
                  <c:v>276.77980562582621</c:v>
                </c:pt>
                <c:pt idx="109">
                  <c:v>287.32406360335602</c:v>
                </c:pt>
                <c:pt idx="110">
                  <c:v>267.73281235916113</c:v>
                </c:pt>
                <c:pt idx="111">
                  <c:v>321.3759696509839</c:v>
                </c:pt>
                <c:pt idx="112">
                  <c:v>280.83640178345036</c:v>
                </c:pt>
                <c:pt idx="113">
                  <c:v>277.02170632803131</c:v>
                </c:pt>
                <c:pt idx="114">
                  <c:v>348.07144804455714</c:v>
                </c:pt>
                <c:pt idx="115">
                  <c:v>315.33879229460251</c:v>
                </c:pt>
                <c:pt idx="116">
                  <c:v>274.76992804011155</c:v>
                </c:pt>
                <c:pt idx="117">
                  <c:v>320.32541686432074</c:v>
                </c:pt>
                <c:pt idx="118">
                  <c:v>326.43716688306512</c:v>
                </c:pt>
                <c:pt idx="119">
                  <c:v>397.02933835530911</c:v>
                </c:pt>
                <c:pt idx="120">
                  <c:v>338.21245743786687</c:v>
                </c:pt>
                <c:pt idx="121">
                  <c:v>318.28282199737731</c:v>
                </c:pt>
                <c:pt idx="122">
                  <c:v>373.9862196897019</c:v>
                </c:pt>
                <c:pt idx="123">
                  <c:v>347.13643574989692</c:v>
                </c:pt>
                <c:pt idx="124">
                  <c:v>377.9836374051273</c:v>
                </c:pt>
                <c:pt idx="125">
                  <c:v>378.73356859792329</c:v>
                </c:pt>
                <c:pt idx="126">
                  <c:v>367.80412869875613</c:v>
                </c:pt>
                <c:pt idx="127">
                  <c:v>437.96620487905483</c:v>
                </c:pt>
                <c:pt idx="128">
                  <c:v>439.04092025723889</c:v>
                </c:pt>
                <c:pt idx="129">
                  <c:v>404.4535018606702</c:v>
                </c:pt>
                <c:pt idx="130">
                  <c:v>454.52125797397622</c:v>
                </c:pt>
                <c:pt idx="131">
                  <c:v>547.61079405111434</c:v>
                </c:pt>
                <c:pt idx="132">
                  <c:v>607.36365510995051</c:v>
                </c:pt>
                <c:pt idx="133">
                  <c:v>611.62664947005123</c:v>
                </c:pt>
                <c:pt idx="134">
                  <c:v>606.87437501861473</c:v>
                </c:pt>
                <c:pt idx="135">
                  <c:v>577.8059370798594</c:v>
                </c:pt>
                <c:pt idx="136">
                  <c:v>597.80315119176896</c:v>
                </c:pt>
                <c:pt idx="137">
                  <c:v>539.87448155510049</c:v>
                </c:pt>
                <c:pt idx="138">
                  <c:v>600.80010514326375</c:v>
                </c:pt>
                <c:pt idx="139">
                  <c:v>646.26256502755678</c:v>
                </c:pt>
                <c:pt idx="140">
                  <c:v>666.56974878072469</c:v>
                </c:pt>
                <c:pt idx="141">
                  <c:v>595.55791387850343</c:v>
                </c:pt>
                <c:pt idx="142">
                  <c:v>619.49042756887491</c:v>
                </c:pt>
                <c:pt idx="143">
                  <c:v>603.81041526876822</c:v>
                </c:pt>
                <c:pt idx="144">
                  <c:v>599.28471364682048</c:v>
                </c:pt>
                <c:pt idx="145">
                  <c:v>740.9549436647992</c:v>
                </c:pt>
                <c:pt idx="146">
                  <c:v>701.60843234947345</c:v>
                </c:pt>
                <c:pt idx="147">
                  <c:v>745.29876228577268</c:v>
                </c:pt>
                <c:pt idx="148">
                  <c:v>722.56280192198608</c:v>
                </c:pt>
                <c:pt idx="149">
                  <c:v>808.87646610773231</c:v>
                </c:pt>
                <c:pt idx="150">
                  <c:v>719.25485155859428</c:v>
                </c:pt>
                <c:pt idx="151">
                  <c:v>855.27543792568542</c:v>
                </c:pt>
                <c:pt idx="152">
                  <c:v>776.41264520364768</c:v>
                </c:pt>
                <c:pt idx="153">
                  <c:v>736.21828576436985</c:v>
                </c:pt>
                <c:pt idx="154">
                  <c:v>753.64843214662847</c:v>
                </c:pt>
                <c:pt idx="155">
                  <c:v>731.44386229178804</c:v>
                </c:pt>
                <c:pt idx="156">
                  <c:v>807.60016685604944</c:v>
                </c:pt>
                <c:pt idx="157">
                  <c:v>1010.6635430822232</c:v>
                </c:pt>
                <c:pt idx="158">
                  <c:v>880.52724841448821</c:v>
                </c:pt>
                <c:pt idx="159">
                  <c:v>868.87759782370688</c:v>
                </c:pt>
                <c:pt idx="160">
                  <c:v>924.11112804010895</c:v>
                </c:pt>
                <c:pt idx="161">
                  <c:v>1126.3449079434008</c:v>
                </c:pt>
                <c:pt idx="162">
                  <c:v>905.25472436210373</c:v>
                </c:pt>
                <c:pt idx="163">
                  <c:v>971.56128363449795</c:v>
                </c:pt>
                <c:pt idx="164">
                  <c:v>866.71158170762101</c:v>
                </c:pt>
                <c:pt idx="165">
                  <c:v>1020.5667148918301</c:v>
                </c:pt>
                <c:pt idx="166">
                  <c:v>967.99697469683269</c:v>
                </c:pt>
                <c:pt idx="167">
                  <c:v>955.61333184427781</c:v>
                </c:pt>
                <c:pt idx="168">
                  <c:v>979.58381283840549</c:v>
                </c:pt>
                <c:pt idx="169">
                  <c:v>992.62177952341915</c:v>
                </c:pt>
                <c:pt idx="170">
                  <c:v>992.57835414719773</c:v>
                </c:pt>
                <c:pt idx="171">
                  <c:v>1093.7332120483572</c:v>
                </c:pt>
                <c:pt idx="172">
                  <c:v>1182.0052349929813</c:v>
                </c:pt>
                <c:pt idx="173">
                  <c:v>1131.6199622785341</c:v>
                </c:pt>
                <c:pt idx="174">
                  <c:v>1063.8259992426174</c:v>
                </c:pt>
                <c:pt idx="175">
                  <c:v>1088.313458858627</c:v>
                </c:pt>
                <c:pt idx="176">
                  <c:v>1164.5775130097231</c:v>
                </c:pt>
                <c:pt idx="177">
                  <c:v>1038.651374099584</c:v>
                </c:pt>
                <c:pt idx="178">
                  <c:v>1078.9492065993288</c:v>
                </c:pt>
                <c:pt idx="179">
                  <c:v>1080.7050975870211</c:v>
                </c:pt>
                <c:pt idx="180">
                  <c:v>1249.6926052526978</c:v>
                </c:pt>
                <c:pt idx="181">
                  <c:v>1406.9219328094589</c:v>
                </c:pt>
                <c:pt idx="182">
                  <c:v>1130.9531121176331</c:v>
                </c:pt>
                <c:pt idx="183">
                  <c:v>1184.4452755812238</c:v>
                </c:pt>
                <c:pt idx="184">
                  <c:v>1183.3096329926391</c:v>
                </c:pt>
                <c:pt idx="185">
                  <c:v>1183.2398834676858</c:v>
                </c:pt>
                <c:pt idx="186">
                  <c:v>1111.1958224528523</c:v>
                </c:pt>
                <c:pt idx="187">
                  <c:v>1167.5836370641669</c:v>
                </c:pt>
                <c:pt idx="188">
                  <c:v>1407.1124316843902</c:v>
                </c:pt>
                <c:pt idx="189">
                  <c:v>1216.2000025857469</c:v>
                </c:pt>
                <c:pt idx="190">
                  <c:v>1395.5345724291051</c:v>
                </c:pt>
                <c:pt idx="191">
                  <c:v>1451.5820862481173</c:v>
                </c:pt>
                <c:pt idx="192">
                  <c:v>1417.9372114118282</c:v>
                </c:pt>
                <c:pt idx="193">
                  <c:v>1392.5621922429029</c:v>
                </c:pt>
                <c:pt idx="194">
                  <c:v>1298.7901910148557</c:v>
                </c:pt>
                <c:pt idx="195">
                  <c:v>1393.7381888323307</c:v>
                </c:pt>
                <c:pt idx="196">
                  <c:v>1460.2163267509777</c:v>
                </c:pt>
                <c:pt idx="197">
                  <c:v>1405.5250816027226</c:v>
                </c:pt>
                <c:pt idx="198">
                  <c:v>1373.6402249886767</c:v>
                </c:pt>
                <c:pt idx="199">
                  <c:v>1502.6014375613963</c:v>
                </c:pt>
                <c:pt idx="200">
                  <c:v>1467.396233510631</c:v>
                </c:pt>
                <c:pt idx="201">
                  <c:v>1523.214972585411</c:v>
                </c:pt>
                <c:pt idx="202">
                  <c:v>1407.6069419647372</c:v>
                </c:pt>
                <c:pt idx="203">
                  <c:v>1298.6592104378183</c:v>
                </c:pt>
                <c:pt idx="204">
                  <c:v>1576.6990284001722</c:v>
                </c:pt>
                <c:pt idx="205">
                  <c:v>1379.2246169163113</c:v>
                </c:pt>
                <c:pt idx="206">
                  <c:v>1428.4445947044953</c:v>
                </c:pt>
                <c:pt idx="207">
                  <c:v>1420.5829568201275</c:v>
                </c:pt>
                <c:pt idx="208">
                  <c:v>1322.7677561875917</c:v>
                </c:pt>
                <c:pt idx="209">
                  <c:v>1635.8836054419635</c:v>
                </c:pt>
                <c:pt idx="210">
                  <c:v>1636.1164078478232</c:v>
                </c:pt>
                <c:pt idx="211">
                  <c:v>1690.2323127300374</c:v>
                </c:pt>
                <c:pt idx="212">
                  <c:v>1424.2341664483699</c:v>
                </c:pt>
                <c:pt idx="213">
                  <c:v>1781.3456599334083</c:v>
                </c:pt>
                <c:pt idx="214">
                  <c:v>1692.3547317039236</c:v>
                </c:pt>
                <c:pt idx="215">
                  <c:v>1499.2484206079985</c:v>
                </c:pt>
                <c:pt idx="216">
                  <c:v>1565.5408347094144</c:v>
                </c:pt>
                <c:pt idx="217">
                  <c:v>1625.6715296167845</c:v>
                </c:pt>
                <c:pt idx="218">
                  <c:v>1730.6322800910591</c:v>
                </c:pt>
                <c:pt idx="219">
                  <c:v>1924.956855448326</c:v>
                </c:pt>
                <c:pt idx="220">
                  <c:v>1686.3045040622094</c:v>
                </c:pt>
                <c:pt idx="221">
                  <c:v>2005.9162656137328</c:v>
                </c:pt>
                <c:pt idx="222">
                  <c:v>1756.3659135550945</c:v>
                </c:pt>
                <c:pt idx="223">
                  <c:v>1682.3951201782916</c:v>
                </c:pt>
                <c:pt idx="224">
                  <c:v>1789.5053453943051</c:v>
                </c:pt>
                <c:pt idx="225">
                  <c:v>1887.7992099493317</c:v>
                </c:pt>
                <c:pt idx="226">
                  <c:v>1669.1693445721248</c:v>
                </c:pt>
                <c:pt idx="227">
                  <c:v>1708.422175580462</c:v>
                </c:pt>
                <c:pt idx="228">
                  <c:v>1843.4773245800427</c:v>
                </c:pt>
                <c:pt idx="229">
                  <c:v>1805.7407548140898</c:v>
                </c:pt>
                <c:pt idx="230">
                  <c:v>1961.103884839318</c:v>
                </c:pt>
                <c:pt idx="231">
                  <c:v>2225.4610619560453</c:v>
                </c:pt>
                <c:pt idx="232">
                  <c:v>1952.3199851099714</c:v>
                </c:pt>
                <c:pt idx="233">
                  <c:v>2219.4389325818279</c:v>
                </c:pt>
                <c:pt idx="234">
                  <c:v>1863.5128851335453</c:v>
                </c:pt>
                <c:pt idx="235">
                  <c:v>2338.2416923785149</c:v>
                </c:pt>
                <c:pt idx="236">
                  <c:v>2085.2071239919665</c:v>
                </c:pt>
                <c:pt idx="237">
                  <c:v>2029.5174977686668</c:v>
                </c:pt>
                <c:pt idx="238">
                  <c:v>2018.310594928427</c:v>
                </c:pt>
                <c:pt idx="239">
                  <c:v>2020.0587483606037</c:v>
                </c:pt>
                <c:pt idx="240">
                  <c:v>2192.0345749955786</c:v>
                </c:pt>
                <c:pt idx="241">
                  <c:v>2256.0088552477791</c:v>
                </c:pt>
                <c:pt idx="242">
                  <c:v>2175.8191761280586</c:v>
                </c:pt>
                <c:pt idx="243">
                  <c:v>2185.0209231047397</c:v>
                </c:pt>
                <c:pt idx="244">
                  <c:v>2178.9837928394013</c:v>
                </c:pt>
                <c:pt idx="245">
                  <c:v>2355.7955658232663</c:v>
                </c:pt>
                <c:pt idx="246">
                  <c:v>2341.549806597654</c:v>
                </c:pt>
                <c:pt idx="247">
                  <c:v>1953.9776866182442</c:v>
                </c:pt>
                <c:pt idx="248">
                  <c:v>1877.5607592796741</c:v>
                </c:pt>
                <c:pt idx="249">
                  <c:v>2402.8242150142287</c:v>
                </c:pt>
                <c:pt idx="250">
                  <c:v>2352.19217024009</c:v>
                </c:pt>
                <c:pt idx="251">
                  <c:v>2584.9265068886411</c:v>
                </c:pt>
                <c:pt idx="252">
                  <c:v>2759.2649227798406</c:v>
                </c:pt>
                <c:pt idx="253">
                  <c:v>2424.9679329721316</c:v>
                </c:pt>
                <c:pt idx="254">
                  <c:v>2445.1843077940916</c:v>
                </c:pt>
                <c:pt idx="255">
                  <c:v>2270.5391778768308</c:v>
                </c:pt>
                <c:pt idx="256">
                  <c:v>2703.634626590987</c:v>
                </c:pt>
                <c:pt idx="257">
                  <c:v>2212.2153425669367</c:v>
                </c:pt>
                <c:pt idx="258">
                  <c:v>2700.9839282564585</c:v>
                </c:pt>
                <c:pt idx="259">
                  <c:v>2490.5140723268805</c:v>
                </c:pt>
                <c:pt idx="260">
                  <c:v>2443.0142488615443</c:v>
                </c:pt>
                <c:pt idx="261">
                  <c:v>2791.2105631395025</c:v>
                </c:pt>
                <c:pt idx="262">
                  <c:v>2485.6547139896479</c:v>
                </c:pt>
                <c:pt idx="263">
                  <c:v>2715.9289224478985</c:v>
                </c:pt>
                <c:pt idx="264">
                  <c:v>2629.9009986988353</c:v>
                </c:pt>
                <c:pt idx="265">
                  <c:v>2396.052888046861</c:v>
                </c:pt>
                <c:pt idx="266">
                  <c:v>2427.7457359067516</c:v>
                </c:pt>
                <c:pt idx="267">
                  <c:v>2985.3015056692202</c:v>
                </c:pt>
                <c:pt idx="268">
                  <c:v>3419.0322712886586</c:v>
                </c:pt>
                <c:pt idx="269">
                  <c:v>3216.198166380821</c:v>
                </c:pt>
                <c:pt idx="270">
                  <c:v>2614.4479496607073</c:v>
                </c:pt>
                <c:pt idx="271">
                  <c:v>3150.1395986102743</c:v>
                </c:pt>
                <c:pt idx="272">
                  <c:v>3223.5840629455174</c:v>
                </c:pt>
                <c:pt idx="273">
                  <c:v>2961.9150604736251</c:v>
                </c:pt>
                <c:pt idx="274">
                  <c:v>2599.0952766774994</c:v>
                </c:pt>
                <c:pt idx="275">
                  <c:v>2918.4281116911343</c:v>
                </c:pt>
                <c:pt idx="276">
                  <c:v>2928.6778325172259</c:v>
                </c:pt>
                <c:pt idx="277">
                  <c:v>3184.2488453399665</c:v>
                </c:pt>
                <c:pt idx="278">
                  <c:v>3147.9802573133466</c:v>
                </c:pt>
                <c:pt idx="279">
                  <c:v>3174.3265386572898</c:v>
                </c:pt>
                <c:pt idx="280">
                  <c:v>2909.2818664007996</c:v>
                </c:pt>
                <c:pt idx="281">
                  <c:v>2928.0804167075535</c:v>
                </c:pt>
                <c:pt idx="282">
                  <c:v>3281.7885844009561</c:v>
                </c:pt>
                <c:pt idx="283">
                  <c:v>3327.2206288367711</c:v>
                </c:pt>
                <c:pt idx="284">
                  <c:v>3237.5076254187084</c:v>
                </c:pt>
                <c:pt idx="285">
                  <c:v>3058.5839131906846</c:v>
                </c:pt>
                <c:pt idx="286">
                  <c:v>2982.99551231331</c:v>
                </c:pt>
                <c:pt idx="287">
                  <c:v>3193.6255932948761</c:v>
                </c:pt>
                <c:pt idx="288">
                  <c:v>3266.9929703735665</c:v>
                </c:pt>
                <c:pt idx="289">
                  <c:v>3115.6638833367306</c:v>
                </c:pt>
                <c:pt idx="290">
                  <c:v>3193.2991103801555</c:v>
                </c:pt>
                <c:pt idx="291">
                  <c:v>3126.4983225057972</c:v>
                </c:pt>
                <c:pt idx="292">
                  <c:v>3017.3702217575596</c:v>
                </c:pt>
                <c:pt idx="293">
                  <c:v>3353.543931644434</c:v>
                </c:pt>
                <c:pt idx="294">
                  <c:v>2859.6244390709139</c:v>
                </c:pt>
                <c:pt idx="295">
                  <c:v>3210.6502605768587</c:v>
                </c:pt>
                <c:pt idx="296">
                  <c:v>3631.800633075281</c:v>
                </c:pt>
                <c:pt idx="297">
                  <c:v>3424.5948559969233</c:v>
                </c:pt>
                <c:pt idx="298">
                  <c:v>3659.4869266520218</c:v>
                </c:pt>
                <c:pt idx="299">
                  <c:v>3332.0905890916347</c:v>
                </c:pt>
                <c:pt idx="300">
                  <c:v>3965.893066300805</c:v>
                </c:pt>
                <c:pt idx="301">
                  <c:v>3713.3971520576524</c:v>
                </c:pt>
                <c:pt idx="302">
                  <c:v>3341.370238186948</c:v>
                </c:pt>
                <c:pt idx="303">
                  <c:v>3261.2433008931666</c:v>
                </c:pt>
                <c:pt idx="304">
                  <c:v>3730.2299095080707</c:v>
                </c:pt>
                <c:pt idx="305">
                  <c:v>3896.9730285921996</c:v>
                </c:pt>
                <c:pt idx="306">
                  <c:v>3275.0912143251744</c:v>
                </c:pt>
                <c:pt idx="307">
                  <c:v>4021.7623118537799</c:v>
                </c:pt>
                <c:pt idx="308">
                  <c:v>3401.9897439357542</c:v>
                </c:pt>
                <c:pt idx="309">
                  <c:v>3531.7926628887976</c:v>
                </c:pt>
                <c:pt idx="310">
                  <c:v>3864.1608845996634</c:v>
                </c:pt>
                <c:pt idx="311">
                  <c:v>3738.3262473797135</c:v>
                </c:pt>
                <c:pt idx="312">
                  <c:v>3720.0741799904995</c:v>
                </c:pt>
                <c:pt idx="313">
                  <c:v>4033.4771409928926</c:v>
                </c:pt>
                <c:pt idx="314">
                  <c:v>4150.4960033471361</c:v>
                </c:pt>
                <c:pt idx="315">
                  <c:v>3936.1750121180416</c:v>
                </c:pt>
                <c:pt idx="316">
                  <c:v>3828.1116866467532</c:v>
                </c:pt>
                <c:pt idx="317">
                  <c:v>3370.747336334462</c:v>
                </c:pt>
                <c:pt idx="318">
                  <c:v>3766.5349357510981</c:v>
                </c:pt>
                <c:pt idx="319">
                  <c:v>3347.227261669907</c:v>
                </c:pt>
                <c:pt idx="320">
                  <c:v>3795.7010499840922</c:v>
                </c:pt>
                <c:pt idx="321">
                  <c:v>4607.5557632419032</c:v>
                </c:pt>
                <c:pt idx="322">
                  <c:v>4113.3493874307205</c:v>
                </c:pt>
                <c:pt idx="323">
                  <c:v>3655.0540198994481</c:v>
                </c:pt>
                <c:pt idx="324">
                  <c:v>4378.8331776725863</c:v>
                </c:pt>
                <c:pt idx="325">
                  <c:v>3657.7599468678718</c:v>
                </c:pt>
                <c:pt idx="326">
                  <c:v>4583.1893492763138</c:v>
                </c:pt>
                <c:pt idx="327">
                  <c:v>4106.9536353623489</c:v>
                </c:pt>
                <c:pt idx="328">
                  <c:v>3972.1843865939791</c:v>
                </c:pt>
                <c:pt idx="329">
                  <c:v>4032.9645077486703</c:v>
                </c:pt>
                <c:pt idx="330">
                  <c:v>3784.3561361126726</c:v>
                </c:pt>
                <c:pt idx="331">
                  <c:v>3675.5387014709868</c:v>
                </c:pt>
                <c:pt idx="332">
                  <c:v>3625.0950645360404</c:v>
                </c:pt>
                <c:pt idx="333">
                  <c:v>4079.9590109521814</c:v>
                </c:pt>
                <c:pt idx="334">
                  <c:v>4170.2932969311623</c:v>
                </c:pt>
                <c:pt idx="335">
                  <c:v>4067.6183699216904</c:v>
                </c:pt>
                <c:pt idx="336">
                  <c:v>4381.8913002881336</c:v>
                </c:pt>
                <c:pt idx="337">
                  <c:v>4036.9093750224647</c:v>
                </c:pt>
                <c:pt idx="338">
                  <c:v>4124.5008742960472</c:v>
                </c:pt>
                <c:pt idx="339">
                  <c:v>4307.6380054327328</c:v>
                </c:pt>
                <c:pt idx="340">
                  <c:v>4231.2238306000663</c:v>
                </c:pt>
                <c:pt idx="341">
                  <c:v>4047.3671270657592</c:v>
                </c:pt>
                <c:pt idx="342">
                  <c:v>4147.85150450116</c:v>
                </c:pt>
                <c:pt idx="343">
                  <c:v>4547.6705995943357</c:v>
                </c:pt>
                <c:pt idx="344">
                  <c:v>4555.0337586415835</c:v>
                </c:pt>
                <c:pt idx="345">
                  <c:v>5011.4522883198833</c:v>
                </c:pt>
                <c:pt idx="346">
                  <c:v>4414.7671262810118</c:v>
                </c:pt>
                <c:pt idx="347">
                  <c:v>4786.9049047418457</c:v>
                </c:pt>
                <c:pt idx="348">
                  <c:v>4960.4377052981727</c:v>
                </c:pt>
                <c:pt idx="349">
                  <c:v>4469.9472701919149</c:v>
                </c:pt>
                <c:pt idx="350">
                  <c:v>4359.442963781441</c:v>
                </c:pt>
                <c:pt idx="351">
                  <c:v>5201.0999532253527</c:v>
                </c:pt>
                <c:pt idx="352">
                  <c:v>5812.1953143098754</c:v>
                </c:pt>
                <c:pt idx="353">
                  <c:v>4448.2316923829812</c:v>
                </c:pt>
                <c:pt idx="354">
                  <c:v>4992.8716276656269</c:v>
                </c:pt>
                <c:pt idx="355">
                  <c:v>4707.7891104045893</c:v>
                </c:pt>
                <c:pt idx="356">
                  <c:v>4669.8141845185783</c:v>
                </c:pt>
                <c:pt idx="357">
                  <c:v>4493.3660537810711</c:v>
                </c:pt>
                <c:pt idx="358">
                  <c:v>4487.6481591316551</c:v>
                </c:pt>
                <c:pt idx="359">
                  <c:v>4396.4445499493486</c:v>
                </c:pt>
                <c:pt idx="360">
                  <c:v>5023.1367319071851</c:v>
                </c:pt>
                <c:pt idx="361">
                  <c:v>4926.0793132736962</c:v>
                </c:pt>
                <c:pt idx="362">
                  <c:v>4748.4273743715876</c:v>
                </c:pt>
                <c:pt idx="363">
                  <c:v>4648.8507124385005</c:v>
                </c:pt>
                <c:pt idx="364">
                  <c:v>4489.3762014129725</c:v>
                </c:pt>
                <c:pt idx="365">
                  <c:v>5315.0383197885913</c:v>
                </c:pt>
                <c:pt idx="366">
                  <c:v>4763.9412826221014</c:v>
                </c:pt>
                <c:pt idx="367">
                  <c:v>4934.21648599744</c:v>
                </c:pt>
                <c:pt idx="368">
                  <c:v>5812.0133073493835</c:v>
                </c:pt>
                <c:pt idx="369">
                  <c:v>4442.3257333001475</c:v>
                </c:pt>
                <c:pt idx="370">
                  <c:v>4903.7418574246822</c:v>
                </c:pt>
                <c:pt idx="371">
                  <c:v>4875.4734974216835</c:v>
                </c:pt>
                <c:pt idx="372">
                  <c:v>5054.6955189302398</c:v>
                </c:pt>
                <c:pt idx="373">
                  <c:v>4605.3728887637444</c:v>
                </c:pt>
                <c:pt idx="374">
                  <c:v>5632.4273671951796</c:v>
                </c:pt>
                <c:pt idx="375">
                  <c:v>5983.8679348916594</c:v>
                </c:pt>
                <c:pt idx="376">
                  <c:v>5113.1248822027446</c:v>
                </c:pt>
                <c:pt idx="377">
                  <c:v>4520.5970782239547</c:v>
                </c:pt>
                <c:pt idx="378">
                  <c:v>4725.5112344867548</c:v>
                </c:pt>
                <c:pt idx="379">
                  <c:v>4570.7240262073528</c:v>
                </c:pt>
                <c:pt idx="380">
                  <c:v>4128.8889280365511</c:v>
                </c:pt>
                <c:pt idx="381">
                  <c:v>5999.0322962311211</c:v>
                </c:pt>
                <c:pt idx="382">
                  <c:v>4967.5517486904446</c:v>
                </c:pt>
                <c:pt idx="383">
                  <c:v>4890.6186536809028</c:v>
                </c:pt>
                <c:pt idx="384">
                  <c:v>5034.753355269072</c:v>
                </c:pt>
                <c:pt idx="385">
                  <c:v>4811.4214498822848</c:v>
                </c:pt>
                <c:pt idx="386">
                  <c:v>5038.1210731965684</c:v>
                </c:pt>
                <c:pt idx="387">
                  <c:v>5279.4660322399022</c:v>
                </c:pt>
                <c:pt idx="388">
                  <c:v>5085.0332847574718</c:v>
                </c:pt>
                <c:pt idx="389">
                  <c:v>5613.3665195492786</c:v>
                </c:pt>
                <c:pt idx="390">
                  <c:v>5959.0303864955567</c:v>
                </c:pt>
                <c:pt idx="391">
                  <c:v>5442.2188218955516</c:v>
                </c:pt>
                <c:pt idx="392">
                  <c:v>5494.4623273415218</c:v>
                </c:pt>
                <c:pt idx="393">
                  <c:v>5264.6317670735334</c:v>
                </c:pt>
                <c:pt idx="394">
                  <c:v>5053.0663402197188</c:v>
                </c:pt>
                <c:pt idx="395">
                  <c:v>5389.4047401218295</c:v>
                </c:pt>
                <c:pt idx="396">
                  <c:v>4484.8363455995814</c:v>
                </c:pt>
                <c:pt idx="397">
                  <c:v>4571.2671216901654</c:v>
                </c:pt>
                <c:pt idx="398">
                  <c:v>6233.7301742668615</c:v>
                </c:pt>
                <c:pt idx="399">
                  <c:v>5259.6809398882397</c:v>
                </c:pt>
                <c:pt idx="400">
                  <c:v>4880.1907789523784</c:v>
                </c:pt>
                <c:pt idx="401">
                  <c:v>5438.9241213802597</c:v>
                </c:pt>
                <c:pt idx="402">
                  <c:v>6951.2738794013885</c:v>
                </c:pt>
                <c:pt idx="403">
                  <c:v>5178.6862482952329</c:v>
                </c:pt>
                <c:pt idx="404">
                  <c:v>5428.6944699499018</c:v>
                </c:pt>
                <c:pt idx="405">
                  <c:v>6173.7864038087719</c:v>
                </c:pt>
                <c:pt idx="406">
                  <c:v>5552.1168791955197</c:v>
                </c:pt>
                <c:pt idx="407">
                  <c:v>5083.5909748127424</c:v>
                </c:pt>
                <c:pt idx="408">
                  <c:v>6223.6276271734932</c:v>
                </c:pt>
                <c:pt idx="409">
                  <c:v>5714.5600401518441</c:v>
                </c:pt>
                <c:pt idx="410">
                  <c:v>6372.6578250729781</c:v>
                </c:pt>
                <c:pt idx="411">
                  <c:v>5686.8294001838522</c:v>
                </c:pt>
                <c:pt idx="412">
                  <c:v>5584.174742944756</c:v>
                </c:pt>
                <c:pt idx="413">
                  <c:v>5909.593386652321</c:v>
                </c:pt>
                <c:pt idx="414">
                  <c:v>5392.6272257066476</c:v>
                </c:pt>
                <c:pt idx="415">
                  <c:v>5185.845812262025</c:v>
                </c:pt>
                <c:pt idx="416">
                  <c:v>4794.4500678968834</c:v>
                </c:pt>
                <c:pt idx="417">
                  <c:v>5609.3172061530004</c:v>
                </c:pt>
                <c:pt idx="418">
                  <c:v>5634.731158067013</c:v>
                </c:pt>
                <c:pt idx="419">
                  <c:v>5636.1611236485933</c:v>
                </c:pt>
                <c:pt idx="420">
                  <c:v>5648.6465410239307</c:v>
                </c:pt>
                <c:pt idx="421">
                  <c:v>4899.5478112527489</c:v>
                </c:pt>
                <c:pt idx="422">
                  <c:v>6317.2054299850442</c:v>
                </c:pt>
                <c:pt idx="423">
                  <c:v>5675.7440168093162</c:v>
                </c:pt>
                <c:pt idx="424">
                  <c:v>6951.3827203708443</c:v>
                </c:pt>
                <c:pt idx="425">
                  <c:v>6133.3789734001939</c:v>
                </c:pt>
                <c:pt idx="426">
                  <c:v>5348.5615755097615</c:v>
                </c:pt>
                <c:pt idx="427">
                  <c:v>5799.5513755352595</c:v>
                </c:pt>
                <c:pt idx="428">
                  <c:v>6846.4367447535506</c:v>
                </c:pt>
                <c:pt idx="429">
                  <c:v>5982.8401571294798</c:v>
                </c:pt>
                <c:pt idx="430">
                  <c:v>6387.7807311277284</c:v>
                </c:pt>
                <c:pt idx="431">
                  <c:v>6172.8937243677319</c:v>
                </c:pt>
                <c:pt idx="432">
                  <c:v>5781.098911710229</c:v>
                </c:pt>
                <c:pt idx="433">
                  <c:v>6521.3753866240604</c:v>
                </c:pt>
                <c:pt idx="434">
                  <c:v>7384.073313927659</c:v>
                </c:pt>
                <c:pt idx="435">
                  <c:v>6590.8526145107353</c:v>
                </c:pt>
                <c:pt idx="436">
                  <c:v>6556.3601204885708</c:v>
                </c:pt>
                <c:pt idx="437">
                  <c:v>6210.6377680051455</c:v>
                </c:pt>
                <c:pt idx="438">
                  <c:v>6527.8505044666808</c:v>
                </c:pt>
                <c:pt idx="439">
                  <c:v>6792.9778737710039</c:v>
                </c:pt>
                <c:pt idx="440">
                  <c:v>6548.6895113171604</c:v>
                </c:pt>
                <c:pt idx="441">
                  <c:v>7399.8480171078709</c:v>
                </c:pt>
                <c:pt idx="442">
                  <c:v>7224.3370549853389</c:v>
                </c:pt>
                <c:pt idx="443">
                  <c:v>6042.0790088818667</c:v>
                </c:pt>
                <c:pt idx="444">
                  <c:v>6532.1086524011771</c:v>
                </c:pt>
                <c:pt idx="445">
                  <c:v>6573.3657859996447</c:v>
                </c:pt>
                <c:pt idx="446">
                  <c:v>5589.1761863572274</c:v>
                </c:pt>
                <c:pt idx="447">
                  <c:v>6341.2459799005255</c:v>
                </c:pt>
                <c:pt idx="448">
                  <c:v>6786.4366594130261</c:v>
                </c:pt>
                <c:pt idx="449">
                  <c:v>6053.0742330523535</c:v>
                </c:pt>
                <c:pt idx="450">
                  <c:v>7947.7610218240434</c:v>
                </c:pt>
                <c:pt idx="451">
                  <c:v>8764.412306577884</c:v>
                </c:pt>
                <c:pt idx="452">
                  <c:v>8970.9162037067854</c:v>
                </c:pt>
                <c:pt idx="453">
                  <c:v>6935.0117302682929</c:v>
                </c:pt>
                <c:pt idx="454">
                  <c:v>6694.1894651445637</c:v>
                </c:pt>
                <c:pt idx="455">
                  <c:v>7847.5555753678127</c:v>
                </c:pt>
                <c:pt idx="456">
                  <c:v>7297.824245817068</c:v>
                </c:pt>
                <c:pt idx="457">
                  <c:v>6975.7803936081655</c:v>
                </c:pt>
                <c:pt idx="458">
                  <c:v>6731.5023229894441</c:v>
                </c:pt>
                <c:pt idx="459">
                  <c:v>8474.3968920690095</c:v>
                </c:pt>
                <c:pt idx="460">
                  <c:v>8316.3929197226153</c:v>
                </c:pt>
                <c:pt idx="461">
                  <c:v>7948.5113734804745</c:v>
                </c:pt>
                <c:pt idx="462">
                  <c:v>6881.6756592053534</c:v>
                </c:pt>
                <c:pt idx="463">
                  <c:v>6776.630404686106</c:v>
                </c:pt>
                <c:pt idx="464">
                  <c:v>7980.6671858506061</c:v>
                </c:pt>
                <c:pt idx="465">
                  <c:v>8256.0668345491958</c:v>
                </c:pt>
                <c:pt idx="466">
                  <c:v>7087.2213993615496</c:v>
                </c:pt>
                <c:pt idx="467">
                  <c:v>10769.377485285067</c:v>
                </c:pt>
                <c:pt idx="468">
                  <c:v>10070.42965202977</c:v>
                </c:pt>
                <c:pt idx="469">
                  <c:v>9994.641018350947</c:v>
                </c:pt>
                <c:pt idx="470">
                  <c:v>9801.7766013026867</c:v>
                </c:pt>
                <c:pt idx="471">
                  <c:v>9880.1195589411327</c:v>
                </c:pt>
                <c:pt idx="472">
                  <c:v>13136.386947167128</c:v>
                </c:pt>
                <c:pt idx="473">
                  <c:v>12338.93635168419</c:v>
                </c:pt>
                <c:pt idx="474">
                  <c:v>12833.526153740904</c:v>
                </c:pt>
                <c:pt idx="475">
                  <c:v>16005.339024969737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B7-43DC-BFD6-5ECB1D69A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728632"/>
        <c:axId val="310729616"/>
      </c:scatterChart>
      <c:scatterChart>
        <c:scatterStyle val="smoothMarker"/>
        <c:varyColors val="0"/>
        <c:ser>
          <c:idx val="0"/>
          <c:order val="0"/>
          <c:tx>
            <c:strRef>
              <c:f>'SNe Ia Data'!$O$6</c:f>
              <c:strCache>
                <c:ptCount val="1"/>
                <c:pt idx="0">
                  <c:v>QES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Data'!$O$7:$O$482</c:f>
              <c:numCache>
                <c:formatCode>0.00</c:formatCode>
                <c:ptCount val="476"/>
                <c:pt idx="0">
                  <c:v>49.779208171239695</c:v>
                </c:pt>
                <c:pt idx="1">
                  <c:v>49.779208171239695</c:v>
                </c:pt>
                <c:pt idx="2">
                  <c:v>54.784088202285261</c:v>
                </c:pt>
                <c:pt idx="3">
                  <c:v>54.784088202285261</c:v>
                </c:pt>
                <c:pt idx="4">
                  <c:v>54.784088202285261</c:v>
                </c:pt>
                <c:pt idx="5">
                  <c:v>59.793840673945667</c:v>
                </c:pt>
                <c:pt idx="6">
                  <c:v>64.808458324759414</c:v>
                </c:pt>
                <c:pt idx="7">
                  <c:v>69.827933907687097</c:v>
                </c:pt>
                <c:pt idx="8">
                  <c:v>74.852260190075384</c:v>
                </c:pt>
                <c:pt idx="9">
                  <c:v>69.827933907687097</c:v>
                </c:pt>
                <c:pt idx="10">
                  <c:v>69.827933907687097</c:v>
                </c:pt>
                <c:pt idx="11">
                  <c:v>74.852260190075384</c:v>
                </c:pt>
                <c:pt idx="12">
                  <c:v>69.827933907687097</c:v>
                </c:pt>
                <c:pt idx="13">
                  <c:v>79.881429953621591</c:v>
                </c:pt>
                <c:pt idx="14">
                  <c:v>69.827933907687097</c:v>
                </c:pt>
                <c:pt idx="15">
                  <c:v>69.827933907687097</c:v>
                </c:pt>
                <c:pt idx="16">
                  <c:v>74.852260190075384</c:v>
                </c:pt>
                <c:pt idx="17">
                  <c:v>69.827933907687097</c:v>
                </c:pt>
                <c:pt idx="18">
                  <c:v>79.881429953621591</c:v>
                </c:pt>
                <c:pt idx="19">
                  <c:v>74.852260190075384</c:v>
                </c:pt>
                <c:pt idx="20">
                  <c:v>74.852260190075384</c:v>
                </c:pt>
                <c:pt idx="21">
                  <c:v>79.881429953621591</c:v>
                </c:pt>
                <c:pt idx="22">
                  <c:v>74.852260190075384</c:v>
                </c:pt>
                <c:pt idx="23">
                  <c:v>74.852260190075384</c:v>
                </c:pt>
                <c:pt idx="24">
                  <c:v>74.852260190075384</c:v>
                </c:pt>
                <c:pt idx="25">
                  <c:v>79.881429953621591</c:v>
                </c:pt>
                <c:pt idx="26">
                  <c:v>74.852260190075384</c:v>
                </c:pt>
                <c:pt idx="27">
                  <c:v>79.881429953621591</c:v>
                </c:pt>
                <c:pt idx="28">
                  <c:v>84.915435994337798</c:v>
                </c:pt>
                <c:pt idx="29">
                  <c:v>84.915435994337798</c:v>
                </c:pt>
                <c:pt idx="30">
                  <c:v>84.915435994337798</c:v>
                </c:pt>
                <c:pt idx="31">
                  <c:v>89.954271122515678</c:v>
                </c:pt>
                <c:pt idx="32">
                  <c:v>84.915435994337798</c:v>
                </c:pt>
                <c:pt idx="33">
                  <c:v>89.954271122515678</c:v>
                </c:pt>
                <c:pt idx="34">
                  <c:v>94.997928162690897</c:v>
                </c:pt>
                <c:pt idx="35">
                  <c:v>94.997928162690897</c:v>
                </c:pt>
                <c:pt idx="36">
                  <c:v>100.04639995360809</c:v>
                </c:pt>
                <c:pt idx="37">
                  <c:v>100.04639995360809</c:v>
                </c:pt>
                <c:pt idx="38">
                  <c:v>105.0996793481854</c:v>
                </c:pt>
                <c:pt idx="39">
                  <c:v>105.0996793481854</c:v>
                </c:pt>
                <c:pt idx="40">
                  <c:v>100.04639995360809</c:v>
                </c:pt>
                <c:pt idx="41">
                  <c:v>110.15775921347982</c:v>
                </c:pt>
                <c:pt idx="42">
                  <c:v>110.15775921347982</c:v>
                </c:pt>
                <c:pt idx="43">
                  <c:v>110.15775921347982</c:v>
                </c:pt>
                <c:pt idx="44">
                  <c:v>110.15775921347982</c:v>
                </c:pt>
                <c:pt idx="45">
                  <c:v>110.15775921347982</c:v>
                </c:pt>
                <c:pt idx="46">
                  <c:v>115.22063243065186</c:v>
                </c:pt>
                <c:pt idx="47">
                  <c:v>115.22063243065186</c:v>
                </c:pt>
                <c:pt idx="48">
                  <c:v>110.15775921347982</c:v>
                </c:pt>
                <c:pt idx="49">
                  <c:v>115.22063243065186</c:v>
                </c:pt>
                <c:pt idx="50">
                  <c:v>125.36073051558067</c:v>
                </c:pt>
                <c:pt idx="51">
                  <c:v>115.22063243065186</c:v>
                </c:pt>
                <c:pt idx="52">
                  <c:v>125.36073051558067</c:v>
                </c:pt>
                <c:pt idx="53">
                  <c:v>120.28829189493098</c:v>
                </c:pt>
                <c:pt idx="54">
                  <c:v>120.28829189493098</c:v>
                </c:pt>
                <c:pt idx="55">
                  <c:v>115.22063243065186</c:v>
                </c:pt>
                <c:pt idx="56">
                  <c:v>120.28829189493098</c:v>
                </c:pt>
                <c:pt idx="57">
                  <c:v>120.28829189493098</c:v>
                </c:pt>
                <c:pt idx="58">
                  <c:v>120.28829189493098</c:v>
                </c:pt>
                <c:pt idx="59">
                  <c:v>125.36073051558067</c:v>
                </c:pt>
                <c:pt idx="60">
                  <c:v>125.36073051558067</c:v>
                </c:pt>
                <c:pt idx="61">
                  <c:v>125.36073051558067</c:v>
                </c:pt>
                <c:pt idx="62">
                  <c:v>135.51991693300897</c:v>
                </c:pt>
                <c:pt idx="63">
                  <c:v>140.60665061817409</c:v>
                </c:pt>
                <c:pt idx="64">
                  <c:v>125.36073051558067</c:v>
                </c:pt>
                <c:pt idx="65">
                  <c:v>135.51991693300897</c:v>
                </c:pt>
                <c:pt idx="66">
                  <c:v>135.51991693300897</c:v>
                </c:pt>
                <c:pt idx="67">
                  <c:v>135.51991693300897</c:v>
                </c:pt>
                <c:pt idx="68">
                  <c:v>135.51991693300897</c:v>
                </c:pt>
                <c:pt idx="69">
                  <c:v>140.60665061817409</c:v>
                </c:pt>
                <c:pt idx="70">
                  <c:v>140.60665061817409</c:v>
                </c:pt>
                <c:pt idx="71">
                  <c:v>145.69813523641392</c:v>
                </c:pt>
                <c:pt idx="72">
                  <c:v>145.69813523641392</c:v>
                </c:pt>
                <c:pt idx="73">
                  <c:v>150.79436376664518</c:v>
                </c:pt>
                <c:pt idx="74">
                  <c:v>155.89532920161227</c:v>
                </c:pt>
                <c:pt idx="75">
                  <c:v>150.79436376664518</c:v>
                </c:pt>
                <c:pt idx="76">
                  <c:v>150.79436376664518</c:v>
                </c:pt>
                <c:pt idx="77">
                  <c:v>150.79436376664518</c:v>
                </c:pt>
                <c:pt idx="78">
                  <c:v>155.89532920161227</c:v>
                </c:pt>
                <c:pt idx="79">
                  <c:v>155.89532920161227</c:v>
                </c:pt>
                <c:pt idx="80">
                  <c:v>166.11144282566724</c:v>
                </c:pt>
                <c:pt idx="81">
                  <c:v>161.00102454785358</c:v>
                </c:pt>
                <c:pt idx="82">
                  <c:v>161.00102454785358</c:v>
                </c:pt>
                <c:pt idx="83">
                  <c:v>166.11144282566724</c:v>
                </c:pt>
                <c:pt idx="84">
                  <c:v>155.89532920161227</c:v>
                </c:pt>
                <c:pt idx="85">
                  <c:v>166.11144282566724</c:v>
                </c:pt>
                <c:pt idx="86">
                  <c:v>171.22657706907745</c:v>
                </c:pt>
                <c:pt idx="87">
                  <c:v>176.34642032580078</c:v>
                </c:pt>
                <c:pt idx="88">
                  <c:v>171.22657706907745</c:v>
                </c:pt>
                <c:pt idx="89">
                  <c:v>176.34642032580078</c:v>
                </c:pt>
                <c:pt idx="90">
                  <c:v>181.47096565721256</c:v>
                </c:pt>
                <c:pt idx="91">
                  <c:v>176.34642032580078</c:v>
                </c:pt>
                <c:pt idx="92">
                  <c:v>176.34642032580078</c:v>
                </c:pt>
                <c:pt idx="93">
                  <c:v>186.60020613831315</c:v>
                </c:pt>
                <c:pt idx="94">
                  <c:v>186.60020613831315</c:v>
                </c:pt>
                <c:pt idx="95">
                  <c:v>186.60020613831315</c:v>
                </c:pt>
                <c:pt idx="96">
                  <c:v>196.8727449175083</c:v>
                </c:pt>
                <c:pt idx="97">
                  <c:v>191.73413485769493</c:v>
                </c:pt>
                <c:pt idx="98">
                  <c:v>196.8727449175083</c:v>
                </c:pt>
                <c:pt idx="99">
                  <c:v>202.01602943342931</c:v>
                </c:pt>
                <c:pt idx="100">
                  <c:v>207.16398153462578</c:v>
                </c:pt>
                <c:pt idx="101">
                  <c:v>212.31659436372459</c:v>
                </c:pt>
                <c:pt idx="102">
                  <c:v>212.31659436372459</c:v>
                </c:pt>
                <c:pt idx="103">
                  <c:v>238.14933035768607</c:v>
                </c:pt>
                <c:pt idx="104">
                  <c:v>227.80232884589881</c:v>
                </c:pt>
                <c:pt idx="105">
                  <c:v>248.51481134056607</c:v>
                </c:pt>
                <c:pt idx="106">
                  <c:v>248.51481134056607</c:v>
                </c:pt>
                <c:pt idx="107">
                  <c:v>253.70446473171063</c:v>
                </c:pt>
                <c:pt idx="108">
                  <c:v>269.30099569071666</c:v>
                </c:pt>
                <c:pt idx="109">
                  <c:v>279.72159156916126</c:v>
                </c:pt>
                <c:pt idx="110">
                  <c:v>274.5090072339554</c:v>
                </c:pt>
                <c:pt idx="111">
                  <c:v>300.61752357685521</c:v>
                </c:pt>
                <c:pt idx="112">
                  <c:v>295.3867146678071</c:v>
                </c:pt>
                <c:pt idx="113">
                  <c:v>321.58608879502106</c:v>
                </c:pt>
                <c:pt idx="114">
                  <c:v>321.58608879502106</c:v>
                </c:pt>
                <c:pt idx="115">
                  <c:v>332.09747695752753</c:v>
                </c:pt>
                <c:pt idx="116">
                  <c:v>321.58608879502106</c:v>
                </c:pt>
                <c:pt idx="117">
                  <c:v>332.09747695752753</c:v>
                </c:pt>
                <c:pt idx="118">
                  <c:v>342.62686555044843</c:v>
                </c:pt>
                <c:pt idx="119">
                  <c:v>353.17420237340514</c:v>
                </c:pt>
                <c:pt idx="120">
                  <c:v>358.4545851136923</c:v>
                </c:pt>
                <c:pt idx="121">
                  <c:v>347.89829368780778</c:v>
                </c:pt>
                <c:pt idx="122">
                  <c:v>384.92338323752642</c:v>
                </c:pt>
                <c:pt idx="123">
                  <c:v>384.92338323752642</c:v>
                </c:pt>
                <c:pt idx="124">
                  <c:v>400.85793790391278</c:v>
                </c:pt>
                <c:pt idx="125">
                  <c:v>406.1782969862</c:v>
                </c:pt>
                <c:pt idx="126">
                  <c:v>411.50306587253283</c:v>
                </c:pt>
                <c:pt idx="127">
                  <c:v>448.89939011738812</c:v>
                </c:pt>
                <c:pt idx="128">
                  <c:v>448.89939011738812</c:v>
                </c:pt>
                <c:pt idx="129">
                  <c:v>464.99190138865941</c:v>
                </c:pt>
                <c:pt idx="130">
                  <c:v>491.89948161944028</c:v>
                </c:pt>
                <c:pt idx="131">
                  <c:v>540.6041122252758</c:v>
                </c:pt>
                <c:pt idx="132">
                  <c:v>562.36149533472121</c:v>
                </c:pt>
                <c:pt idx="133">
                  <c:v>573.26559282031894</c:v>
                </c:pt>
                <c:pt idx="134">
                  <c:v>606.07893268459873</c:v>
                </c:pt>
                <c:pt idx="135">
                  <c:v>611.5624960947539</c:v>
                </c:pt>
                <c:pt idx="136">
                  <c:v>617.05023607892156</c:v>
                </c:pt>
                <c:pt idx="137">
                  <c:v>622.54214672406658</c:v>
                </c:pt>
                <c:pt idx="138">
                  <c:v>633.53845640090344</c:v>
                </c:pt>
                <c:pt idx="139">
                  <c:v>650.06405368770629</c:v>
                </c:pt>
                <c:pt idx="140">
                  <c:v>650.06405368770629</c:v>
                </c:pt>
                <c:pt idx="141">
                  <c:v>655.58086474790764</c:v>
                </c:pt>
                <c:pt idx="142">
                  <c:v>666.62686978574141</c:v>
                </c:pt>
                <c:pt idx="143">
                  <c:v>672.15605212529329</c:v>
                </c:pt>
                <c:pt idx="144">
                  <c:v>683.22674743242544</c:v>
                </c:pt>
                <c:pt idx="145">
                  <c:v>683.22674743242544</c:v>
                </c:pt>
                <c:pt idx="146">
                  <c:v>755.5840203067653</c:v>
                </c:pt>
                <c:pt idx="147">
                  <c:v>755.5840203067653</c:v>
                </c:pt>
                <c:pt idx="148">
                  <c:v>766.77661629054171</c:v>
                </c:pt>
                <c:pt idx="149">
                  <c:v>772.37893980521301</c:v>
                </c:pt>
                <c:pt idx="150">
                  <c:v>777.9852728511139</c:v>
                </c:pt>
                <c:pt idx="151">
                  <c:v>777.9852728511139</c:v>
                </c:pt>
                <c:pt idx="152">
                  <c:v>783.59560982834012</c:v>
                </c:pt>
                <c:pt idx="153">
                  <c:v>811.70715841599088</c:v>
                </c:pt>
                <c:pt idx="154">
                  <c:v>828.62177861390921</c:v>
                </c:pt>
                <c:pt idx="155">
                  <c:v>862.55762901070477</c:v>
                </c:pt>
                <c:pt idx="156">
                  <c:v>879.57856375461381</c:v>
                </c:pt>
                <c:pt idx="157">
                  <c:v>902.32778679282546</c:v>
                </c:pt>
                <c:pt idx="158">
                  <c:v>919.4304979205308</c:v>
                </c:pt>
                <c:pt idx="159">
                  <c:v>930.85165056246171</c:v>
                </c:pt>
                <c:pt idx="160">
                  <c:v>936.56801444062512</c:v>
                </c:pt>
                <c:pt idx="161">
                  <c:v>959.47192971841264</c:v>
                </c:pt>
                <c:pt idx="162">
                  <c:v>970.94688915356528</c:v>
                </c:pt>
                <c:pt idx="163">
                  <c:v>970.94688915356528</c:v>
                </c:pt>
                <c:pt idx="164">
                  <c:v>982.43712692338431</c:v>
                </c:pt>
                <c:pt idx="165">
                  <c:v>988.18796206709101</c:v>
                </c:pt>
                <c:pt idx="166">
                  <c:v>988.18796206709101</c:v>
                </c:pt>
                <c:pt idx="167">
                  <c:v>993.94260107363164</c:v>
                </c:pt>
                <c:pt idx="168">
                  <c:v>1005.4632698035387</c:v>
                </c:pt>
                <c:pt idx="169">
                  <c:v>1022.7726716718548</c:v>
                </c:pt>
                <c:pt idx="170">
                  <c:v>1028.5500245623891</c:v>
                </c:pt>
                <c:pt idx="171">
                  <c:v>1040.116027750842</c:v>
                </c:pt>
                <c:pt idx="172">
                  <c:v>1069.0966974050207</c:v>
                </c:pt>
                <c:pt idx="173">
                  <c:v>1092.3484334775524</c:v>
                </c:pt>
                <c:pt idx="174">
                  <c:v>1103.9965898328996</c:v>
                </c:pt>
                <c:pt idx="175">
                  <c:v>1115.6595511823068</c:v>
                </c:pt>
                <c:pt idx="176">
                  <c:v>1144.8814627473751</c:v>
                </c:pt>
                <c:pt idx="177">
                  <c:v>1150.7368636127658</c:v>
                </c:pt>
                <c:pt idx="178">
                  <c:v>1156.5959257112563</c:v>
                </c:pt>
                <c:pt idx="179">
                  <c:v>1162.458644081825</c:v>
                </c:pt>
                <c:pt idx="180">
                  <c:v>1180.068687350062</c:v>
                </c:pt>
                <c:pt idx="181">
                  <c:v>1185.9459813776166</c:v>
                </c:pt>
                <c:pt idx="182">
                  <c:v>1191.8269070061287</c:v>
                </c:pt>
                <c:pt idx="183">
                  <c:v>1191.8269070061287</c:v>
                </c:pt>
                <c:pt idx="184">
                  <c:v>1197.7114593280289</c:v>
                </c:pt>
                <c:pt idx="185">
                  <c:v>1256.7553773122518</c:v>
                </c:pt>
                <c:pt idx="186">
                  <c:v>1340.0161169166388</c:v>
                </c:pt>
                <c:pt idx="187">
                  <c:v>1345.9897671211754</c:v>
                </c:pt>
                <c:pt idx="188">
                  <c:v>1351.9669194673727</c:v>
                </c:pt>
                <c:pt idx="189">
                  <c:v>1375.9104568783246</c:v>
                </c:pt>
                <c:pt idx="190">
                  <c:v>1375.9104568783246</c:v>
                </c:pt>
                <c:pt idx="191">
                  <c:v>1381.9050499625969</c:v>
                </c:pt>
                <c:pt idx="192">
                  <c:v>1387.9031172584196</c:v>
                </c:pt>
                <c:pt idx="193">
                  <c:v>1393.9046541396776</c:v>
                </c:pt>
                <c:pt idx="194">
                  <c:v>1399.9096559884679</c:v>
                </c:pt>
                <c:pt idx="195">
                  <c:v>1417.9454052837475</c:v>
                </c:pt>
                <c:pt idx="196">
                  <c:v>1423.9642209871777</c:v>
                </c:pt>
                <c:pt idx="197">
                  <c:v>1429.9864786911266</c:v>
                </c:pt>
                <c:pt idx="198">
                  <c:v>1429.9864786911266</c:v>
                </c:pt>
                <c:pt idx="199">
                  <c:v>1429.9864786911266</c:v>
                </c:pt>
                <c:pt idx="200">
                  <c:v>1448.0738581562125</c:v>
                </c:pt>
                <c:pt idx="201">
                  <c:v>1448.0738581562125</c:v>
                </c:pt>
                <c:pt idx="202">
                  <c:v>1454.1098382527073</c:v>
                </c:pt>
                <c:pt idx="203">
                  <c:v>1454.1098382527073</c:v>
                </c:pt>
                <c:pt idx="204">
                  <c:v>1466.1920516250163</c:v>
                </c:pt>
                <c:pt idx="205">
                  <c:v>1466.1920516250163</c:v>
                </c:pt>
                <c:pt idx="206">
                  <c:v>1478.2879057511086</c:v>
                </c:pt>
                <c:pt idx="207">
                  <c:v>1484.3409368197458</c:v>
                </c:pt>
                <c:pt idx="208">
                  <c:v>1496.4571844835939</c:v>
                </c:pt>
                <c:pt idx="209">
                  <c:v>1508.5869829624339</c:v>
                </c:pt>
                <c:pt idx="210">
                  <c:v>1557.2409718269205</c:v>
                </c:pt>
                <c:pt idx="211">
                  <c:v>1569.4379905739925</c:v>
                </c:pt>
                <c:pt idx="212">
                  <c:v>1587.7585168078349</c:v>
                </c:pt>
                <c:pt idx="213">
                  <c:v>1606.1089358903703</c:v>
                </c:pt>
                <c:pt idx="214">
                  <c:v>1618.35909773402</c:v>
                </c:pt>
                <c:pt idx="215">
                  <c:v>1624.4891303900661</c:v>
                </c:pt>
                <c:pt idx="216">
                  <c:v>1642.8989834896813</c:v>
                </c:pt>
                <c:pt idx="217">
                  <c:v>1679.8072012671023</c:v>
                </c:pt>
                <c:pt idx="218">
                  <c:v>1698.3053353459211</c:v>
                </c:pt>
                <c:pt idx="219">
                  <c:v>1698.3053353459211</c:v>
                </c:pt>
                <c:pt idx="220">
                  <c:v>1741.5809970024548</c:v>
                </c:pt>
                <c:pt idx="221">
                  <c:v>1747.7761268714794</c:v>
                </c:pt>
                <c:pt idx="222">
                  <c:v>1747.7761268714794</c:v>
                </c:pt>
                <c:pt idx="223">
                  <c:v>1766.3807632828082</c:v>
                </c:pt>
                <c:pt idx="224">
                  <c:v>1816.1335408551715</c:v>
                </c:pt>
                <c:pt idx="225">
                  <c:v>1822.3669243723525</c:v>
                </c:pt>
                <c:pt idx="226">
                  <c:v>1853.5811766460461</c:v>
                </c:pt>
                <c:pt idx="227">
                  <c:v>1878.6091365156233</c:v>
                </c:pt>
                <c:pt idx="228">
                  <c:v>1909.9643603960251</c:v>
                </c:pt>
                <c:pt idx="229">
                  <c:v>1928.8147820115844</c:v>
                </c:pt>
                <c:pt idx="230">
                  <c:v>1928.8147820115844</c:v>
                </c:pt>
                <c:pt idx="231">
                  <c:v>1972.907158637023</c:v>
                </c:pt>
                <c:pt idx="232">
                  <c:v>1979.2183613870686</c:v>
                </c:pt>
                <c:pt idx="233">
                  <c:v>1979.2183613870686</c:v>
                </c:pt>
                <c:pt idx="234">
                  <c:v>1991.849946510664</c:v>
                </c:pt>
                <c:pt idx="235">
                  <c:v>1991.849946510664</c:v>
                </c:pt>
                <c:pt idx="236">
                  <c:v>2017.1497260634901</c:v>
                </c:pt>
                <c:pt idx="237">
                  <c:v>2023.4822752200646</c:v>
                </c:pt>
                <c:pt idx="238">
                  <c:v>2036.1564715547647</c:v>
                </c:pt>
                <c:pt idx="239">
                  <c:v>2042.4981110161639</c:v>
                </c:pt>
                <c:pt idx="240">
                  <c:v>2112.4547811782195</c:v>
                </c:pt>
                <c:pt idx="241">
                  <c:v>2112.4547811782195</c:v>
                </c:pt>
                <c:pt idx="242">
                  <c:v>2118.8324372403731</c:v>
                </c:pt>
                <c:pt idx="243">
                  <c:v>2125.2130700205585</c:v>
                </c:pt>
                <c:pt idx="244">
                  <c:v>2131.5966757539563</c:v>
                </c:pt>
                <c:pt idx="245">
                  <c:v>2137.9832506820917</c:v>
                </c:pt>
                <c:pt idx="246">
                  <c:v>2150.7652931203284</c:v>
                </c:pt>
                <c:pt idx="247">
                  <c:v>2189.1822921844623</c:v>
                </c:pt>
                <c:pt idx="248">
                  <c:v>2266.3325477202638</c:v>
                </c:pt>
                <c:pt idx="249">
                  <c:v>2279.2315776241871</c:v>
                </c:pt>
                <c:pt idx="250">
                  <c:v>2324.4688540369898</c:v>
                </c:pt>
                <c:pt idx="251">
                  <c:v>2337.4195778297044</c:v>
                </c:pt>
                <c:pt idx="252">
                  <c:v>2356.867046111588</c:v>
                </c:pt>
                <c:pt idx="253">
                  <c:v>2382.8367689987599</c:v>
                </c:pt>
                <c:pt idx="254">
                  <c:v>2408.8517308035998</c:v>
                </c:pt>
                <c:pt idx="255">
                  <c:v>2421.876106111506</c:v>
                </c:pt>
                <c:pt idx="256">
                  <c:v>2434.911707108161</c:v>
                </c:pt>
                <c:pt idx="257">
                  <c:v>2467.5496396401008</c:v>
                </c:pt>
                <c:pt idx="258">
                  <c:v>2487.1658129420398</c:v>
                </c:pt>
                <c:pt idx="259">
                  <c:v>2539.5973205762134</c:v>
                </c:pt>
                <c:pt idx="260">
                  <c:v>2552.7327117796708</c:v>
                </c:pt>
                <c:pt idx="261">
                  <c:v>2585.6190440426431</c:v>
                </c:pt>
                <c:pt idx="262">
                  <c:v>2585.6190440426431</c:v>
                </c:pt>
                <c:pt idx="263">
                  <c:v>2631.7741028662977</c:v>
                </c:pt>
                <c:pt idx="264">
                  <c:v>2638.3785005772929</c:v>
                </c:pt>
                <c:pt idx="265">
                  <c:v>2644.9855928273173</c:v>
                </c:pt>
                <c:pt idx="266">
                  <c:v>2711.2039923427278</c:v>
                </c:pt>
                <c:pt idx="267">
                  <c:v>2711.2039923427278</c:v>
                </c:pt>
                <c:pt idx="268">
                  <c:v>2757.7152517138957</c:v>
                </c:pt>
                <c:pt idx="269">
                  <c:v>2771.0279552761494</c:v>
                </c:pt>
                <c:pt idx="270">
                  <c:v>2771.0279552761494</c:v>
                </c:pt>
                <c:pt idx="271">
                  <c:v>2771.0279552761494</c:v>
                </c:pt>
                <c:pt idx="272">
                  <c:v>2784.3511772963589</c:v>
                </c:pt>
                <c:pt idx="273">
                  <c:v>2797.6848922649251</c:v>
                </c:pt>
                <c:pt idx="274">
                  <c:v>2831.0649196714917</c:v>
                </c:pt>
                <c:pt idx="275">
                  <c:v>2837.7487409991145</c:v>
                </c:pt>
                <c:pt idx="276">
                  <c:v>2904.7293240487656</c:v>
                </c:pt>
                <c:pt idx="277">
                  <c:v>2945.041077608731</c:v>
                </c:pt>
                <c:pt idx="278">
                  <c:v>2965.2313978068005</c:v>
                </c:pt>
                <c:pt idx="279">
                  <c:v>2965.2313978068005</c:v>
                </c:pt>
                <c:pt idx="280">
                  <c:v>2998.9326734599749</c:v>
                </c:pt>
                <c:pt idx="281">
                  <c:v>3032.6970479604756</c:v>
                </c:pt>
                <c:pt idx="282">
                  <c:v>3039.4574615387983</c:v>
                </c:pt>
                <c:pt idx="283">
                  <c:v>3059.7537256325131</c:v>
                </c:pt>
                <c:pt idx="284">
                  <c:v>3073.2970579597672</c:v>
                </c:pt>
                <c:pt idx="285">
                  <c:v>3073.2970579597672</c:v>
                </c:pt>
                <c:pt idx="286">
                  <c:v>3080.0724620675028</c:v>
                </c:pt>
                <c:pt idx="287">
                  <c:v>3100.4135905535454</c:v>
                </c:pt>
                <c:pt idx="288">
                  <c:v>3120.7770311824488</c:v>
                </c:pt>
                <c:pt idx="289">
                  <c:v>3182.0004325273285</c:v>
                </c:pt>
                <c:pt idx="290">
                  <c:v>3188.8152915833166</c:v>
                </c:pt>
                <c:pt idx="291">
                  <c:v>3202.4523302072889</c:v>
                </c:pt>
                <c:pt idx="292">
                  <c:v>3216.0991102696771</c:v>
                </c:pt>
                <c:pt idx="293">
                  <c:v>3222.92614614075</c:v>
                </c:pt>
                <c:pt idx="294">
                  <c:v>3311.8974056153552</c:v>
                </c:pt>
                <c:pt idx="295">
                  <c:v>3325.6212941835097</c:v>
                </c:pt>
                <c:pt idx="296">
                  <c:v>3325.6212941835097</c:v>
                </c:pt>
                <c:pt idx="297">
                  <c:v>3325.6212941835097</c:v>
                </c:pt>
                <c:pt idx="298">
                  <c:v>3373.7298594254048</c:v>
                </c:pt>
                <c:pt idx="299">
                  <c:v>3380.6119925500439</c:v>
                </c:pt>
                <c:pt idx="300">
                  <c:v>3380.6119925500439</c:v>
                </c:pt>
                <c:pt idx="301">
                  <c:v>3401.2725523086574</c:v>
                </c:pt>
                <c:pt idx="302">
                  <c:v>3421.9542947004202</c:v>
                </c:pt>
                <c:pt idx="303">
                  <c:v>3456.470736472128</c:v>
                </c:pt>
                <c:pt idx="304">
                  <c:v>3477.2086040240588</c:v>
                </c:pt>
                <c:pt idx="305">
                  <c:v>3491.0454714685097</c:v>
                </c:pt>
                <c:pt idx="306">
                  <c:v>3511.8181521712499</c:v>
                </c:pt>
                <c:pt idx="307">
                  <c:v>3518.7470028371076</c:v>
                </c:pt>
                <c:pt idx="308">
                  <c:v>3518.7470028371076</c:v>
                </c:pt>
                <c:pt idx="309">
                  <c:v>3518.7470028371076</c:v>
                </c:pt>
                <c:pt idx="310">
                  <c:v>3532.6116236993162</c:v>
                </c:pt>
                <c:pt idx="311">
                  <c:v>3546.4854527499438</c:v>
                </c:pt>
                <c:pt idx="312">
                  <c:v>3553.4258136668595</c:v>
                </c:pt>
                <c:pt idx="313">
                  <c:v>3553.4258136668595</c:v>
                </c:pt>
                <c:pt idx="314">
                  <c:v>3553.4258136668595</c:v>
                </c:pt>
                <c:pt idx="315">
                  <c:v>3567.3134149619345</c:v>
                </c:pt>
                <c:pt idx="316">
                  <c:v>3581.2101711574091</c:v>
                </c:pt>
                <c:pt idx="317">
                  <c:v>3588.1619757152143</c:v>
                </c:pt>
                <c:pt idx="318">
                  <c:v>3588.1619757152143</c:v>
                </c:pt>
                <c:pt idx="319">
                  <c:v>3602.0724245315923</c:v>
                </c:pt>
                <c:pt idx="320">
                  <c:v>3657.8050299780693</c:v>
                </c:pt>
                <c:pt idx="321">
                  <c:v>3692.7112667984566</c:v>
                </c:pt>
                <c:pt idx="322">
                  <c:v>3713.6819289022742</c:v>
                </c:pt>
                <c:pt idx="323">
                  <c:v>3727.6735440005582</c:v>
                </c:pt>
                <c:pt idx="324">
                  <c:v>3727.6735440005582</c:v>
                </c:pt>
                <c:pt idx="325">
                  <c:v>3741.6740740995801</c:v>
                </c:pt>
                <c:pt idx="326">
                  <c:v>3748.6776758772648</c:v>
                </c:pt>
                <c:pt idx="327">
                  <c:v>3776.7142683415545</c:v>
                </c:pt>
                <c:pt idx="328">
                  <c:v>3797.7649361823819</c:v>
                </c:pt>
                <c:pt idx="329">
                  <c:v>3797.7649361823819</c:v>
                </c:pt>
                <c:pt idx="330">
                  <c:v>3846.9601602385856</c:v>
                </c:pt>
                <c:pt idx="331">
                  <c:v>3861.0356479319503</c:v>
                </c:pt>
                <c:pt idx="332">
                  <c:v>3868.0766641871219</c:v>
                </c:pt>
                <c:pt idx="333">
                  <c:v>3882.1652290812826</c:v>
                </c:pt>
                <c:pt idx="334">
                  <c:v>3896.2624872870383</c:v>
                </c:pt>
                <c:pt idx="335">
                  <c:v>3931.5435363317547</c:v>
                </c:pt>
                <c:pt idx="336">
                  <c:v>3938.6062241986083</c:v>
                </c:pt>
                <c:pt idx="337">
                  <c:v>3938.6062241986083</c:v>
                </c:pt>
                <c:pt idx="338">
                  <c:v>3959.8071997965476</c:v>
                </c:pt>
                <c:pt idx="339">
                  <c:v>3959.8071997965476</c:v>
                </c:pt>
                <c:pt idx="340">
                  <c:v>3988.1052041988341</c:v>
                </c:pt>
                <c:pt idx="341">
                  <c:v>3995.18505283375</c:v>
                </c:pt>
                <c:pt idx="342">
                  <c:v>4101.6375362430035</c:v>
                </c:pt>
                <c:pt idx="343">
                  <c:v>4108.7512436838733</c:v>
                </c:pt>
                <c:pt idx="344">
                  <c:v>4151.4774207671662</c:v>
                </c:pt>
                <c:pt idx="345">
                  <c:v>4215.7070544323105</c:v>
                </c:pt>
                <c:pt idx="346">
                  <c:v>4222.8540159522945</c:v>
                </c:pt>
                <c:pt idx="347">
                  <c:v>4244.307243085942</c:v>
                </c:pt>
                <c:pt idx="348">
                  <c:v>4272.9402595252195</c:v>
                </c:pt>
                <c:pt idx="349">
                  <c:v>4294.4364769940003</c:v>
                </c:pt>
                <c:pt idx="350">
                  <c:v>4294.4364769940003</c:v>
                </c:pt>
                <c:pt idx="351">
                  <c:v>4330.3041910728889</c:v>
                </c:pt>
                <c:pt idx="352">
                  <c:v>4351.8491309729152</c:v>
                </c:pt>
                <c:pt idx="353">
                  <c:v>4359.0348160036747</c:v>
                </c:pt>
                <c:pt idx="354">
                  <c:v>4366.2225164938818</c:v>
                </c:pt>
                <c:pt idx="355">
                  <c:v>4366.2225164938818</c:v>
                </c:pt>
                <c:pt idx="356">
                  <c:v>4366.2225164938818</c:v>
                </c:pt>
                <c:pt idx="357">
                  <c:v>4373.4122302049727</c:v>
                </c:pt>
                <c:pt idx="358">
                  <c:v>4373.4122302049727</c:v>
                </c:pt>
                <c:pt idx="359">
                  <c:v>4380.6039549016878</c:v>
                </c:pt>
                <c:pt idx="360">
                  <c:v>4387.797688352076</c:v>
                </c:pt>
                <c:pt idx="361">
                  <c:v>4474.2783646027583</c:v>
                </c:pt>
                <c:pt idx="362">
                  <c:v>4495.9432328751745</c:v>
                </c:pt>
                <c:pt idx="363">
                  <c:v>4510.3963494656045</c:v>
                </c:pt>
                <c:pt idx="364">
                  <c:v>4517.6258625535356</c:v>
                </c:pt>
                <c:pt idx="365">
                  <c:v>4524.8573426085522</c:v>
                </c:pt>
                <c:pt idx="366">
                  <c:v>4546.5635629214212</c:v>
                </c:pt>
                <c:pt idx="367">
                  <c:v>4561.0441716540881</c:v>
                </c:pt>
                <c:pt idx="368">
                  <c:v>4597.2798511659576</c:v>
                </c:pt>
                <c:pt idx="369">
                  <c:v>4597.2798511659576</c:v>
                </c:pt>
                <c:pt idx="370">
                  <c:v>4604.5328255302129</c:v>
                </c:pt>
                <c:pt idx="371">
                  <c:v>4611.7877410655919</c:v>
                </c:pt>
                <c:pt idx="372">
                  <c:v>4619.0445956428375</c:v>
                </c:pt>
                <c:pt idx="373">
                  <c:v>4626.3033871358111</c:v>
                </c:pt>
                <c:pt idx="374">
                  <c:v>4633.564113421472</c:v>
                </c:pt>
                <c:pt idx="375">
                  <c:v>4655.3578798507369</c:v>
                </c:pt>
                <c:pt idx="376">
                  <c:v>4669.8966926506982</c:v>
                </c:pt>
                <c:pt idx="377">
                  <c:v>4684.4431939313899</c:v>
                </c:pt>
                <c:pt idx="378">
                  <c:v>4691.719322500312</c:v>
                </c:pt>
                <c:pt idx="379">
                  <c:v>4728.1286609091512</c:v>
                </c:pt>
                <c:pt idx="380">
                  <c:v>4735.4162531004249</c:v>
                </c:pt>
                <c:pt idx="381">
                  <c:v>4771.8827223633698</c:v>
                </c:pt>
                <c:pt idx="382">
                  <c:v>4779.1817034008063</c:v>
                </c:pt>
                <c:pt idx="383">
                  <c:v>4801.0899837924699</c:v>
                </c:pt>
                <c:pt idx="384">
                  <c:v>4801.0899837924699</c:v>
                </c:pt>
                <c:pt idx="385">
                  <c:v>4823.0152270190465</c:v>
                </c:pt>
                <c:pt idx="386">
                  <c:v>4823.0152270190465</c:v>
                </c:pt>
                <c:pt idx="387">
                  <c:v>4844.957377886928</c:v>
                </c:pt>
                <c:pt idx="388">
                  <c:v>4852.2751759246867</c:v>
                </c:pt>
                <c:pt idx="389">
                  <c:v>4859.594844451789</c:v>
                </c:pt>
                <c:pt idx="390">
                  <c:v>4866.9163814417025</c:v>
                </c:pt>
                <c:pt idx="391">
                  <c:v>4874.2397848708215</c:v>
                </c:pt>
                <c:pt idx="392">
                  <c:v>4910.884727982474</c:v>
                </c:pt>
                <c:pt idx="393">
                  <c:v>4932.8939622439993</c:v>
                </c:pt>
                <c:pt idx="394">
                  <c:v>5021.0967150235838</c:v>
                </c:pt>
                <c:pt idx="395">
                  <c:v>5028.4588513500767</c:v>
                </c:pt>
                <c:pt idx="396">
                  <c:v>5080.0447303895999</c:v>
                </c:pt>
                <c:pt idx="397">
                  <c:v>5094.7998631837399</c:v>
                </c:pt>
                <c:pt idx="398">
                  <c:v>5094.7998631837399</c:v>
                </c:pt>
                <c:pt idx="399">
                  <c:v>5131.7192511802214</c:v>
                </c:pt>
                <c:pt idx="400">
                  <c:v>5131.7192511802214</c:v>
                </c:pt>
                <c:pt idx="401">
                  <c:v>5153.8924453258896</c:v>
                </c:pt>
                <c:pt idx="402">
                  <c:v>5168.6835266800872</c:v>
                </c:pt>
                <c:pt idx="403">
                  <c:v>5168.6835266800872</c:v>
                </c:pt>
                <c:pt idx="404">
                  <c:v>5176.0817472020235</c:v>
                </c:pt>
                <c:pt idx="405">
                  <c:v>5190.8835384089252</c:v>
                </c:pt>
                <c:pt idx="406">
                  <c:v>5220.5084682960942</c:v>
                </c:pt>
                <c:pt idx="407">
                  <c:v>5242.7457851367089</c:v>
                </c:pt>
                <c:pt idx="408">
                  <c:v>5257.5795011464797</c:v>
                </c:pt>
                <c:pt idx="409">
                  <c:v>5316.9847453208158</c:v>
                </c:pt>
                <c:pt idx="410">
                  <c:v>5316.9847453208158</c:v>
                </c:pt>
                <c:pt idx="411">
                  <c:v>5361.6121606731776</c:v>
                </c:pt>
                <c:pt idx="412">
                  <c:v>5383.94934620203</c:v>
                </c:pt>
                <c:pt idx="413">
                  <c:v>5383.94934620203</c:v>
                </c:pt>
                <c:pt idx="414">
                  <c:v>5391.3985406648571</c:v>
                </c:pt>
                <c:pt idx="415">
                  <c:v>5406.3021175444064</c:v>
                </c:pt>
                <c:pt idx="416">
                  <c:v>5406.3021175444064</c:v>
                </c:pt>
                <c:pt idx="417">
                  <c:v>5465.9853307987332</c:v>
                </c:pt>
                <c:pt idx="418">
                  <c:v>5465.9853307987332</c:v>
                </c:pt>
                <c:pt idx="419">
                  <c:v>5465.9853307987332</c:v>
                </c:pt>
                <c:pt idx="420">
                  <c:v>5503.3430308466559</c:v>
                </c:pt>
                <c:pt idx="421">
                  <c:v>5540.7433010917784</c:v>
                </c:pt>
                <c:pt idx="422">
                  <c:v>5540.7433010917784</c:v>
                </c:pt>
                <c:pt idx="423">
                  <c:v>5540.7433010917784</c:v>
                </c:pt>
                <c:pt idx="424">
                  <c:v>5578.1859186534912</c:v>
                </c:pt>
                <c:pt idx="425">
                  <c:v>5585.679504339827</c:v>
                </c:pt>
                <c:pt idx="426">
                  <c:v>5585.679504339827</c:v>
                </c:pt>
                <c:pt idx="427">
                  <c:v>5600.6717237660596</c:v>
                </c:pt>
                <c:pt idx="428">
                  <c:v>5615.6706622043521</c:v>
                </c:pt>
                <c:pt idx="429">
                  <c:v>5690.7656496487507</c:v>
                </c:pt>
                <c:pt idx="430">
                  <c:v>5766.0265233592445</c:v>
                </c:pt>
                <c:pt idx="431">
                  <c:v>5773.5616682007549</c:v>
                </c:pt>
                <c:pt idx="432">
                  <c:v>5833.9017236393784</c:v>
                </c:pt>
                <c:pt idx="433">
                  <c:v>5849.0030356607685</c:v>
                </c:pt>
                <c:pt idx="434">
                  <c:v>5917.0390889077498</c:v>
                </c:pt>
                <c:pt idx="435">
                  <c:v>5954.8932563245553</c:v>
                </c:pt>
                <c:pt idx="436">
                  <c:v>5992.7874189777676</c:v>
                </c:pt>
                <c:pt idx="437">
                  <c:v>5992.7874189777676</c:v>
                </c:pt>
                <c:pt idx="438">
                  <c:v>6023.131407793675</c:v>
                </c:pt>
                <c:pt idx="439">
                  <c:v>6045.9060484386764</c:v>
                </c:pt>
                <c:pt idx="440">
                  <c:v>6068.6949109783327</c:v>
                </c:pt>
                <c:pt idx="441">
                  <c:v>6068.6949109783327</c:v>
                </c:pt>
                <c:pt idx="442">
                  <c:v>6099.1021085764496</c:v>
                </c:pt>
                <c:pt idx="443">
                  <c:v>6106.7078343062849</c:v>
                </c:pt>
                <c:pt idx="444">
                  <c:v>6114.3151273587091</c:v>
                </c:pt>
                <c:pt idx="445">
                  <c:v>6114.3151273587091</c:v>
                </c:pt>
                <c:pt idx="446">
                  <c:v>6213.3518379310817</c:v>
                </c:pt>
                <c:pt idx="447">
                  <c:v>6220.9809063874882</c:v>
                </c:pt>
                <c:pt idx="448">
                  <c:v>6220.9809063874882</c:v>
                </c:pt>
                <c:pt idx="449">
                  <c:v>6297.3562272865665</c:v>
                </c:pt>
                <c:pt idx="450">
                  <c:v>6297.3562272865665</c:v>
                </c:pt>
                <c:pt idx="451">
                  <c:v>6305.0021887095363</c:v>
                </c:pt>
                <c:pt idx="452">
                  <c:v>6373.8843443607047</c:v>
                </c:pt>
                <c:pt idx="453">
                  <c:v>6412.2052199628688</c:v>
                </c:pt>
                <c:pt idx="454">
                  <c:v>6458.2399174788743</c:v>
                </c:pt>
                <c:pt idx="455">
                  <c:v>6473.5967997857279</c:v>
                </c:pt>
                <c:pt idx="456">
                  <c:v>6488.9596535877527</c:v>
                </c:pt>
                <c:pt idx="457">
                  <c:v>6588.9629331327169</c:v>
                </c:pt>
                <c:pt idx="458">
                  <c:v>6604.3701930159577</c:v>
                </c:pt>
                <c:pt idx="459">
                  <c:v>6619.783323453089</c:v>
                </c:pt>
                <c:pt idx="460">
                  <c:v>6681.4943166985204</c:v>
                </c:pt>
                <c:pt idx="461">
                  <c:v>6758.7637478593115</c:v>
                </c:pt>
                <c:pt idx="462">
                  <c:v>6758.7637478593115</c:v>
                </c:pt>
                <c:pt idx="463">
                  <c:v>6843.9262357660282</c:v>
                </c:pt>
                <c:pt idx="464">
                  <c:v>7069.2660556223755</c:v>
                </c:pt>
                <c:pt idx="465">
                  <c:v>7539.1425895659095</c:v>
                </c:pt>
                <c:pt idx="466">
                  <c:v>7696.8255682556019</c:v>
                </c:pt>
                <c:pt idx="467">
                  <c:v>8412.5976791440262</c:v>
                </c:pt>
                <c:pt idx="468">
                  <c:v>8693.5711728717361</c:v>
                </c:pt>
                <c:pt idx="469">
                  <c:v>8975.9394895989608</c:v>
                </c:pt>
                <c:pt idx="470">
                  <c:v>9300.2978340812151</c:v>
                </c:pt>
                <c:pt idx="471">
                  <c:v>9708.1319549638538</c:v>
                </c:pt>
                <c:pt idx="472">
                  <c:v>11029.09656981294</c:v>
                </c:pt>
                <c:pt idx="473">
                  <c:v>13139.220699789643</c:v>
                </c:pt>
                <c:pt idx="474">
                  <c:v>14116.70461051856</c:v>
                </c:pt>
                <c:pt idx="475">
                  <c:v>17045.102483445593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E6-4D58-B637-E6B206DDF043}"/>
            </c:ext>
          </c:extLst>
        </c:ser>
        <c:ser>
          <c:idx val="1"/>
          <c:order val="1"/>
          <c:tx>
            <c:strRef>
              <c:f>'SNe Ia Data'!$R$6</c:f>
              <c:strCache>
                <c:ptCount val="1"/>
                <c:pt idx="0">
                  <c:v>FLRW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Data'!$R$7:$R$482</c:f>
              <c:numCache>
                <c:formatCode>0.0</c:formatCode>
                <c:ptCount val="476"/>
                <c:pt idx="0">
                  <c:v>41.103659422180243</c:v>
                </c:pt>
                <c:pt idx="1">
                  <c:v>41.103659422180243</c:v>
                </c:pt>
                <c:pt idx="2">
                  <c:v>45.248603556527648</c:v>
                </c:pt>
                <c:pt idx="3">
                  <c:v>45.248603556527648</c:v>
                </c:pt>
                <c:pt idx="4">
                  <c:v>45.248603556527648</c:v>
                </c:pt>
                <c:pt idx="5">
                  <c:v>49.399807969154111</c:v>
                </c:pt>
                <c:pt idx="6">
                  <c:v>53.557265996914317</c:v>
                </c:pt>
                <c:pt idx="7">
                  <c:v>57.720970977752756</c:v>
                </c:pt>
                <c:pt idx="8">
                  <c:v>61.890916250731067</c:v>
                </c:pt>
                <c:pt idx="9">
                  <c:v>57.720970977752756</c:v>
                </c:pt>
                <c:pt idx="10">
                  <c:v>57.720970977752756</c:v>
                </c:pt>
                <c:pt idx="11">
                  <c:v>61.890916250731067</c:v>
                </c:pt>
                <c:pt idx="12">
                  <c:v>57.720970977752756</c:v>
                </c:pt>
                <c:pt idx="13">
                  <c:v>66.067095156055515</c:v>
                </c:pt>
                <c:pt idx="14">
                  <c:v>57.720970977752756</c:v>
                </c:pt>
                <c:pt idx="15">
                  <c:v>57.720970977752756</c:v>
                </c:pt>
                <c:pt idx="16">
                  <c:v>61.890916250731067</c:v>
                </c:pt>
                <c:pt idx="17">
                  <c:v>57.720970977752756</c:v>
                </c:pt>
                <c:pt idx="18">
                  <c:v>66.067095156055515</c:v>
                </c:pt>
                <c:pt idx="19">
                  <c:v>61.890916250731067</c:v>
                </c:pt>
                <c:pt idx="20">
                  <c:v>61.890916250731067</c:v>
                </c:pt>
                <c:pt idx="21">
                  <c:v>66.067095156055515</c:v>
                </c:pt>
                <c:pt idx="22">
                  <c:v>61.890916250731067</c:v>
                </c:pt>
                <c:pt idx="23">
                  <c:v>61.890916250731067</c:v>
                </c:pt>
                <c:pt idx="24">
                  <c:v>61.890916250731067</c:v>
                </c:pt>
                <c:pt idx="25">
                  <c:v>66.067095156055515</c:v>
                </c:pt>
                <c:pt idx="26">
                  <c:v>61.890916250731067</c:v>
                </c:pt>
                <c:pt idx="27">
                  <c:v>66.067095156055515</c:v>
                </c:pt>
                <c:pt idx="28">
                  <c:v>70.249501035104061</c:v>
                </c:pt>
                <c:pt idx="29">
                  <c:v>70.249501035104061</c:v>
                </c:pt>
                <c:pt idx="30">
                  <c:v>70.249501035104061</c:v>
                </c:pt>
                <c:pt idx="31">
                  <c:v>74.438127230453844</c:v>
                </c:pt>
                <c:pt idx="32">
                  <c:v>70.249501035104061</c:v>
                </c:pt>
                <c:pt idx="33">
                  <c:v>74.438127230453844</c:v>
                </c:pt>
                <c:pt idx="34">
                  <c:v>78.63296708590812</c:v>
                </c:pt>
                <c:pt idx="35">
                  <c:v>78.63296708590812</c:v>
                </c:pt>
                <c:pt idx="36">
                  <c:v>82.83401394652347</c:v>
                </c:pt>
                <c:pt idx="37">
                  <c:v>82.83401394652347</c:v>
                </c:pt>
                <c:pt idx="38">
                  <c:v>87.04126115863663</c:v>
                </c:pt>
                <c:pt idx="39">
                  <c:v>87.04126115863663</c:v>
                </c:pt>
                <c:pt idx="40">
                  <c:v>82.83401394652347</c:v>
                </c:pt>
                <c:pt idx="41">
                  <c:v>91.254702069891636</c:v>
                </c:pt>
                <c:pt idx="42">
                  <c:v>91.254702069891636</c:v>
                </c:pt>
                <c:pt idx="43">
                  <c:v>91.254702069891636</c:v>
                </c:pt>
                <c:pt idx="44">
                  <c:v>91.254702069891636</c:v>
                </c:pt>
                <c:pt idx="45">
                  <c:v>91.254702069891636</c:v>
                </c:pt>
                <c:pt idx="46">
                  <c:v>95.474330029266582</c:v>
                </c:pt>
                <c:pt idx="47">
                  <c:v>95.474330029266582</c:v>
                </c:pt>
                <c:pt idx="48">
                  <c:v>91.254702069891636</c:v>
                </c:pt>
                <c:pt idx="49">
                  <c:v>95.474330029266582</c:v>
                </c:pt>
                <c:pt idx="50">
                  <c:v>103.93212049511982</c:v>
                </c:pt>
                <c:pt idx="51">
                  <c:v>95.474330029266582</c:v>
                </c:pt>
                <c:pt idx="52">
                  <c:v>103.93212049511982</c:v>
                </c:pt>
                <c:pt idx="53">
                  <c:v>99.700138387100452</c:v>
                </c:pt>
                <c:pt idx="54">
                  <c:v>99.700138387100452</c:v>
                </c:pt>
                <c:pt idx="55">
                  <c:v>95.474330029266582</c:v>
                </c:pt>
                <c:pt idx="56">
                  <c:v>99.700138387100452</c:v>
                </c:pt>
                <c:pt idx="57">
                  <c:v>99.700138387100452</c:v>
                </c:pt>
                <c:pt idx="58">
                  <c:v>99.700138387100452</c:v>
                </c:pt>
                <c:pt idx="59">
                  <c:v>103.93212049511982</c:v>
                </c:pt>
                <c:pt idx="60">
                  <c:v>103.93212049511982</c:v>
                </c:pt>
                <c:pt idx="61">
                  <c:v>103.93212049511982</c:v>
                </c:pt>
                <c:pt idx="62">
                  <c:v>112.41457937571926</c:v>
                </c:pt>
                <c:pt idx="63">
                  <c:v>116.66504285893015</c:v>
                </c:pt>
                <c:pt idx="64">
                  <c:v>103.93212049511982</c:v>
                </c:pt>
                <c:pt idx="65">
                  <c:v>112.41457937571926</c:v>
                </c:pt>
                <c:pt idx="66">
                  <c:v>112.41457937571926</c:v>
                </c:pt>
                <c:pt idx="67">
                  <c:v>112.41457937571926</c:v>
                </c:pt>
                <c:pt idx="68">
                  <c:v>112.41457937571926</c:v>
                </c:pt>
                <c:pt idx="69">
                  <c:v>116.66504285893015</c:v>
                </c:pt>
                <c:pt idx="70">
                  <c:v>116.66504285893015</c:v>
                </c:pt>
                <c:pt idx="71">
                  <c:v>120.92165351364117</c:v>
                </c:pt>
                <c:pt idx="72">
                  <c:v>120.92165351364117</c:v>
                </c:pt>
                <c:pt idx="73">
                  <c:v>125.18440469891527</c:v>
                </c:pt>
                <c:pt idx="74">
                  <c:v>129.45328977536229</c:v>
                </c:pt>
                <c:pt idx="75">
                  <c:v>125.18440469891527</c:v>
                </c:pt>
                <c:pt idx="76">
                  <c:v>125.18440469891527</c:v>
                </c:pt>
                <c:pt idx="77">
                  <c:v>125.18440469891527</c:v>
                </c:pt>
                <c:pt idx="78">
                  <c:v>129.45328977536229</c:v>
                </c:pt>
                <c:pt idx="79">
                  <c:v>129.45328977536229</c:v>
                </c:pt>
                <c:pt idx="80">
                  <c:v>138.00943505210341</c:v>
                </c:pt>
                <c:pt idx="81">
                  <c:v>133.7283021051646</c:v>
                </c:pt>
                <c:pt idx="82">
                  <c:v>133.7283021051646</c:v>
                </c:pt>
                <c:pt idx="83">
                  <c:v>138.00943505210341</c:v>
                </c:pt>
                <c:pt idx="84">
                  <c:v>129.45328977536229</c:v>
                </c:pt>
                <c:pt idx="85">
                  <c:v>138.00943505210341</c:v>
                </c:pt>
                <c:pt idx="86">
                  <c:v>142.29668198158512</c:v>
                </c:pt>
                <c:pt idx="87">
                  <c:v>146.59003626066703</c:v>
                </c:pt>
                <c:pt idx="88">
                  <c:v>142.29668198158512</c:v>
                </c:pt>
                <c:pt idx="89">
                  <c:v>146.59003626066703</c:v>
                </c:pt>
                <c:pt idx="90">
                  <c:v>150.88949125808367</c:v>
                </c:pt>
                <c:pt idx="91">
                  <c:v>146.59003626066703</c:v>
                </c:pt>
                <c:pt idx="92">
                  <c:v>146.59003626066703</c:v>
                </c:pt>
                <c:pt idx="93">
                  <c:v>155.195040344272</c:v>
                </c:pt>
                <c:pt idx="94">
                  <c:v>155.195040344272</c:v>
                </c:pt>
                <c:pt idx="95">
                  <c:v>155.195040344272</c:v>
                </c:pt>
                <c:pt idx="96">
                  <c:v>163.82439427338207</c:v>
                </c:pt>
                <c:pt idx="97">
                  <c:v>159.50667689139809</c:v>
                </c:pt>
                <c:pt idx="98">
                  <c:v>163.82439427338207</c:v>
                </c:pt>
                <c:pt idx="99">
                  <c:v>168.14818586592432</c:v>
                </c:pt>
                <c:pt idx="100">
                  <c:v>172.47804504653078</c:v>
                </c:pt>
                <c:pt idx="101">
                  <c:v>176.81396519453855</c:v>
                </c:pt>
                <c:pt idx="102">
                  <c:v>176.81396519453855</c:v>
                </c:pt>
                <c:pt idx="103">
                  <c:v>198.58424885377522</c:v>
                </c:pt>
                <c:pt idx="104">
                  <c:v>189.85802526434165</c:v>
                </c:pt>
                <c:pt idx="105">
                  <c:v>207.33455757840622</c:v>
                </c:pt>
                <c:pt idx="106">
                  <c:v>207.33455757840622</c:v>
                </c:pt>
                <c:pt idx="107">
                  <c:v>211.71872734985874</c:v>
                </c:pt>
                <c:pt idx="108">
                  <c:v>224.90721907052409</c:v>
                </c:pt>
                <c:pt idx="109">
                  <c:v>233.72946623972933</c:v>
                </c:pt>
                <c:pt idx="110">
                  <c:v>229.31535511668108</c:v>
                </c:pt>
                <c:pt idx="111">
                  <c:v>251.44552968626385</c:v>
                </c:pt>
                <c:pt idx="112">
                  <c:v>247.00758415737559</c:v>
                </c:pt>
                <c:pt idx="113">
                  <c:v>269.25666737459142</c:v>
                </c:pt>
                <c:pt idx="114">
                  <c:v>269.25666737459142</c:v>
                </c:pt>
                <c:pt idx="115">
                  <c:v>278.19775748413133</c:v>
                </c:pt>
                <c:pt idx="116">
                  <c:v>269.25666737459142</c:v>
                </c:pt>
                <c:pt idx="117">
                  <c:v>278.19775748413133</c:v>
                </c:pt>
                <c:pt idx="118">
                  <c:v>287.16245833955907</c:v>
                </c:pt>
                <c:pt idx="119">
                  <c:v>296.15071741630351</c:v>
                </c:pt>
                <c:pt idx="120">
                  <c:v>300.65366488462064</c:v>
                </c:pt>
                <c:pt idx="121">
                  <c:v>291.65364638150396</c:v>
                </c:pt>
                <c:pt idx="122">
                  <c:v>323.25631933116341</c:v>
                </c:pt>
                <c:pt idx="123">
                  <c:v>323.25631933116341</c:v>
                </c:pt>
                <c:pt idx="124">
                  <c:v>336.88800996570592</c:v>
                </c:pt>
                <c:pt idx="125">
                  <c:v>341.4435505919692</c:v>
                </c:pt>
                <c:pt idx="126">
                  <c:v>346.00490220179296</c:v>
                </c:pt>
                <c:pt idx="127">
                  <c:v>378.0965228318023</c:v>
                </c:pt>
                <c:pt idx="128">
                  <c:v>378.0965228318023</c:v>
                </c:pt>
                <c:pt idx="129">
                  <c:v>391.93658716091977</c:v>
                </c:pt>
                <c:pt idx="130">
                  <c:v>415.11806064955596</c:v>
                </c:pt>
                <c:pt idx="131">
                  <c:v>457.20370066586736</c:v>
                </c:pt>
                <c:pt idx="132">
                  <c:v>476.05557376989634</c:v>
                </c:pt>
                <c:pt idx="133">
                  <c:v>485.51527303790886</c:v>
                </c:pt>
                <c:pt idx="134">
                  <c:v>514.02880375063944</c:v>
                </c:pt>
                <c:pt idx="135">
                  <c:v>518.80059619730889</c:v>
                </c:pt>
                <c:pt idx="136">
                  <c:v>523.57795362542549</c:v>
                </c:pt>
                <c:pt idx="137">
                  <c:v>528.3608696258741</c:v>
                </c:pt>
                <c:pt idx="138">
                  <c:v>537.9433517252387</c:v>
                </c:pt>
                <c:pt idx="139">
                  <c:v>552.35860414591502</c:v>
                </c:pt>
                <c:pt idx="140">
                  <c:v>552.35860414591502</c:v>
                </c:pt>
                <c:pt idx="141">
                  <c:v>557.17473719089662</c:v>
                </c:pt>
                <c:pt idx="142">
                  <c:v>566.82353833065554</c:v>
                </c:pt>
                <c:pt idx="143">
                  <c:v>571.65619366932435</c:v>
                </c:pt>
                <c:pt idx="144">
                  <c:v>581.33798202208641</c:v>
                </c:pt>
                <c:pt idx="145">
                  <c:v>581.33798202208641</c:v>
                </c:pt>
                <c:pt idx="146">
                  <c:v>644.80182603853564</c:v>
                </c:pt>
                <c:pt idx="147">
                  <c:v>644.80182603853564</c:v>
                </c:pt>
                <c:pt idx="148">
                  <c:v>654.64683559871992</c:v>
                </c:pt>
                <c:pt idx="149">
                  <c:v>659.57742394444392</c:v>
                </c:pt>
                <c:pt idx="150">
                  <c:v>664.51339293017315</c:v>
                </c:pt>
                <c:pt idx="151">
                  <c:v>664.51339293017315</c:v>
                </c:pt>
                <c:pt idx="152">
                  <c:v>669.45473625820421</c:v>
                </c:pt>
                <c:pt idx="153">
                  <c:v>694.24184790177958</c:v>
                </c:pt>
                <c:pt idx="154">
                  <c:v>709.17820484433594</c:v>
                </c:pt>
                <c:pt idx="155">
                  <c:v>739.19433195899592</c:v>
                </c:pt>
                <c:pt idx="156">
                  <c:v>754.27376489426126</c:v>
                </c:pt>
                <c:pt idx="157">
                  <c:v>774.45331034421019</c:v>
                </c:pt>
                <c:pt idx="158">
                  <c:v>789.64297822704646</c:v>
                </c:pt>
                <c:pt idx="159">
                  <c:v>799.79552519412664</c:v>
                </c:pt>
                <c:pt idx="160">
                  <c:v>804.87961063438229</c:v>
                </c:pt>
                <c:pt idx="161">
                  <c:v>825.26788804024272</c:v>
                </c:pt>
                <c:pt idx="162">
                  <c:v>835.49310183399359</c:v>
                </c:pt>
                <c:pt idx="163">
                  <c:v>835.49310183399359</c:v>
                </c:pt>
                <c:pt idx="164">
                  <c:v>845.73896671594616</c:v>
                </c:pt>
                <c:pt idx="165">
                  <c:v>850.86962795688692</c:v>
                </c:pt>
                <c:pt idx="166">
                  <c:v>850.86962795688692</c:v>
                </c:pt>
                <c:pt idx="167">
                  <c:v>856.0054335494583</c:v>
                </c:pt>
                <c:pt idx="168">
                  <c:v>866.29245327252238</c:v>
                </c:pt>
                <c:pt idx="169">
                  <c:v>881.76141238676519</c:v>
                </c:pt>
                <c:pt idx="170">
                  <c:v>886.92795551512211</c:v>
                </c:pt>
                <c:pt idx="171">
                  <c:v>897.27634028780574</c:v>
                </c:pt>
                <c:pt idx="172">
                  <c:v>923.23625935882967</c:v>
                </c:pt>
                <c:pt idx="173">
                  <c:v>944.09529239731967</c:v>
                </c:pt>
                <c:pt idx="174">
                  <c:v>954.55504152792912</c:v>
                </c:pt>
                <c:pt idx="175">
                  <c:v>965.03488126461923</c:v>
                </c:pt>
                <c:pt idx="176">
                  <c:v>991.32206054725373</c:v>
                </c:pt>
                <c:pt idx="177">
                  <c:v>996.59446198491787</c:v>
                </c:pt>
                <c:pt idx="178">
                  <c:v>1001.871837940022</c:v>
                </c:pt>
                <c:pt idx="179">
                  <c:v>1007.1541824185057</c:v>
                </c:pt>
                <c:pt idx="180">
                  <c:v>1023.0309671294472</c:v>
                </c:pt>
                <c:pt idx="181">
                  <c:v>1028.3331258620142</c:v>
                </c:pt>
                <c:pt idx="182">
                  <c:v>1033.6402232236346</c:v>
                </c:pt>
                <c:pt idx="183">
                  <c:v>1033.6402232236346</c:v>
                </c:pt>
                <c:pt idx="184">
                  <c:v>1038.952253250719</c:v>
                </c:pt>
                <c:pt idx="185">
                  <c:v>1092.3425418059824</c:v>
                </c:pt>
                <c:pt idx="186">
                  <c:v>1167.9053589077171</c:v>
                </c:pt>
                <c:pt idx="187">
                  <c:v>1173.3387825649461</c:v>
                </c:pt>
                <c:pt idx="188">
                  <c:v>1178.7769856620828</c:v>
                </c:pt>
                <c:pt idx="189">
                  <c:v>1200.5774760965946</c:v>
                </c:pt>
                <c:pt idx="190">
                  <c:v>1200.5774760965946</c:v>
                </c:pt>
                <c:pt idx="191">
                  <c:v>1206.0394891757217</c:v>
                </c:pt>
                <c:pt idx="192">
                  <c:v>1211.5062468456167</c:v>
                </c:pt>
                <c:pt idx="193">
                  <c:v>1216.9777433170714</c:v>
                </c:pt>
                <c:pt idx="194">
                  <c:v>1222.4539728063237</c:v>
                </c:pt>
                <c:pt idx="195">
                  <c:v>1238.9110016251464</c:v>
                </c:pt>
                <c:pt idx="196">
                  <c:v>1244.4061054572232</c:v>
                </c:pt>
                <c:pt idx="197">
                  <c:v>1249.9059134703004</c:v>
                </c:pt>
                <c:pt idx="198">
                  <c:v>1249.9059134703004</c:v>
                </c:pt>
                <c:pt idx="199">
                  <c:v>1249.9059134703004</c:v>
                </c:pt>
                <c:pt idx="200">
                  <c:v>1266.4335051140895</c:v>
                </c:pt>
                <c:pt idx="201">
                  <c:v>1266.4335051140895</c:v>
                </c:pt>
                <c:pt idx="202">
                  <c:v>1271.9520723972896</c:v>
                </c:pt>
                <c:pt idx="203">
                  <c:v>1271.9520723972896</c:v>
                </c:pt>
                <c:pt idx="204">
                  <c:v>1283.003227685376</c:v>
                </c:pt>
                <c:pt idx="205">
                  <c:v>1283.003227685376</c:v>
                </c:pt>
                <c:pt idx="206">
                  <c:v>1294.0730391415591</c:v>
                </c:pt>
                <c:pt idx="207">
                  <c:v>1299.6149266557127</c:v>
                </c:pt>
                <c:pt idx="208">
                  <c:v>1310.7126367509097</c:v>
                </c:pt>
                <c:pt idx="209">
                  <c:v>1321.8288889934265</c:v>
                </c:pt>
                <c:pt idx="210">
                  <c:v>1366.4784117457959</c:v>
                </c:pt>
                <c:pt idx="211">
                  <c:v>1377.6866947443082</c:v>
                </c:pt>
                <c:pt idx="212">
                  <c:v>1394.5333629286181</c:v>
                </c:pt>
                <c:pt idx="213">
                  <c:v>1411.4209889088722</c:v>
                </c:pt>
                <c:pt idx="214">
                  <c:v>1422.7020859567799</c:v>
                </c:pt>
                <c:pt idx="215">
                  <c:v>1428.3494216518604</c:v>
                </c:pt>
                <c:pt idx="216">
                  <c:v>1445.318510587472</c:v>
                </c:pt>
                <c:pt idx="217">
                  <c:v>1479.3780570806223</c:v>
                </c:pt>
                <c:pt idx="218">
                  <c:v>1496.4682158267644</c:v>
                </c:pt>
                <c:pt idx="219">
                  <c:v>1496.4682158267644</c:v>
                </c:pt>
                <c:pt idx="220">
                  <c:v>1536.5007801017907</c:v>
                </c:pt>
                <c:pt idx="221">
                  <c:v>1542.2374119990202</c:v>
                </c:pt>
                <c:pt idx="222">
                  <c:v>1542.2374119990202</c:v>
                </c:pt>
                <c:pt idx="223">
                  <c:v>1559.4737287646187</c:v>
                </c:pt>
                <c:pt idx="224">
                  <c:v>1605.6300384394551</c:v>
                </c:pt>
                <c:pt idx="225">
                  <c:v>1611.4191977025766</c:v>
                </c:pt>
                <c:pt idx="226">
                  <c:v>1640.4300186262299</c:v>
                </c:pt>
                <c:pt idx="227">
                  <c:v>1663.7163831416265</c:v>
                </c:pt>
                <c:pt idx="228">
                  <c:v>1692.9209127694885</c:v>
                </c:pt>
                <c:pt idx="229">
                  <c:v>1710.4948815443258</c:v>
                </c:pt>
                <c:pt idx="230">
                  <c:v>1710.4948815443258</c:v>
                </c:pt>
                <c:pt idx="231">
                  <c:v>1751.6493655608406</c:v>
                </c:pt>
                <c:pt idx="232">
                  <c:v>1757.5454783008311</c:v>
                </c:pt>
                <c:pt idx="233">
                  <c:v>1757.5454783008311</c:v>
                </c:pt>
                <c:pt idx="234">
                  <c:v>1769.35032689798</c:v>
                </c:pt>
                <c:pt idx="235">
                  <c:v>1769.35032689798</c:v>
                </c:pt>
                <c:pt idx="236">
                  <c:v>1793.0103703263565</c:v>
                </c:pt>
                <c:pt idx="237">
                  <c:v>1798.9358395865763</c:v>
                </c:pt>
                <c:pt idx="238">
                  <c:v>1810.7992918104371</c:v>
                </c:pt>
                <c:pt idx="239">
                  <c:v>1816.7372644037046</c:v>
                </c:pt>
                <c:pt idx="240">
                  <c:v>1882.3282180116573</c:v>
                </c:pt>
                <c:pt idx="241">
                  <c:v>1882.3282180116573</c:v>
                </c:pt>
                <c:pt idx="242">
                  <c:v>1888.3157397047237</c:v>
                </c:pt>
                <c:pt idx="243">
                  <c:v>1894.30735717018</c:v>
                </c:pt>
                <c:pt idx="244">
                  <c:v>1900.3030653101061</c:v>
                </c:pt>
                <c:pt idx="245">
                  <c:v>1906.3028590326169</c:v>
                </c:pt>
                <c:pt idx="246">
                  <c:v>1918.3146828880169</c:v>
                </c:pt>
                <c:pt idx="247">
                  <c:v>1954.4476807511412</c:v>
                </c:pt>
                <c:pt idx="248">
                  <c:v>2027.1489177923543</c:v>
                </c:pt>
                <c:pt idx="249">
                  <c:v>2039.32174373765</c:v>
                </c:pt>
                <c:pt idx="250">
                  <c:v>2082.0514345972879</c:v>
                </c:pt>
                <c:pt idx="251">
                  <c:v>2094.2954122132587</c:v>
                </c:pt>
                <c:pt idx="252">
                  <c:v>2112.6908101756885</c:v>
                </c:pt>
                <c:pt idx="253">
                  <c:v>2137.2727412365907</c:v>
                </c:pt>
                <c:pt idx="254">
                  <c:v>2161.9169398601312</c:v>
                </c:pt>
                <c:pt idx="255">
                  <c:v>2174.2622926311897</c:v>
                </c:pt>
                <c:pt idx="256">
                  <c:v>2186.623096234583</c:v>
                </c:pt>
                <c:pt idx="257">
                  <c:v>2217.5924503192637</c:v>
                </c:pt>
                <c:pt idx="258">
                  <c:v>2236.2200507366765</c:v>
                </c:pt>
                <c:pt idx="259">
                  <c:v>2286.0611572291796</c:v>
                </c:pt>
                <c:pt idx="260">
                  <c:v>2298.5592981404257</c:v>
                </c:pt>
                <c:pt idx="261">
                  <c:v>2329.8705011229695</c:v>
                </c:pt>
                <c:pt idx="262">
                  <c:v>2329.8705011229695</c:v>
                </c:pt>
                <c:pt idx="263">
                  <c:v>2373.8633110592295</c:v>
                </c:pt>
                <c:pt idx="264">
                  <c:v>2380.1628819421226</c:v>
                </c:pt>
                <c:pt idx="265">
                  <c:v>2386.4661598739426</c:v>
                </c:pt>
                <c:pt idx="266">
                  <c:v>2449.7018146846394</c:v>
                </c:pt>
                <c:pt idx="267">
                  <c:v>2449.7018146846394</c:v>
                </c:pt>
                <c:pt idx="268">
                  <c:v>2494.1846151021073</c:v>
                </c:pt>
                <c:pt idx="269">
                  <c:v>2506.9266786291846</c:v>
                </c:pt>
                <c:pt idx="270">
                  <c:v>2506.9266786291846</c:v>
                </c:pt>
                <c:pt idx="271">
                  <c:v>2506.9266786291846</c:v>
                </c:pt>
                <c:pt idx="272">
                  <c:v>2519.6832057629631</c:v>
                </c:pt>
                <c:pt idx="273">
                  <c:v>2532.4541605704121</c:v>
                </c:pt>
                <c:pt idx="274">
                  <c:v>2564.4444337116006</c:v>
                </c:pt>
                <c:pt idx="275">
                  <c:v>2570.8532331352421</c:v>
                </c:pt>
                <c:pt idx="276">
                  <c:v>2635.1369147671503</c:v>
                </c:pt>
                <c:pt idx="277">
                  <c:v>2673.8767084093988</c:v>
                </c:pt>
                <c:pt idx="278">
                  <c:v>2693.2939271632945</c:v>
                </c:pt>
                <c:pt idx="279">
                  <c:v>2693.2939271632945</c:v>
                </c:pt>
                <c:pt idx="280">
                  <c:v>2725.7256602949683</c:v>
                </c:pt>
                <c:pt idx="281">
                  <c:v>2758.2440540656225</c:v>
                </c:pt>
                <c:pt idx="282">
                  <c:v>2764.7580849338487</c:v>
                </c:pt>
                <c:pt idx="283">
                  <c:v>2784.3208049605328</c:v>
                </c:pt>
                <c:pt idx="284">
                  <c:v>2797.3797653206225</c:v>
                </c:pt>
                <c:pt idx="285">
                  <c:v>2797.3797653206225</c:v>
                </c:pt>
                <c:pt idx="286">
                  <c:v>2803.914376881185</c:v>
                </c:pt>
                <c:pt idx="287">
                  <c:v>2823.5386863536387</c:v>
                </c:pt>
                <c:pt idx="288">
                  <c:v>2843.1936195074222</c:v>
                </c:pt>
                <c:pt idx="289">
                  <c:v>2902.3410294080063</c:v>
                </c:pt>
                <c:pt idx="290">
                  <c:v>2908.9297819061057</c:v>
                </c:pt>
                <c:pt idx="291">
                  <c:v>2922.1173279836808</c:v>
                </c:pt>
                <c:pt idx="292">
                  <c:v>2935.3182346612375</c:v>
                </c:pt>
                <c:pt idx="293">
                  <c:v>2941.9236879308828</c:v>
                </c:pt>
                <c:pt idx="294">
                  <c:v>3028.0959236695635</c:v>
                </c:pt>
                <c:pt idx="295">
                  <c:v>3041.4025373793984</c:v>
                </c:pt>
                <c:pt idx="296">
                  <c:v>3041.4025373793984</c:v>
                </c:pt>
                <c:pt idx="297">
                  <c:v>3041.4025373793984</c:v>
                </c:pt>
                <c:pt idx="298">
                  <c:v>3088.0783816736866</c:v>
                </c:pt>
                <c:pt idx="299">
                  <c:v>3094.7593468883738</c:v>
                </c:pt>
                <c:pt idx="300">
                  <c:v>3094.7593468883738</c:v>
                </c:pt>
                <c:pt idx="301">
                  <c:v>3114.8216361082837</c:v>
                </c:pt>
                <c:pt idx="302">
                  <c:v>3134.9129324769142</c:v>
                </c:pt>
                <c:pt idx="303">
                  <c:v>3168.4625973989746</c:v>
                </c:pt>
                <c:pt idx="304">
                  <c:v>3188.6307261861925</c:v>
                </c:pt>
                <c:pt idx="305">
                  <c:v>3202.0920510087217</c:v>
                </c:pt>
                <c:pt idx="306">
                  <c:v>3222.3078188916197</c:v>
                </c:pt>
                <c:pt idx="307">
                  <c:v>3229.0527341828883</c:v>
                </c:pt>
                <c:pt idx="308">
                  <c:v>3229.0527341828883</c:v>
                </c:pt>
                <c:pt idx="309">
                  <c:v>3229.0527341828883</c:v>
                </c:pt>
                <c:pt idx="310">
                  <c:v>3242.5520305632735</c:v>
                </c:pt>
                <c:pt idx="311">
                  <c:v>3256.0639223061885</c:v>
                </c:pt>
                <c:pt idx="312">
                  <c:v>3262.8245818213541</c:v>
                </c:pt>
                <c:pt idx="313">
                  <c:v>3262.8245818213541</c:v>
                </c:pt>
                <c:pt idx="314">
                  <c:v>3262.8245818213541</c:v>
                </c:pt>
                <c:pt idx="315">
                  <c:v>3276.3553089529323</c:v>
                </c:pt>
                <c:pt idx="316">
                  <c:v>3289.8985547022598</c:v>
                </c:pt>
                <c:pt idx="317">
                  <c:v>3296.6748625102528</c:v>
                </c:pt>
                <c:pt idx="318">
                  <c:v>3296.6748625102528</c:v>
                </c:pt>
                <c:pt idx="319">
                  <c:v>3310.2368289443289</c:v>
                </c:pt>
                <c:pt idx="320">
                  <c:v>3364.6088161095827</c:v>
                </c:pt>
                <c:pt idx="321">
                  <c:v>3398.6915441149126</c:v>
                </c:pt>
                <c:pt idx="322">
                  <c:v>3419.177951427147</c:v>
                </c:pt>
                <c:pt idx="323">
                  <c:v>3432.8508153278067</c:v>
                </c:pt>
                <c:pt idx="324">
                  <c:v>3432.8508153278067</c:v>
                </c:pt>
                <c:pt idx="325">
                  <c:v>3446.535851869337</c:v>
                </c:pt>
                <c:pt idx="326">
                  <c:v>3453.3829256449071</c:v>
                </c:pt>
                <c:pt idx="327">
                  <c:v>3480.8015048630582</c:v>
                </c:pt>
                <c:pt idx="328">
                  <c:v>3501.3971348740615</c:v>
                </c:pt>
                <c:pt idx="329">
                  <c:v>3501.3971348740615</c:v>
                </c:pt>
                <c:pt idx="330">
                  <c:v>3549.5586609370084</c:v>
                </c:pt>
                <c:pt idx="331">
                  <c:v>3563.3459807777394</c:v>
                </c:pt>
                <c:pt idx="332">
                  <c:v>3570.2441032843344</c:v>
                </c:pt>
                <c:pt idx="333">
                  <c:v>3584.0492554983816</c:v>
                </c:pt>
                <c:pt idx="334">
                  <c:v>3597.8662600795774</c:v>
                </c:pt>
                <c:pt idx="335">
                  <c:v>3632.4604381110885</c:v>
                </c:pt>
                <c:pt idx="336">
                  <c:v>3639.388102374362</c:v>
                </c:pt>
                <c:pt idx="337">
                  <c:v>3639.388102374362</c:v>
                </c:pt>
                <c:pt idx="338">
                  <c:v>3660.1886886777261</c:v>
                </c:pt>
                <c:pt idx="339">
                  <c:v>3660.1886886777261</c:v>
                </c:pt>
                <c:pt idx="340">
                  <c:v>3687.9637235861478</c:v>
                </c:pt>
                <c:pt idx="341">
                  <c:v>3694.914765988146</c:v>
                </c:pt>
                <c:pt idx="342">
                  <c:v>3799.5272295189898</c:v>
                </c:pt>
                <c:pt idx="343">
                  <c:v>3806.5243587738846</c:v>
                </c:pt>
                <c:pt idx="344">
                  <c:v>3848.5668892974372</c:v>
                </c:pt>
                <c:pt idx="345">
                  <c:v>3911.8215341446171</c:v>
                </c:pt>
                <c:pt idx="346">
                  <c:v>3918.8638751424987</c:v>
                </c:pt>
                <c:pt idx="347">
                  <c:v>3940.007667710468</c:v>
                </c:pt>
                <c:pt idx="348">
                  <c:v>3968.2383960418406</c:v>
                </c:pt>
                <c:pt idx="349">
                  <c:v>3989.4405801050166</c:v>
                </c:pt>
                <c:pt idx="350">
                  <c:v>3989.4405801050166</c:v>
                </c:pt>
                <c:pt idx="351">
                  <c:v>4024.8327907882626</c:v>
                </c:pt>
                <c:pt idx="352">
                  <c:v>4046.1011155112174</c:v>
                </c:pt>
                <c:pt idx="353">
                  <c:v>4053.19603725156</c:v>
                </c:pt>
                <c:pt idx="354">
                  <c:v>4060.2936936639262</c:v>
                </c:pt>
                <c:pt idx="355">
                  <c:v>4060.2936936639262</c:v>
                </c:pt>
                <c:pt idx="356">
                  <c:v>4060.2936936639262</c:v>
                </c:pt>
                <c:pt idx="357">
                  <c:v>4067.3940815090182</c:v>
                </c:pt>
                <c:pt idx="358">
                  <c:v>4067.3940815090182</c:v>
                </c:pt>
                <c:pt idx="359">
                  <c:v>4074.4971975524054</c:v>
                </c:pt>
                <c:pt idx="360">
                  <c:v>4081.6030385645031</c:v>
                </c:pt>
                <c:pt idx="361">
                  <c:v>4167.0845093021308</c:v>
                </c:pt>
                <c:pt idx="362">
                  <c:v>4188.515468661124</c:v>
                </c:pt>
                <c:pt idx="363">
                  <c:v>4202.8161499161697</c:v>
                </c:pt>
                <c:pt idx="364">
                  <c:v>4209.9704936044254</c:v>
                </c:pt>
                <c:pt idx="365">
                  <c:v>4217.1275018135784</c:v>
                </c:pt>
                <c:pt idx="366">
                  <c:v>4238.6144822522692</c:v>
                </c:pt>
                <c:pt idx="367">
                  <c:v>4252.9524011558733</c:v>
                </c:pt>
                <c:pt idx="368">
                  <c:v>4288.8434454578983</c:v>
                </c:pt>
                <c:pt idx="369">
                  <c:v>4288.8434454578983</c:v>
                </c:pt>
                <c:pt idx="370">
                  <c:v>4296.029557604269</c:v>
                </c:pt>
                <c:pt idx="371">
                  <c:v>4303.2182969767673</c:v>
                </c:pt>
                <c:pt idx="372">
                  <c:v>4310.4096604979168</c:v>
                </c:pt>
                <c:pt idx="373">
                  <c:v>4317.6036450949005</c:v>
                </c:pt>
                <c:pt idx="374">
                  <c:v>4324.8002476995389</c:v>
                </c:pt>
                <c:pt idx="375">
                  <c:v>4346.4057329472153</c:v>
                </c:pt>
                <c:pt idx="376">
                  <c:v>4360.8224237759277</c:v>
                </c:pt>
                <c:pt idx="377">
                  <c:v>4375.2495133925622</c:v>
                </c:pt>
                <c:pt idx="378">
                  <c:v>4382.4669501596591</c:v>
                </c:pt>
                <c:pt idx="379">
                  <c:v>4418.5929326547566</c:v>
                </c:pt>
                <c:pt idx="380">
                  <c:v>4425.8258677953399</c:v>
                </c:pt>
                <c:pt idx="381">
                  <c:v>4462.0290717482494</c:v>
                </c:pt>
                <c:pt idx="382">
                  <c:v>4469.2773972895875</c:v>
                </c:pt>
                <c:pt idx="383">
                  <c:v>4491.0376898777831</c:v>
                </c:pt>
                <c:pt idx="384">
                  <c:v>4491.0376898777831</c:v>
                </c:pt>
                <c:pt idx="385">
                  <c:v>4512.8208942360252</c:v>
                </c:pt>
                <c:pt idx="386">
                  <c:v>4512.8208942360252</c:v>
                </c:pt>
                <c:pt idx="387">
                  <c:v>4534.6269307265047</c:v>
                </c:pt>
                <c:pt idx="388">
                  <c:v>4541.9006696514816</c:v>
                </c:pt>
                <c:pt idx="389">
                  <c:v>4549.1769337414771</c:v>
                </c:pt>
                <c:pt idx="390">
                  <c:v>4556.4557200737345</c:v>
                </c:pt>
                <c:pt idx="391">
                  <c:v>4563.7370257299362</c:v>
                </c:pt>
                <c:pt idx="392">
                  <c:v>4600.1812420392898</c:v>
                </c:pt>
                <c:pt idx="393">
                  <c:v>4622.0778179049121</c:v>
                </c:pt>
                <c:pt idx="394">
                  <c:v>4709.8877417542408</c:v>
                </c:pt>
                <c:pt idx="395">
                  <c:v>4717.2212868848528</c:v>
                </c:pt>
                <c:pt idx="396">
                  <c:v>4768.6247198114525</c:v>
                </c:pt>
                <c:pt idx="397">
                  <c:v>4783.3333862843438</c:v>
                </c:pt>
                <c:pt idx="398">
                  <c:v>4783.3333862843438</c:v>
                </c:pt>
                <c:pt idx="399">
                  <c:v>4820.1475468585268</c:v>
                </c:pt>
                <c:pt idx="400">
                  <c:v>4820.1475468585268</c:v>
                </c:pt>
                <c:pt idx="401">
                  <c:v>4842.2650714196197</c:v>
                </c:pt>
                <c:pt idx="402">
                  <c:v>4857.0221369303508</c:v>
                </c:pt>
                <c:pt idx="403">
                  <c:v>4857.0221369303508</c:v>
                </c:pt>
                <c:pt idx="404">
                  <c:v>4864.4042761897581</c:v>
                </c:pt>
                <c:pt idx="405">
                  <c:v>4879.1757540302979</c:v>
                </c:pt>
                <c:pt idx="406">
                  <c:v>4908.7474306175363</c:v>
                </c:pt>
                <c:pt idx="407">
                  <c:v>4930.9512332501263</c:v>
                </c:pt>
                <c:pt idx="408">
                  <c:v>4945.7656540292319</c:v>
                </c:pt>
                <c:pt idx="409">
                  <c:v>5005.1179566531691</c:v>
                </c:pt>
                <c:pt idx="410">
                  <c:v>5005.1179566531691</c:v>
                </c:pt>
                <c:pt idx="411">
                  <c:v>5049.7309362213273</c:v>
                </c:pt>
                <c:pt idx="412">
                  <c:v>5072.0689652030569</c:v>
                </c:pt>
                <c:pt idx="413">
                  <c:v>5072.0689652030569</c:v>
                </c:pt>
                <c:pt idx="414">
                  <c:v>5079.5196297933435</c:v>
                </c:pt>
                <c:pt idx="415">
                  <c:v>5094.42792565122</c:v>
                </c:pt>
                <c:pt idx="416">
                  <c:v>5094.42792565122</c:v>
                </c:pt>
                <c:pt idx="417">
                  <c:v>5154.1536159646548</c:v>
                </c:pt>
                <c:pt idx="418">
                  <c:v>5154.1536159646548</c:v>
                </c:pt>
                <c:pt idx="419">
                  <c:v>5154.1536159646548</c:v>
                </c:pt>
                <c:pt idx="420">
                  <c:v>5191.5569134309553</c:v>
                </c:pt>
                <c:pt idx="421">
                  <c:v>5229.0173185003696</c:v>
                </c:pt>
                <c:pt idx="422">
                  <c:v>5229.0173185003696</c:v>
                </c:pt>
                <c:pt idx="423">
                  <c:v>5229.0173185003696</c:v>
                </c:pt>
                <c:pt idx="424">
                  <c:v>5266.5345127477285</c:v>
                </c:pt>
                <c:pt idx="425">
                  <c:v>5274.0447384482768</c:v>
                </c:pt>
                <c:pt idx="426">
                  <c:v>5274.0447384482768</c:v>
                </c:pt>
                <c:pt idx="427">
                  <c:v>5289.0719565462823</c:v>
                </c:pt>
                <c:pt idx="428">
                  <c:v>5304.1081801758701</c:v>
                </c:pt>
                <c:pt idx="429">
                  <c:v>5379.4236826154838</c:v>
                </c:pt>
                <c:pt idx="430">
                  <c:v>5454.9613457036457</c:v>
                </c:pt>
                <c:pt idx="431">
                  <c:v>5462.5272364909588</c:v>
                </c:pt>
                <c:pt idx="432">
                  <c:v>5523.1331703919477</c:v>
                </c:pt>
                <c:pt idx="433">
                  <c:v>5538.3064567078445</c:v>
                </c:pt>
                <c:pt idx="434">
                  <c:v>5606.6934211630796</c:v>
                </c:pt>
                <c:pt idx="435">
                  <c:v>5644.7615189011212</c:v>
                </c:pt>
                <c:pt idx="436">
                  <c:v>5682.8830593695784</c:v>
                </c:pt>
                <c:pt idx="437">
                  <c:v>5682.8830593695784</c:v>
                </c:pt>
                <c:pt idx="438">
                  <c:v>5713.4185752268395</c:v>
                </c:pt>
                <c:pt idx="439">
                  <c:v>5736.3424471420267</c:v>
                </c:pt>
                <c:pt idx="440">
                  <c:v>5759.2853087515059</c:v>
                </c:pt>
                <c:pt idx="441">
                  <c:v>5759.2853087515059</c:v>
                </c:pt>
                <c:pt idx="442">
                  <c:v>5789.9052238216927</c:v>
                </c:pt>
                <c:pt idx="443">
                  <c:v>5797.5654433038135</c:v>
                </c:pt>
                <c:pt idx="444">
                  <c:v>5805.2277545379493</c:v>
                </c:pt>
                <c:pt idx="445">
                  <c:v>5805.2277545379493</c:v>
                </c:pt>
                <c:pt idx="446">
                  <c:v>5905.0271260194913</c:v>
                </c:pt>
                <c:pt idx="447">
                  <c:v>5912.7184859544232</c:v>
                </c:pt>
                <c:pt idx="448">
                  <c:v>5912.7184859544232</c:v>
                </c:pt>
                <c:pt idx="449">
                  <c:v>5989.7449227569041</c:v>
                </c:pt>
                <c:pt idx="450">
                  <c:v>5989.7449227569041</c:v>
                </c:pt>
                <c:pt idx="451">
                  <c:v>5997.4588019015628</c:v>
                </c:pt>
                <c:pt idx="452">
                  <c:v>6066.9749875990774</c:v>
                </c:pt>
                <c:pt idx="453">
                  <c:v>6105.6657038013382</c:v>
                </c:pt>
                <c:pt idx="454">
                  <c:v>6152.1606706030661</c:v>
                </c:pt>
                <c:pt idx="455">
                  <c:v>6167.6749453527564</c:v>
                </c:pt>
                <c:pt idx="456">
                  <c:v>6183.1971682184803</c:v>
                </c:pt>
                <c:pt idx="457">
                  <c:v>6284.284196870497</c:v>
                </c:pt>
                <c:pt idx="458">
                  <c:v>6299.8654986668644</c:v>
                </c:pt>
                <c:pt idx="459">
                  <c:v>6315.4546074076461</c:v>
                </c:pt>
                <c:pt idx="460">
                  <c:v>6377.888785154295</c:v>
                </c:pt>
                <c:pt idx="461">
                  <c:v>6456.1052137827091</c:v>
                </c:pt>
                <c:pt idx="462">
                  <c:v>6456.1052137827091</c:v>
                </c:pt>
                <c:pt idx="463">
                  <c:v>6542.3639743223184</c:v>
                </c:pt>
                <c:pt idx="464">
                  <c:v>6770.8627305337322</c:v>
                </c:pt>
                <c:pt idx="465">
                  <c:v>7248.4660805541371</c:v>
                </c:pt>
                <c:pt idx="466">
                  <c:v>7409.0673576022473</c:v>
                </c:pt>
                <c:pt idx="467">
                  <c:v>8139.9684611991906</c:v>
                </c:pt>
                <c:pt idx="468">
                  <c:v>8427.6658312788531</c:v>
                </c:pt>
                <c:pt idx="469">
                  <c:v>8717.2050034010863</c:v>
                </c:pt>
                <c:pt idx="470">
                  <c:v>9050.2880114257769</c:v>
                </c:pt>
                <c:pt idx="471">
                  <c:v>9469.7939418974202</c:v>
                </c:pt>
                <c:pt idx="472">
                  <c:v>10833.440950930488</c:v>
                </c:pt>
                <c:pt idx="473">
                  <c:v>13025.059409166108</c:v>
                </c:pt>
                <c:pt idx="474">
                  <c:v>14045.107539661623</c:v>
                </c:pt>
                <c:pt idx="475">
                  <c:v>17116.864254064749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E6-4D58-B637-E6B206DDF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728632"/>
        <c:axId val="310729616"/>
      </c:scatterChart>
      <c:valAx>
        <c:axId val="310728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Red Shift (z)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29616"/>
        <c:crosses val="autoZero"/>
        <c:crossBetween val="midCat"/>
      </c:valAx>
      <c:valAx>
        <c:axId val="310729616"/>
        <c:scaling>
          <c:orientation val="minMax"/>
          <c:max val="22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(Mpc)</a:t>
                </a:r>
              </a:p>
            </c:rich>
          </c:tx>
          <c:layout>
            <c:manualLayout>
              <c:xMode val="edge"/>
              <c:yMode val="edge"/>
              <c:x val="4.034291477559254E-3"/>
              <c:y val="0.382390404152217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,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28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070472440944888"/>
          <c:y val="0.62289608516979456"/>
          <c:w val="0.25257633420822395"/>
          <c:h val="0.245534417600237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92523661815"/>
          <c:y val="4.6146106736657914E-2"/>
          <c:w val="0.84291656724727593"/>
          <c:h val="0.70440944881889767"/>
        </c:manualLayout>
      </c:layout>
      <c:scatterChart>
        <c:scatterStyle val="lineMarker"/>
        <c:varyColors val="0"/>
        <c:ser>
          <c:idx val="0"/>
          <c:order val="0"/>
          <c:tx>
            <c:v>QESError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B-452F-97AE-2FE788B51A0E}"/>
            </c:ext>
          </c:extLst>
        </c:ser>
        <c:ser>
          <c:idx val="1"/>
          <c:order val="1"/>
          <c:tx>
            <c:v>LCDMError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BB-452F-97AE-2FE788B51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372080"/>
        <c:axId val="909967648"/>
      </c:scatterChart>
      <c:valAx>
        <c:axId val="109837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Redshift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09967648"/>
        <c:crossesAt val="-1"/>
        <c:crossBetween val="midCat"/>
      </c:valAx>
      <c:valAx>
        <c:axId val="909967648"/>
        <c:scaling>
          <c:orientation val="minMax"/>
          <c:max val="1.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Error</a:t>
                </a:r>
              </a:p>
            </c:rich>
          </c:tx>
          <c:layout>
            <c:manualLayout>
              <c:xMode val="edge"/>
              <c:yMode val="edge"/>
              <c:x val="5.5555555555555566E-3"/>
              <c:y val="0.26184000437445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98372080"/>
        <c:crosses val="autoZero"/>
        <c:crossBetween val="midCat"/>
        <c:majorUnit val="0.4"/>
        <c:minorUnit val="0.1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8404119939553"/>
          <c:y val="3.0513998250218721E-2"/>
          <c:w val="0.84306867891513559"/>
          <c:h val="0.80797200349956244"/>
        </c:manualLayout>
      </c:layout>
      <c:scatterChart>
        <c:scatterStyle val="lineMarker"/>
        <c:varyColors val="0"/>
        <c:ser>
          <c:idx val="2"/>
          <c:order val="2"/>
          <c:tx>
            <c:v>Observed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Data'!$M$7:$M$482</c:f>
              <c:numCache>
                <c:formatCode>0.00E+00</c:formatCode>
                <c:ptCount val="476"/>
                <c:pt idx="0">
                  <c:v>48.072443757165757</c:v>
                </c:pt>
                <c:pt idx="1">
                  <c:v>45.557701005203917</c:v>
                </c:pt>
                <c:pt idx="2">
                  <c:v>49.641420450258337</c:v>
                </c:pt>
                <c:pt idx="3">
                  <c:v>57.557457302629494</c:v>
                </c:pt>
                <c:pt idx="4">
                  <c:v>51.983821172009236</c:v>
                </c:pt>
                <c:pt idx="5">
                  <c:v>75.59714599990032</c:v>
                </c:pt>
                <c:pt idx="6">
                  <c:v>61.781749181261212</c:v>
                </c:pt>
                <c:pt idx="7">
                  <c:v>73.070587641155655</c:v>
                </c:pt>
                <c:pt idx="8">
                  <c:v>64.345147387447213</c:v>
                </c:pt>
                <c:pt idx="9">
                  <c:v>70.07349838926153</c:v>
                </c:pt>
                <c:pt idx="10">
                  <c:v>69.142614888634384</c:v>
                </c:pt>
                <c:pt idx="11">
                  <c:v>78.36746525124002</c:v>
                </c:pt>
                <c:pt idx="12">
                  <c:v>50.801694675579675</c:v>
                </c:pt>
                <c:pt idx="13">
                  <c:v>70.742434278278921</c:v>
                </c:pt>
                <c:pt idx="14">
                  <c:v>66.230281356335922</c:v>
                </c:pt>
                <c:pt idx="15">
                  <c:v>65.426034752892662</c:v>
                </c:pt>
                <c:pt idx="16">
                  <c:v>76.158292776011223</c:v>
                </c:pt>
                <c:pt idx="17">
                  <c:v>61.673614240126895</c:v>
                </c:pt>
                <c:pt idx="18">
                  <c:v>59.540626489037528</c:v>
                </c:pt>
                <c:pt idx="19">
                  <c:v>71.821455154709071</c:v>
                </c:pt>
                <c:pt idx="20">
                  <c:v>71.166138255333365</c:v>
                </c:pt>
                <c:pt idx="21">
                  <c:v>69.240436969306231</c:v>
                </c:pt>
                <c:pt idx="22">
                  <c:v>68.621498880735416</c:v>
                </c:pt>
                <c:pt idx="23">
                  <c:v>65.273965861250986</c:v>
                </c:pt>
                <c:pt idx="24">
                  <c:v>70.625900786377059</c:v>
                </c:pt>
                <c:pt idx="25">
                  <c:v>74.167117412195594</c:v>
                </c:pt>
                <c:pt idx="26">
                  <c:v>72.376203764123289</c:v>
                </c:pt>
                <c:pt idx="27">
                  <c:v>85.76841808253829</c:v>
                </c:pt>
                <c:pt idx="28">
                  <c:v>69.035043048196584</c:v>
                </c:pt>
                <c:pt idx="29">
                  <c:v>83.520945091792626</c:v>
                </c:pt>
                <c:pt idx="30">
                  <c:v>80.435024789651493</c:v>
                </c:pt>
                <c:pt idx="31">
                  <c:v>85.90238069159642</c:v>
                </c:pt>
                <c:pt idx="32">
                  <c:v>76.912371056056344</c:v>
                </c:pt>
                <c:pt idx="33">
                  <c:v>74.781263724673366</c:v>
                </c:pt>
                <c:pt idx="34">
                  <c:v>100.11902232131553</c:v>
                </c:pt>
                <c:pt idx="35">
                  <c:v>109.15594655130438</c:v>
                </c:pt>
                <c:pt idx="36">
                  <c:v>103.93810631627954</c:v>
                </c:pt>
                <c:pt idx="37">
                  <c:v>102.93322977207376</c:v>
                </c:pt>
                <c:pt idx="38">
                  <c:v>91.603106083433232</c:v>
                </c:pt>
                <c:pt idx="39">
                  <c:v>89.78781436595213</c:v>
                </c:pt>
                <c:pt idx="40">
                  <c:v>100.74005879745931</c:v>
                </c:pt>
                <c:pt idx="41">
                  <c:v>109.43665245601915</c:v>
                </c:pt>
                <c:pt idx="42">
                  <c:v>106.61359795451364</c:v>
                </c:pt>
                <c:pt idx="43">
                  <c:v>102.01442828239168</c:v>
                </c:pt>
                <c:pt idx="44">
                  <c:v>112.7917149578883</c:v>
                </c:pt>
                <c:pt idx="45">
                  <c:v>92.879100335706866</c:v>
                </c:pt>
                <c:pt idx="46">
                  <c:v>102.46010580194832</c:v>
                </c:pt>
                <c:pt idx="47">
                  <c:v>120.84263873124272</c:v>
                </c:pt>
                <c:pt idx="48">
                  <c:v>113.00664979976912</c:v>
                </c:pt>
                <c:pt idx="49">
                  <c:v>112.19378506567409</c:v>
                </c:pt>
                <c:pt idx="50">
                  <c:v>109.08664874961777</c:v>
                </c:pt>
                <c:pt idx="51">
                  <c:v>113.09229047780407</c:v>
                </c:pt>
                <c:pt idx="52">
                  <c:v>123.50484643097693</c:v>
                </c:pt>
                <c:pt idx="53">
                  <c:v>125.77867054143005</c:v>
                </c:pt>
                <c:pt idx="54">
                  <c:v>116.15946416703835</c:v>
                </c:pt>
                <c:pt idx="55">
                  <c:v>108.82302650182643</c:v>
                </c:pt>
                <c:pt idx="56">
                  <c:v>110.30433990069987</c:v>
                </c:pt>
                <c:pt idx="57">
                  <c:v>122.50753459909662</c:v>
                </c:pt>
                <c:pt idx="58">
                  <c:v>126.20902159892788</c:v>
                </c:pt>
                <c:pt idx="59">
                  <c:v>107.62778437903465</c:v>
                </c:pt>
                <c:pt idx="60">
                  <c:v>133.17417038297521</c:v>
                </c:pt>
                <c:pt idx="61">
                  <c:v>105.88879350750462</c:v>
                </c:pt>
                <c:pt idx="62">
                  <c:v>129.29537794920287</c:v>
                </c:pt>
                <c:pt idx="63">
                  <c:v>134.63581387424148</c:v>
                </c:pt>
                <c:pt idx="64">
                  <c:v>108.2179244030648</c:v>
                </c:pt>
                <c:pt idx="65">
                  <c:v>126.51965529429147</c:v>
                </c:pt>
                <c:pt idx="66">
                  <c:v>153.40418227771059</c:v>
                </c:pt>
                <c:pt idx="67">
                  <c:v>115.87688179994919</c:v>
                </c:pt>
                <c:pt idx="68">
                  <c:v>126.99704038047254</c:v>
                </c:pt>
                <c:pt idx="69">
                  <c:v>110.65086160575582</c:v>
                </c:pt>
                <c:pt idx="70">
                  <c:v>132.61993172687821</c:v>
                </c:pt>
                <c:pt idx="71">
                  <c:v>145.94102763971043</c:v>
                </c:pt>
                <c:pt idx="72">
                  <c:v>132.06830377604587</c:v>
                </c:pt>
                <c:pt idx="73">
                  <c:v>150.1430382936847</c:v>
                </c:pt>
                <c:pt idx="74">
                  <c:v>140.11486090431177</c:v>
                </c:pt>
                <c:pt idx="75">
                  <c:v>132.50101343800554</c:v>
                </c:pt>
                <c:pt idx="76">
                  <c:v>161.80085044984077</c:v>
                </c:pt>
                <c:pt idx="77">
                  <c:v>136.16008065601477</c:v>
                </c:pt>
                <c:pt idx="78">
                  <c:v>177.53721382083666</c:v>
                </c:pt>
                <c:pt idx="79">
                  <c:v>161.17185335479141</c:v>
                </c:pt>
                <c:pt idx="80">
                  <c:v>167.27791243008363</c:v>
                </c:pt>
                <c:pt idx="81">
                  <c:v>158.25578700273803</c:v>
                </c:pt>
                <c:pt idx="82">
                  <c:v>162.06259921898123</c:v>
                </c:pt>
                <c:pt idx="83">
                  <c:v>160.16543588947061</c:v>
                </c:pt>
                <c:pt idx="84">
                  <c:v>151.75513660936366</c:v>
                </c:pt>
                <c:pt idx="85">
                  <c:v>166.95637244521023</c:v>
                </c:pt>
                <c:pt idx="86">
                  <c:v>186.04722643207745</c:v>
                </c:pt>
                <c:pt idx="87">
                  <c:v>195.62547076303255</c:v>
                </c:pt>
                <c:pt idx="88">
                  <c:v>162.26625012701302</c:v>
                </c:pt>
                <c:pt idx="89">
                  <c:v>155.62214605035953</c:v>
                </c:pt>
                <c:pt idx="90">
                  <c:v>153.64527178421153</c:v>
                </c:pt>
                <c:pt idx="91">
                  <c:v>173.64744595717264</c:v>
                </c:pt>
                <c:pt idx="92">
                  <c:v>158.13448917235462</c:v>
                </c:pt>
                <c:pt idx="93">
                  <c:v>194.95231649448533</c:v>
                </c:pt>
                <c:pt idx="94">
                  <c:v>207.69431059661005</c:v>
                </c:pt>
                <c:pt idx="95">
                  <c:v>161.93584804972488</c:v>
                </c:pt>
                <c:pt idx="96">
                  <c:v>179.10660424536417</c:v>
                </c:pt>
                <c:pt idx="97">
                  <c:v>175.23909433286479</c:v>
                </c:pt>
                <c:pt idx="98">
                  <c:v>170.34476834928009</c:v>
                </c:pt>
                <c:pt idx="99">
                  <c:v>199.08988695437671</c:v>
                </c:pt>
                <c:pt idx="100">
                  <c:v>218.77394590297055</c:v>
                </c:pt>
                <c:pt idx="101">
                  <c:v>225.66853003779119</c:v>
                </c:pt>
                <c:pt idx="102">
                  <c:v>227.41337315354698</c:v>
                </c:pt>
                <c:pt idx="103">
                  <c:v>198.02471640461786</c:v>
                </c:pt>
                <c:pt idx="104">
                  <c:v>215.99773645880614</c:v>
                </c:pt>
                <c:pt idx="105">
                  <c:v>242.31460996174712</c:v>
                </c:pt>
                <c:pt idx="106">
                  <c:v>197.79303751909211</c:v>
                </c:pt>
                <c:pt idx="107">
                  <c:v>265.05829498656789</c:v>
                </c:pt>
                <c:pt idx="108">
                  <c:v>276.77980562582621</c:v>
                </c:pt>
                <c:pt idx="109">
                  <c:v>287.32406360335602</c:v>
                </c:pt>
                <c:pt idx="110">
                  <c:v>267.73281235916113</c:v>
                </c:pt>
                <c:pt idx="111">
                  <c:v>321.3759696509839</c:v>
                </c:pt>
                <c:pt idx="112">
                  <c:v>280.83640178345036</c:v>
                </c:pt>
                <c:pt idx="113">
                  <c:v>277.02170632803131</c:v>
                </c:pt>
                <c:pt idx="114">
                  <c:v>348.07144804455714</c:v>
                </c:pt>
                <c:pt idx="115">
                  <c:v>315.33879229460251</c:v>
                </c:pt>
                <c:pt idx="116">
                  <c:v>274.76992804011155</c:v>
                </c:pt>
                <c:pt idx="117">
                  <c:v>320.32541686432074</c:v>
                </c:pt>
                <c:pt idx="118">
                  <c:v>326.43716688306512</c:v>
                </c:pt>
                <c:pt idx="119">
                  <c:v>397.02933835530911</c:v>
                </c:pt>
                <c:pt idx="120">
                  <c:v>338.21245743786687</c:v>
                </c:pt>
                <c:pt idx="121">
                  <c:v>318.28282199737731</c:v>
                </c:pt>
                <c:pt idx="122">
                  <c:v>373.9862196897019</c:v>
                </c:pt>
                <c:pt idx="123">
                  <c:v>347.13643574989692</c:v>
                </c:pt>
                <c:pt idx="124">
                  <c:v>377.9836374051273</c:v>
                </c:pt>
                <c:pt idx="125">
                  <c:v>378.73356859792329</c:v>
                </c:pt>
                <c:pt idx="126">
                  <c:v>367.80412869875613</c:v>
                </c:pt>
                <c:pt idx="127">
                  <c:v>437.96620487905483</c:v>
                </c:pt>
                <c:pt idx="128">
                  <c:v>439.04092025723889</c:v>
                </c:pt>
                <c:pt idx="129">
                  <c:v>404.4535018606702</c:v>
                </c:pt>
                <c:pt idx="130">
                  <c:v>454.52125797397622</c:v>
                </c:pt>
                <c:pt idx="131">
                  <c:v>547.61079405111434</c:v>
                </c:pt>
                <c:pt idx="132">
                  <c:v>607.36365510995051</c:v>
                </c:pt>
                <c:pt idx="133">
                  <c:v>611.62664947005123</c:v>
                </c:pt>
                <c:pt idx="134">
                  <c:v>606.87437501861473</c:v>
                </c:pt>
                <c:pt idx="135">
                  <c:v>577.8059370798594</c:v>
                </c:pt>
                <c:pt idx="136">
                  <c:v>597.80315119176896</c:v>
                </c:pt>
                <c:pt idx="137">
                  <c:v>539.87448155510049</c:v>
                </c:pt>
                <c:pt idx="138">
                  <c:v>600.80010514326375</c:v>
                </c:pt>
                <c:pt idx="139">
                  <c:v>646.26256502755678</c:v>
                </c:pt>
                <c:pt idx="140">
                  <c:v>666.56974878072469</c:v>
                </c:pt>
                <c:pt idx="141">
                  <c:v>595.55791387850343</c:v>
                </c:pt>
                <c:pt idx="142">
                  <c:v>619.49042756887491</c:v>
                </c:pt>
                <c:pt idx="143">
                  <c:v>603.81041526876822</c:v>
                </c:pt>
                <c:pt idx="144">
                  <c:v>599.28471364682048</c:v>
                </c:pt>
                <c:pt idx="145">
                  <c:v>740.9549436647992</c:v>
                </c:pt>
                <c:pt idx="146">
                  <c:v>701.60843234947345</c:v>
                </c:pt>
                <c:pt idx="147">
                  <c:v>745.29876228577268</c:v>
                </c:pt>
                <c:pt idx="148">
                  <c:v>722.56280192198608</c:v>
                </c:pt>
                <c:pt idx="149">
                  <c:v>808.87646610773231</c:v>
                </c:pt>
                <c:pt idx="150">
                  <c:v>719.25485155859428</c:v>
                </c:pt>
                <c:pt idx="151">
                  <c:v>855.27543792568542</c:v>
                </c:pt>
                <c:pt idx="152">
                  <c:v>776.41264520364768</c:v>
                </c:pt>
                <c:pt idx="153">
                  <c:v>736.21828576436985</c:v>
                </c:pt>
                <c:pt idx="154">
                  <c:v>753.64843214662847</c:v>
                </c:pt>
                <c:pt idx="155">
                  <c:v>731.44386229178804</c:v>
                </c:pt>
                <c:pt idx="156">
                  <c:v>807.60016685604944</c:v>
                </c:pt>
                <c:pt idx="157">
                  <c:v>1010.6635430822232</c:v>
                </c:pt>
                <c:pt idx="158">
                  <c:v>880.52724841448821</c:v>
                </c:pt>
                <c:pt idx="159">
                  <c:v>868.87759782370688</c:v>
                </c:pt>
                <c:pt idx="160">
                  <c:v>924.11112804010895</c:v>
                </c:pt>
                <c:pt idx="161">
                  <c:v>1126.3449079434008</c:v>
                </c:pt>
                <c:pt idx="162">
                  <c:v>905.25472436210373</c:v>
                </c:pt>
                <c:pt idx="163">
                  <c:v>971.56128363449795</c:v>
                </c:pt>
                <c:pt idx="164">
                  <c:v>866.71158170762101</c:v>
                </c:pt>
                <c:pt idx="165">
                  <c:v>1020.5667148918301</c:v>
                </c:pt>
                <c:pt idx="166">
                  <c:v>967.99697469683269</c:v>
                </c:pt>
                <c:pt idx="167">
                  <c:v>955.61333184427781</c:v>
                </c:pt>
                <c:pt idx="168">
                  <c:v>979.58381283840549</c:v>
                </c:pt>
                <c:pt idx="169">
                  <c:v>992.62177952341915</c:v>
                </c:pt>
                <c:pt idx="170">
                  <c:v>992.57835414719773</c:v>
                </c:pt>
                <c:pt idx="171">
                  <c:v>1093.7332120483572</c:v>
                </c:pt>
                <c:pt idx="172">
                  <c:v>1182.0052349929813</c:v>
                </c:pt>
                <c:pt idx="173">
                  <c:v>1131.6199622785341</c:v>
                </c:pt>
                <c:pt idx="174">
                  <c:v>1063.8259992426174</c:v>
                </c:pt>
                <c:pt idx="175">
                  <c:v>1088.313458858627</c:v>
                </c:pt>
                <c:pt idx="176">
                  <c:v>1164.5775130097231</c:v>
                </c:pt>
                <c:pt idx="177">
                  <c:v>1038.651374099584</c:v>
                </c:pt>
                <c:pt idx="178">
                  <c:v>1078.9492065993288</c:v>
                </c:pt>
                <c:pt idx="179">
                  <c:v>1080.7050975870211</c:v>
                </c:pt>
                <c:pt idx="180">
                  <c:v>1249.6926052526978</c:v>
                </c:pt>
                <c:pt idx="181">
                  <c:v>1406.9219328094589</c:v>
                </c:pt>
                <c:pt idx="182">
                  <c:v>1130.9531121176331</c:v>
                </c:pt>
                <c:pt idx="183">
                  <c:v>1184.4452755812238</c:v>
                </c:pt>
                <c:pt idx="184">
                  <c:v>1183.3096329926391</c:v>
                </c:pt>
                <c:pt idx="185">
                  <c:v>1183.2398834676858</c:v>
                </c:pt>
                <c:pt idx="186">
                  <c:v>1111.1958224528523</c:v>
                </c:pt>
                <c:pt idx="187">
                  <c:v>1167.5836370641669</c:v>
                </c:pt>
                <c:pt idx="188">
                  <c:v>1407.1124316843902</c:v>
                </c:pt>
                <c:pt idx="189">
                  <c:v>1216.2000025857469</c:v>
                </c:pt>
                <c:pt idx="190">
                  <c:v>1395.5345724291051</c:v>
                </c:pt>
                <c:pt idx="191">
                  <c:v>1451.5820862481173</c:v>
                </c:pt>
                <c:pt idx="192">
                  <c:v>1417.9372114118282</c:v>
                </c:pt>
                <c:pt idx="193">
                  <c:v>1392.5621922429029</c:v>
                </c:pt>
                <c:pt idx="194">
                  <c:v>1298.7901910148557</c:v>
                </c:pt>
                <c:pt idx="195">
                  <c:v>1393.7381888323307</c:v>
                </c:pt>
                <c:pt idx="196">
                  <c:v>1460.2163267509777</c:v>
                </c:pt>
                <c:pt idx="197">
                  <c:v>1405.5250816027226</c:v>
                </c:pt>
                <c:pt idx="198">
                  <c:v>1373.6402249886767</c:v>
                </c:pt>
                <c:pt idx="199">
                  <c:v>1502.6014375613963</c:v>
                </c:pt>
                <c:pt idx="200">
                  <c:v>1467.396233510631</c:v>
                </c:pt>
                <c:pt idx="201">
                  <c:v>1523.214972585411</c:v>
                </c:pt>
                <c:pt idx="202">
                  <c:v>1407.6069419647372</c:v>
                </c:pt>
                <c:pt idx="203">
                  <c:v>1298.6592104378183</c:v>
                </c:pt>
                <c:pt idx="204">
                  <c:v>1576.6990284001722</c:v>
                </c:pt>
                <c:pt idx="205">
                  <c:v>1379.2246169163113</c:v>
                </c:pt>
                <c:pt idx="206">
                  <c:v>1428.4445947044953</c:v>
                </c:pt>
                <c:pt idx="207">
                  <c:v>1420.5829568201275</c:v>
                </c:pt>
                <c:pt idx="208">
                  <c:v>1322.7677561875917</c:v>
                </c:pt>
                <c:pt idx="209">
                  <c:v>1635.8836054419635</c:v>
                </c:pt>
                <c:pt idx="210">
                  <c:v>1636.1164078478232</c:v>
                </c:pt>
                <c:pt idx="211">
                  <c:v>1690.2323127300374</c:v>
                </c:pt>
                <c:pt idx="212">
                  <c:v>1424.2341664483699</c:v>
                </c:pt>
                <c:pt idx="213">
                  <c:v>1781.3456599334083</c:v>
                </c:pt>
                <c:pt idx="214">
                  <c:v>1692.3547317039236</c:v>
                </c:pt>
                <c:pt idx="215">
                  <c:v>1499.2484206079985</c:v>
                </c:pt>
                <c:pt idx="216">
                  <c:v>1565.5408347094144</c:v>
                </c:pt>
                <c:pt idx="217">
                  <c:v>1625.6715296167845</c:v>
                </c:pt>
                <c:pt idx="218">
                  <c:v>1730.6322800910591</c:v>
                </c:pt>
                <c:pt idx="219">
                  <c:v>1924.956855448326</c:v>
                </c:pt>
                <c:pt idx="220">
                  <c:v>1686.3045040622094</c:v>
                </c:pt>
                <c:pt idx="221">
                  <c:v>2005.9162656137328</c:v>
                </c:pt>
                <c:pt idx="222">
                  <c:v>1756.3659135550945</c:v>
                </c:pt>
                <c:pt idx="223">
                  <c:v>1682.3951201782916</c:v>
                </c:pt>
                <c:pt idx="224">
                  <c:v>1789.5053453943051</c:v>
                </c:pt>
                <c:pt idx="225">
                  <c:v>1887.7992099493317</c:v>
                </c:pt>
                <c:pt idx="226">
                  <c:v>1669.1693445721248</c:v>
                </c:pt>
                <c:pt idx="227">
                  <c:v>1708.422175580462</c:v>
                </c:pt>
                <c:pt idx="228">
                  <c:v>1843.4773245800427</c:v>
                </c:pt>
                <c:pt idx="229">
                  <c:v>1805.7407548140898</c:v>
                </c:pt>
                <c:pt idx="230">
                  <c:v>1961.103884839318</c:v>
                </c:pt>
                <c:pt idx="231">
                  <c:v>2225.4610619560453</c:v>
                </c:pt>
                <c:pt idx="232">
                  <c:v>1952.3199851099714</c:v>
                </c:pt>
                <c:pt idx="233">
                  <c:v>2219.4389325818279</c:v>
                </c:pt>
                <c:pt idx="234">
                  <c:v>1863.5128851335453</c:v>
                </c:pt>
                <c:pt idx="235">
                  <c:v>2338.2416923785149</c:v>
                </c:pt>
                <c:pt idx="236">
                  <c:v>2085.2071239919665</c:v>
                </c:pt>
                <c:pt idx="237">
                  <c:v>2029.5174977686668</c:v>
                </c:pt>
                <c:pt idx="238">
                  <c:v>2018.310594928427</c:v>
                </c:pt>
                <c:pt idx="239">
                  <c:v>2020.0587483606037</c:v>
                </c:pt>
                <c:pt idx="240">
                  <c:v>2192.0345749955786</c:v>
                </c:pt>
                <c:pt idx="241">
                  <c:v>2256.0088552477791</c:v>
                </c:pt>
                <c:pt idx="242">
                  <c:v>2175.8191761280586</c:v>
                </c:pt>
                <c:pt idx="243">
                  <c:v>2185.0209231047397</c:v>
                </c:pt>
                <c:pt idx="244">
                  <c:v>2178.9837928394013</c:v>
                </c:pt>
                <c:pt idx="245">
                  <c:v>2355.7955658232663</c:v>
                </c:pt>
                <c:pt idx="246">
                  <c:v>2341.549806597654</c:v>
                </c:pt>
                <c:pt idx="247">
                  <c:v>1953.9776866182442</c:v>
                </c:pt>
                <c:pt idx="248">
                  <c:v>1877.5607592796741</c:v>
                </c:pt>
                <c:pt idx="249">
                  <c:v>2402.8242150142287</c:v>
                </c:pt>
                <c:pt idx="250">
                  <c:v>2352.19217024009</c:v>
                </c:pt>
                <c:pt idx="251">
                  <c:v>2584.9265068886411</c:v>
                </c:pt>
                <c:pt idx="252">
                  <c:v>2759.2649227798406</c:v>
                </c:pt>
                <c:pt idx="253">
                  <c:v>2424.9679329721316</c:v>
                </c:pt>
                <c:pt idx="254">
                  <c:v>2445.1843077940916</c:v>
                </c:pt>
                <c:pt idx="255">
                  <c:v>2270.5391778768308</c:v>
                </c:pt>
                <c:pt idx="256">
                  <c:v>2703.634626590987</c:v>
                </c:pt>
                <c:pt idx="257">
                  <c:v>2212.2153425669367</c:v>
                </c:pt>
                <c:pt idx="258">
                  <c:v>2700.9839282564585</c:v>
                </c:pt>
                <c:pt idx="259">
                  <c:v>2490.5140723268805</c:v>
                </c:pt>
                <c:pt idx="260">
                  <c:v>2443.0142488615443</c:v>
                </c:pt>
                <c:pt idx="261">
                  <c:v>2791.2105631395025</c:v>
                </c:pt>
                <c:pt idx="262">
                  <c:v>2485.6547139896479</c:v>
                </c:pt>
                <c:pt idx="263">
                  <c:v>2715.9289224478985</c:v>
                </c:pt>
                <c:pt idx="264">
                  <c:v>2629.9009986988353</c:v>
                </c:pt>
                <c:pt idx="265">
                  <c:v>2396.052888046861</c:v>
                </c:pt>
                <c:pt idx="266">
                  <c:v>2427.7457359067516</c:v>
                </c:pt>
                <c:pt idx="267">
                  <c:v>2985.3015056692202</c:v>
                </c:pt>
                <c:pt idx="268">
                  <c:v>3419.0322712886586</c:v>
                </c:pt>
                <c:pt idx="269">
                  <c:v>3216.198166380821</c:v>
                </c:pt>
                <c:pt idx="270">
                  <c:v>2614.4479496607073</c:v>
                </c:pt>
                <c:pt idx="271">
                  <c:v>3150.1395986102743</c:v>
                </c:pt>
                <c:pt idx="272">
                  <c:v>3223.5840629455174</c:v>
                </c:pt>
                <c:pt idx="273">
                  <c:v>2961.9150604736251</c:v>
                </c:pt>
                <c:pt idx="274">
                  <c:v>2599.0952766774994</c:v>
                </c:pt>
                <c:pt idx="275">
                  <c:v>2918.4281116911343</c:v>
                </c:pt>
                <c:pt idx="276">
                  <c:v>2928.6778325172259</c:v>
                </c:pt>
                <c:pt idx="277">
                  <c:v>3184.2488453399665</c:v>
                </c:pt>
                <c:pt idx="278">
                  <c:v>3147.9802573133466</c:v>
                </c:pt>
                <c:pt idx="279">
                  <c:v>3174.3265386572898</c:v>
                </c:pt>
                <c:pt idx="280">
                  <c:v>2909.2818664007996</c:v>
                </c:pt>
                <c:pt idx="281">
                  <c:v>2928.0804167075535</c:v>
                </c:pt>
                <c:pt idx="282">
                  <c:v>3281.7885844009561</c:v>
                </c:pt>
                <c:pt idx="283">
                  <c:v>3327.2206288367711</c:v>
                </c:pt>
                <c:pt idx="284">
                  <c:v>3237.5076254187084</c:v>
                </c:pt>
                <c:pt idx="285">
                  <c:v>3058.5839131906846</c:v>
                </c:pt>
                <c:pt idx="286">
                  <c:v>2982.99551231331</c:v>
                </c:pt>
                <c:pt idx="287">
                  <c:v>3193.6255932948761</c:v>
                </c:pt>
                <c:pt idx="288">
                  <c:v>3266.9929703735665</c:v>
                </c:pt>
                <c:pt idx="289">
                  <c:v>3115.6638833367306</c:v>
                </c:pt>
                <c:pt idx="290">
                  <c:v>3193.2991103801555</c:v>
                </c:pt>
                <c:pt idx="291">
                  <c:v>3126.4983225057972</c:v>
                </c:pt>
                <c:pt idx="292">
                  <c:v>3017.3702217575596</c:v>
                </c:pt>
                <c:pt idx="293">
                  <c:v>3353.543931644434</c:v>
                </c:pt>
                <c:pt idx="294">
                  <c:v>2859.6244390709139</c:v>
                </c:pt>
                <c:pt idx="295">
                  <c:v>3210.6502605768587</c:v>
                </c:pt>
                <c:pt idx="296">
                  <c:v>3631.800633075281</c:v>
                </c:pt>
                <c:pt idx="297">
                  <c:v>3424.5948559969233</c:v>
                </c:pt>
                <c:pt idx="298">
                  <c:v>3659.4869266520218</c:v>
                </c:pt>
                <c:pt idx="299">
                  <c:v>3332.0905890916347</c:v>
                </c:pt>
                <c:pt idx="300">
                  <c:v>3965.893066300805</c:v>
                </c:pt>
                <c:pt idx="301">
                  <c:v>3713.3971520576524</c:v>
                </c:pt>
                <c:pt idx="302">
                  <c:v>3341.370238186948</c:v>
                </c:pt>
                <c:pt idx="303">
                  <c:v>3261.2433008931666</c:v>
                </c:pt>
                <c:pt idx="304">
                  <c:v>3730.2299095080707</c:v>
                </c:pt>
                <c:pt idx="305">
                  <c:v>3896.9730285921996</c:v>
                </c:pt>
                <c:pt idx="306">
                  <c:v>3275.0912143251744</c:v>
                </c:pt>
                <c:pt idx="307">
                  <c:v>4021.7623118537799</c:v>
                </c:pt>
                <c:pt idx="308">
                  <c:v>3401.9897439357542</c:v>
                </c:pt>
                <c:pt idx="309">
                  <c:v>3531.7926628887976</c:v>
                </c:pt>
                <c:pt idx="310">
                  <c:v>3864.1608845996634</c:v>
                </c:pt>
                <c:pt idx="311">
                  <c:v>3738.3262473797135</c:v>
                </c:pt>
                <c:pt idx="312">
                  <c:v>3720.0741799904995</c:v>
                </c:pt>
                <c:pt idx="313">
                  <c:v>4033.4771409928926</c:v>
                </c:pt>
                <c:pt idx="314">
                  <c:v>4150.4960033471361</c:v>
                </c:pt>
                <c:pt idx="315">
                  <c:v>3936.1750121180416</c:v>
                </c:pt>
                <c:pt idx="316">
                  <c:v>3828.1116866467532</c:v>
                </c:pt>
                <c:pt idx="317">
                  <c:v>3370.747336334462</c:v>
                </c:pt>
                <c:pt idx="318">
                  <c:v>3766.5349357510981</c:v>
                </c:pt>
                <c:pt idx="319">
                  <c:v>3347.227261669907</c:v>
                </c:pt>
                <c:pt idx="320">
                  <c:v>3795.7010499840922</c:v>
                </c:pt>
                <c:pt idx="321">
                  <c:v>4607.5557632419032</c:v>
                </c:pt>
                <c:pt idx="322">
                  <c:v>4113.3493874307205</c:v>
                </c:pt>
                <c:pt idx="323">
                  <c:v>3655.0540198994481</c:v>
                </c:pt>
                <c:pt idx="324">
                  <c:v>4378.8331776725863</c:v>
                </c:pt>
                <c:pt idx="325">
                  <c:v>3657.7599468678718</c:v>
                </c:pt>
                <c:pt idx="326">
                  <c:v>4583.1893492763138</c:v>
                </c:pt>
                <c:pt idx="327">
                  <c:v>4106.9536353623489</c:v>
                </c:pt>
                <c:pt idx="328">
                  <c:v>3972.1843865939791</c:v>
                </c:pt>
                <c:pt idx="329">
                  <c:v>4032.9645077486703</c:v>
                </c:pt>
                <c:pt idx="330">
                  <c:v>3784.3561361126726</c:v>
                </c:pt>
                <c:pt idx="331">
                  <c:v>3675.5387014709868</c:v>
                </c:pt>
                <c:pt idx="332">
                  <c:v>3625.0950645360404</c:v>
                </c:pt>
                <c:pt idx="333">
                  <c:v>4079.9590109521814</c:v>
                </c:pt>
                <c:pt idx="334">
                  <c:v>4170.2932969311623</c:v>
                </c:pt>
                <c:pt idx="335">
                  <c:v>4067.6183699216904</c:v>
                </c:pt>
                <c:pt idx="336">
                  <c:v>4381.8913002881336</c:v>
                </c:pt>
                <c:pt idx="337">
                  <c:v>4036.9093750224647</c:v>
                </c:pt>
                <c:pt idx="338">
                  <c:v>4124.5008742960472</c:v>
                </c:pt>
                <c:pt idx="339">
                  <c:v>4307.6380054327328</c:v>
                </c:pt>
                <c:pt idx="340">
                  <c:v>4231.2238306000663</c:v>
                </c:pt>
                <c:pt idx="341">
                  <c:v>4047.3671270657592</c:v>
                </c:pt>
                <c:pt idx="342">
                  <c:v>4147.85150450116</c:v>
                </c:pt>
                <c:pt idx="343">
                  <c:v>4547.6705995943357</c:v>
                </c:pt>
                <c:pt idx="344">
                  <c:v>4555.0337586415835</c:v>
                </c:pt>
                <c:pt idx="345">
                  <c:v>5011.4522883198833</c:v>
                </c:pt>
                <c:pt idx="346">
                  <c:v>4414.7671262810118</c:v>
                </c:pt>
                <c:pt idx="347">
                  <c:v>4786.9049047418457</c:v>
                </c:pt>
                <c:pt idx="348">
                  <c:v>4960.4377052981727</c:v>
                </c:pt>
                <c:pt idx="349">
                  <c:v>4469.9472701919149</c:v>
                </c:pt>
                <c:pt idx="350">
                  <c:v>4359.442963781441</c:v>
                </c:pt>
                <c:pt idx="351">
                  <c:v>5201.0999532253527</c:v>
                </c:pt>
                <c:pt idx="352">
                  <c:v>5812.1953143098754</c:v>
                </c:pt>
                <c:pt idx="353">
                  <c:v>4448.2316923829812</c:v>
                </c:pt>
                <c:pt idx="354">
                  <c:v>4992.8716276656269</c:v>
                </c:pt>
                <c:pt idx="355">
                  <c:v>4707.7891104045893</c:v>
                </c:pt>
                <c:pt idx="356">
                  <c:v>4669.8141845185783</c:v>
                </c:pt>
                <c:pt idx="357">
                  <c:v>4493.3660537810711</c:v>
                </c:pt>
                <c:pt idx="358">
                  <c:v>4487.6481591316551</c:v>
                </c:pt>
                <c:pt idx="359">
                  <c:v>4396.4445499493486</c:v>
                </c:pt>
                <c:pt idx="360">
                  <c:v>5023.1367319071851</c:v>
                </c:pt>
                <c:pt idx="361">
                  <c:v>4926.0793132736962</c:v>
                </c:pt>
                <c:pt idx="362">
                  <c:v>4748.4273743715876</c:v>
                </c:pt>
                <c:pt idx="363">
                  <c:v>4648.8507124385005</c:v>
                </c:pt>
                <c:pt idx="364">
                  <c:v>4489.3762014129725</c:v>
                </c:pt>
                <c:pt idx="365">
                  <c:v>5315.0383197885913</c:v>
                </c:pt>
                <c:pt idx="366">
                  <c:v>4763.9412826221014</c:v>
                </c:pt>
                <c:pt idx="367">
                  <c:v>4934.21648599744</c:v>
                </c:pt>
                <c:pt idx="368">
                  <c:v>5812.0133073493835</c:v>
                </c:pt>
                <c:pt idx="369">
                  <c:v>4442.3257333001475</c:v>
                </c:pt>
                <c:pt idx="370">
                  <c:v>4903.7418574246822</c:v>
                </c:pt>
                <c:pt idx="371">
                  <c:v>4875.4734974216835</c:v>
                </c:pt>
                <c:pt idx="372">
                  <c:v>5054.6955189302398</c:v>
                </c:pt>
                <c:pt idx="373">
                  <c:v>4605.3728887637444</c:v>
                </c:pt>
                <c:pt idx="374">
                  <c:v>5632.4273671951796</c:v>
                </c:pt>
                <c:pt idx="375">
                  <c:v>5983.8679348916594</c:v>
                </c:pt>
                <c:pt idx="376">
                  <c:v>5113.1248822027446</c:v>
                </c:pt>
                <c:pt idx="377">
                  <c:v>4520.5970782239547</c:v>
                </c:pt>
                <c:pt idx="378">
                  <c:v>4725.5112344867548</c:v>
                </c:pt>
                <c:pt idx="379">
                  <c:v>4570.7240262073528</c:v>
                </c:pt>
                <c:pt idx="380">
                  <c:v>4128.8889280365511</c:v>
                </c:pt>
                <c:pt idx="381">
                  <c:v>5999.0322962311211</c:v>
                </c:pt>
                <c:pt idx="382">
                  <c:v>4967.5517486904446</c:v>
                </c:pt>
                <c:pt idx="383">
                  <c:v>4890.6186536809028</c:v>
                </c:pt>
                <c:pt idx="384">
                  <c:v>5034.753355269072</c:v>
                </c:pt>
                <c:pt idx="385">
                  <c:v>4811.4214498822848</c:v>
                </c:pt>
                <c:pt idx="386">
                  <c:v>5038.1210731965684</c:v>
                </c:pt>
                <c:pt idx="387">
                  <c:v>5279.4660322399022</c:v>
                </c:pt>
                <c:pt idx="388">
                  <c:v>5085.0332847574718</c:v>
                </c:pt>
                <c:pt idx="389">
                  <c:v>5613.3665195492786</c:v>
                </c:pt>
                <c:pt idx="390">
                  <c:v>5959.0303864955567</c:v>
                </c:pt>
                <c:pt idx="391">
                  <c:v>5442.2188218955516</c:v>
                </c:pt>
                <c:pt idx="392">
                  <c:v>5494.4623273415218</c:v>
                </c:pt>
                <c:pt idx="393">
                  <c:v>5264.6317670735334</c:v>
                </c:pt>
                <c:pt idx="394">
                  <c:v>5053.0663402197188</c:v>
                </c:pt>
                <c:pt idx="395">
                  <c:v>5389.4047401218295</c:v>
                </c:pt>
                <c:pt idx="396">
                  <c:v>4484.8363455995814</c:v>
                </c:pt>
                <c:pt idx="397">
                  <c:v>4571.2671216901654</c:v>
                </c:pt>
                <c:pt idx="398">
                  <c:v>6233.7301742668615</c:v>
                </c:pt>
                <c:pt idx="399">
                  <c:v>5259.6809398882397</c:v>
                </c:pt>
                <c:pt idx="400">
                  <c:v>4880.1907789523784</c:v>
                </c:pt>
                <c:pt idx="401">
                  <c:v>5438.9241213802597</c:v>
                </c:pt>
                <c:pt idx="402">
                  <c:v>6951.2738794013885</c:v>
                </c:pt>
                <c:pt idx="403">
                  <c:v>5178.6862482952329</c:v>
                </c:pt>
                <c:pt idx="404">
                  <c:v>5428.6944699499018</c:v>
                </c:pt>
                <c:pt idx="405">
                  <c:v>6173.7864038087719</c:v>
                </c:pt>
                <c:pt idx="406">
                  <c:v>5552.1168791955197</c:v>
                </c:pt>
                <c:pt idx="407">
                  <c:v>5083.5909748127424</c:v>
                </c:pt>
                <c:pt idx="408">
                  <c:v>6223.6276271734932</c:v>
                </c:pt>
                <c:pt idx="409">
                  <c:v>5714.5600401518441</c:v>
                </c:pt>
                <c:pt idx="410">
                  <c:v>6372.6578250729781</c:v>
                </c:pt>
                <c:pt idx="411">
                  <c:v>5686.8294001838522</c:v>
                </c:pt>
                <c:pt idx="412">
                  <c:v>5584.174742944756</c:v>
                </c:pt>
                <c:pt idx="413">
                  <c:v>5909.593386652321</c:v>
                </c:pt>
                <c:pt idx="414">
                  <c:v>5392.6272257066476</c:v>
                </c:pt>
                <c:pt idx="415">
                  <c:v>5185.845812262025</c:v>
                </c:pt>
                <c:pt idx="416">
                  <c:v>4794.4500678968834</c:v>
                </c:pt>
                <c:pt idx="417">
                  <c:v>5609.3172061530004</c:v>
                </c:pt>
                <c:pt idx="418">
                  <c:v>5634.731158067013</c:v>
                </c:pt>
                <c:pt idx="419">
                  <c:v>5636.1611236485933</c:v>
                </c:pt>
                <c:pt idx="420">
                  <c:v>5648.6465410239307</c:v>
                </c:pt>
                <c:pt idx="421">
                  <c:v>4899.5478112527489</c:v>
                </c:pt>
                <c:pt idx="422">
                  <c:v>6317.2054299850442</c:v>
                </c:pt>
                <c:pt idx="423">
                  <c:v>5675.7440168093162</c:v>
                </c:pt>
                <c:pt idx="424">
                  <c:v>6951.3827203708443</c:v>
                </c:pt>
                <c:pt idx="425">
                  <c:v>6133.3789734001939</c:v>
                </c:pt>
                <c:pt idx="426">
                  <c:v>5348.5615755097615</c:v>
                </c:pt>
                <c:pt idx="427">
                  <c:v>5799.5513755352595</c:v>
                </c:pt>
                <c:pt idx="428">
                  <c:v>6846.4367447535506</c:v>
                </c:pt>
                <c:pt idx="429">
                  <c:v>5982.8401571294798</c:v>
                </c:pt>
                <c:pt idx="430">
                  <c:v>6387.7807311277284</c:v>
                </c:pt>
                <c:pt idx="431">
                  <c:v>6172.8937243677319</c:v>
                </c:pt>
                <c:pt idx="432">
                  <c:v>5781.098911710229</c:v>
                </c:pt>
                <c:pt idx="433">
                  <c:v>6521.3753866240604</c:v>
                </c:pt>
                <c:pt idx="434">
                  <c:v>7384.073313927659</c:v>
                </c:pt>
                <c:pt idx="435">
                  <c:v>6590.8526145107353</c:v>
                </c:pt>
                <c:pt idx="436">
                  <c:v>6556.3601204885708</c:v>
                </c:pt>
                <c:pt idx="437">
                  <c:v>6210.6377680051455</c:v>
                </c:pt>
                <c:pt idx="438">
                  <c:v>6527.8505044666808</c:v>
                </c:pt>
                <c:pt idx="439">
                  <c:v>6792.9778737710039</c:v>
                </c:pt>
                <c:pt idx="440">
                  <c:v>6548.6895113171604</c:v>
                </c:pt>
                <c:pt idx="441">
                  <c:v>7399.8480171078709</c:v>
                </c:pt>
                <c:pt idx="442">
                  <c:v>7224.3370549853389</c:v>
                </c:pt>
                <c:pt idx="443">
                  <c:v>6042.0790088818667</c:v>
                </c:pt>
                <c:pt idx="444">
                  <c:v>6532.1086524011771</c:v>
                </c:pt>
                <c:pt idx="445">
                  <c:v>6573.3657859996447</c:v>
                </c:pt>
                <c:pt idx="446">
                  <c:v>5589.1761863572274</c:v>
                </c:pt>
                <c:pt idx="447">
                  <c:v>6341.2459799005255</c:v>
                </c:pt>
                <c:pt idx="448">
                  <c:v>6786.4366594130261</c:v>
                </c:pt>
                <c:pt idx="449">
                  <c:v>6053.0742330523535</c:v>
                </c:pt>
                <c:pt idx="450">
                  <c:v>7947.7610218240434</c:v>
                </c:pt>
                <c:pt idx="451">
                  <c:v>8764.412306577884</c:v>
                </c:pt>
                <c:pt idx="452">
                  <c:v>8970.9162037067854</c:v>
                </c:pt>
                <c:pt idx="453">
                  <c:v>6935.0117302682929</c:v>
                </c:pt>
                <c:pt idx="454">
                  <c:v>6694.1894651445637</c:v>
                </c:pt>
                <c:pt idx="455">
                  <c:v>7847.5555753678127</c:v>
                </c:pt>
                <c:pt idx="456">
                  <c:v>7297.824245817068</c:v>
                </c:pt>
                <c:pt idx="457">
                  <c:v>6975.7803936081655</c:v>
                </c:pt>
                <c:pt idx="458">
                  <c:v>6731.5023229894441</c:v>
                </c:pt>
                <c:pt idx="459">
                  <c:v>8474.3968920690095</c:v>
                </c:pt>
                <c:pt idx="460">
                  <c:v>8316.3929197226153</c:v>
                </c:pt>
                <c:pt idx="461">
                  <c:v>7948.5113734804745</c:v>
                </c:pt>
                <c:pt idx="462">
                  <c:v>6881.6756592053534</c:v>
                </c:pt>
                <c:pt idx="463">
                  <c:v>6776.630404686106</c:v>
                </c:pt>
                <c:pt idx="464">
                  <c:v>7980.6671858506061</c:v>
                </c:pt>
                <c:pt idx="465">
                  <c:v>8256.0668345491958</c:v>
                </c:pt>
                <c:pt idx="466">
                  <c:v>7087.2213993615496</c:v>
                </c:pt>
                <c:pt idx="467">
                  <c:v>10769.377485285067</c:v>
                </c:pt>
                <c:pt idx="468">
                  <c:v>10070.42965202977</c:v>
                </c:pt>
                <c:pt idx="469">
                  <c:v>9994.641018350947</c:v>
                </c:pt>
                <c:pt idx="470">
                  <c:v>9801.7766013026867</c:v>
                </c:pt>
                <c:pt idx="471">
                  <c:v>9880.1195589411327</c:v>
                </c:pt>
                <c:pt idx="472">
                  <c:v>13136.386947167128</c:v>
                </c:pt>
                <c:pt idx="473">
                  <c:v>12338.93635168419</c:v>
                </c:pt>
                <c:pt idx="474">
                  <c:v>12833.526153740904</c:v>
                </c:pt>
                <c:pt idx="475">
                  <c:v>16005.339024969737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F7-455E-818E-E92B7E71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728632"/>
        <c:axId val="310729616"/>
      </c:scatterChart>
      <c:scatterChart>
        <c:scatterStyle val="smoothMarker"/>
        <c:varyColors val="0"/>
        <c:ser>
          <c:idx val="0"/>
          <c:order val="0"/>
          <c:tx>
            <c:strRef>
              <c:f>'SNe Ia Data'!$O$6</c:f>
              <c:strCache>
                <c:ptCount val="1"/>
                <c:pt idx="0">
                  <c:v>QES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Data'!$O$7:$O$482</c:f>
              <c:numCache>
                <c:formatCode>0.00</c:formatCode>
                <c:ptCount val="476"/>
                <c:pt idx="0">
                  <c:v>49.779208171239695</c:v>
                </c:pt>
                <c:pt idx="1">
                  <c:v>49.779208171239695</c:v>
                </c:pt>
                <c:pt idx="2">
                  <c:v>54.784088202285261</c:v>
                </c:pt>
                <c:pt idx="3">
                  <c:v>54.784088202285261</c:v>
                </c:pt>
                <c:pt idx="4">
                  <c:v>54.784088202285261</c:v>
                </c:pt>
                <c:pt idx="5">
                  <c:v>59.793840673945667</c:v>
                </c:pt>
                <c:pt idx="6">
                  <c:v>64.808458324759414</c:v>
                </c:pt>
                <c:pt idx="7">
                  <c:v>69.827933907687097</c:v>
                </c:pt>
                <c:pt idx="8">
                  <c:v>74.852260190075384</c:v>
                </c:pt>
                <c:pt idx="9">
                  <c:v>69.827933907687097</c:v>
                </c:pt>
                <c:pt idx="10">
                  <c:v>69.827933907687097</c:v>
                </c:pt>
                <c:pt idx="11">
                  <c:v>74.852260190075384</c:v>
                </c:pt>
                <c:pt idx="12">
                  <c:v>69.827933907687097</c:v>
                </c:pt>
                <c:pt idx="13">
                  <c:v>79.881429953621591</c:v>
                </c:pt>
                <c:pt idx="14">
                  <c:v>69.827933907687097</c:v>
                </c:pt>
                <c:pt idx="15">
                  <c:v>69.827933907687097</c:v>
                </c:pt>
                <c:pt idx="16">
                  <c:v>74.852260190075384</c:v>
                </c:pt>
                <c:pt idx="17">
                  <c:v>69.827933907687097</c:v>
                </c:pt>
                <c:pt idx="18">
                  <c:v>79.881429953621591</c:v>
                </c:pt>
                <c:pt idx="19">
                  <c:v>74.852260190075384</c:v>
                </c:pt>
                <c:pt idx="20">
                  <c:v>74.852260190075384</c:v>
                </c:pt>
                <c:pt idx="21">
                  <c:v>79.881429953621591</c:v>
                </c:pt>
                <c:pt idx="22">
                  <c:v>74.852260190075384</c:v>
                </c:pt>
                <c:pt idx="23">
                  <c:v>74.852260190075384</c:v>
                </c:pt>
                <c:pt idx="24">
                  <c:v>74.852260190075384</c:v>
                </c:pt>
                <c:pt idx="25">
                  <c:v>79.881429953621591</c:v>
                </c:pt>
                <c:pt idx="26">
                  <c:v>74.852260190075384</c:v>
                </c:pt>
                <c:pt idx="27">
                  <c:v>79.881429953621591</c:v>
                </c:pt>
                <c:pt idx="28">
                  <c:v>84.915435994337798</c:v>
                </c:pt>
                <c:pt idx="29">
                  <c:v>84.915435994337798</c:v>
                </c:pt>
                <c:pt idx="30">
                  <c:v>84.915435994337798</c:v>
                </c:pt>
                <c:pt idx="31">
                  <c:v>89.954271122515678</c:v>
                </c:pt>
                <c:pt idx="32">
                  <c:v>84.915435994337798</c:v>
                </c:pt>
                <c:pt idx="33">
                  <c:v>89.954271122515678</c:v>
                </c:pt>
                <c:pt idx="34">
                  <c:v>94.997928162690897</c:v>
                </c:pt>
                <c:pt idx="35">
                  <c:v>94.997928162690897</c:v>
                </c:pt>
                <c:pt idx="36">
                  <c:v>100.04639995360809</c:v>
                </c:pt>
                <c:pt idx="37">
                  <c:v>100.04639995360809</c:v>
                </c:pt>
                <c:pt idx="38">
                  <c:v>105.0996793481854</c:v>
                </c:pt>
                <c:pt idx="39">
                  <c:v>105.0996793481854</c:v>
                </c:pt>
                <c:pt idx="40">
                  <c:v>100.04639995360809</c:v>
                </c:pt>
                <c:pt idx="41">
                  <c:v>110.15775921347982</c:v>
                </c:pt>
                <c:pt idx="42">
                  <c:v>110.15775921347982</c:v>
                </c:pt>
                <c:pt idx="43">
                  <c:v>110.15775921347982</c:v>
                </c:pt>
                <c:pt idx="44">
                  <c:v>110.15775921347982</c:v>
                </c:pt>
                <c:pt idx="45">
                  <c:v>110.15775921347982</c:v>
                </c:pt>
                <c:pt idx="46">
                  <c:v>115.22063243065186</c:v>
                </c:pt>
                <c:pt idx="47">
                  <c:v>115.22063243065186</c:v>
                </c:pt>
                <c:pt idx="48">
                  <c:v>110.15775921347982</c:v>
                </c:pt>
                <c:pt idx="49">
                  <c:v>115.22063243065186</c:v>
                </c:pt>
                <c:pt idx="50">
                  <c:v>125.36073051558067</c:v>
                </c:pt>
                <c:pt idx="51">
                  <c:v>115.22063243065186</c:v>
                </c:pt>
                <c:pt idx="52">
                  <c:v>125.36073051558067</c:v>
                </c:pt>
                <c:pt idx="53">
                  <c:v>120.28829189493098</c:v>
                </c:pt>
                <c:pt idx="54">
                  <c:v>120.28829189493098</c:v>
                </c:pt>
                <c:pt idx="55">
                  <c:v>115.22063243065186</c:v>
                </c:pt>
                <c:pt idx="56">
                  <c:v>120.28829189493098</c:v>
                </c:pt>
                <c:pt idx="57">
                  <c:v>120.28829189493098</c:v>
                </c:pt>
                <c:pt idx="58">
                  <c:v>120.28829189493098</c:v>
                </c:pt>
                <c:pt idx="59">
                  <c:v>125.36073051558067</c:v>
                </c:pt>
                <c:pt idx="60">
                  <c:v>125.36073051558067</c:v>
                </c:pt>
                <c:pt idx="61">
                  <c:v>125.36073051558067</c:v>
                </c:pt>
                <c:pt idx="62">
                  <c:v>135.51991693300897</c:v>
                </c:pt>
                <c:pt idx="63">
                  <c:v>140.60665061817409</c:v>
                </c:pt>
                <c:pt idx="64">
                  <c:v>125.36073051558067</c:v>
                </c:pt>
                <c:pt idx="65">
                  <c:v>135.51991693300897</c:v>
                </c:pt>
                <c:pt idx="66">
                  <c:v>135.51991693300897</c:v>
                </c:pt>
                <c:pt idx="67">
                  <c:v>135.51991693300897</c:v>
                </c:pt>
                <c:pt idx="68">
                  <c:v>135.51991693300897</c:v>
                </c:pt>
                <c:pt idx="69">
                  <c:v>140.60665061817409</c:v>
                </c:pt>
                <c:pt idx="70">
                  <c:v>140.60665061817409</c:v>
                </c:pt>
                <c:pt idx="71">
                  <c:v>145.69813523641392</c:v>
                </c:pt>
                <c:pt idx="72">
                  <c:v>145.69813523641392</c:v>
                </c:pt>
                <c:pt idx="73">
                  <c:v>150.79436376664518</c:v>
                </c:pt>
                <c:pt idx="74">
                  <c:v>155.89532920161227</c:v>
                </c:pt>
                <c:pt idx="75">
                  <c:v>150.79436376664518</c:v>
                </c:pt>
                <c:pt idx="76">
                  <c:v>150.79436376664518</c:v>
                </c:pt>
                <c:pt idx="77">
                  <c:v>150.79436376664518</c:v>
                </c:pt>
                <c:pt idx="78">
                  <c:v>155.89532920161227</c:v>
                </c:pt>
                <c:pt idx="79">
                  <c:v>155.89532920161227</c:v>
                </c:pt>
                <c:pt idx="80">
                  <c:v>166.11144282566724</c:v>
                </c:pt>
                <c:pt idx="81">
                  <c:v>161.00102454785358</c:v>
                </c:pt>
                <c:pt idx="82">
                  <c:v>161.00102454785358</c:v>
                </c:pt>
                <c:pt idx="83">
                  <c:v>166.11144282566724</c:v>
                </c:pt>
                <c:pt idx="84">
                  <c:v>155.89532920161227</c:v>
                </c:pt>
                <c:pt idx="85">
                  <c:v>166.11144282566724</c:v>
                </c:pt>
                <c:pt idx="86">
                  <c:v>171.22657706907745</c:v>
                </c:pt>
                <c:pt idx="87">
                  <c:v>176.34642032580078</c:v>
                </c:pt>
                <c:pt idx="88">
                  <c:v>171.22657706907745</c:v>
                </c:pt>
                <c:pt idx="89">
                  <c:v>176.34642032580078</c:v>
                </c:pt>
                <c:pt idx="90">
                  <c:v>181.47096565721256</c:v>
                </c:pt>
                <c:pt idx="91">
                  <c:v>176.34642032580078</c:v>
                </c:pt>
                <c:pt idx="92">
                  <c:v>176.34642032580078</c:v>
                </c:pt>
                <c:pt idx="93">
                  <c:v>186.60020613831315</c:v>
                </c:pt>
                <c:pt idx="94">
                  <c:v>186.60020613831315</c:v>
                </c:pt>
                <c:pt idx="95">
                  <c:v>186.60020613831315</c:v>
                </c:pt>
                <c:pt idx="96">
                  <c:v>196.8727449175083</c:v>
                </c:pt>
                <c:pt idx="97">
                  <c:v>191.73413485769493</c:v>
                </c:pt>
                <c:pt idx="98">
                  <c:v>196.8727449175083</c:v>
                </c:pt>
                <c:pt idx="99">
                  <c:v>202.01602943342931</c:v>
                </c:pt>
                <c:pt idx="100">
                  <c:v>207.16398153462578</c:v>
                </c:pt>
                <c:pt idx="101">
                  <c:v>212.31659436372459</c:v>
                </c:pt>
                <c:pt idx="102">
                  <c:v>212.31659436372459</c:v>
                </c:pt>
                <c:pt idx="103">
                  <c:v>238.14933035768607</c:v>
                </c:pt>
                <c:pt idx="104">
                  <c:v>227.80232884589881</c:v>
                </c:pt>
                <c:pt idx="105">
                  <c:v>248.51481134056607</c:v>
                </c:pt>
                <c:pt idx="106">
                  <c:v>248.51481134056607</c:v>
                </c:pt>
                <c:pt idx="107">
                  <c:v>253.70446473171063</c:v>
                </c:pt>
                <c:pt idx="108">
                  <c:v>269.30099569071666</c:v>
                </c:pt>
                <c:pt idx="109">
                  <c:v>279.72159156916126</c:v>
                </c:pt>
                <c:pt idx="110">
                  <c:v>274.5090072339554</c:v>
                </c:pt>
                <c:pt idx="111">
                  <c:v>300.61752357685521</c:v>
                </c:pt>
                <c:pt idx="112">
                  <c:v>295.3867146678071</c:v>
                </c:pt>
                <c:pt idx="113">
                  <c:v>321.58608879502106</c:v>
                </c:pt>
                <c:pt idx="114">
                  <c:v>321.58608879502106</c:v>
                </c:pt>
                <c:pt idx="115">
                  <c:v>332.09747695752753</c:v>
                </c:pt>
                <c:pt idx="116">
                  <c:v>321.58608879502106</c:v>
                </c:pt>
                <c:pt idx="117">
                  <c:v>332.09747695752753</c:v>
                </c:pt>
                <c:pt idx="118">
                  <c:v>342.62686555044843</c:v>
                </c:pt>
                <c:pt idx="119">
                  <c:v>353.17420237340514</c:v>
                </c:pt>
                <c:pt idx="120">
                  <c:v>358.4545851136923</c:v>
                </c:pt>
                <c:pt idx="121">
                  <c:v>347.89829368780778</c:v>
                </c:pt>
                <c:pt idx="122">
                  <c:v>384.92338323752642</c:v>
                </c:pt>
                <c:pt idx="123">
                  <c:v>384.92338323752642</c:v>
                </c:pt>
                <c:pt idx="124">
                  <c:v>400.85793790391278</c:v>
                </c:pt>
                <c:pt idx="125">
                  <c:v>406.1782969862</c:v>
                </c:pt>
                <c:pt idx="126">
                  <c:v>411.50306587253283</c:v>
                </c:pt>
                <c:pt idx="127">
                  <c:v>448.89939011738812</c:v>
                </c:pt>
                <c:pt idx="128">
                  <c:v>448.89939011738812</c:v>
                </c:pt>
                <c:pt idx="129">
                  <c:v>464.99190138865941</c:v>
                </c:pt>
                <c:pt idx="130">
                  <c:v>491.89948161944028</c:v>
                </c:pt>
                <c:pt idx="131">
                  <c:v>540.6041122252758</c:v>
                </c:pt>
                <c:pt idx="132">
                  <c:v>562.36149533472121</c:v>
                </c:pt>
                <c:pt idx="133">
                  <c:v>573.26559282031894</c:v>
                </c:pt>
                <c:pt idx="134">
                  <c:v>606.07893268459873</c:v>
                </c:pt>
                <c:pt idx="135">
                  <c:v>611.5624960947539</c:v>
                </c:pt>
                <c:pt idx="136">
                  <c:v>617.05023607892156</c:v>
                </c:pt>
                <c:pt idx="137">
                  <c:v>622.54214672406658</c:v>
                </c:pt>
                <c:pt idx="138">
                  <c:v>633.53845640090344</c:v>
                </c:pt>
                <c:pt idx="139">
                  <c:v>650.06405368770629</c:v>
                </c:pt>
                <c:pt idx="140">
                  <c:v>650.06405368770629</c:v>
                </c:pt>
                <c:pt idx="141">
                  <c:v>655.58086474790764</c:v>
                </c:pt>
                <c:pt idx="142">
                  <c:v>666.62686978574141</c:v>
                </c:pt>
                <c:pt idx="143">
                  <c:v>672.15605212529329</c:v>
                </c:pt>
                <c:pt idx="144">
                  <c:v>683.22674743242544</c:v>
                </c:pt>
                <c:pt idx="145">
                  <c:v>683.22674743242544</c:v>
                </c:pt>
                <c:pt idx="146">
                  <c:v>755.5840203067653</c:v>
                </c:pt>
                <c:pt idx="147">
                  <c:v>755.5840203067653</c:v>
                </c:pt>
                <c:pt idx="148">
                  <c:v>766.77661629054171</c:v>
                </c:pt>
                <c:pt idx="149">
                  <c:v>772.37893980521301</c:v>
                </c:pt>
                <c:pt idx="150">
                  <c:v>777.9852728511139</c:v>
                </c:pt>
                <c:pt idx="151">
                  <c:v>777.9852728511139</c:v>
                </c:pt>
                <c:pt idx="152">
                  <c:v>783.59560982834012</c:v>
                </c:pt>
                <c:pt idx="153">
                  <c:v>811.70715841599088</c:v>
                </c:pt>
                <c:pt idx="154">
                  <c:v>828.62177861390921</c:v>
                </c:pt>
                <c:pt idx="155">
                  <c:v>862.55762901070477</c:v>
                </c:pt>
                <c:pt idx="156">
                  <c:v>879.57856375461381</c:v>
                </c:pt>
                <c:pt idx="157">
                  <c:v>902.32778679282546</c:v>
                </c:pt>
                <c:pt idx="158">
                  <c:v>919.4304979205308</c:v>
                </c:pt>
                <c:pt idx="159">
                  <c:v>930.85165056246171</c:v>
                </c:pt>
                <c:pt idx="160">
                  <c:v>936.56801444062512</c:v>
                </c:pt>
                <c:pt idx="161">
                  <c:v>959.47192971841264</c:v>
                </c:pt>
                <c:pt idx="162">
                  <c:v>970.94688915356528</c:v>
                </c:pt>
                <c:pt idx="163">
                  <c:v>970.94688915356528</c:v>
                </c:pt>
                <c:pt idx="164">
                  <c:v>982.43712692338431</c:v>
                </c:pt>
                <c:pt idx="165">
                  <c:v>988.18796206709101</c:v>
                </c:pt>
                <c:pt idx="166">
                  <c:v>988.18796206709101</c:v>
                </c:pt>
                <c:pt idx="167">
                  <c:v>993.94260107363164</c:v>
                </c:pt>
                <c:pt idx="168">
                  <c:v>1005.4632698035387</c:v>
                </c:pt>
                <c:pt idx="169">
                  <c:v>1022.7726716718548</c:v>
                </c:pt>
                <c:pt idx="170">
                  <c:v>1028.5500245623891</c:v>
                </c:pt>
                <c:pt idx="171">
                  <c:v>1040.116027750842</c:v>
                </c:pt>
                <c:pt idx="172">
                  <c:v>1069.0966974050207</c:v>
                </c:pt>
                <c:pt idx="173">
                  <c:v>1092.3484334775524</c:v>
                </c:pt>
                <c:pt idx="174">
                  <c:v>1103.9965898328996</c:v>
                </c:pt>
                <c:pt idx="175">
                  <c:v>1115.6595511823068</c:v>
                </c:pt>
                <c:pt idx="176">
                  <c:v>1144.8814627473751</c:v>
                </c:pt>
                <c:pt idx="177">
                  <c:v>1150.7368636127658</c:v>
                </c:pt>
                <c:pt idx="178">
                  <c:v>1156.5959257112563</c:v>
                </c:pt>
                <c:pt idx="179">
                  <c:v>1162.458644081825</c:v>
                </c:pt>
                <c:pt idx="180">
                  <c:v>1180.068687350062</c:v>
                </c:pt>
                <c:pt idx="181">
                  <c:v>1185.9459813776166</c:v>
                </c:pt>
                <c:pt idx="182">
                  <c:v>1191.8269070061287</c:v>
                </c:pt>
                <c:pt idx="183">
                  <c:v>1191.8269070061287</c:v>
                </c:pt>
                <c:pt idx="184">
                  <c:v>1197.7114593280289</c:v>
                </c:pt>
                <c:pt idx="185">
                  <c:v>1256.7553773122518</c:v>
                </c:pt>
                <c:pt idx="186">
                  <c:v>1340.0161169166388</c:v>
                </c:pt>
                <c:pt idx="187">
                  <c:v>1345.9897671211754</c:v>
                </c:pt>
                <c:pt idx="188">
                  <c:v>1351.9669194673727</c:v>
                </c:pt>
                <c:pt idx="189">
                  <c:v>1375.9104568783246</c:v>
                </c:pt>
                <c:pt idx="190">
                  <c:v>1375.9104568783246</c:v>
                </c:pt>
                <c:pt idx="191">
                  <c:v>1381.9050499625969</c:v>
                </c:pt>
                <c:pt idx="192">
                  <c:v>1387.9031172584196</c:v>
                </c:pt>
                <c:pt idx="193">
                  <c:v>1393.9046541396776</c:v>
                </c:pt>
                <c:pt idx="194">
                  <c:v>1399.9096559884679</c:v>
                </c:pt>
                <c:pt idx="195">
                  <c:v>1417.9454052837475</c:v>
                </c:pt>
                <c:pt idx="196">
                  <c:v>1423.9642209871777</c:v>
                </c:pt>
                <c:pt idx="197">
                  <c:v>1429.9864786911266</c:v>
                </c:pt>
                <c:pt idx="198">
                  <c:v>1429.9864786911266</c:v>
                </c:pt>
                <c:pt idx="199">
                  <c:v>1429.9864786911266</c:v>
                </c:pt>
                <c:pt idx="200">
                  <c:v>1448.0738581562125</c:v>
                </c:pt>
                <c:pt idx="201">
                  <c:v>1448.0738581562125</c:v>
                </c:pt>
                <c:pt idx="202">
                  <c:v>1454.1098382527073</c:v>
                </c:pt>
                <c:pt idx="203">
                  <c:v>1454.1098382527073</c:v>
                </c:pt>
                <c:pt idx="204">
                  <c:v>1466.1920516250163</c:v>
                </c:pt>
                <c:pt idx="205">
                  <c:v>1466.1920516250163</c:v>
                </c:pt>
                <c:pt idx="206">
                  <c:v>1478.2879057511086</c:v>
                </c:pt>
                <c:pt idx="207">
                  <c:v>1484.3409368197458</c:v>
                </c:pt>
                <c:pt idx="208">
                  <c:v>1496.4571844835939</c:v>
                </c:pt>
                <c:pt idx="209">
                  <c:v>1508.5869829624339</c:v>
                </c:pt>
                <c:pt idx="210">
                  <c:v>1557.2409718269205</c:v>
                </c:pt>
                <c:pt idx="211">
                  <c:v>1569.4379905739925</c:v>
                </c:pt>
                <c:pt idx="212">
                  <c:v>1587.7585168078349</c:v>
                </c:pt>
                <c:pt idx="213">
                  <c:v>1606.1089358903703</c:v>
                </c:pt>
                <c:pt idx="214">
                  <c:v>1618.35909773402</c:v>
                </c:pt>
                <c:pt idx="215">
                  <c:v>1624.4891303900661</c:v>
                </c:pt>
                <c:pt idx="216">
                  <c:v>1642.8989834896813</c:v>
                </c:pt>
                <c:pt idx="217">
                  <c:v>1679.8072012671023</c:v>
                </c:pt>
                <c:pt idx="218">
                  <c:v>1698.3053353459211</c:v>
                </c:pt>
                <c:pt idx="219">
                  <c:v>1698.3053353459211</c:v>
                </c:pt>
                <c:pt idx="220">
                  <c:v>1741.5809970024548</c:v>
                </c:pt>
                <c:pt idx="221">
                  <c:v>1747.7761268714794</c:v>
                </c:pt>
                <c:pt idx="222">
                  <c:v>1747.7761268714794</c:v>
                </c:pt>
                <c:pt idx="223">
                  <c:v>1766.3807632828082</c:v>
                </c:pt>
                <c:pt idx="224">
                  <c:v>1816.1335408551715</c:v>
                </c:pt>
                <c:pt idx="225">
                  <c:v>1822.3669243723525</c:v>
                </c:pt>
                <c:pt idx="226">
                  <c:v>1853.5811766460461</c:v>
                </c:pt>
                <c:pt idx="227">
                  <c:v>1878.6091365156233</c:v>
                </c:pt>
                <c:pt idx="228">
                  <c:v>1909.9643603960251</c:v>
                </c:pt>
                <c:pt idx="229">
                  <c:v>1928.8147820115844</c:v>
                </c:pt>
                <c:pt idx="230">
                  <c:v>1928.8147820115844</c:v>
                </c:pt>
                <c:pt idx="231">
                  <c:v>1972.907158637023</c:v>
                </c:pt>
                <c:pt idx="232">
                  <c:v>1979.2183613870686</c:v>
                </c:pt>
                <c:pt idx="233">
                  <c:v>1979.2183613870686</c:v>
                </c:pt>
                <c:pt idx="234">
                  <c:v>1991.849946510664</c:v>
                </c:pt>
                <c:pt idx="235">
                  <c:v>1991.849946510664</c:v>
                </c:pt>
                <c:pt idx="236">
                  <c:v>2017.1497260634901</c:v>
                </c:pt>
                <c:pt idx="237">
                  <c:v>2023.4822752200646</c:v>
                </c:pt>
                <c:pt idx="238">
                  <c:v>2036.1564715547647</c:v>
                </c:pt>
                <c:pt idx="239">
                  <c:v>2042.4981110161639</c:v>
                </c:pt>
                <c:pt idx="240">
                  <c:v>2112.4547811782195</c:v>
                </c:pt>
                <c:pt idx="241">
                  <c:v>2112.4547811782195</c:v>
                </c:pt>
                <c:pt idx="242">
                  <c:v>2118.8324372403731</c:v>
                </c:pt>
                <c:pt idx="243">
                  <c:v>2125.2130700205585</c:v>
                </c:pt>
                <c:pt idx="244">
                  <c:v>2131.5966757539563</c:v>
                </c:pt>
                <c:pt idx="245">
                  <c:v>2137.9832506820917</c:v>
                </c:pt>
                <c:pt idx="246">
                  <c:v>2150.7652931203284</c:v>
                </c:pt>
                <c:pt idx="247">
                  <c:v>2189.1822921844623</c:v>
                </c:pt>
                <c:pt idx="248">
                  <c:v>2266.3325477202638</c:v>
                </c:pt>
                <c:pt idx="249">
                  <c:v>2279.2315776241871</c:v>
                </c:pt>
                <c:pt idx="250">
                  <c:v>2324.4688540369898</c:v>
                </c:pt>
                <c:pt idx="251">
                  <c:v>2337.4195778297044</c:v>
                </c:pt>
                <c:pt idx="252">
                  <c:v>2356.867046111588</c:v>
                </c:pt>
                <c:pt idx="253">
                  <c:v>2382.8367689987599</c:v>
                </c:pt>
                <c:pt idx="254">
                  <c:v>2408.8517308035998</c:v>
                </c:pt>
                <c:pt idx="255">
                  <c:v>2421.876106111506</c:v>
                </c:pt>
                <c:pt idx="256">
                  <c:v>2434.911707108161</c:v>
                </c:pt>
                <c:pt idx="257">
                  <c:v>2467.5496396401008</c:v>
                </c:pt>
                <c:pt idx="258">
                  <c:v>2487.1658129420398</c:v>
                </c:pt>
                <c:pt idx="259">
                  <c:v>2539.5973205762134</c:v>
                </c:pt>
                <c:pt idx="260">
                  <c:v>2552.7327117796708</c:v>
                </c:pt>
                <c:pt idx="261">
                  <c:v>2585.6190440426431</c:v>
                </c:pt>
                <c:pt idx="262">
                  <c:v>2585.6190440426431</c:v>
                </c:pt>
                <c:pt idx="263">
                  <c:v>2631.7741028662977</c:v>
                </c:pt>
                <c:pt idx="264">
                  <c:v>2638.3785005772929</c:v>
                </c:pt>
                <c:pt idx="265">
                  <c:v>2644.9855928273173</c:v>
                </c:pt>
                <c:pt idx="266">
                  <c:v>2711.2039923427278</c:v>
                </c:pt>
                <c:pt idx="267">
                  <c:v>2711.2039923427278</c:v>
                </c:pt>
                <c:pt idx="268">
                  <c:v>2757.7152517138957</c:v>
                </c:pt>
                <c:pt idx="269">
                  <c:v>2771.0279552761494</c:v>
                </c:pt>
                <c:pt idx="270">
                  <c:v>2771.0279552761494</c:v>
                </c:pt>
                <c:pt idx="271">
                  <c:v>2771.0279552761494</c:v>
                </c:pt>
                <c:pt idx="272">
                  <c:v>2784.3511772963589</c:v>
                </c:pt>
                <c:pt idx="273">
                  <c:v>2797.6848922649251</c:v>
                </c:pt>
                <c:pt idx="274">
                  <c:v>2831.0649196714917</c:v>
                </c:pt>
                <c:pt idx="275">
                  <c:v>2837.7487409991145</c:v>
                </c:pt>
                <c:pt idx="276">
                  <c:v>2904.7293240487656</c:v>
                </c:pt>
                <c:pt idx="277">
                  <c:v>2945.041077608731</c:v>
                </c:pt>
                <c:pt idx="278">
                  <c:v>2965.2313978068005</c:v>
                </c:pt>
                <c:pt idx="279">
                  <c:v>2965.2313978068005</c:v>
                </c:pt>
                <c:pt idx="280">
                  <c:v>2998.9326734599749</c:v>
                </c:pt>
                <c:pt idx="281">
                  <c:v>3032.6970479604756</c:v>
                </c:pt>
                <c:pt idx="282">
                  <c:v>3039.4574615387983</c:v>
                </c:pt>
                <c:pt idx="283">
                  <c:v>3059.7537256325131</c:v>
                </c:pt>
                <c:pt idx="284">
                  <c:v>3073.2970579597672</c:v>
                </c:pt>
                <c:pt idx="285">
                  <c:v>3073.2970579597672</c:v>
                </c:pt>
                <c:pt idx="286">
                  <c:v>3080.0724620675028</c:v>
                </c:pt>
                <c:pt idx="287">
                  <c:v>3100.4135905535454</c:v>
                </c:pt>
                <c:pt idx="288">
                  <c:v>3120.7770311824488</c:v>
                </c:pt>
                <c:pt idx="289">
                  <c:v>3182.0004325273285</c:v>
                </c:pt>
                <c:pt idx="290">
                  <c:v>3188.8152915833166</c:v>
                </c:pt>
                <c:pt idx="291">
                  <c:v>3202.4523302072889</c:v>
                </c:pt>
                <c:pt idx="292">
                  <c:v>3216.0991102696771</c:v>
                </c:pt>
                <c:pt idx="293">
                  <c:v>3222.92614614075</c:v>
                </c:pt>
                <c:pt idx="294">
                  <c:v>3311.8974056153552</c:v>
                </c:pt>
                <c:pt idx="295">
                  <c:v>3325.6212941835097</c:v>
                </c:pt>
                <c:pt idx="296">
                  <c:v>3325.6212941835097</c:v>
                </c:pt>
                <c:pt idx="297">
                  <c:v>3325.6212941835097</c:v>
                </c:pt>
                <c:pt idx="298">
                  <c:v>3373.7298594254048</c:v>
                </c:pt>
                <c:pt idx="299">
                  <c:v>3380.6119925500439</c:v>
                </c:pt>
                <c:pt idx="300">
                  <c:v>3380.6119925500439</c:v>
                </c:pt>
                <c:pt idx="301">
                  <c:v>3401.2725523086574</c:v>
                </c:pt>
                <c:pt idx="302">
                  <c:v>3421.9542947004202</c:v>
                </c:pt>
                <c:pt idx="303">
                  <c:v>3456.470736472128</c:v>
                </c:pt>
                <c:pt idx="304">
                  <c:v>3477.2086040240588</c:v>
                </c:pt>
                <c:pt idx="305">
                  <c:v>3491.0454714685097</c:v>
                </c:pt>
                <c:pt idx="306">
                  <c:v>3511.8181521712499</c:v>
                </c:pt>
                <c:pt idx="307">
                  <c:v>3518.7470028371076</c:v>
                </c:pt>
                <c:pt idx="308">
                  <c:v>3518.7470028371076</c:v>
                </c:pt>
                <c:pt idx="309">
                  <c:v>3518.7470028371076</c:v>
                </c:pt>
                <c:pt idx="310">
                  <c:v>3532.6116236993162</c:v>
                </c:pt>
                <c:pt idx="311">
                  <c:v>3546.4854527499438</c:v>
                </c:pt>
                <c:pt idx="312">
                  <c:v>3553.4258136668595</c:v>
                </c:pt>
                <c:pt idx="313">
                  <c:v>3553.4258136668595</c:v>
                </c:pt>
                <c:pt idx="314">
                  <c:v>3553.4258136668595</c:v>
                </c:pt>
                <c:pt idx="315">
                  <c:v>3567.3134149619345</c:v>
                </c:pt>
                <c:pt idx="316">
                  <c:v>3581.2101711574091</c:v>
                </c:pt>
                <c:pt idx="317">
                  <c:v>3588.1619757152143</c:v>
                </c:pt>
                <c:pt idx="318">
                  <c:v>3588.1619757152143</c:v>
                </c:pt>
                <c:pt idx="319">
                  <c:v>3602.0724245315923</c:v>
                </c:pt>
                <c:pt idx="320">
                  <c:v>3657.8050299780693</c:v>
                </c:pt>
                <c:pt idx="321">
                  <c:v>3692.7112667984566</c:v>
                </c:pt>
                <c:pt idx="322">
                  <c:v>3713.6819289022742</c:v>
                </c:pt>
                <c:pt idx="323">
                  <c:v>3727.6735440005582</c:v>
                </c:pt>
                <c:pt idx="324">
                  <c:v>3727.6735440005582</c:v>
                </c:pt>
                <c:pt idx="325">
                  <c:v>3741.6740740995801</c:v>
                </c:pt>
                <c:pt idx="326">
                  <c:v>3748.6776758772648</c:v>
                </c:pt>
                <c:pt idx="327">
                  <c:v>3776.7142683415545</c:v>
                </c:pt>
                <c:pt idx="328">
                  <c:v>3797.7649361823819</c:v>
                </c:pt>
                <c:pt idx="329">
                  <c:v>3797.7649361823819</c:v>
                </c:pt>
                <c:pt idx="330">
                  <c:v>3846.9601602385856</c:v>
                </c:pt>
                <c:pt idx="331">
                  <c:v>3861.0356479319503</c:v>
                </c:pt>
                <c:pt idx="332">
                  <c:v>3868.0766641871219</c:v>
                </c:pt>
                <c:pt idx="333">
                  <c:v>3882.1652290812826</c:v>
                </c:pt>
                <c:pt idx="334">
                  <c:v>3896.2624872870383</c:v>
                </c:pt>
                <c:pt idx="335">
                  <c:v>3931.5435363317547</c:v>
                </c:pt>
                <c:pt idx="336">
                  <c:v>3938.6062241986083</c:v>
                </c:pt>
                <c:pt idx="337">
                  <c:v>3938.6062241986083</c:v>
                </c:pt>
                <c:pt idx="338">
                  <c:v>3959.8071997965476</c:v>
                </c:pt>
                <c:pt idx="339">
                  <c:v>3959.8071997965476</c:v>
                </c:pt>
                <c:pt idx="340">
                  <c:v>3988.1052041988341</c:v>
                </c:pt>
                <c:pt idx="341">
                  <c:v>3995.18505283375</c:v>
                </c:pt>
                <c:pt idx="342">
                  <c:v>4101.6375362430035</c:v>
                </c:pt>
                <c:pt idx="343">
                  <c:v>4108.7512436838733</c:v>
                </c:pt>
                <c:pt idx="344">
                  <c:v>4151.4774207671662</c:v>
                </c:pt>
                <c:pt idx="345">
                  <c:v>4215.7070544323105</c:v>
                </c:pt>
                <c:pt idx="346">
                  <c:v>4222.8540159522945</c:v>
                </c:pt>
                <c:pt idx="347">
                  <c:v>4244.307243085942</c:v>
                </c:pt>
                <c:pt idx="348">
                  <c:v>4272.9402595252195</c:v>
                </c:pt>
                <c:pt idx="349">
                  <c:v>4294.4364769940003</c:v>
                </c:pt>
                <c:pt idx="350">
                  <c:v>4294.4364769940003</c:v>
                </c:pt>
                <c:pt idx="351">
                  <c:v>4330.3041910728889</c:v>
                </c:pt>
                <c:pt idx="352">
                  <c:v>4351.8491309729152</c:v>
                </c:pt>
                <c:pt idx="353">
                  <c:v>4359.0348160036747</c:v>
                </c:pt>
                <c:pt idx="354">
                  <c:v>4366.2225164938818</c:v>
                </c:pt>
                <c:pt idx="355">
                  <c:v>4366.2225164938818</c:v>
                </c:pt>
                <c:pt idx="356">
                  <c:v>4366.2225164938818</c:v>
                </c:pt>
                <c:pt idx="357">
                  <c:v>4373.4122302049727</c:v>
                </c:pt>
                <c:pt idx="358">
                  <c:v>4373.4122302049727</c:v>
                </c:pt>
                <c:pt idx="359">
                  <c:v>4380.6039549016878</c:v>
                </c:pt>
                <c:pt idx="360">
                  <c:v>4387.797688352076</c:v>
                </c:pt>
                <c:pt idx="361">
                  <c:v>4474.2783646027583</c:v>
                </c:pt>
                <c:pt idx="362">
                  <c:v>4495.9432328751745</c:v>
                </c:pt>
                <c:pt idx="363">
                  <c:v>4510.3963494656045</c:v>
                </c:pt>
                <c:pt idx="364">
                  <c:v>4517.6258625535356</c:v>
                </c:pt>
                <c:pt idx="365">
                  <c:v>4524.8573426085522</c:v>
                </c:pt>
                <c:pt idx="366">
                  <c:v>4546.5635629214212</c:v>
                </c:pt>
                <c:pt idx="367">
                  <c:v>4561.0441716540881</c:v>
                </c:pt>
                <c:pt idx="368">
                  <c:v>4597.2798511659576</c:v>
                </c:pt>
                <c:pt idx="369">
                  <c:v>4597.2798511659576</c:v>
                </c:pt>
                <c:pt idx="370">
                  <c:v>4604.5328255302129</c:v>
                </c:pt>
                <c:pt idx="371">
                  <c:v>4611.7877410655919</c:v>
                </c:pt>
                <c:pt idx="372">
                  <c:v>4619.0445956428375</c:v>
                </c:pt>
                <c:pt idx="373">
                  <c:v>4626.3033871358111</c:v>
                </c:pt>
                <c:pt idx="374">
                  <c:v>4633.564113421472</c:v>
                </c:pt>
                <c:pt idx="375">
                  <c:v>4655.3578798507369</c:v>
                </c:pt>
                <c:pt idx="376">
                  <c:v>4669.8966926506982</c:v>
                </c:pt>
                <c:pt idx="377">
                  <c:v>4684.4431939313899</c:v>
                </c:pt>
                <c:pt idx="378">
                  <c:v>4691.719322500312</c:v>
                </c:pt>
                <c:pt idx="379">
                  <c:v>4728.1286609091512</c:v>
                </c:pt>
                <c:pt idx="380">
                  <c:v>4735.4162531004249</c:v>
                </c:pt>
                <c:pt idx="381">
                  <c:v>4771.8827223633698</c:v>
                </c:pt>
                <c:pt idx="382">
                  <c:v>4779.1817034008063</c:v>
                </c:pt>
                <c:pt idx="383">
                  <c:v>4801.0899837924699</c:v>
                </c:pt>
                <c:pt idx="384">
                  <c:v>4801.0899837924699</c:v>
                </c:pt>
                <c:pt idx="385">
                  <c:v>4823.0152270190465</c:v>
                </c:pt>
                <c:pt idx="386">
                  <c:v>4823.0152270190465</c:v>
                </c:pt>
                <c:pt idx="387">
                  <c:v>4844.957377886928</c:v>
                </c:pt>
                <c:pt idx="388">
                  <c:v>4852.2751759246867</c:v>
                </c:pt>
                <c:pt idx="389">
                  <c:v>4859.594844451789</c:v>
                </c:pt>
                <c:pt idx="390">
                  <c:v>4866.9163814417025</c:v>
                </c:pt>
                <c:pt idx="391">
                  <c:v>4874.2397848708215</c:v>
                </c:pt>
                <c:pt idx="392">
                  <c:v>4910.884727982474</c:v>
                </c:pt>
                <c:pt idx="393">
                  <c:v>4932.8939622439993</c:v>
                </c:pt>
                <c:pt idx="394">
                  <c:v>5021.0967150235838</c:v>
                </c:pt>
                <c:pt idx="395">
                  <c:v>5028.4588513500767</c:v>
                </c:pt>
                <c:pt idx="396">
                  <c:v>5080.0447303895999</c:v>
                </c:pt>
                <c:pt idx="397">
                  <c:v>5094.7998631837399</c:v>
                </c:pt>
                <c:pt idx="398">
                  <c:v>5094.7998631837399</c:v>
                </c:pt>
                <c:pt idx="399">
                  <c:v>5131.7192511802214</c:v>
                </c:pt>
                <c:pt idx="400">
                  <c:v>5131.7192511802214</c:v>
                </c:pt>
                <c:pt idx="401">
                  <c:v>5153.8924453258896</c:v>
                </c:pt>
                <c:pt idx="402">
                  <c:v>5168.6835266800872</c:v>
                </c:pt>
                <c:pt idx="403">
                  <c:v>5168.6835266800872</c:v>
                </c:pt>
                <c:pt idx="404">
                  <c:v>5176.0817472020235</c:v>
                </c:pt>
                <c:pt idx="405">
                  <c:v>5190.8835384089252</c:v>
                </c:pt>
                <c:pt idx="406">
                  <c:v>5220.5084682960942</c:v>
                </c:pt>
                <c:pt idx="407">
                  <c:v>5242.7457851367089</c:v>
                </c:pt>
                <c:pt idx="408">
                  <c:v>5257.5795011464797</c:v>
                </c:pt>
                <c:pt idx="409">
                  <c:v>5316.9847453208158</c:v>
                </c:pt>
                <c:pt idx="410">
                  <c:v>5316.9847453208158</c:v>
                </c:pt>
                <c:pt idx="411">
                  <c:v>5361.6121606731776</c:v>
                </c:pt>
                <c:pt idx="412">
                  <c:v>5383.94934620203</c:v>
                </c:pt>
                <c:pt idx="413">
                  <c:v>5383.94934620203</c:v>
                </c:pt>
                <c:pt idx="414">
                  <c:v>5391.3985406648571</c:v>
                </c:pt>
                <c:pt idx="415">
                  <c:v>5406.3021175444064</c:v>
                </c:pt>
                <c:pt idx="416">
                  <c:v>5406.3021175444064</c:v>
                </c:pt>
                <c:pt idx="417">
                  <c:v>5465.9853307987332</c:v>
                </c:pt>
                <c:pt idx="418">
                  <c:v>5465.9853307987332</c:v>
                </c:pt>
                <c:pt idx="419">
                  <c:v>5465.9853307987332</c:v>
                </c:pt>
                <c:pt idx="420">
                  <c:v>5503.3430308466559</c:v>
                </c:pt>
                <c:pt idx="421">
                  <c:v>5540.7433010917784</c:v>
                </c:pt>
                <c:pt idx="422">
                  <c:v>5540.7433010917784</c:v>
                </c:pt>
                <c:pt idx="423">
                  <c:v>5540.7433010917784</c:v>
                </c:pt>
                <c:pt idx="424">
                  <c:v>5578.1859186534912</c:v>
                </c:pt>
                <c:pt idx="425">
                  <c:v>5585.679504339827</c:v>
                </c:pt>
                <c:pt idx="426">
                  <c:v>5585.679504339827</c:v>
                </c:pt>
                <c:pt idx="427">
                  <c:v>5600.6717237660596</c:v>
                </c:pt>
                <c:pt idx="428">
                  <c:v>5615.6706622043521</c:v>
                </c:pt>
                <c:pt idx="429">
                  <c:v>5690.7656496487507</c:v>
                </c:pt>
                <c:pt idx="430">
                  <c:v>5766.0265233592445</c:v>
                </c:pt>
                <c:pt idx="431">
                  <c:v>5773.5616682007549</c:v>
                </c:pt>
                <c:pt idx="432">
                  <c:v>5833.9017236393784</c:v>
                </c:pt>
                <c:pt idx="433">
                  <c:v>5849.0030356607685</c:v>
                </c:pt>
                <c:pt idx="434">
                  <c:v>5917.0390889077498</c:v>
                </c:pt>
                <c:pt idx="435">
                  <c:v>5954.8932563245553</c:v>
                </c:pt>
                <c:pt idx="436">
                  <c:v>5992.7874189777676</c:v>
                </c:pt>
                <c:pt idx="437">
                  <c:v>5992.7874189777676</c:v>
                </c:pt>
                <c:pt idx="438">
                  <c:v>6023.131407793675</c:v>
                </c:pt>
                <c:pt idx="439">
                  <c:v>6045.9060484386764</c:v>
                </c:pt>
                <c:pt idx="440">
                  <c:v>6068.6949109783327</c:v>
                </c:pt>
                <c:pt idx="441">
                  <c:v>6068.6949109783327</c:v>
                </c:pt>
                <c:pt idx="442">
                  <c:v>6099.1021085764496</c:v>
                </c:pt>
                <c:pt idx="443">
                  <c:v>6106.7078343062849</c:v>
                </c:pt>
                <c:pt idx="444">
                  <c:v>6114.3151273587091</c:v>
                </c:pt>
                <c:pt idx="445">
                  <c:v>6114.3151273587091</c:v>
                </c:pt>
                <c:pt idx="446">
                  <c:v>6213.3518379310817</c:v>
                </c:pt>
                <c:pt idx="447">
                  <c:v>6220.9809063874882</c:v>
                </c:pt>
                <c:pt idx="448">
                  <c:v>6220.9809063874882</c:v>
                </c:pt>
                <c:pt idx="449">
                  <c:v>6297.3562272865665</c:v>
                </c:pt>
                <c:pt idx="450">
                  <c:v>6297.3562272865665</c:v>
                </c:pt>
                <c:pt idx="451">
                  <c:v>6305.0021887095363</c:v>
                </c:pt>
                <c:pt idx="452">
                  <c:v>6373.8843443607047</c:v>
                </c:pt>
                <c:pt idx="453">
                  <c:v>6412.2052199628688</c:v>
                </c:pt>
                <c:pt idx="454">
                  <c:v>6458.2399174788743</c:v>
                </c:pt>
                <c:pt idx="455">
                  <c:v>6473.5967997857279</c:v>
                </c:pt>
                <c:pt idx="456">
                  <c:v>6488.9596535877527</c:v>
                </c:pt>
                <c:pt idx="457">
                  <c:v>6588.9629331327169</c:v>
                </c:pt>
                <c:pt idx="458">
                  <c:v>6604.3701930159577</c:v>
                </c:pt>
                <c:pt idx="459">
                  <c:v>6619.783323453089</c:v>
                </c:pt>
                <c:pt idx="460">
                  <c:v>6681.4943166985204</c:v>
                </c:pt>
                <c:pt idx="461">
                  <c:v>6758.7637478593115</c:v>
                </c:pt>
                <c:pt idx="462">
                  <c:v>6758.7637478593115</c:v>
                </c:pt>
                <c:pt idx="463">
                  <c:v>6843.9262357660282</c:v>
                </c:pt>
                <c:pt idx="464">
                  <c:v>7069.2660556223755</c:v>
                </c:pt>
                <c:pt idx="465">
                  <c:v>7539.1425895659095</c:v>
                </c:pt>
                <c:pt idx="466">
                  <c:v>7696.8255682556019</c:v>
                </c:pt>
                <c:pt idx="467">
                  <c:v>8412.5976791440262</c:v>
                </c:pt>
                <c:pt idx="468">
                  <c:v>8693.5711728717361</c:v>
                </c:pt>
                <c:pt idx="469">
                  <c:v>8975.9394895989608</c:v>
                </c:pt>
                <c:pt idx="470">
                  <c:v>9300.2978340812151</c:v>
                </c:pt>
                <c:pt idx="471">
                  <c:v>9708.1319549638538</c:v>
                </c:pt>
                <c:pt idx="472">
                  <c:v>11029.09656981294</c:v>
                </c:pt>
                <c:pt idx="473">
                  <c:v>13139.220699789643</c:v>
                </c:pt>
                <c:pt idx="474">
                  <c:v>14116.70461051856</c:v>
                </c:pt>
                <c:pt idx="475">
                  <c:v>17045.102483445593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F7-455E-818E-E92B7E7189F5}"/>
            </c:ext>
          </c:extLst>
        </c:ser>
        <c:ser>
          <c:idx val="1"/>
          <c:order val="1"/>
          <c:tx>
            <c:strRef>
              <c:f>'SNe Ia Data'!$R$6</c:f>
              <c:strCache>
                <c:ptCount val="1"/>
                <c:pt idx="0">
                  <c:v>FLRW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'SNe Ia Data'!$B$7:$B$482</c:f>
              <c:numCache>
                <c:formatCode>0.00</c:formatCode>
                <c:ptCount val="476"/>
                <c:pt idx="0">
                  <c:v>0.01</c:v>
                </c:pt>
                <c:pt idx="1">
                  <c:v>0.01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1.4E-2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1.4E-2</c:v>
                </c:pt>
                <c:pt idx="11">
                  <c:v>1.4999999999999999E-2</c:v>
                </c:pt>
                <c:pt idx="12">
                  <c:v>1.4E-2</c:v>
                </c:pt>
                <c:pt idx="13">
                  <c:v>1.6E-2</c:v>
                </c:pt>
                <c:pt idx="14">
                  <c:v>1.4E-2</c:v>
                </c:pt>
                <c:pt idx="15">
                  <c:v>1.4E-2</c:v>
                </c:pt>
                <c:pt idx="16">
                  <c:v>1.4999999999999999E-2</c:v>
                </c:pt>
                <c:pt idx="17">
                  <c:v>1.4E-2</c:v>
                </c:pt>
                <c:pt idx="18">
                  <c:v>1.6E-2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1.6E-2</c:v>
                </c:pt>
                <c:pt idx="28">
                  <c:v>1.7000000000000001E-2</c:v>
                </c:pt>
                <c:pt idx="29">
                  <c:v>1.7000000000000001E-2</c:v>
                </c:pt>
                <c:pt idx="30">
                  <c:v>1.7000000000000001E-2</c:v>
                </c:pt>
                <c:pt idx="31">
                  <c:v>1.7999999999999999E-2</c:v>
                </c:pt>
                <c:pt idx="32">
                  <c:v>1.7000000000000001E-2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2.3E-2</c:v>
                </c:pt>
                <c:pt idx="47">
                  <c:v>2.3E-2</c:v>
                </c:pt>
                <c:pt idx="48">
                  <c:v>2.1999999999999999E-2</c:v>
                </c:pt>
                <c:pt idx="49">
                  <c:v>2.3E-2</c:v>
                </c:pt>
                <c:pt idx="50">
                  <c:v>2.5000000000000001E-2</c:v>
                </c:pt>
                <c:pt idx="51">
                  <c:v>2.3E-2</c:v>
                </c:pt>
                <c:pt idx="52">
                  <c:v>2.5000000000000001E-2</c:v>
                </c:pt>
                <c:pt idx="53">
                  <c:v>2.4E-2</c:v>
                </c:pt>
                <c:pt idx="54">
                  <c:v>2.4E-2</c:v>
                </c:pt>
                <c:pt idx="55">
                  <c:v>2.3E-2</c:v>
                </c:pt>
                <c:pt idx="56">
                  <c:v>2.4E-2</c:v>
                </c:pt>
                <c:pt idx="57">
                  <c:v>2.4E-2</c:v>
                </c:pt>
                <c:pt idx="58">
                  <c:v>2.4E-2</c:v>
                </c:pt>
                <c:pt idx="59">
                  <c:v>2.5000000000000001E-2</c:v>
                </c:pt>
                <c:pt idx="60">
                  <c:v>2.5000000000000001E-2</c:v>
                </c:pt>
                <c:pt idx="61">
                  <c:v>2.5000000000000001E-2</c:v>
                </c:pt>
                <c:pt idx="62">
                  <c:v>2.7E-2</c:v>
                </c:pt>
                <c:pt idx="63">
                  <c:v>2.8000000000000001E-2</c:v>
                </c:pt>
                <c:pt idx="64">
                  <c:v>2.5000000000000001E-2</c:v>
                </c:pt>
                <c:pt idx="65">
                  <c:v>2.7E-2</c:v>
                </c:pt>
                <c:pt idx="66">
                  <c:v>2.7E-2</c:v>
                </c:pt>
                <c:pt idx="67">
                  <c:v>2.7E-2</c:v>
                </c:pt>
                <c:pt idx="68">
                  <c:v>2.7E-2</c:v>
                </c:pt>
                <c:pt idx="69">
                  <c:v>2.8000000000000001E-2</c:v>
                </c:pt>
                <c:pt idx="70">
                  <c:v>2.8000000000000001E-2</c:v>
                </c:pt>
                <c:pt idx="71">
                  <c:v>2.9000000000000001E-2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3.1E-2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3.1E-2</c:v>
                </c:pt>
                <c:pt idx="79">
                  <c:v>3.1E-2</c:v>
                </c:pt>
                <c:pt idx="80">
                  <c:v>3.3000000000000002E-2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3.3000000000000002E-2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3.4000000000000002E-2</c:v>
                </c:pt>
                <c:pt idx="87">
                  <c:v>3.5000000000000003E-2</c:v>
                </c:pt>
                <c:pt idx="88">
                  <c:v>3.4000000000000002E-2</c:v>
                </c:pt>
                <c:pt idx="89">
                  <c:v>3.5000000000000003E-2</c:v>
                </c:pt>
                <c:pt idx="90">
                  <c:v>3.5999999999999997E-2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3.6999999999999998E-2</c:v>
                </c:pt>
                <c:pt idx="94">
                  <c:v>3.6999999999999998E-2</c:v>
                </c:pt>
                <c:pt idx="95">
                  <c:v>3.6999999999999998E-2</c:v>
                </c:pt>
                <c:pt idx="96">
                  <c:v>3.9E-2</c:v>
                </c:pt>
                <c:pt idx="97">
                  <c:v>3.7999999999999999E-2</c:v>
                </c:pt>
                <c:pt idx="98">
                  <c:v>3.9E-2</c:v>
                </c:pt>
                <c:pt idx="99">
                  <c:v>0.04</c:v>
                </c:pt>
                <c:pt idx="100">
                  <c:v>4.1000000000000002E-2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4.7E-2</c:v>
                </c:pt>
                <c:pt idx="104">
                  <c:v>4.4999999999999998E-2</c:v>
                </c:pt>
                <c:pt idx="105">
                  <c:v>4.9000000000000002E-2</c:v>
                </c:pt>
                <c:pt idx="106">
                  <c:v>4.9000000000000002E-2</c:v>
                </c:pt>
                <c:pt idx="107">
                  <c:v>0.05</c:v>
                </c:pt>
                <c:pt idx="108">
                  <c:v>5.2999999999999999E-2</c:v>
                </c:pt>
                <c:pt idx="109">
                  <c:v>5.5E-2</c:v>
                </c:pt>
                <c:pt idx="110">
                  <c:v>5.3999999999999999E-2</c:v>
                </c:pt>
                <c:pt idx="111">
                  <c:v>5.8999999999999997E-2</c:v>
                </c:pt>
                <c:pt idx="112">
                  <c:v>5.8000000000000003E-2</c:v>
                </c:pt>
                <c:pt idx="113">
                  <c:v>6.3E-2</c:v>
                </c:pt>
                <c:pt idx="114">
                  <c:v>6.3E-2</c:v>
                </c:pt>
                <c:pt idx="115">
                  <c:v>6.5000000000000002E-2</c:v>
                </c:pt>
                <c:pt idx="116">
                  <c:v>6.3E-2</c:v>
                </c:pt>
                <c:pt idx="117">
                  <c:v>6.5000000000000002E-2</c:v>
                </c:pt>
                <c:pt idx="118">
                  <c:v>6.7000000000000004E-2</c:v>
                </c:pt>
                <c:pt idx="119">
                  <c:v>6.9000000000000006E-2</c:v>
                </c:pt>
                <c:pt idx="120">
                  <c:v>7.0000000000000007E-2</c:v>
                </c:pt>
                <c:pt idx="121">
                  <c:v>6.8000000000000005E-2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7.8E-2</c:v>
                </c:pt>
                <c:pt idx="125">
                  <c:v>7.9000000000000001E-2</c:v>
                </c:pt>
                <c:pt idx="126">
                  <c:v>0.08</c:v>
                </c:pt>
                <c:pt idx="127">
                  <c:v>8.6999999999999994E-2</c:v>
                </c:pt>
                <c:pt idx="128">
                  <c:v>8.6999999999999994E-2</c:v>
                </c:pt>
                <c:pt idx="129">
                  <c:v>0.09</c:v>
                </c:pt>
                <c:pt idx="130">
                  <c:v>9.5000000000000001E-2</c:v>
                </c:pt>
                <c:pt idx="131">
                  <c:v>0.104</c:v>
                </c:pt>
                <c:pt idx="132">
                  <c:v>0.108</c:v>
                </c:pt>
                <c:pt idx="133">
                  <c:v>0.11</c:v>
                </c:pt>
                <c:pt idx="134">
                  <c:v>0.11600000000000001</c:v>
                </c:pt>
                <c:pt idx="135">
                  <c:v>0.11700000000000001</c:v>
                </c:pt>
                <c:pt idx="136">
                  <c:v>0.11799999999999999</c:v>
                </c:pt>
                <c:pt idx="137">
                  <c:v>0.11899999999999999</c:v>
                </c:pt>
                <c:pt idx="138">
                  <c:v>0.121</c:v>
                </c:pt>
                <c:pt idx="139">
                  <c:v>0.124</c:v>
                </c:pt>
                <c:pt idx="140">
                  <c:v>0.124</c:v>
                </c:pt>
                <c:pt idx="141">
                  <c:v>0.125</c:v>
                </c:pt>
                <c:pt idx="142">
                  <c:v>0.127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0.14499999999999999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0.153</c:v>
                </c:pt>
                <c:pt idx="154">
                  <c:v>0.156</c:v>
                </c:pt>
                <c:pt idx="155">
                  <c:v>0.16200000000000001</c:v>
                </c:pt>
                <c:pt idx="156">
                  <c:v>0.16500000000000001</c:v>
                </c:pt>
                <c:pt idx="157">
                  <c:v>0.16900000000000001</c:v>
                </c:pt>
                <c:pt idx="158">
                  <c:v>0.17199999999999999</c:v>
                </c:pt>
                <c:pt idx="159">
                  <c:v>0.17399999999999999</c:v>
                </c:pt>
                <c:pt idx="160">
                  <c:v>0.17499999999999999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0.183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0.187</c:v>
                </c:pt>
                <c:pt idx="169">
                  <c:v>0.19</c:v>
                </c:pt>
                <c:pt idx="170">
                  <c:v>0.191</c:v>
                </c:pt>
                <c:pt idx="171">
                  <c:v>0.193</c:v>
                </c:pt>
                <c:pt idx="172">
                  <c:v>0.19800000000000001</c:v>
                </c:pt>
                <c:pt idx="173">
                  <c:v>0.20200000000000001</c:v>
                </c:pt>
                <c:pt idx="174">
                  <c:v>0.20399999999999999</c:v>
                </c:pt>
                <c:pt idx="175">
                  <c:v>0.20599999999999999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0.217</c:v>
                </c:pt>
                <c:pt idx="181">
                  <c:v>0.218</c:v>
                </c:pt>
                <c:pt idx="182">
                  <c:v>0.219</c:v>
                </c:pt>
                <c:pt idx="183">
                  <c:v>0.219</c:v>
                </c:pt>
                <c:pt idx="184">
                  <c:v>0.22</c:v>
                </c:pt>
                <c:pt idx="185">
                  <c:v>0.23</c:v>
                </c:pt>
                <c:pt idx="186">
                  <c:v>0.24399999999999999</c:v>
                </c:pt>
                <c:pt idx="187">
                  <c:v>0.245</c:v>
                </c:pt>
                <c:pt idx="188">
                  <c:v>0.246</c:v>
                </c:pt>
                <c:pt idx="189">
                  <c:v>0.25</c:v>
                </c:pt>
                <c:pt idx="190">
                  <c:v>0.25</c:v>
                </c:pt>
                <c:pt idx="191">
                  <c:v>0.251</c:v>
                </c:pt>
                <c:pt idx="192">
                  <c:v>0.252</c:v>
                </c:pt>
                <c:pt idx="193">
                  <c:v>0.253</c:v>
                </c:pt>
                <c:pt idx="194">
                  <c:v>0.254</c:v>
                </c:pt>
                <c:pt idx="195">
                  <c:v>0.25700000000000001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0.25900000000000001</c:v>
                </c:pt>
                <c:pt idx="199">
                  <c:v>0.25900000000000001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</c:v>
                </c:pt>
                <c:pt idx="209">
                  <c:v>0.27200000000000002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0.28499999999999998</c:v>
                </c:pt>
                <c:pt idx="213">
                  <c:v>0.28799999999999998</c:v>
                </c:pt>
                <c:pt idx="214">
                  <c:v>0.28999999999999998</c:v>
                </c:pt>
                <c:pt idx="215">
                  <c:v>0.29099999999999998</c:v>
                </c:pt>
                <c:pt idx="216">
                  <c:v>0.29399999999999998</c:v>
                </c:pt>
                <c:pt idx="217">
                  <c:v>0.3</c:v>
                </c:pt>
                <c:pt idx="218">
                  <c:v>0.30299999999999999</c:v>
                </c:pt>
                <c:pt idx="219">
                  <c:v>0.30299999999999999</c:v>
                </c:pt>
                <c:pt idx="220">
                  <c:v>0.31</c:v>
                </c:pt>
                <c:pt idx="221">
                  <c:v>0.311</c:v>
                </c:pt>
                <c:pt idx="222">
                  <c:v>0.311</c:v>
                </c:pt>
                <c:pt idx="223">
                  <c:v>0.314</c:v>
                </c:pt>
                <c:pt idx="224">
                  <c:v>0.32200000000000001</c:v>
                </c:pt>
                <c:pt idx="225">
                  <c:v>0.32300000000000001</c:v>
                </c:pt>
                <c:pt idx="226">
                  <c:v>0.32800000000000001</c:v>
                </c:pt>
                <c:pt idx="227">
                  <c:v>0.33200000000000002</c:v>
                </c:pt>
                <c:pt idx="228">
                  <c:v>0.33700000000000002</c:v>
                </c:pt>
                <c:pt idx="229">
                  <c:v>0.34</c:v>
                </c:pt>
                <c:pt idx="230">
                  <c:v>0.34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0.34799999999999998</c:v>
                </c:pt>
                <c:pt idx="234">
                  <c:v>0.35</c:v>
                </c:pt>
                <c:pt idx="235">
                  <c:v>0.35</c:v>
                </c:pt>
                <c:pt idx="236">
                  <c:v>0.35399999999999998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0.35799999999999998</c:v>
                </c:pt>
                <c:pt idx="240">
                  <c:v>0.36899999999999999</c:v>
                </c:pt>
                <c:pt idx="241">
                  <c:v>0.36899999999999999</c:v>
                </c:pt>
                <c:pt idx="242">
                  <c:v>0.37</c:v>
                </c:pt>
                <c:pt idx="243">
                  <c:v>0.371</c:v>
                </c:pt>
                <c:pt idx="244">
                  <c:v>0.372</c:v>
                </c:pt>
                <c:pt idx="245">
                  <c:v>0.373</c:v>
                </c:pt>
                <c:pt idx="246">
                  <c:v>0.375</c:v>
                </c:pt>
                <c:pt idx="247">
                  <c:v>0.38100000000000001</c:v>
                </c:pt>
                <c:pt idx="248">
                  <c:v>0.39300000000000002</c:v>
                </c:pt>
                <c:pt idx="249">
                  <c:v>0.39500000000000002</c:v>
                </c:pt>
                <c:pt idx="250">
                  <c:v>0.40200000000000002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0.41499999999999998</c:v>
                </c:pt>
                <c:pt idx="255">
                  <c:v>0.41699999999999998</c:v>
                </c:pt>
                <c:pt idx="256">
                  <c:v>0.41899999999999998</c:v>
                </c:pt>
                <c:pt idx="257">
                  <c:v>0.42399999999999999</c:v>
                </c:pt>
                <c:pt idx="258">
                  <c:v>0.42699999999999999</c:v>
                </c:pt>
                <c:pt idx="259">
                  <c:v>0.435</c:v>
                </c:pt>
                <c:pt idx="260">
                  <c:v>0.437</c:v>
                </c:pt>
                <c:pt idx="261">
                  <c:v>0.442</c:v>
                </c:pt>
                <c:pt idx="262">
                  <c:v>0.442</c:v>
                </c:pt>
                <c:pt idx="263">
                  <c:v>0.44900000000000001</c:v>
                </c:pt>
                <c:pt idx="264">
                  <c:v>0.45</c:v>
                </c:pt>
                <c:pt idx="265">
                  <c:v>0.45100000000000001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0.46800000000000003</c:v>
                </c:pt>
                <c:pt idx="269">
                  <c:v>0.47</c:v>
                </c:pt>
                <c:pt idx="270">
                  <c:v>0.47</c:v>
                </c:pt>
                <c:pt idx="271">
                  <c:v>0.47</c:v>
                </c:pt>
                <c:pt idx="272">
                  <c:v>0.47199999999999998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0.48</c:v>
                </c:pt>
                <c:pt idx="276">
                  <c:v>0.49</c:v>
                </c:pt>
                <c:pt idx="277">
                  <c:v>0.496</c:v>
                </c:pt>
                <c:pt idx="278">
                  <c:v>0.499</c:v>
                </c:pt>
                <c:pt idx="279">
                  <c:v>0.499</c:v>
                </c:pt>
                <c:pt idx="280">
                  <c:v>0.504</c:v>
                </c:pt>
                <c:pt idx="281">
                  <c:v>0.50900000000000001</c:v>
                </c:pt>
                <c:pt idx="282">
                  <c:v>0.51</c:v>
                </c:pt>
                <c:pt idx="283">
                  <c:v>0.51300000000000001</c:v>
                </c:pt>
                <c:pt idx="284">
                  <c:v>0.51500000000000001</c:v>
                </c:pt>
                <c:pt idx="285">
                  <c:v>0.51500000000000001</c:v>
                </c:pt>
                <c:pt idx="286">
                  <c:v>0.51600000000000001</c:v>
                </c:pt>
                <c:pt idx="287">
                  <c:v>0.51900000000000002</c:v>
                </c:pt>
                <c:pt idx="288">
                  <c:v>0.52200000000000002</c:v>
                </c:pt>
                <c:pt idx="289">
                  <c:v>0.53100000000000003</c:v>
                </c:pt>
                <c:pt idx="290">
                  <c:v>0.53200000000000003</c:v>
                </c:pt>
                <c:pt idx="291">
                  <c:v>0.53400000000000003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0.55000000000000004</c:v>
                </c:pt>
                <c:pt idx="295">
                  <c:v>0.55200000000000005</c:v>
                </c:pt>
                <c:pt idx="296">
                  <c:v>0.55200000000000005</c:v>
                </c:pt>
                <c:pt idx="297">
                  <c:v>0.55200000000000005</c:v>
                </c:pt>
                <c:pt idx="298">
                  <c:v>0.55900000000000005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0.56299999999999994</c:v>
                </c:pt>
                <c:pt idx="302">
                  <c:v>0.56599999999999995</c:v>
                </c:pt>
                <c:pt idx="303">
                  <c:v>0.57099999999999995</c:v>
                </c:pt>
                <c:pt idx="304">
                  <c:v>0.57399999999999995</c:v>
                </c:pt>
                <c:pt idx="305">
                  <c:v>0.57599999999999996</c:v>
                </c:pt>
                <c:pt idx="306">
                  <c:v>0.57899999999999996</c:v>
                </c:pt>
                <c:pt idx="307">
                  <c:v>0.57999999999999996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0.58199999999999996</c:v>
                </c:pt>
                <c:pt idx="311">
                  <c:v>0.58399999999999996</c:v>
                </c:pt>
                <c:pt idx="312">
                  <c:v>0.58499999999999996</c:v>
                </c:pt>
                <c:pt idx="313">
                  <c:v>0.58499999999999996</c:v>
                </c:pt>
                <c:pt idx="314">
                  <c:v>0.58499999999999996</c:v>
                </c:pt>
                <c:pt idx="315">
                  <c:v>0.58699999999999997</c:v>
                </c:pt>
                <c:pt idx="316">
                  <c:v>0.58899999999999997</c:v>
                </c:pt>
                <c:pt idx="317">
                  <c:v>0.59</c:v>
                </c:pt>
                <c:pt idx="318">
                  <c:v>0.59</c:v>
                </c:pt>
                <c:pt idx="319">
                  <c:v>0.59199999999999997</c:v>
                </c:pt>
                <c:pt idx="320">
                  <c:v>0.6</c:v>
                </c:pt>
                <c:pt idx="321">
                  <c:v>0.60499999999999998</c:v>
                </c:pt>
                <c:pt idx="322">
                  <c:v>0.60799999999999998</c:v>
                </c:pt>
                <c:pt idx="323">
                  <c:v>0.61</c:v>
                </c:pt>
                <c:pt idx="324">
                  <c:v>0.61</c:v>
                </c:pt>
                <c:pt idx="325">
                  <c:v>0.61199999999999999</c:v>
                </c:pt>
                <c:pt idx="326">
                  <c:v>0.61299999999999999</c:v>
                </c:pt>
                <c:pt idx="327">
                  <c:v>0.61699999999999999</c:v>
                </c:pt>
                <c:pt idx="328">
                  <c:v>0.62</c:v>
                </c:pt>
                <c:pt idx="329">
                  <c:v>0.62</c:v>
                </c:pt>
                <c:pt idx="330">
                  <c:v>0.627</c:v>
                </c:pt>
                <c:pt idx="331">
                  <c:v>0.629</c:v>
                </c:pt>
                <c:pt idx="332">
                  <c:v>0.63</c:v>
                </c:pt>
                <c:pt idx="333">
                  <c:v>0.63200000000000001</c:v>
                </c:pt>
                <c:pt idx="334">
                  <c:v>0.63400000000000001</c:v>
                </c:pt>
                <c:pt idx="335">
                  <c:v>0.63900000000000001</c:v>
                </c:pt>
                <c:pt idx="336">
                  <c:v>0.64</c:v>
                </c:pt>
                <c:pt idx="337">
                  <c:v>0.64</c:v>
                </c:pt>
                <c:pt idx="338">
                  <c:v>0.64300000000000002</c:v>
                </c:pt>
                <c:pt idx="339">
                  <c:v>0.64300000000000002</c:v>
                </c:pt>
                <c:pt idx="340">
                  <c:v>0.64700000000000002</c:v>
                </c:pt>
                <c:pt idx="341">
                  <c:v>0.64800000000000002</c:v>
                </c:pt>
                <c:pt idx="342">
                  <c:v>0.66300000000000003</c:v>
                </c:pt>
                <c:pt idx="343">
                  <c:v>0.66400000000000003</c:v>
                </c:pt>
                <c:pt idx="344">
                  <c:v>0.67</c:v>
                </c:pt>
                <c:pt idx="345">
                  <c:v>0.67900000000000005</c:v>
                </c:pt>
                <c:pt idx="346">
                  <c:v>0.68</c:v>
                </c:pt>
                <c:pt idx="347">
                  <c:v>0.68300000000000005</c:v>
                </c:pt>
                <c:pt idx="348">
                  <c:v>0.68700000000000006</c:v>
                </c:pt>
                <c:pt idx="349">
                  <c:v>0.69</c:v>
                </c:pt>
                <c:pt idx="350">
                  <c:v>0.69</c:v>
                </c:pt>
                <c:pt idx="351">
                  <c:v>0.69499999999999995</c:v>
                </c:pt>
                <c:pt idx="352">
                  <c:v>0.69799999999999995</c:v>
                </c:pt>
                <c:pt idx="353">
                  <c:v>0.69899999999999995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0.70099999999999996</c:v>
                </c:pt>
                <c:pt idx="358">
                  <c:v>0.70099999999999996</c:v>
                </c:pt>
                <c:pt idx="359">
                  <c:v>0.70199999999999996</c:v>
                </c:pt>
                <c:pt idx="360">
                  <c:v>0.70299999999999996</c:v>
                </c:pt>
                <c:pt idx="361">
                  <c:v>0.71499999999999997</c:v>
                </c:pt>
                <c:pt idx="362">
                  <c:v>0.71799999999999997</c:v>
                </c:pt>
                <c:pt idx="363">
                  <c:v>0.72</c:v>
                </c:pt>
                <c:pt idx="364">
                  <c:v>0.72099999999999997</c:v>
                </c:pt>
                <c:pt idx="365">
                  <c:v>0.72199999999999998</c:v>
                </c:pt>
                <c:pt idx="366">
                  <c:v>0.72499999999999998</c:v>
                </c:pt>
                <c:pt idx="367">
                  <c:v>0.72699999999999998</c:v>
                </c:pt>
                <c:pt idx="368">
                  <c:v>0.73199999999999998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0.73499999999999999</c:v>
                </c:pt>
                <c:pt idx="373">
                  <c:v>0.73599999999999999</c:v>
                </c:pt>
                <c:pt idx="374">
                  <c:v>0.73699999999999999</c:v>
                </c:pt>
                <c:pt idx="375">
                  <c:v>0.74</c:v>
                </c:pt>
                <c:pt idx="376">
                  <c:v>0.74199999999999999</c:v>
                </c:pt>
                <c:pt idx="377">
                  <c:v>0.74399999999999999</c:v>
                </c:pt>
                <c:pt idx="378">
                  <c:v>0.745</c:v>
                </c:pt>
                <c:pt idx="379">
                  <c:v>0.75</c:v>
                </c:pt>
                <c:pt idx="380">
                  <c:v>0.751</c:v>
                </c:pt>
                <c:pt idx="381">
                  <c:v>0.75600000000000001</c:v>
                </c:pt>
                <c:pt idx="382">
                  <c:v>0.75700000000000001</c:v>
                </c:pt>
                <c:pt idx="383">
                  <c:v>0.76</c:v>
                </c:pt>
                <c:pt idx="384">
                  <c:v>0.76</c:v>
                </c:pt>
                <c:pt idx="385">
                  <c:v>0.76300000000000001</c:v>
                </c:pt>
                <c:pt idx="386">
                  <c:v>0.76300000000000001</c:v>
                </c:pt>
                <c:pt idx="387">
                  <c:v>0.76600000000000001</c:v>
                </c:pt>
                <c:pt idx="388">
                  <c:v>0.76700000000000002</c:v>
                </c:pt>
                <c:pt idx="389">
                  <c:v>0.76800000000000002</c:v>
                </c:pt>
                <c:pt idx="390">
                  <c:v>0.76900000000000002</c:v>
                </c:pt>
                <c:pt idx="391">
                  <c:v>0.77</c:v>
                </c:pt>
                <c:pt idx="392">
                  <c:v>0.77500000000000002</c:v>
                </c:pt>
                <c:pt idx="393">
                  <c:v>0.77800000000000002</c:v>
                </c:pt>
                <c:pt idx="394">
                  <c:v>0.79</c:v>
                </c:pt>
                <c:pt idx="395">
                  <c:v>0.79100000000000004</c:v>
                </c:pt>
                <c:pt idx="396">
                  <c:v>0.79800000000000004</c:v>
                </c:pt>
                <c:pt idx="397">
                  <c:v>0.8</c:v>
                </c:pt>
                <c:pt idx="398">
                  <c:v>0.8</c:v>
                </c:pt>
                <c:pt idx="399">
                  <c:v>0.80500000000000005</c:v>
                </c:pt>
                <c:pt idx="400">
                  <c:v>0.80500000000000005</c:v>
                </c:pt>
                <c:pt idx="401">
                  <c:v>0.80800000000000005</c:v>
                </c:pt>
                <c:pt idx="402">
                  <c:v>0.81</c:v>
                </c:pt>
                <c:pt idx="403">
                  <c:v>0.81</c:v>
                </c:pt>
                <c:pt idx="404">
                  <c:v>0.81100000000000005</c:v>
                </c:pt>
                <c:pt idx="405">
                  <c:v>0.81299999999999994</c:v>
                </c:pt>
                <c:pt idx="406">
                  <c:v>0.81699999999999995</c:v>
                </c:pt>
                <c:pt idx="407">
                  <c:v>0.82</c:v>
                </c:pt>
                <c:pt idx="408">
                  <c:v>0.82199999999999995</c:v>
                </c:pt>
                <c:pt idx="409">
                  <c:v>0.83</c:v>
                </c:pt>
                <c:pt idx="410">
                  <c:v>0.83</c:v>
                </c:pt>
                <c:pt idx="411">
                  <c:v>0.83599999999999997</c:v>
                </c:pt>
                <c:pt idx="412">
                  <c:v>0.83899999999999997</c:v>
                </c:pt>
                <c:pt idx="413">
                  <c:v>0.83899999999999997</c:v>
                </c:pt>
                <c:pt idx="414">
                  <c:v>0.84</c:v>
                </c:pt>
                <c:pt idx="415">
                  <c:v>0.84199999999999997</c:v>
                </c:pt>
                <c:pt idx="416">
                  <c:v>0.84199999999999997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0.85499999999999998</c:v>
                </c:pt>
                <c:pt idx="421">
                  <c:v>0.86</c:v>
                </c:pt>
                <c:pt idx="422">
                  <c:v>0.86</c:v>
                </c:pt>
                <c:pt idx="423">
                  <c:v>0.86</c:v>
                </c:pt>
                <c:pt idx="424">
                  <c:v>0.86499999999999999</c:v>
                </c:pt>
                <c:pt idx="425">
                  <c:v>0.86599999999999999</c:v>
                </c:pt>
                <c:pt idx="426">
                  <c:v>0.86599999999999999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0.88</c:v>
                </c:pt>
                <c:pt idx="430">
                  <c:v>0.89</c:v>
                </c:pt>
                <c:pt idx="431">
                  <c:v>0.89100000000000001</c:v>
                </c:pt>
                <c:pt idx="432">
                  <c:v>0.89900000000000002</c:v>
                </c:pt>
                <c:pt idx="433">
                  <c:v>0.90100000000000002</c:v>
                </c:pt>
                <c:pt idx="434">
                  <c:v>0.91</c:v>
                </c:pt>
                <c:pt idx="435">
                  <c:v>0.91500000000000004</c:v>
                </c:pt>
                <c:pt idx="436">
                  <c:v>0.92</c:v>
                </c:pt>
                <c:pt idx="437">
                  <c:v>0.92</c:v>
                </c:pt>
                <c:pt idx="438">
                  <c:v>0.92400000000000004</c:v>
                </c:pt>
                <c:pt idx="439">
                  <c:v>0.92700000000000005</c:v>
                </c:pt>
                <c:pt idx="440">
                  <c:v>0.93</c:v>
                </c:pt>
                <c:pt idx="441">
                  <c:v>0.93</c:v>
                </c:pt>
                <c:pt idx="442">
                  <c:v>0.93400000000000005</c:v>
                </c:pt>
                <c:pt idx="443">
                  <c:v>0.93500000000000005</c:v>
                </c:pt>
                <c:pt idx="444">
                  <c:v>0.93600000000000005</c:v>
                </c:pt>
                <c:pt idx="445">
                  <c:v>0.93600000000000005</c:v>
                </c:pt>
                <c:pt idx="446">
                  <c:v>0.94899999999999995</c:v>
                </c:pt>
                <c:pt idx="447">
                  <c:v>0.95</c:v>
                </c:pt>
                <c:pt idx="448">
                  <c:v>0.95</c:v>
                </c:pt>
                <c:pt idx="449">
                  <c:v>0.96</c:v>
                </c:pt>
                <c:pt idx="450">
                  <c:v>0.96</c:v>
                </c:pt>
                <c:pt idx="451">
                  <c:v>0.96099999999999997</c:v>
                </c:pt>
                <c:pt idx="452">
                  <c:v>0.97</c:v>
                </c:pt>
                <c:pt idx="453">
                  <c:v>0.97499999999999998</c:v>
                </c:pt>
                <c:pt idx="454">
                  <c:v>0.98099999999999998</c:v>
                </c:pt>
                <c:pt idx="455">
                  <c:v>0.98299999999999998</c:v>
                </c:pt>
                <c:pt idx="456">
                  <c:v>0.98499999999999999</c:v>
                </c:pt>
                <c:pt idx="457">
                  <c:v>0.998</c:v>
                </c:pt>
                <c:pt idx="458">
                  <c:v>1</c:v>
                </c:pt>
                <c:pt idx="459">
                  <c:v>1.002</c:v>
                </c:pt>
                <c:pt idx="460">
                  <c:v>1.01</c:v>
                </c:pt>
                <c:pt idx="461">
                  <c:v>1.02</c:v>
                </c:pt>
                <c:pt idx="462">
                  <c:v>1.02</c:v>
                </c:pt>
                <c:pt idx="463">
                  <c:v>1.0309999999999999</c:v>
                </c:pt>
                <c:pt idx="464">
                  <c:v>1.06</c:v>
                </c:pt>
                <c:pt idx="465">
                  <c:v>1.1200000000000001</c:v>
                </c:pt>
                <c:pt idx="466">
                  <c:v>1.1399999999999999</c:v>
                </c:pt>
                <c:pt idx="467">
                  <c:v>1.23</c:v>
                </c:pt>
                <c:pt idx="468">
                  <c:v>1.2649999999999999</c:v>
                </c:pt>
                <c:pt idx="469">
                  <c:v>1.3</c:v>
                </c:pt>
                <c:pt idx="470">
                  <c:v>1.34</c:v>
                </c:pt>
                <c:pt idx="471">
                  <c:v>1.39</c:v>
                </c:pt>
                <c:pt idx="472">
                  <c:v>1.54992</c:v>
                </c:pt>
                <c:pt idx="473">
                  <c:v>1.8</c:v>
                </c:pt>
                <c:pt idx="474">
                  <c:v>1.9139999999999999</c:v>
                </c:pt>
                <c:pt idx="475">
                  <c:v>2.25</c:v>
                </c:pt>
              </c:numCache>
            </c:numRef>
          </c:xVal>
          <c:yVal>
            <c:numRef>
              <c:f>'SNe Ia Data'!$R$7:$R$482</c:f>
              <c:numCache>
                <c:formatCode>0.0</c:formatCode>
                <c:ptCount val="476"/>
                <c:pt idx="0">
                  <c:v>41.103659422180243</c:v>
                </c:pt>
                <c:pt idx="1">
                  <c:v>41.103659422180243</c:v>
                </c:pt>
                <c:pt idx="2">
                  <c:v>45.248603556527648</c:v>
                </c:pt>
                <c:pt idx="3">
                  <c:v>45.248603556527648</c:v>
                </c:pt>
                <c:pt idx="4">
                  <c:v>45.248603556527648</c:v>
                </c:pt>
                <c:pt idx="5">
                  <c:v>49.399807969154111</c:v>
                </c:pt>
                <c:pt idx="6">
                  <c:v>53.557265996914317</c:v>
                </c:pt>
                <c:pt idx="7">
                  <c:v>57.720970977752756</c:v>
                </c:pt>
                <c:pt idx="8">
                  <c:v>61.890916250731067</c:v>
                </c:pt>
                <c:pt idx="9">
                  <c:v>57.720970977752756</c:v>
                </c:pt>
                <c:pt idx="10">
                  <c:v>57.720970977752756</c:v>
                </c:pt>
                <c:pt idx="11">
                  <c:v>61.890916250731067</c:v>
                </c:pt>
                <c:pt idx="12">
                  <c:v>57.720970977752756</c:v>
                </c:pt>
                <c:pt idx="13">
                  <c:v>66.067095156055515</c:v>
                </c:pt>
                <c:pt idx="14">
                  <c:v>57.720970977752756</c:v>
                </c:pt>
                <c:pt idx="15">
                  <c:v>57.720970977752756</c:v>
                </c:pt>
                <c:pt idx="16">
                  <c:v>61.890916250731067</c:v>
                </c:pt>
                <c:pt idx="17">
                  <c:v>57.720970977752756</c:v>
                </c:pt>
                <c:pt idx="18">
                  <c:v>66.067095156055515</c:v>
                </c:pt>
                <c:pt idx="19">
                  <c:v>61.890916250731067</c:v>
                </c:pt>
                <c:pt idx="20">
                  <c:v>61.890916250731067</c:v>
                </c:pt>
                <c:pt idx="21">
                  <c:v>66.067095156055515</c:v>
                </c:pt>
                <c:pt idx="22">
                  <c:v>61.890916250731067</c:v>
                </c:pt>
                <c:pt idx="23">
                  <c:v>61.890916250731067</c:v>
                </c:pt>
                <c:pt idx="24">
                  <c:v>61.890916250731067</c:v>
                </c:pt>
                <c:pt idx="25">
                  <c:v>66.067095156055515</c:v>
                </c:pt>
                <c:pt idx="26">
                  <c:v>61.890916250731067</c:v>
                </c:pt>
                <c:pt idx="27">
                  <c:v>66.067095156055515</c:v>
                </c:pt>
                <c:pt idx="28">
                  <c:v>70.249501035104061</c:v>
                </c:pt>
                <c:pt idx="29">
                  <c:v>70.249501035104061</c:v>
                </c:pt>
                <c:pt idx="30">
                  <c:v>70.249501035104061</c:v>
                </c:pt>
                <c:pt idx="31">
                  <c:v>74.438127230453844</c:v>
                </c:pt>
                <c:pt idx="32">
                  <c:v>70.249501035104061</c:v>
                </c:pt>
                <c:pt idx="33">
                  <c:v>74.438127230453844</c:v>
                </c:pt>
                <c:pt idx="34">
                  <c:v>78.63296708590812</c:v>
                </c:pt>
                <c:pt idx="35">
                  <c:v>78.63296708590812</c:v>
                </c:pt>
                <c:pt idx="36">
                  <c:v>82.83401394652347</c:v>
                </c:pt>
                <c:pt idx="37">
                  <c:v>82.83401394652347</c:v>
                </c:pt>
                <c:pt idx="38">
                  <c:v>87.04126115863663</c:v>
                </c:pt>
                <c:pt idx="39">
                  <c:v>87.04126115863663</c:v>
                </c:pt>
                <c:pt idx="40">
                  <c:v>82.83401394652347</c:v>
                </c:pt>
                <c:pt idx="41">
                  <c:v>91.254702069891636</c:v>
                </c:pt>
                <c:pt idx="42">
                  <c:v>91.254702069891636</c:v>
                </c:pt>
                <c:pt idx="43">
                  <c:v>91.254702069891636</c:v>
                </c:pt>
                <c:pt idx="44">
                  <c:v>91.254702069891636</c:v>
                </c:pt>
                <c:pt idx="45">
                  <c:v>91.254702069891636</c:v>
                </c:pt>
                <c:pt idx="46">
                  <c:v>95.474330029266582</c:v>
                </c:pt>
                <c:pt idx="47">
                  <c:v>95.474330029266582</c:v>
                </c:pt>
                <c:pt idx="48">
                  <c:v>91.254702069891636</c:v>
                </c:pt>
                <c:pt idx="49">
                  <c:v>95.474330029266582</c:v>
                </c:pt>
                <c:pt idx="50">
                  <c:v>103.93212049511982</c:v>
                </c:pt>
                <c:pt idx="51">
                  <c:v>95.474330029266582</c:v>
                </c:pt>
                <c:pt idx="52">
                  <c:v>103.93212049511982</c:v>
                </c:pt>
                <c:pt idx="53">
                  <c:v>99.700138387100452</c:v>
                </c:pt>
                <c:pt idx="54">
                  <c:v>99.700138387100452</c:v>
                </c:pt>
                <c:pt idx="55">
                  <c:v>95.474330029266582</c:v>
                </c:pt>
                <c:pt idx="56">
                  <c:v>99.700138387100452</c:v>
                </c:pt>
                <c:pt idx="57">
                  <c:v>99.700138387100452</c:v>
                </c:pt>
                <c:pt idx="58">
                  <c:v>99.700138387100452</c:v>
                </c:pt>
                <c:pt idx="59">
                  <c:v>103.93212049511982</c:v>
                </c:pt>
                <c:pt idx="60">
                  <c:v>103.93212049511982</c:v>
                </c:pt>
                <c:pt idx="61">
                  <c:v>103.93212049511982</c:v>
                </c:pt>
                <c:pt idx="62">
                  <c:v>112.41457937571926</c:v>
                </c:pt>
                <c:pt idx="63">
                  <c:v>116.66504285893015</c:v>
                </c:pt>
                <c:pt idx="64">
                  <c:v>103.93212049511982</c:v>
                </c:pt>
                <c:pt idx="65">
                  <c:v>112.41457937571926</c:v>
                </c:pt>
                <c:pt idx="66">
                  <c:v>112.41457937571926</c:v>
                </c:pt>
                <c:pt idx="67">
                  <c:v>112.41457937571926</c:v>
                </c:pt>
                <c:pt idx="68">
                  <c:v>112.41457937571926</c:v>
                </c:pt>
                <c:pt idx="69">
                  <c:v>116.66504285893015</c:v>
                </c:pt>
                <c:pt idx="70">
                  <c:v>116.66504285893015</c:v>
                </c:pt>
                <c:pt idx="71">
                  <c:v>120.92165351364117</c:v>
                </c:pt>
                <c:pt idx="72">
                  <c:v>120.92165351364117</c:v>
                </c:pt>
                <c:pt idx="73">
                  <c:v>125.18440469891527</c:v>
                </c:pt>
                <c:pt idx="74">
                  <c:v>129.45328977536229</c:v>
                </c:pt>
                <c:pt idx="75">
                  <c:v>125.18440469891527</c:v>
                </c:pt>
                <c:pt idx="76">
                  <c:v>125.18440469891527</c:v>
                </c:pt>
                <c:pt idx="77">
                  <c:v>125.18440469891527</c:v>
                </c:pt>
                <c:pt idx="78">
                  <c:v>129.45328977536229</c:v>
                </c:pt>
                <c:pt idx="79">
                  <c:v>129.45328977536229</c:v>
                </c:pt>
                <c:pt idx="80">
                  <c:v>138.00943505210341</c:v>
                </c:pt>
                <c:pt idx="81">
                  <c:v>133.7283021051646</c:v>
                </c:pt>
                <c:pt idx="82">
                  <c:v>133.7283021051646</c:v>
                </c:pt>
                <c:pt idx="83">
                  <c:v>138.00943505210341</c:v>
                </c:pt>
                <c:pt idx="84">
                  <c:v>129.45328977536229</c:v>
                </c:pt>
                <c:pt idx="85">
                  <c:v>138.00943505210341</c:v>
                </c:pt>
                <c:pt idx="86">
                  <c:v>142.29668198158512</c:v>
                </c:pt>
                <c:pt idx="87">
                  <c:v>146.59003626066703</c:v>
                </c:pt>
                <c:pt idx="88">
                  <c:v>142.29668198158512</c:v>
                </c:pt>
                <c:pt idx="89">
                  <c:v>146.59003626066703</c:v>
                </c:pt>
                <c:pt idx="90">
                  <c:v>150.88949125808367</c:v>
                </c:pt>
                <c:pt idx="91">
                  <c:v>146.59003626066703</c:v>
                </c:pt>
                <c:pt idx="92">
                  <c:v>146.59003626066703</c:v>
                </c:pt>
                <c:pt idx="93">
                  <c:v>155.195040344272</c:v>
                </c:pt>
                <c:pt idx="94">
                  <c:v>155.195040344272</c:v>
                </c:pt>
                <c:pt idx="95">
                  <c:v>155.195040344272</c:v>
                </c:pt>
                <c:pt idx="96">
                  <c:v>163.82439427338207</c:v>
                </c:pt>
                <c:pt idx="97">
                  <c:v>159.50667689139809</c:v>
                </c:pt>
                <c:pt idx="98">
                  <c:v>163.82439427338207</c:v>
                </c:pt>
                <c:pt idx="99">
                  <c:v>168.14818586592432</c:v>
                </c:pt>
                <c:pt idx="100">
                  <c:v>172.47804504653078</c:v>
                </c:pt>
                <c:pt idx="101">
                  <c:v>176.81396519453855</c:v>
                </c:pt>
                <c:pt idx="102">
                  <c:v>176.81396519453855</c:v>
                </c:pt>
                <c:pt idx="103">
                  <c:v>198.58424885377522</c:v>
                </c:pt>
                <c:pt idx="104">
                  <c:v>189.85802526434165</c:v>
                </c:pt>
                <c:pt idx="105">
                  <c:v>207.33455757840622</c:v>
                </c:pt>
                <c:pt idx="106">
                  <c:v>207.33455757840622</c:v>
                </c:pt>
                <c:pt idx="107">
                  <c:v>211.71872734985874</c:v>
                </c:pt>
                <c:pt idx="108">
                  <c:v>224.90721907052409</c:v>
                </c:pt>
                <c:pt idx="109">
                  <c:v>233.72946623972933</c:v>
                </c:pt>
                <c:pt idx="110">
                  <c:v>229.31535511668108</c:v>
                </c:pt>
                <c:pt idx="111">
                  <c:v>251.44552968626385</c:v>
                </c:pt>
                <c:pt idx="112">
                  <c:v>247.00758415737559</c:v>
                </c:pt>
                <c:pt idx="113">
                  <c:v>269.25666737459142</c:v>
                </c:pt>
                <c:pt idx="114">
                  <c:v>269.25666737459142</c:v>
                </c:pt>
                <c:pt idx="115">
                  <c:v>278.19775748413133</c:v>
                </c:pt>
                <c:pt idx="116">
                  <c:v>269.25666737459142</c:v>
                </c:pt>
                <c:pt idx="117">
                  <c:v>278.19775748413133</c:v>
                </c:pt>
                <c:pt idx="118">
                  <c:v>287.16245833955907</c:v>
                </c:pt>
                <c:pt idx="119">
                  <c:v>296.15071741630351</c:v>
                </c:pt>
                <c:pt idx="120">
                  <c:v>300.65366488462064</c:v>
                </c:pt>
                <c:pt idx="121">
                  <c:v>291.65364638150396</c:v>
                </c:pt>
                <c:pt idx="122">
                  <c:v>323.25631933116341</c:v>
                </c:pt>
                <c:pt idx="123">
                  <c:v>323.25631933116341</c:v>
                </c:pt>
                <c:pt idx="124">
                  <c:v>336.88800996570592</c:v>
                </c:pt>
                <c:pt idx="125">
                  <c:v>341.4435505919692</c:v>
                </c:pt>
                <c:pt idx="126">
                  <c:v>346.00490220179296</c:v>
                </c:pt>
                <c:pt idx="127">
                  <c:v>378.0965228318023</c:v>
                </c:pt>
                <c:pt idx="128">
                  <c:v>378.0965228318023</c:v>
                </c:pt>
                <c:pt idx="129">
                  <c:v>391.93658716091977</c:v>
                </c:pt>
                <c:pt idx="130">
                  <c:v>415.11806064955596</c:v>
                </c:pt>
                <c:pt idx="131">
                  <c:v>457.20370066586736</c:v>
                </c:pt>
                <c:pt idx="132">
                  <c:v>476.05557376989634</c:v>
                </c:pt>
                <c:pt idx="133">
                  <c:v>485.51527303790886</c:v>
                </c:pt>
                <c:pt idx="134">
                  <c:v>514.02880375063944</c:v>
                </c:pt>
                <c:pt idx="135">
                  <c:v>518.80059619730889</c:v>
                </c:pt>
                <c:pt idx="136">
                  <c:v>523.57795362542549</c:v>
                </c:pt>
                <c:pt idx="137">
                  <c:v>528.3608696258741</c:v>
                </c:pt>
                <c:pt idx="138">
                  <c:v>537.9433517252387</c:v>
                </c:pt>
                <c:pt idx="139">
                  <c:v>552.35860414591502</c:v>
                </c:pt>
                <c:pt idx="140">
                  <c:v>552.35860414591502</c:v>
                </c:pt>
                <c:pt idx="141">
                  <c:v>557.17473719089662</c:v>
                </c:pt>
                <c:pt idx="142">
                  <c:v>566.82353833065554</c:v>
                </c:pt>
                <c:pt idx="143">
                  <c:v>571.65619366932435</c:v>
                </c:pt>
                <c:pt idx="144">
                  <c:v>581.33798202208641</c:v>
                </c:pt>
                <c:pt idx="145">
                  <c:v>581.33798202208641</c:v>
                </c:pt>
                <c:pt idx="146">
                  <c:v>644.80182603853564</c:v>
                </c:pt>
                <c:pt idx="147">
                  <c:v>644.80182603853564</c:v>
                </c:pt>
                <c:pt idx="148">
                  <c:v>654.64683559871992</c:v>
                </c:pt>
                <c:pt idx="149">
                  <c:v>659.57742394444392</c:v>
                </c:pt>
                <c:pt idx="150">
                  <c:v>664.51339293017315</c:v>
                </c:pt>
                <c:pt idx="151">
                  <c:v>664.51339293017315</c:v>
                </c:pt>
                <c:pt idx="152">
                  <c:v>669.45473625820421</c:v>
                </c:pt>
                <c:pt idx="153">
                  <c:v>694.24184790177958</c:v>
                </c:pt>
                <c:pt idx="154">
                  <c:v>709.17820484433594</c:v>
                </c:pt>
                <c:pt idx="155">
                  <c:v>739.19433195899592</c:v>
                </c:pt>
                <c:pt idx="156">
                  <c:v>754.27376489426126</c:v>
                </c:pt>
                <c:pt idx="157">
                  <c:v>774.45331034421019</c:v>
                </c:pt>
                <c:pt idx="158">
                  <c:v>789.64297822704646</c:v>
                </c:pt>
                <c:pt idx="159">
                  <c:v>799.79552519412664</c:v>
                </c:pt>
                <c:pt idx="160">
                  <c:v>804.87961063438229</c:v>
                </c:pt>
                <c:pt idx="161">
                  <c:v>825.26788804024272</c:v>
                </c:pt>
                <c:pt idx="162">
                  <c:v>835.49310183399359</c:v>
                </c:pt>
                <c:pt idx="163">
                  <c:v>835.49310183399359</c:v>
                </c:pt>
                <c:pt idx="164">
                  <c:v>845.73896671594616</c:v>
                </c:pt>
                <c:pt idx="165">
                  <c:v>850.86962795688692</c:v>
                </c:pt>
                <c:pt idx="166">
                  <c:v>850.86962795688692</c:v>
                </c:pt>
                <c:pt idx="167">
                  <c:v>856.0054335494583</c:v>
                </c:pt>
                <c:pt idx="168">
                  <c:v>866.29245327252238</c:v>
                </c:pt>
                <c:pt idx="169">
                  <c:v>881.76141238676519</c:v>
                </c:pt>
                <c:pt idx="170">
                  <c:v>886.92795551512211</c:v>
                </c:pt>
                <c:pt idx="171">
                  <c:v>897.27634028780574</c:v>
                </c:pt>
                <c:pt idx="172">
                  <c:v>923.23625935882967</c:v>
                </c:pt>
                <c:pt idx="173">
                  <c:v>944.09529239731967</c:v>
                </c:pt>
                <c:pt idx="174">
                  <c:v>954.55504152792912</c:v>
                </c:pt>
                <c:pt idx="175">
                  <c:v>965.03488126461923</c:v>
                </c:pt>
                <c:pt idx="176">
                  <c:v>991.32206054725373</c:v>
                </c:pt>
                <c:pt idx="177">
                  <c:v>996.59446198491787</c:v>
                </c:pt>
                <c:pt idx="178">
                  <c:v>1001.871837940022</c:v>
                </c:pt>
                <c:pt idx="179">
                  <c:v>1007.1541824185057</c:v>
                </c:pt>
                <c:pt idx="180">
                  <c:v>1023.0309671294472</c:v>
                </c:pt>
                <c:pt idx="181">
                  <c:v>1028.3331258620142</c:v>
                </c:pt>
                <c:pt idx="182">
                  <c:v>1033.6402232236346</c:v>
                </c:pt>
                <c:pt idx="183">
                  <c:v>1033.6402232236346</c:v>
                </c:pt>
                <c:pt idx="184">
                  <c:v>1038.952253250719</c:v>
                </c:pt>
                <c:pt idx="185">
                  <c:v>1092.3425418059824</c:v>
                </c:pt>
                <c:pt idx="186">
                  <c:v>1167.9053589077171</c:v>
                </c:pt>
                <c:pt idx="187">
                  <c:v>1173.3387825649461</c:v>
                </c:pt>
                <c:pt idx="188">
                  <c:v>1178.7769856620828</c:v>
                </c:pt>
                <c:pt idx="189">
                  <c:v>1200.5774760965946</c:v>
                </c:pt>
                <c:pt idx="190">
                  <c:v>1200.5774760965946</c:v>
                </c:pt>
                <c:pt idx="191">
                  <c:v>1206.0394891757217</c:v>
                </c:pt>
                <c:pt idx="192">
                  <c:v>1211.5062468456167</c:v>
                </c:pt>
                <c:pt idx="193">
                  <c:v>1216.9777433170714</c:v>
                </c:pt>
                <c:pt idx="194">
                  <c:v>1222.4539728063237</c:v>
                </c:pt>
                <c:pt idx="195">
                  <c:v>1238.9110016251464</c:v>
                </c:pt>
                <c:pt idx="196">
                  <c:v>1244.4061054572232</c:v>
                </c:pt>
                <c:pt idx="197">
                  <c:v>1249.9059134703004</c:v>
                </c:pt>
                <c:pt idx="198">
                  <c:v>1249.9059134703004</c:v>
                </c:pt>
                <c:pt idx="199">
                  <c:v>1249.9059134703004</c:v>
                </c:pt>
                <c:pt idx="200">
                  <c:v>1266.4335051140895</c:v>
                </c:pt>
                <c:pt idx="201">
                  <c:v>1266.4335051140895</c:v>
                </c:pt>
                <c:pt idx="202">
                  <c:v>1271.9520723972896</c:v>
                </c:pt>
                <c:pt idx="203">
                  <c:v>1271.9520723972896</c:v>
                </c:pt>
                <c:pt idx="204">
                  <c:v>1283.003227685376</c:v>
                </c:pt>
                <c:pt idx="205">
                  <c:v>1283.003227685376</c:v>
                </c:pt>
                <c:pt idx="206">
                  <c:v>1294.0730391415591</c:v>
                </c:pt>
                <c:pt idx="207">
                  <c:v>1299.6149266557127</c:v>
                </c:pt>
                <c:pt idx="208">
                  <c:v>1310.7126367509097</c:v>
                </c:pt>
                <c:pt idx="209">
                  <c:v>1321.8288889934265</c:v>
                </c:pt>
                <c:pt idx="210">
                  <c:v>1366.4784117457959</c:v>
                </c:pt>
                <c:pt idx="211">
                  <c:v>1377.6866947443082</c:v>
                </c:pt>
                <c:pt idx="212">
                  <c:v>1394.5333629286181</c:v>
                </c:pt>
                <c:pt idx="213">
                  <c:v>1411.4209889088722</c:v>
                </c:pt>
                <c:pt idx="214">
                  <c:v>1422.7020859567799</c:v>
                </c:pt>
                <c:pt idx="215">
                  <c:v>1428.3494216518604</c:v>
                </c:pt>
                <c:pt idx="216">
                  <c:v>1445.318510587472</c:v>
                </c:pt>
                <c:pt idx="217">
                  <c:v>1479.3780570806223</c:v>
                </c:pt>
                <c:pt idx="218">
                  <c:v>1496.4682158267644</c:v>
                </c:pt>
                <c:pt idx="219">
                  <c:v>1496.4682158267644</c:v>
                </c:pt>
                <c:pt idx="220">
                  <c:v>1536.5007801017907</c:v>
                </c:pt>
                <c:pt idx="221">
                  <c:v>1542.2374119990202</c:v>
                </c:pt>
                <c:pt idx="222">
                  <c:v>1542.2374119990202</c:v>
                </c:pt>
                <c:pt idx="223">
                  <c:v>1559.4737287646187</c:v>
                </c:pt>
                <c:pt idx="224">
                  <c:v>1605.6300384394551</c:v>
                </c:pt>
                <c:pt idx="225">
                  <c:v>1611.4191977025766</c:v>
                </c:pt>
                <c:pt idx="226">
                  <c:v>1640.4300186262299</c:v>
                </c:pt>
                <c:pt idx="227">
                  <c:v>1663.7163831416265</c:v>
                </c:pt>
                <c:pt idx="228">
                  <c:v>1692.9209127694885</c:v>
                </c:pt>
                <c:pt idx="229">
                  <c:v>1710.4948815443258</c:v>
                </c:pt>
                <c:pt idx="230">
                  <c:v>1710.4948815443258</c:v>
                </c:pt>
                <c:pt idx="231">
                  <c:v>1751.6493655608406</c:v>
                </c:pt>
                <c:pt idx="232">
                  <c:v>1757.5454783008311</c:v>
                </c:pt>
                <c:pt idx="233">
                  <c:v>1757.5454783008311</c:v>
                </c:pt>
                <c:pt idx="234">
                  <c:v>1769.35032689798</c:v>
                </c:pt>
                <c:pt idx="235">
                  <c:v>1769.35032689798</c:v>
                </c:pt>
                <c:pt idx="236">
                  <c:v>1793.0103703263565</c:v>
                </c:pt>
                <c:pt idx="237">
                  <c:v>1798.9358395865763</c:v>
                </c:pt>
                <c:pt idx="238">
                  <c:v>1810.7992918104371</c:v>
                </c:pt>
                <c:pt idx="239">
                  <c:v>1816.7372644037046</c:v>
                </c:pt>
                <c:pt idx="240">
                  <c:v>1882.3282180116573</c:v>
                </c:pt>
                <c:pt idx="241">
                  <c:v>1882.3282180116573</c:v>
                </c:pt>
                <c:pt idx="242">
                  <c:v>1888.3157397047237</c:v>
                </c:pt>
                <c:pt idx="243">
                  <c:v>1894.30735717018</c:v>
                </c:pt>
                <c:pt idx="244">
                  <c:v>1900.3030653101061</c:v>
                </c:pt>
                <c:pt idx="245">
                  <c:v>1906.3028590326169</c:v>
                </c:pt>
                <c:pt idx="246">
                  <c:v>1918.3146828880169</c:v>
                </c:pt>
                <c:pt idx="247">
                  <c:v>1954.4476807511412</c:v>
                </c:pt>
                <c:pt idx="248">
                  <c:v>2027.1489177923543</c:v>
                </c:pt>
                <c:pt idx="249">
                  <c:v>2039.32174373765</c:v>
                </c:pt>
                <c:pt idx="250">
                  <c:v>2082.0514345972879</c:v>
                </c:pt>
                <c:pt idx="251">
                  <c:v>2094.2954122132587</c:v>
                </c:pt>
                <c:pt idx="252">
                  <c:v>2112.6908101756885</c:v>
                </c:pt>
                <c:pt idx="253">
                  <c:v>2137.2727412365907</c:v>
                </c:pt>
                <c:pt idx="254">
                  <c:v>2161.9169398601312</c:v>
                </c:pt>
                <c:pt idx="255">
                  <c:v>2174.2622926311897</c:v>
                </c:pt>
                <c:pt idx="256">
                  <c:v>2186.623096234583</c:v>
                </c:pt>
                <c:pt idx="257">
                  <c:v>2217.5924503192637</c:v>
                </c:pt>
                <c:pt idx="258">
                  <c:v>2236.2200507366765</c:v>
                </c:pt>
                <c:pt idx="259">
                  <c:v>2286.0611572291796</c:v>
                </c:pt>
                <c:pt idx="260">
                  <c:v>2298.5592981404257</c:v>
                </c:pt>
                <c:pt idx="261">
                  <c:v>2329.8705011229695</c:v>
                </c:pt>
                <c:pt idx="262">
                  <c:v>2329.8705011229695</c:v>
                </c:pt>
                <c:pt idx="263">
                  <c:v>2373.8633110592295</c:v>
                </c:pt>
                <c:pt idx="264">
                  <c:v>2380.1628819421226</c:v>
                </c:pt>
                <c:pt idx="265">
                  <c:v>2386.4661598739426</c:v>
                </c:pt>
                <c:pt idx="266">
                  <c:v>2449.7018146846394</c:v>
                </c:pt>
                <c:pt idx="267">
                  <c:v>2449.7018146846394</c:v>
                </c:pt>
                <c:pt idx="268">
                  <c:v>2494.1846151021073</c:v>
                </c:pt>
                <c:pt idx="269">
                  <c:v>2506.9266786291846</c:v>
                </c:pt>
                <c:pt idx="270">
                  <c:v>2506.9266786291846</c:v>
                </c:pt>
                <c:pt idx="271">
                  <c:v>2506.9266786291846</c:v>
                </c:pt>
                <c:pt idx="272">
                  <c:v>2519.6832057629631</c:v>
                </c:pt>
                <c:pt idx="273">
                  <c:v>2532.4541605704121</c:v>
                </c:pt>
                <c:pt idx="274">
                  <c:v>2564.4444337116006</c:v>
                </c:pt>
                <c:pt idx="275">
                  <c:v>2570.8532331352421</c:v>
                </c:pt>
                <c:pt idx="276">
                  <c:v>2635.1369147671503</c:v>
                </c:pt>
                <c:pt idx="277">
                  <c:v>2673.8767084093988</c:v>
                </c:pt>
                <c:pt idx="278">
                  <c:v>2693.2939271632945</c:v>
                </c:pt>
                <c:pt idx="279">
                  <c:v>2693.2939271632945</c:v>
                </c:pt>
                <c:pt idx="280">
                  <c:v>2725.7256602949683</c:v>
                </c:pt>
                <c:pt idx="281">
                  <c:v>2758.2440540656225</c:v>
                </c:pt>
                <c:pt idx="282">
                  <c:v>2764.7580849338487</c:v>
                </c:pt>
                <c:pt idx="283">
                  <c:v>2784.3208049605328</c:v>
                </c:pt>
                <c:pt idx="284">
                  <c:v>2797.3797653206225</c:v>
                </c:pt>
                <c:pt idx="285">
                  <c:v>2797.3797653206225</c:v>
                </c:pt>
                <c:pt idx="286">
                  <c:v>2803.914376881185</c:v>
                </c:pt>
                <c:pt idx="287">
                  <c:v>2823.5386863536387</c:v>
                </c:pt>
                <c:pt idx="288">
                  <c:v>2843.1936195074222</c:v>
                </c:pt>
                <c:pt idx="289">
                  <c:v>2902.3410294080063</c:v>
                </c:pt>
                <c:pt idx="290">
                  <c:v>2908.9297819061057</c:v>
                </c:pt>
                <c:pt idx="291">
                  <c:v>2922.1173279836808</c:v>
                </c:pt>
                <c:pt idx="292">
                  <c:v>2935.3182346612375</c:v>
                </c:pt>
                <c:pt idx="293">
                  <c:v>2941.9236879308828</c:v>
                </c:pt>
                <c:pt idx="294">
                  <c:v>3028.0959236695635</c:v>
                </c:pt>
                <c:pt idx="295">
                  <c:v>3041.4025373793984</c:v>
                </c:pt>
                <c:pt idx="296">
                  <c:v>3041.4025373793984</c:v>
                </c:pt>
                <c:pt idx="297">
                  <c:v>3041.4025373793984</c:v>
                </c:pt>
                <c:pt idx="298">
                  <c:v>3088.0783816736866</c:v>
                </c:pt>
                <c:pt idx="299">
                  <c:v>3094.7593468883738</c:v>
                </c:pt>
                <c:pt idx="300">
                  <c:v>3094.7593468883738</c:v>
                </c:pt>
                <c:pt idx="301">
                  <c:v>3114.8216361082837</c:v>
                </c:pt>
                <c:pt idx="302">
                  <c:v>3134.9129324769142</c:v>
                </c:pt>
                <c:pt idx="303">
                  <c:v>3168.4625973989746</c:v>
                </c:pt>
                <c:pt idx="304">
                  <c:v>3188.6307261861925</c:v>
                </c:pt>
                <c:pt idx="305">
                  <c:v>3202.0920510087217</c:v>
                </c:pt>
                <c:pt idx="306">
                  <c:v>3222.3078188916197</c:v>
                </c:pt>
                <c:pt idx="307">
                  <c:v>3229.0527341828883</c:v>
                </c:pt>
                <c:pt idx="308">
                  <c:v>3229.0527341828883</c:v>
                </c:pt>
                <c:pt idx="309">
                  <c:v>3229.0527341828883</c:v>
                </c:pt>
                <c:pt idx="310">
                  <c:v>3242.5520305632735</c:v>
                </c:pt>
                <c:pt idx="311">
                  <c:v>3256.0639223061885</c:v>
                </c:pt>
                <c:pt idx="312">
                  <c:v>3262.8245818213541</c:v>
                </c:pt>
                <c:pt idx="313">
                  <c:v>3262.8245818213541</c:v>
                </c:pt>
                <c:pt idx="314">
                  <c:v>3262.8245818213541</c:v>
                </c:pt>
                <c:pt idx="315">
                  <c:v>3276.3553089529323</c:v>
                </c:pt>
                <c:pt idx="316">
                  <c:v>3289.8985547022598</c:v>
                </c:pt>
                <c:pt idx="317">
                  <c:v>3296.6748625102528</c:v>
                </c:pt>
                <c:pt idx="318">
                  <c:v>3296.6748625102528</c:v>
                </c:pt>
                <c:pt idx="319">
                  <c:v>3310.2368289443289</c:v>
                </c:pt>
                <c:pt idx="320">
                  <c:v>3364.6088161095827</c:v>
                </c:pt>
                <c:pt idx="321">
                  <c:v>3398.6915441149126</c:v>
                </c:pt>
                <c:pt idx="322">
                  <c:v>3419.177951427147</c:v>
                </c:pt>
                <c:pt idx="323">
                  <c:v>3432.8508153278067</c:v>
                </c:pt>
                <c:pt idx="324">
                  <c:v>3432.8508153278067</c:v>
                </c:pt>
                <c:pt idx="325">
                  <c:v>3446.535851869337</c:v>
                </c:pt>
                <c:pt idx="326">
                  <c:v>3453.3829256449071</c:v>
                </c:pt>
                <c:pt idx="327">
                  <c:v>3480.8015048630582</c:v>
                </c:pt>
                <c:pt idx="328">
                  <c:v>3501.3971348740615</c:v>
                </c:pt>
                <c:pt idx="329">
                  <c:v>3501.3971348740615</c:v>
                </c:pt>
                <c:pt idx="330">
                  <c:v>3549.5586609370084</c:v>
                </c:pt>
                <c:pt idx="331">
                  <c:v>3563.3459807777394</c:v>
                </c:pt>
                <c:pt idx="332">
                  <c:v>3570.2441032843344</c:v>
                </c:pt>
                <c:pt idx="333">
                  <c:v>3584.0492554983816</c:v>
                </c:pt>
                <c:pt idx="334">
                  <c:v>3597.8662600795774</c:v>
                </c:pt>
                <c:pt idx="335">
                  <c:v>3632.4604381110885</c:v>
                </c:pt>
                <c:pt idx="336">
                  <c:v>3639.388102374362</c:v>
                </c:pt>
                <c:pt idx="337">
                  <c:v>3639.388102374362</c:v>
                </c:pt>
                <c:pt idx="338">
                  <c:v>3660.1886886777261</c:v>
                </c:pt>
                <c:pt idx="339">
                  <c:v>3660.1886886777261</c:v>
                </c:pt>
                <c:pt idx="340">
                  <c:v>3687.9637235861478</c:v>
                </c:pt>
                <c:pt idx="341">
                  <c:v>3694.914765988146</c:v>
                </c:pt>
                <c:pt idx="342">
                  <c:v>3799.5272295189898</c:v>
                </c:pt>
                <c:pt idx="343">
                  <c:v>3806.5243587738846</c:v>
                </c:pt>
                <c:pt idx="344">
                  <c:v>3848.5668892974372</c:v>
                </c:pt>
                <c:pt idx="345">
                  <c:v>3911.8215341446171</c:v>
                </c:pt>
                <c:pt idx="346">
                  <c:v>3918.8638751424987</c:v>
                </c:pt>
                <c:pt idx="347">
                  <c:v>3940.007667710468</c:v>
                </c:pt>
                <c:pt idx="348">
                  <c:v>3968.2383960418406</c:v>
                </c:pt>
                <c:pt idx="349">
                  <c:v>3989.4405801050166</c:v>
                </c:pt>
                <c:pt idx="350">
                  <c:v>3989.4405801050166</c:v>
                </c:pt>
                <c:pt idx="351">
                  <c:v>4024.8327907882626</c:v>
                </c:pt>
                <c:pt idx="352">
                  <c:v>4046.1011155112174</c:v>
                </c:pt>
                <c:pt idx="353">
                  <c:v>4053.19603725156</c:v>
                </c:pt>
                <c:pt idx="354">
                  <c:v>4060.2936936639262</c:v>
                </c:pt>
                <c:pt idx="355">
                  <c:v>4060.2936936639262</c:v>
                </c:pt>
                <c:pt idx="356">
                  <c:v>4060.2936936639262</c:v>
                </c:pt>
                <c:pt idx="357">
                  <c:v>4067.3940815090182</c:v>
                </c:pt>
                <c:pt idx="358">
                  <c:v>4067.3940815090182</c:v>
                </c:pt>
                <c:pt idx="359">
                  <c:v>4074.4971975524054</c:v>
                </c:pt>
                <c:pt idx="360">
                  <c:v>4081.6030385645031</c:v>
                </c:pt>
                <c:pt idx="361">
                  <c:v>4167.0845093021308</c:v>
                </c:pt>
                <c:pt idx="362">
                  <c:v>4188.515468661124</c:v>
                </c:pt>
                <c:pt idx="363">
                  <c:v>4202.8161499161697</c:v>
                </c:pt>
                <c:pt idx="364">
                  <c:v>4209.9704936044254</c:v>
                </c:pt>
                <c:pt idx="365">
                  <c:v>4217.1275018135784</c:v>
                </c:pt>
                <c:pt idx="366">
                  <c:v>4238.6144822522692</c:v>
                </c:pt>
                <c:pt idx="367">
                  <c:v>4252.9524011558733</c:v>
                </c:pt>
                <c:pt idx="368">
                  <c:v>4288.8434454578983</c:v>
                </c:pt>
                <c:pt idx="369">
                  <c:v>4288.8434454578983</c:v>
                </c:pt>
                <c:pt idx="370">
                  <c:v>4296.029557604269</c:v>
                </c:pt>
                <c:pt idx="371">
                  <c:v>4303.2182969767673</c:v>
                </c:pt>
                <c:pt idx="372">
                  <c:v>4310.4096604979168</c:v>
                </c:pt>
                <c:pt idx="373">
                  <c:v>4317.6036450949005</c:v>
                </c:pt>
                <c:pt idx="374">
                  <c:v>4324.8002476995389</c:v>
                </c:pt>
                <c:pt idx="375">
                  <c:v>4346.4057329472153</c:v>
                </c:pt>
                <c:pt idx="376">
                  <c:v>4360.8224237759277</c:v>
                </c:pt>
                <c:pt idx="377">
                  <c:v>4375.2495133925622</c:v>
                </c:pt>
                <c:pt idx="378">
                  <c:v>4382.4669501596591</c:v>
                </c:pt>
                <c:pt idx="379">
                  <c:v>4418.5929326547566</c:v>
                </c:pt>
                <c:pt idx="380">
                  <c:v>4425.8258677953399</c:v>
                </c:pt>
                <c:pt idx="381">
                  <c:v>4462.0290717482494</c:v>
                </c:pt>
                <c:pt idx="382">
                  <c:v>4469.2773972895875</c:v>
                </c:pt>
                <c:pt idx="383">
                  <c:v>4491.0376898777831</c:v>
                </c:pt>
                <c:pt idx="384">
                  <c:v>4491.0376898777831</c:v>
                </c:pt>
                <c:pt idx="385">
                  <c:v>4512.8208942360252</c:v>
                </c:pt>
                <c:pt idx="386">
                  <c:v>4512.8208942360252</c:v>
                </c:pt>
                <c:pt idx="387">
                  <c:v>4534.6269307265047</c:v>
                </c:pt>
                <c:pt idx="388">
                  <c:v>4541.9006696514816</c:v>
                </c:pt>
                <c:pt idx="389">
                  <c:v>4549.1769337414771</c:v>
                </c:pt>
                <c:pt idx="390">
                  <c:v>4556.4557200737345</c:v>
                </c:pt>
                <c:pt idx="391">
                  <c:v>4563.7370257299362</c:v>
                </c:pt>
                <c:pt idx="392">
                  <c:v>4600.1812420392898</c:v>
                </c:pt>
                <c:pt idx="393">
                  <c:v>4622.0778179049121</c:v>
                </c:pt>
                <c:pt idx="394">
                  <c:v>4709.8877417542408</c:v>
                </c:pt>
                <c:pt idx="395">
                  <c:v>4717.2212868848528</c:v>
                </c:pt>
                <c:pt idx="396">
                  <c:v>4768.6247198114525</c:v>
                </c:pt>
                <c:pt idx="397">
                  <c:v>4783.3333862843438</c:v>
                </c:pt>
                <c:pt idx="398">
                  <c:v>4783.3333862843438</c:v>
                </c:pt>
                <c:pt idx="399">
                  <c:v>4820.1475468585268</c:v>
                </c:pt>
                <c:pt idx="400">
                  <c:v>4820.1475468585268</c:v>
                </c:pt>
                <c:pt idx="401">
                  <c:v>4842.2650714196197</c:v>
                </c:pt>
                <c:pt idx="402">
                  <c:v>4857.0221369303508</c:v>
                </c:pt>
                <c:pt idx="403">
                  <c:v>4857.0221369303508</c:v>
                </c:pt>
                <c:pt idx="404">
                  <c:v>4864.4042761897581</c:v>
                </c:pt>
                <c:pt idx="405">
                  <c:v>4879.1757540302979</c:v>
                </c:pt>
                <c:pt idx="406">
                  <c:v>4908.7474306175363</c:v>
                </c:pt>
                <c:pt idx="407">
                  <c:v>4930.9512332501263</c:v>
                </c:pt>
                <c:pt idx="408">
                  <c:v>4945.7656540292319</c:v>
                </c:pt>
                <c:pt idx="409">
                  <c:v>5005.1179566531691</c:v>
                </c:pt>
                <c:pt idx="410">
                  <c:v>5005.1179566531691</c:v>
                </c:pt>
                <c:pt idx="411">
                  <c:v>5049.7309362213273</c:v>
                </c:pt>
                <c:pt idx="412">
                  <c:v>5072.0689652030569</c:v>
                </c:pt>
                <c:pt idx="413">
                  <c:v>5072.0689652030569</c:v>
                </c:pt>
                <c:pt idx="414">
                  <c:v>5079.5196297933435</c:v>
                </c:pt>
                <c:pt idx="415">
                  <c:v>5094.42792565122</c:v>
                </c:pt>
                <c:pt idx="416">
                  <c:v>5094.42792565122</c:v>
                </c:pt>
                <c:pt idx="417">
                  <c:v>5154.1536159646548</c:v>
                </c:pt>
                <c:pt idx="418">
                  <c:v>5154.1536159646548</c:v>
                </c:pt>
                <c:pt idx="419">
                  <c:v>5154.1536159646548</c:v>
                </c:pt>
                <c:pt idx="420">
                  <c:v>5191.5569134309553</c:v>
                </c:pt>
                <c:pt idx="421">
                  <c:v>5229.0173185003696</c:v>
                </c:pt>
                <c:pt idx="422">
                  <c:v>5229.0173185003696</c:v>
                </c:pt>
                <c:pt idx="423">
                  <c:v>5229.0173185003696</c:v>
                </c:pt>
                <c:pt idx="424">
                  <c:v>5266.5345127477285</c:v>
                </c:pt>
                <c:pt idx="425">
                  <c:v>5274.0447384482768</c:v>
                </c:pt>
                <c:pt idx="426">
                  <c:v>5274.0447384482768</c:v>
                </c:pt>
                <c:pt idx="427">
                  <c:v>5289.0719565462823</c:v>
                </c:pt>
                <c:pt idx="428">
                  <c:v>5304.1081801758701</c:v>
                </c:pt>
                <c:pt idx="429">
                  <c:v>5379.4236826154838</c:v>
                </c:pt>
                <c:pt idx="430">
                  <c:v>5454.9613457036457</c:v>
                </c:pt>
                <c:pt idx="431">
                  <c:v>5462.5272364909588</c:v>
                </c:pt>
                <c:pt idx="432">
                  <c:v>5523.1331703919477</c:v>
                </c:pt>
                <c:pt idx="433">
                  <c:v>5538.3064567078445</c:v>
                </c:pt>
                <c:pt idx="434">
                  <c:v>5606.6934211630796</c:v>
                </c:pt>
                <c:pt idx="435">
                  <c:v>5644.7615189011212</c:v>
                </c:pt>
                <c:pt idx="436">
                  <c:v>5682.8830593695784</c:v>
                </c:pt>
                <c:pt idx="437">
                  <c:v>5682.8830593695784</c:v>
                </c:pt>
                <c:pt idx="438">
                  <c:v>5713.4185752268395</c:v>
                </c:pt>
                <c:pt idx="439">
                  <c:v>5736.3424471420267</c:v>
                </c:pt>
                <c:pt idx="440">
                  <c:v>5759.2853087515059</c:v>
                </c:pt>
                <c:pt idx="441">
                  <c:v>5759.2853087515059</c:v>
                </c:pt>
                <c:pt idx="442">
                  <c:v>5789.9052238216927</c:v>
                </c:pt>
                <c:pt idx="443">
                  <c:v>5797.5654433038135</c:v>
                </c:pt>
                <c:pt idx="444">
                  <c:v>5805.2277545379493</c:v>
                </c:pt>
                <c:pt idx="445">
                  <c:v>5805.2277545379493</c:v>
                </c:pt>
                <c:pt idx="446">
                  <c:v>5905.0271260194913</c:v>
                </c:pt>
                <c:pt idx="447">
                  <c:v>5912.7184859544232</c:v>
                </c:pt>
                <c:pt idx="448">
                  <c:v>5912.7184859544232</c:v>
                </c:pt>
                <c:pt idx="449">
                  <c:v>5989.7449227569041</c:v>
                </c:pt>
                <c:pt idx="450">
                  <c:v>5989.7449227569041</c:v>
                </c:pt>
                <c:pt idx="451">
                  <c:v>5997.4588019015628</c:v>
                </c:pt>
                <c:pt idx="452">
                  <c:v>6066.9749875990774</c:v>
                </c:pt>
                <c:pt idx="453">
                  <c:v>6105.6657038013382</c:v>
                </c:pt>
                <c:pt idx="454">
                  <c:v>6152.1606706030661</c:v>
                </c:pt>
                <c:pt idx="455">
                  <c:v>6167.6749453527564</c:v>
                </c:pt>
                <c:pt idx="456">
                  <c:v>6183.1971682184803</c:v>
                </c:pt>
                <c:pt idx="457">
                  <c:v>6284.284196870497</c:v>
                </c:pt>
                <c:pt idx="458">
                  <c:v>6299.8654986668644</c:v>
                </c:pt>
                <c:pt idx="459">
                  <c:v>6315.4546074076461</c:v>
                </c:pt>
                <c:pt idx="460">
                  <c:v>6377.888785154295</c:v>
                </c:pt>
                <c:pt idx="461">
                  <c:v>6456.1052137827091</c:v>
                </c:pt>
                <c:pt idx="462">
                  <c:v>6456.1052137827091</c:v>
                </c:pt>
                <c:pt idx="463">
                  <c:v>6542.3639743223184</c:v>
                </c:pt>
                <c:pt idx="464">
                  <c:v>6770.8627305337322</c:v>
                </c:pt>
                <c:pt idx="465">
                  <c:v>7248.4660805541371</c:v>
                </c:pt>
                <c:pt idx="466">
                  <c:v>7409.0673576022473</c:v>
                </c:pt>
                <c:pt idx="467">
                  <c:v>8139.9684611991906</c:v>
                </c:pt>
                <c:pt idx="468">
                  <c:v>8427.6658312788531</c:v>
                </c:pt>
                <c:pt idx="469">
                  <c:v>8717.2050034010863</c:v>
                </c:pt>
                <c:pt idx="470">
                  <c:v>9050.2880114257769</c:v>
                </c:pt>
                <c:pt idx="471">
                  <c:v>9469.7939418974202</c:v>
                </c:pt>
                <c:pt idx="472">
                  <c:v>10833.440950930488</c:v>
                </c:pt>
                <c:pt idx="473">
                  <c:v>13025.059409166108</c:v>
                </c:pt>
                <c:pt idx="474">
                  <c:v>14045.107539661623</c:v>
                </c:pt>
                <c:pt idx="475">
                  <c:v>17116.864254064749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F7-455E-818E-E92B7E71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728632"/>
        <c:axId val="310729616"/>
      </c:scatterChart>
      <c:valAx>
        <c:axId val="310728632"/>
        <c:scaling>
          <c:orientation val="minMax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0729616"/>
        <c:crosses val="autoZero"/>
        <c:crossBetween val="midCat"/>
      </c:valAx>
      <c:valAx>
        <c:axId val="310729616"/>
        <c:scaling>
          <c:orientation val="minMax"/>
          <c:max val="22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Distance (Gpc)</a:t>
                </a:r>
              </a:p>
            </c:rich>
          </c:tx>
          <c:layout>
            <c:manualLayout>
              <c:xMode val="edge"/>
              <c:yMode val="edge"/>
              <c:x val="6.5594925634295696E-3"/>
              <c:y val="0.210167979002624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,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0728632"/>
        <c:crosses val="autoZero"/>
        <c:crossBetween val="midCat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2322993716694506"/>
          <c:y val="0.59958836395450565"/>
          <c:w val="0.24247534399109202"/>
          <c:h val="0.2002982002066092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71959755030622"/>
          <c:y val="2.2814204299228952E-2"/>
          <c:w val="0.79061373578302707"/>
          <c:h val="0.7948981610943491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Tau!$A$5:$A$101</c:f>
              <c:numCache>
                <c:formatCode>0.0</c:formatCode>
                <c:ptCount val="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</c:numCache>
            </c:numRef>
          </c:xVal>
          <c:yVal>
            <c:numRef>
              <c:f>Tau!$D$5:$D$101</c:f>
              <c:numCache>
                <c:formatCode>0.0</c:formatCode>
                <c:ptCount val="97"/>
                <c:pt idx="0">
                  <c:v>0</c:v>
                </c:pt>
                <c:pt idx="1">
                  <c:v>1.3</c:v>
                </c:pt>
                <c:pt idx="2">
                  <c:v>2.6999999999999997</c:v>
                </c:pt>
                <c:pt idx="3">
                  <c:v>4.1999999999999993</c:v>
                </c:pt>
                <c:pt idx="4">
                  <c:v>5.7999999999999989</c:v>
                </c:pt>
                <c:pt idx="5">
                  <c:v>7.4999999999999991</c:v>
                </c:pt>
                <c:pt idx="6">
                  <c:v>9.3000000000000007</c:v>
                </c:pt>
                <c:pt idx="7">
                  <c:v>11.200000000000001</c:v>
                </c:pt>
                <c:pt idx="8">
                  <c:v>13.200000000000001</c:v>
                </c:pt>
                <c:pt idx="9">
                  <c:v>15.3</c:v>
                </c:pt>
                <c:pt idx="10">
                  <c:v>17.5</c:v>
                </c:pt>
                <c:pt idx="11">
                  <c:v>19.8</c:v>
                </c:pt>
                <c:pt idx="12">
                  <c:v>22.2</c:v>
                </c:pt>
                <c:pt idx="13">
                  <c:v>24.7</c:v>
                </c:pt>
                <c:pt idx="14">
                  <c:v>27.3</c:v>
                </c:pt>
                <c:pt idx="15">
                  <c:v>30</c:v>
                </c:pt>
                <c:pt idx="16">
                  <c:v>32.799999999999997</c:v>
                </c:pt>
                <c:pt idx="17">
                  <c:v>35.699999999999996</c:v>
                </c:pt>
                <c:pt idx="18">
                  <c:v>38.699999999999996</c:v>
                </c:pt>
                <c:pt idx="19">
                  <c:v>41.8</c:v>
                </c:pt>
                <c:pt idx="20">
                  <c:v>45</c:v>
                </c:pt>
                <c:pt idx="21">
                  <c:v>48.3</c:v>
                </c:pt>
                <c:pt idx="22">
                  <c:v>51.699999999999996</c:v>
                </c:pt>
                <c:pt idx="23">
                  <c:v>55.199999999999996</c:v>
                </c:pt>
                <c:pt idx="24">
                  <c:v>58.8</c:v>
                </c:pt>
                <c:pt idx="25">
                  <c:v>62.5</c:v>
                </c:pt>
                <c:pt idx="26">
                  <c:v>66.3</c:v>
                </c:pt>
                <c:pt idx="27">
                  <c:v>70.2</c:v>
                </c:pt>
                <c:pt idx="28">
                  <c:v>74.2</c:v>
                </c:pt>
                <c:pt idx="29">
                  <c:v>78.3</c:v>
                </c:pt>
                <c:pt idx="30">
                  <c:v>82.5</c:v>
                </c:pt>
                <c:pt idx="31">
                  <c:v>86.8</c:v>
                </c:pt>
                <c:pt idx="32">
                  <c:v>91.2</c:v>
                </c:pt>
                <c:pt idx="33">
                  <c:v>95.7</c:v>
                </c:pt>
                <c:pt idx="34">
                  <c:v>100.3</c:v>
                </c:pt>
                <c:pt idx="35">
                  <c:v>105</c:v>
                </c:pt>
                <c:pt idx="36">
                  <c:v>109.8</c:v>
                </c:pt>
                <c:pt idx="37">
                  <c:v>114.7</c:v>
                </c:pt>
                <c:pt idx="38">
                  <c:v>119.7</c:v>
                </c:pt>
                <c:pt idx="39">
                  <c:v>124.8</c:v>
                </c:pt>
                <c:pt idx="40">
                  <c:v>130</c:v>
                </c:pt>
                <c:pt idx="41">
                  <c:v>135.30000000000001</c:v>
                </c:pt>
                <c:pt idx="42">
                  <c:v>140.70000000000002</c:v>
                </c:pt>
                <c:pt idx="43">
                  <c:v>146.20000000000002</c:v>
                </c:pt>
                <c:pt idx="44">
                  <c:v>151.80000000000001</c:v>
                </c:pt>
                <c:pt idx="45">
                  <c:v>157.5</c:v>
                </c:pt>
                <c:pt idx="46">
                  <c:v>163.30000000000001</c:v>
                </c:pt>
                <c:pt idx="47">
                  <c:v>169.20000000000002</c:v>
                </c:pt>
                <c:pt idx="48">
                  <c:v>175.20000000000002</c:v>
                </c:pt>
                <c:pt idx="49">
                  <c:v>181.3</c:v>
                </c:pt>
                <c:pt idx="50">
                  <c:v>187.5</c:v>
                </c:pt>
                <c:pt idx="51">
                  <c:v>193.8</c:v>
                </c:pt>
                <c:pt idx="52">
                  <c:v>200.20000000000002</c:v>
                </c:pt>
                <c:pt idx="53">
                  <c:v>206.70000000000002</c:v>
                </c:pt>
                <c:pt idx="54">
                  <c:v>213.3</c:v>
                </c:pt>
                <c:pt idx="55">
                  <c:v>220</c:v>
                </c:pt>
                <c:pt idx="56">
                  <c:v>226.8</c:v>
                </c:pt>
                <c:pt idx="57">
                  <c:v>233.70000000000002</c:v>
                </c:pt>
                <c:pt idx="58">
                  <c:v>240.70000000000002</c:v>
                </c:pt>
                <c:pt idx="59">
                  <c:v>247.8</c:v>
                </c:pt>
                <c:pt idx="60">
                  <c:v>255</c:v>
                </c:pt>
                <c:pt idx="61">
                  <c:v>262.3</c:v>
                </c:pt>
                <c:pt idx="62">
                  <c:v>269.7</c:v>
                </c:pt>
                <c:pt idx="63">
                  <c:v>277.2</c:v>
                </c:pt>
                <c:pt idx="64">
                  <c:v>284.8</c:v>
                </c:pt>
                <c:pt idx="65">
                  <c:v>292.5</c:v>
                </c:pt>
                <c:pt idx="66">
                  <c:v>300.3</c:v>
                </c:pt>
                <c:pt idx="67">
                  <c:v>308.2</c:v>
                </c:pt>
                <c:pt idx="68">
                  <c:v>316.2</c:v>
                </c:pt>
                <c:pt idx="69">
                  <c:v>324.3</c:v>
                </c:pt>
                <c:pt idx="70">
                  <c:v>332.5</c:v>
                </c:pt>
                <c:pt idx="71">
                  <c:v>340.8</c:v>
                </c:pt>
                <c:pt idx="72">
                  <c:v>349.2</c:v>
                </c:pt>
                <c:pt idx="73">
                  <c:v>357.7</c:v>
                </c:pt>
                <c:pt idx="74">
                  <c:v>366.3</c:v>
                </c:pt>
                <c:pt idx="75">
                  <c:v>375</c:v>
                </c:pt>
                <c:pt idx="76">
                  <c:v>383.8</c:v>
                </c:pt>
                <c:pt idx="77">
                  <c:v>392.7</c:v>
                </c:pt>
                <c:pt idx="78">
                  <c:v>401.7</c:v>
                </c:pt>
                <c:pt idx="79">
                  <c:v>410.8</c:v>
                </c:pt>
                <c:pt idx="80">
                  <c:v>420</c:v>
                </c:pt>
                <c:pt idx="81">
                  <c:v>429.3</c:v>
                </c:pt>
                <c:pt idx="82">
                  <c:v>438.7</c:v>
                </c:pt>
                <c:pt idx="83">
                  <c:v>448.2</c:v>
                </c:pt>
                <c:pt idx="84">
                  <c:v>457.8</c:v>
                </c:pt>
                <c:pt idx="85">
                  <c:v>467.5</c:v>
                </c:pt>
                <c:pt idx="86">
                  <c:v>477.3</c:v>
                </c:pt>
                <c:pt idx="87">
                  <c:v>487.2</c:v>
                </c:pt>
                <c:pt idx="88">
                  <c:v>497.2</c:v>
                </c:pt>
                <c:pt idx="89">
                  <c:v>507.3</c:v>
                </c:pt>
                <c:pt idx="90">
                  <c:v>517.5</c:v>
                </c:pt>
                <c:pt idx="91">
                  <c:v>527.79999999999995</c:v>
                </c:pt>
                <c:pt idx="92">
                  <c:v>538.19999999999993</c:v>
                </c:pt>
                <c:pt idx="93">
                  <c:v>548.69999999999993</c:v>
                </c:pt>
                <c:pt idx="94">
                  <c:v>559.29999999999995</c:v>
                </c:pt>
                <c:pt idx="95">
                  <c:v>570</c:v>
                </c:pt>
                <c:pt idx="96">
                  <c:v>580.79999999999995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86-4314-BBCA-2B1FFB4164C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Tau!$A$5:$A$101</c:f>
              <c:numCache>
                <c:formatCode>0.0</c:formatCode>
                <c:ptCount val="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</c:numCache>
            </c:numRef>
          </c:xVal>
          <c:yVal>
            <c:numRef>
              <c:f>Tau!$E$5:$E$101</c:f>
              <c:numCache>
                <c:formatCode>0.0</c:formatCode>
                <c:ptCount val="97"/>
                <c:pt idx="0">
                  <c:v>0</c:v>
                </c:pt>
                <c:pt idx="1">
                  <c:v>1.25</c:v>
                </c:pt>
                <c:pt idx="2">
                  <c:v>2.6</c:v>
                </c:pt>
                <c:pt idx="3">
                  <c:v>4.05</c:v>
                </c:pt>
                <c:pt idx="4">
                  <c:v>5.6</c:v>
                </c:pt>
                <c:pt idx="5">
                  <c:v>7.25</c:v>
                </c:pt>
                <c:pt idx="6">
                  <c:v>9</c:v>
                </c:pt>
                <c:pt idx="7">
                  <c:v>10.850000000000001</c:v>
                </c:pt>
                <c:pt idx="8">
                  <c:v>12.8</c:v>
                </c:pt>
                <c:pt idx="9">
                  <c:v>14.850000000000001</c:v>
                </c:pt>
                <c:pt idx="10">
                  <c:v>17</c:v>
                </c:pt>
                <c:pt idx="11">
                  <c:v>19.25</c:v>
                </c:pt>
                <c:pt idx="12">
                  <c:v>21.6</c:v>
                </c:pt>
                <c:pt idx="13">
                  <c:v>24.05</c:v>
                </c:pt>
                <c:pt idx="14">
                  <c:v>26.6</c:v>
                </c:pt>
                <c:pt idx="15">
                  <c:v>29.25</c:v>
                </c:pt>
                <c:pt idx="16">
                  <c:v>32</c:v>
                </c:pt>
                <c:pt idx="17">
                  <c:v>34.85</c:v>
                </c:pt>
                <c:pt idx="18">
                  <c:v>37.799999999999997</c:v>
                </c:pt>
                <c:pt idx="19">
                  <c:v>40.85</c:v>
                </c:pt>
                <c:pt idx="20">
                  <c:v>44</c:v>
                </c:pt>
                <c:pt idx="21">
                  <c:v>47.25</c:v>
                </c:pt>
                <c:pt idx="22">
                  <c:v>50.6</c:v>
                </c:pt>
                <c:pt idx="23">
                  <c:v>54.050000000000004</c:v>
                </c:pt>
                <c:pt idx="24">
                  <c:v>57.6</c:v>
                </c:pt>
                <c:pt idx="25">
                  <c:v>61.25</c:v>
                </c:pt>
                <c:pt idx="26">
                  <c:v>65</c:v>
                </c:pt>
                <c:pt idx="27">
                  <c:v>68.849999999999994</c:v>
                </c:pt>
                <c:pt idx="28">
                  <c:v>72.800000000000011</c:v>
                </c:pt>
                <c:pt idx="29">
                  <c:v>76.849999999999994</c:v>
                </c:pt>
                <c:pt idx="30">
                  <c:v>81</c:v>
                </c:pt>
                <c:pt idx="31">
                  <c:v>85.25</c:v>
                </c:pt>
                <c:pt idx="32">
                  <c:v>89.6</c:v>
                </c:pt>
                <c:pt idx="33">
                  <c:v>94.050000000000011</c:v>
                </c:pt>
                <c:pt idx="34">
                  <c:v>98.6</c:v>
                </c:pt>
                <c:pt idx="35">
                  <c:v>103.25</c:v>
                </c:pt>
                <c:pt idx="36">
                  <c:v>108</c:v>
                </c:pt>
                <c:pt idx="37">
                  <c:v>112.85</c:v>
                </c:pt>
                <c:pt idx="38">
                  <c:v>117.80000000000001</c:v>
                </c:pt>
                <c:pt idx="39">
                  <c:v>122.85</c:v>
                </c:pt>
                <c:pt idx="40">
                  <c:v>128</c:v>
                </c:pt>
                <c:pt idx="41">
                  <c:v>133.25</c:v>
                </c:pt>
                <c:pt idx="42">
                  <c:v>138.6</c:v>
                </c:pt>
                <c:pt idx="43">
                  <c:v>144.05000000000001</c:v>
                </c:pt>
                <c:pt idx="44">
                  <c:v>149.60000000000002</c:v>
                </c:pt>
                <c:pt idx="45">
                  <c:v>155.25</c:v>
                </c:pt>
                <c:pt idx="46">
                  <c:v>161</c:v>
                </c:pt>
                <c:pt idx="47">
                  <c:v>166.85</c:v>
                </c:pt>
                <c:pt idx="48">
                  <c:v>172.8</c:v>
                </c:pt>
                <c:pt idx="49">
                  <c:v>178.85000000000002</c:v>
                </c:pt>
                <c:pt idx="50">
                  <c:v>185</c:v>
                </c:pt>
                <c:pt idx="51">
                  <c:v>191.25</c:v>
                </c:pt>
                <c:pt idx="52">
                  <c:v>197.60000000000002</c:v>
                </c:pt>
                <c:pt idx="53">
                  <c:v>204.05</c:v>
                </c:pt>
                <c:pt idx="54">
                  <c:v>210.60000000000002</c:v>
                </c:pt>
                <c:pt idx="55">
                  <c:v>217.25</c:v>
                </c:pt>
                <c:pt idx="56">
                  <c:v>224</c:v>
                </c:pt>
                <c:pt idx="57">
                  <c:v>230.85000000000002</c:v>
                </c:pt>
                <c:pt idx="58">
                  <c:v>237.8</c:v>
                </c:pt>
                <c:pt idx="59">
                  <c:v>244.85000000000002</c:v>
                </c:pt>
                <c:pt idx="60">
                  <c:v>252</c:v>
                </c:pt>
                <c:pt idx="61">
                  <c:v>259.25</c:v>
                </c:pt>
                <c:pt idx="62">
                  <c:v>266.60000000000002</c:v>
                </c:pt>
                <c:pt idx="63">
                  <c:v>274.05</c:v>
                </c:pt>
                <c:pt idx="64">
                  <c:v>281.60000000000002</c:v>
                </c:pt>
                <c:pt idx="65">
                  <c:v>289.25</c:v>
                </c:pt>
                <c:pt idx="66">
                  <c:v>297</c:v>
                </c:pt>
                <c:pt idx="67">
                  <c:v>304.85000000000002</c:v>
                </c:pt>
                <c:pt idx="68">
                  <c:v>312.8</c:v>
                </c:pt>
                <c:pt idx="69">
                  <c:v>320.85000000000002</c:v>
                </c:pt>
                <c:pt idx="70">
                  <c:v>329</c:v>
                </c:pt>
                <c:pt idx="71">
                  <c:v>337.25</c:v>
                </c:pt>
                <c:pt idx="72">
                  <c:v>345.6</c:v>
                </c:pt>
                <c:pt idx="73">
                  <c:v>354.04999999999995</c:v>
                </c:pt>
                <c:pt idx="74">
                  <c:v>362.6</c:v>
                </c:pt>
                <c:pt idx="75">
                  <c:v>371.25</c:v>
                </c:pt>
                <c:pt idx="76">
                  <c:v>380</c:v>
                </c:pt>
                <c:pt idx="77">
                  <c:v>388.85</c:v>
                </c:pt>
                <c:pt idx="78">
                  <c:v>397.79999999999995</c:v>
                </c:pt>
                <c:pt idx="79">
                  <c:v>406.85</c:v>
                </c:pt>
                <c:pt idx="80">
                  <c:v>416</c:v>
                </c:pt>
                <c:pt idx="81">
                  <c:v>425.25</c:v>
                </c:pt>
                <c:pt idx="82">
                  <c:v>434.6</c:v>
                </c:pt>
                <c:pt idx="83">
                  <c:v>444.05000000000007</c:v>
                </c:pt>
                <c:pt idx="84">
                  <c:v>453.6</c:v>
                </c:pt>
                <c:pt idx="85">
                  <c:v>463.25</c:v>
                </c:pt>
                <c:pt idx="86">
                  <c:v>473</c:v>
                </c:pt>
                <c:pt idx="87">
                  <c:v>482.85</c:v>
                </c:pt>
                <c:pt idx="88">
                  <c:v>492.80000000000007</c:v>
                </c:pt>
                <c:pt idx="89">
                  <c:v>502.85</c:v>
                </c:pt>
                <c:pt idx="90">
                  <c:v>513</c:v>
                </c:pt>
                <c:pt idx="91">
                  <c:v>523.25</c:v>
                </c:pt>
                <c:pt idx="92">
                  <c:v>533.6</c:v>
                </c:pt>
                <c:pt idx="93">
                  <c:v>544.05000000000007</c:v>
                </c:pt>
                <c:pt idx="94">
                  <c:v>554.6</c:v>
                </c:pt>
                <c:pt idx="95">
                  <c:v>565.25</c:v>
                </c:pt>
                <c:pt idx="96">
                  <c:v>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D7-4517-9493-3A9A9703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183983"/>
        <c:axId val="2074184399"/>
      </c:scatterChart>
      <c:valAx>
        <c:axId val="2074183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2800" b="0" i="0" u="none" strike="noStrike" baseline="0">
                    <a:effectLst/>
                  </a:rPr>
                  <a:t>τ</a:t>
                </a:r>
                <a:endParaRPr lang="en-US" sz="2800"/>
              </a:p>
            </c:rich>
          </c:tx>
          <c:layout>
            <c:manualLayout>
              <c:xMode val="edge"/>
              <c:yMode val="edge"/>
              <c:x val="0.54980424321959753"/>
              <c:y val="0.845565939771547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84399"/>
        <c:crosses val="autoZero"/>
        <c:crossBetween val="midCat"/>
      </c:valAx>
      <c:valAx>
        <c:axId val="20741843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/>
                  <a:t>t</a:t>
                </a:r>
              </a:p>
            </c:rich>
          </c:tx>
          <c:layout>
            <c:manualLayout>
              <c:xMode val="edge"/>
              <c:yMode val="edge"/>
              <c:x val="0"/>
              <c:y val="0.379993295230619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56811648543931"/>
          <c:y val="2.3067220764071156E-2"/>
          <c:w val="0.80790807399075115"/>
          <c:h val="0.83505103528725577"/>
        </c:manualLayout>
      </c:layout>
      <c:scatterChart>
        <c:scatterStyle val="smoothMarker"/>
        <c:varyColors val="0"/>
        <c:ser>
          <c:idx val="0"/>
          <c:order val="0"/>
          <c:tx>
            <c:v>QEH Redshift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Recombination!$A$1:$A$1000</c:f>
              <c:numCache>
                <c:formatCode>0</c:formatCode>
                <c:ptCount val="1000"/>
                <c:pt idx="0">
                  <c:v>3000</c:v>
                </c:pt>
                <c:pt idx="1">
                  <c:v>2987.9517999999998</c:v>
                </c:pt>
                <c:pt idx="2">
                  <c:v>2975.9036000000001</c:v>
                </c:pt>
                <c:pt idx="3">
                  <c:v>2963.8553999999999</c:v>
                </c:pt>
                <c:pt idx="4">
                  <c:v>2951.8072000000002</c:v>
                </c:pt>
                <c:pt idx="5">
                  <c:v>2939.759</c:v>
                </c:pt>
                <c:pt idx="6">
                  <c:v>2927.7107999999998</c:v>
                </c:pt>
                <c:pt idx="7">
                  <c:v>2915.6626999999999</c:v>
                </c:pt>
                <c:pt idx="8">
                  <c:v>2903.6145000000001</c:v>
                </c:pt>
                <c:pt idx="9">
                  <c:v>2891.5663</c:v>
                </c:pt>
                <c:pt idx="10">
                  <c:v>2879.5180999999998</c:v>
                </c:pt>
                <c:pt idx="11">
                  <c:v>2867.4699000000001</c:v>
                </c:pt>
                <c:pt idx="12">
                  <c:v>2855.4216999999999</c:v>
                </c:pt>
                <c:pt idx="13">
                  <c:v>2843.3735000000001</c:v>
                </c:pt>
                <c:pt idx="14">
                  <c:v>2831.3253</c:v>
                </c:pt>
                <c:pt idx="15">
                  <c:v>2819.2770999999998</c:v>
                </c:pt>
                <c:pt idx="16">
                  <c:v>2807.2289000000001</c:v>
                </c:pt>
                <c:pt idx="17">
                  <c:v>2795.1806999999999</c:v>
                </c:pt>
                <c:pt idx="18">
                  <c:v>2783.1325000000002</c:v>
                </c:pt>
                <c:pt idx="19">
                  <c:v>2771.0843</c:v>
                </c:pt>
                <c:pt idx="20">
                  <c:v>2759.0360999999998</c:v>
                </c:pt>
                <c:pt idx="21">
                  <c:v>2746.9879999999998</c:v>
                </c:pt>
                <c:pt idx="22">
                  <c:v>2734.9398000000001</c:v>
                </c:pt>
                <c:pt idx="23">
                  <c:v>2722.8915999999999</c:v>
                </c:pt>
                <c:pt idx="24">
                  <c:v>2710.8434000000002</c:v>
                </c:pt>
                <c:pt idx="25">
                  <c:v>2698.7952</c:v>
                </c:pt>
                <c:pt idx="26">
                  <c:v>2686.7469999999998</c:v>
                </c:pt>
                <c:pt idx="27">
                  <c:v>2674.6988000000001</c:v>
                </c:pt>
                <c:pt idx="28">
                  <c:v>2662.6505999999999</c:v>
                </c:pt>
                <c:pt idx="29">
                  <c:v>2650.6024000000002</c:v>
                </c:pt>
                <c:pt idx="30">
                  <c:v>2638.5542</c:v>
                </c:pt>
                <c:pt idx="31">
                  <c:v>2626.5059999999999</c:v>
                </c:pt>
                <c:pt idx="32">
                  <c:v>2614.4578000000001</c:v>
                </c:pt>
                <c:pt idx="33">
                  <c:v>2602.4096</c:v>
                </c:pt>
                <c:pt idx="34">
                  <c:v>2590.3613999999998</c:v>
                </c:pt>
                <c:pt idx="35">
                  <c:v>2578.3132999999998</c:v>
                </c:pt>
                <c:pt idx="36">
                  <c:v>2566.2651000000001</c:v>
                </c:pt>
                <c:pt idx="37">
                  <c:v>2554.2168999999999</c:v>
                </c:pt>
                <c:pt idx="38">
                  <c:v>2542.1687000000002</c:v>
                </c:pt>
                <c:pt idx="39">
                  <c:v>2530.1205</c:v>
                </c:pt>
                <c:pt idx="40">
                  <c:v>2518.0722999999998</c:v>
                </c:pt>
                <c:pt idx="41">
                  <c:v>2506.0241000000001</c:v>
                </c:pt>
                <c:pt idx="42">
                  <c:v>2493.9758999999999</c:v>
                </c:pt>
                <c:pt idx="43">
                  <c:v>2481.9277000000002</c:v>
                </c:pt>
                <c:pt idx="44">
                  <c:v>2469.8795</c:v>
                </c:pt>
                <c:pt idx="45">
                  <c:v>2457.8312999999998</c:v>
                </c:pt>
                <c:pt idx="46">
                  <c:v>2445.7831000000001</c:v>
                </c:pt>
                <c:pt idx="47">
                  <c:v>2433.7348999999999</c:v>
                </c:pt>
                <c:pt idx="48">
                  <c:v>2421.6867000000002</c:v>
                </c:pt>
                <c:pt idx="49">
                  <c:v>2409.6386000000002</c:v>
                </c:pt>
                <c:pt idx="50">
                  <c:v>2397.5904</c:v>
                </c:pt>
                <c:pt idx="51">
                  <c:v>2385.5421999999999</c:v>
                </c:pt>
                <c:pt idx="52">
                  <c:v>2373.4940000000001</c:v>
                </c:pt>
                <c:pt idx="53">
                  <c:v>2361.4458</c:v>
                </c:pt>
                <c:pt idx="54">
                  <c:v>2349.3975999999998</c:v>
                </c:pt>
                <c:pt idx="55">
                  <c:v>2337.3494000000001</c:v>
                </c:pt>
                <c:pt idx="56">
                  <c:v>2325.3011999999999</c:v>
                </c:pt>
                <c:pt idx="57">
                  <c:v>2313.2530000000002</c:v>
                </c:pt>
                <c:pt idx="58">
                  <c:v>2301.2048</c:v>
                </c:pt>
                <c:pt idx="59">
                  <c:v>2289.1565999999998</c:v>
                </c:pt>
                <c:pt idx="60">
                  <c:v>2277.1084000000001</c:v>
                </c:pt>
                <c:pt idx="61">
                  <c:v>2265.0601999999999</c:v>
                </c:pt>
                <c:pt idx="62">
                  <c:v>2253.0120000000002</c:v>
                </c:pt>
                <c:pt idx="63">
                  <c:v>2240.9639000000002</c:v>
                </c:pt>
                <c:pt idx="64">
                  <c:v>2228.9157</c:v>
                </c:pt>
                <c:pt idx="65">
                  <c:v>2216.8674999999998</c:v>
                </c:pt>
                <c:pt idx="66">
                  <c:v>2204.8193000000001</c:v>
                </c:pt>
                <c:pt idx="67">
                  <c:v>2192.7710999999999</c:v>
                </c:pt>
                <c:pt idx="68">
                  <c:v>2180.7229000000002</c:v>
                </c:pt>
                <c:pt idx="69">
                  <c:v>2168.6747</c:v>
                </c:pt>
                <c:pt idx="70">
                  <c:v>2156.6264999999999</c:v>
                </c:pt>
                <c:pt idx="71">
                  <c:v>2144.5783000000001</c:v>
                </c:pt>
                <c:pt idx="72">
                  <c:v>2132.5300999999999</c:v>
                </c:pt>
                <c:pt idx="73">
                  <c:v>2120.4819000000002</c:v>
                </c:pt>
                <c:pt idx="74">
                  <c:v>2108.4337</c:v>
                </c:pt>
                <c:pt idx="75">
                  <c:v>2096.3854999999999</c:v>
                </c:pt>
                <c:pt idx="76">
                  <c:v>2084.3373000000001</c:v>
                </c:pt>
                <c:pt idx="77">
                  <c:v>2072.2892000000002</c:v>
                </c:pt>
                <c:pt idx="78">
                  <c:v>2060.241</c:v>
                </c:pt>
                <c:pt idx="79">
                  <c:v>2048.1927999999998</c:v>
                </c:pt>
                <c:pt idx="80">
                  <c:v>2036.1446000000001</c:v>
                </c:pt>
                <c:pt idx="81">
                  <c:v>2024.0963999999999</c:v>
                </c:pt>
                <c:pt idx="82">
                  <c:v>2012.0482</c:v>
                </c:pt>
                <c:pt idx="83">
                  <c:v>2000</c:v>
                </c:pt>
                <c:pt idx="84">
                  <c:v>1987.9518</c:v>
                </c:pt>
                <c:pt idx="85">
                  <c:v>1975.9036000000001</c:v>
                </c:pt>
                <c:pt idx="86">
                  <c:v>1963.8553999999999</c:v>
                </c:pt>
                <c:pt idx="87">
                  <c:v>1951.8072</c:v>
                </c:pt>
                <c:pt idx="88">
                  <c:v>1939.759</c:v>
                </c:pt>
                <c:pt idx="89">
                  <c:v>1927.7108000000001</c:v>
                </c:pt>
                <c:pt idx="90">
                  <c:v>1915.6627000000001</c:v>
                </c:pt>
                <c:pt idx="91">
                  <c:v>1903.6144999999999</c:v>
                </c:pt>
                <c:pt idx="92">
                  <c:v>1891.5663</c:v>
                </c:pt>
                <c:pt idx="93">
                  <c:v>1879.5181</c:v>
                </c:pt>
                <c:pt idx="94">
                  <c:v>1867.4699000000001</c:v>
                </c:pt>
                <c:pt idx="95">
                  <c:v>1855.4217000000001</c:v>
                </c:pt>
                <c:pt idx="96">
                  <c:v>1843.3734999999999</c:v>
                </c:pt>
                <c:pt idx="97">
                  <c:v>1831.3253</c:v>
                </c:pt>
                <c:pt idx="98">
                  <c:v>1819.2771</c:v>
                </c:pt>
                <c:pt idx="99">
                  <c:v>1807.2289000000001</c:v>
                </c:pt>
                <c:pt idx="100">
                  <c:v>1795.1806999999999</c:v>
                </c:pt>
                <c:pt idx="101">
                  <c:v>1783.1324999999999</c:v>
                </c:pt>
                <c:pt idx="102">
                  <c:v>1771.0843</c:v>
                </c:pt>
                <c:pt idx="103">
                  <c:v>1759.0361</c:v>
                </c:pt>
                <c:pt idx="104">
                  <c:v>1746.9880000000001</c:v>
                </c:pt>
                <c:pt idx="105">
                  <c:v>1734.9398000000001</c:v>
                </c:pt>
                <c:pt idx="106">
                  <c:v>1722.8915999999999</c:v>
                </c:pt>
                <c:pt idx="107">
                  <c:v>1710.8434</c:v>
                </c:pt>
                <c:pt idx="108">
                  <c:v>1698.7952</c:v>
                </c:pt>
                <c:pt idx="109">
                  <c:v>1686.7470000000001</c:v>
                </c:pt>
                <c:pt idx="110">
                  <c:v>1674.6987999999999</c:v>
                </c:pt>
                <c:pt idx="111">
                  <c:v>1662.6505999999999</c:v>
                </c:pt>
                <c:pt idx="112">
                  <c:v>1650.6024</c:v>
                </c:pt>
                <c:pt idx="113">
                  <c:v>1638.5542</c:v>
                </c:pt>
                <c:pt idx="114">
                  <c:v>1626.5060000000001</c:v>
                </c:pt>
                <c:pt idx="115">
                  <c:v>1614.4577999999999</c:v>
                </c:pt>
                <c:pt idx="116">
                  <c:v>1602.4096</c:v>
                </c:pt>
                <c:pt idx="117">
                  <c:v>1590.3614</c:v>
                </c:pt>
                <c:pt idx="118">
                  <c:v>1578.3133</c:v>
                </c:pt>
                <c:pt idx="119">
                  <c:v>1566.2651000000001</c:v>
                </c:pt>
                <c:pt idx="120">
                  <c:v>1554.2168999999999</c:v>
                </c:pt>
                <c:pt idx="121">
                  <c:v>1542.1686999999999</c:v>
                </c:pt>
                <c:pt idx="122">
                  <c:v>1530.1205</c:v>
                </c:pt>
                <c:pt idx="123">
                  <c:v>1518.0723</c:v>
                </c:pt>
                <c:pt idx="124">
                  <c:v>1506.0241000000001</c:v>
                </c:pt>
                <c:pt idx="125">
                  <c:v>1493.9758999999999</c:v>
                </c:pt>
                <c:pt idx="126">
                  <c:v>1481.9277</c:v>
                </c:pt>
                <c:pt idx="127">
                  <c:v>1469.8795</c:v>
                </c:pt>
                <c:pt idx="128">
                  <c:v>1457.8313000000001</c:v>
                </c:pt>
                <c:pt idx="129">
                  <c:v>1445.7831000000001</c:v>
                </c:pt>
                <c:pt idx="130">
                  <c:v>1433.7348999999999</c:v>
                </c:pt>
                <c:pt idx="131">
                  <c:v>1421.6867</c:v>
                </c:pt>
                <c:pt idx="132">
                  <c:v>1409.6386</c:v>
                </c:pt>
                <c:pt idx="133">
                  <c:v>1397.5904</c:v>
                </c:pt>
                <c:pt idx="134">
                  <c:v>1385.5422000000001</c:v>
                </c:pt>
                <c:pt idx="135">
                  <c:v>1373.4939999999999</c:v>
                </c:pt>
                <c:pt idx="136">
                  <c:v>1361.4458</c:v>
                </c:pt>
                <c:pt idx="137">
                  <c:v>1349.3976</c:v>
                </c:pt>
                <c:pt idx="138">
                  <c:v>1337.3494000000001</c:v>
                </c:pt>
                <c:pt idx="139">
                  <c:v>1325.3012000000001</c:v>
                </c:pt>
                <c:pt idx="140">
                  <c:v>1313.2529999999999</c:v>
                </c:pt>
                <c:pt idx="141">
                  <c:v>1301.2048</c:v>
                </c:pt>
                <c:pt idx="142">
                  <c:v>1289.1566</c:v>
                </c:pt>
                <c:pt idx="143">
                  <c:v>1277.1084000000001</c:v>
                </c:pt>
                <c:pt idx="144">
                  <c:v>1265.0601999999999</c:v>
                </c:pt>
                <c:pt idx="145">
                  <c:v>1253.0119999999999</c:v>
                </c:pt>
                <c:pt idx="146">
                  <c:v>1240.9639</c:v>
                </c:pt>
                <c:pt idx="147">
                  <c:v>1228.9157</c:v>
                </c:pt>
                <c:pt idx="148">
                  <c:v>1216.8675000000001</c:v>
                </c:pt>
                <c:pt idx="149">
                  <c:v>1204.8193000000001</c:v>
                </c:pt>
                <c:pt idx="150">
                  <c:v>1192.7710999999999</c:v>
                </c:pt>
                <c:pt idx="151">
                  <c:v>1180.7229</c:v>
                </c:pt>
                <c:pt idx="152">
                  <c:v>1168.6747</c:v>
                </c:pt>
                <c:pt idx="153">
                  <c:v>1156.6265000000001</c:v>
                </c:pt>
                <c:pt idx="154">
                  <c:v>1144.5782999999999</c:v>
                </c:pt>
                <c:pt idx="155">
                  <c:v>1132.5300999999999</c:v>
                </c:pt>
                <c:pt idx="156">
                  <c:v>1120.4819</c:v>
                </c:pt>
                <c:pt idx="157">
                  <c:v>1108.4337</c:v>
                </c:pt>
                <c:pt idx="158">
                  <c:v>1096.3855000000001</c:v>
                </c:pt>
                <c:pt idx="159">
                  <c:v>1084.3372999999999</c:v>
                </c:pt>
                <c:pt idx="160">
                  <c:v>1072.2891999999999</c:v>
                </c:pt>
                <c:pt idx="161">
                  <c:v>1060.241</c:v>
                </c:pt>
                <c:pt idx="162">
                  <c:v>1048.1928</c:v>
                </c:pt>
                <c:pt idx="163">
                  <c:v>1036.1446000000001</c:v>
                </c:pt>
                <c:pt idx="164">
                  <c:v>1024.0963999999999</c:v>
                </c:pt>
                <c:pt idx="165">
                  <c:v>1012.0482</c:v>
                </c:pt>
                <c:pt idx="166">
                  <c:v>1000</c:v>
                </c:pt>
                <c:pt idx="167">
                  <c:v>987.95181000000002</c:v>
                </c:pt>
                <c:pt idx="168">
                  <c:v>975.90360999999996</c:v>
                </c:pt>
                <c:pt idx="169">
                  <c:v>963.85541999999998</c:v>
                </c:pt>
                <c:pt idx="170">
                  <c:v>951.80723</c:v>
                </c:pt>
                <c:pt idx="171">
                  <c:v>939.75904000000003</c:v>
                </c:pt>
                <c:pt idx="172">
                  <c:v>927.71083999999996</c:v>
                </c:pt>
                <c:pt idx="173">
                  <c:v>915.66264999999999</c:v>
                </c:pt>
                <c:pt idx="174">
                  <c:v>903.61446000000001</c:v>
                </c:pt>
                <c:pt idx="175">
                  <c:v>891.56627000000003</c:v>
                </c:pt>
                <c:pt idx="176">
                  <c:v>879.51806999999997</c:v>
                </c:pt>
                <c:pt idx="177">
                  <c:v>867.46987999999999</c:v>
                </c:pt>
                <c:pt idx="178">
                  <c:v>855.42169000000001</c:v>
                </c:pt>
                <c:pt idx="179">
                  <c:v>843.37348999999995</c:v>
                </c:pt>
                <c:pt idx="180">
                  <c:v>831.32529999999997</c:v>
                </c:pt>
                <c:pt idx="181">
                  <c:v>819.27710999999999</c:v>
                </c:pt>
                <c:pt idx="182">
                  <c:v>807.22892000000002</c:v>
                </c:pt>
                <c:pt idx="183">
                  <c:v>795.18071999999995</c:v>
                </c:pt>
                <c:pt idx="184">
                  <c:v>783.13252999999997</c:v>
                </c:pt>
                <c:pt idx="185">
                  <c:v>771.08434</c:v>
                </c:pt>
                <c:pt idx="186">
                  <c:v>759.03614000000005</c:v>
                </c:pt>
                <c:pt idx="187">
                  <c:v>746.98794999999996</c:v>
                </c:pt>
                <c:pt idx="188">
                  <c:v>734.93975999999998</c:v>
                </c:pt>
                <c:pt idx="189">
                  <c:v>722.89157</c:v>
                </c:pt>
                <c:pt idx="190">
                  <c:v>710.84337000000005</c:v>
                </c:pt>
                <c:pt idx="191">
                  <c:v>698.79517999999996</c:v>
                </c:pt>
                <c:pt idx="192">
                  <c:v>686.74698999999998</c:v>
                </c:pt>
                <c:pt idx="193">
                  <c:v>674.69880000000001</c:v>
                </c:pt>
                <c:pt idx="194">
                  <c:v>662.65060000000005</c:v>
                </c:pt>
                <c:pt idx="195">
                  <c:v>650.60240999999996</c:v>
                </c:pt>
                <c:pt idx="196">
                  <c:v>638.55421999999999</c:v>
                </c:pt>
                <c:pt idx="197">
                  <c:v>626.50602000000003</c:v>
                </c:pt>
                <c:pt idx="198">
                  <c:v>614.45782999999994</c:v>
                </c:pt>
                <c:pt idx="199">
                  <c:v>602.40963999999997</c:v>
                </c:pt>
                <c:pt idx="200">
                  <c:v>590.36144999999999</c:v>
                </c:pt>
                <c:pt idx="201">
                  <c:v>578.31325000000004</c:v>
                </c:pt>
                <c:pt idx="202">
                  <c:v>566.26505999999995</c:v>
                </c:pt>
                <c:pt idx="203">
                  <c:v>554.21686999999997</c:v>
                </c:pt>
                <c:pt idx="204">
                  <c:v>542.16867000000002</c:v>
                </c:pt>
                <c:pt idx="205">
                  <c:v>530.12048000000004</c:v>
                </c:pt>
                <c:pt idx="206">
                  <c:v>518.07228999999995</c:v>
                </c:pt>
                <c:pt idx="207">
                  <c:v>506.02409999999998</c:v>
                </c:pt>
                <c:pt idx="208">
                  <c:v>493.97590000000002</c:v>
                </c:pt>
                <c:pt idx="209">
                  <c:v>481.92770999999999</c:v>
                </c:pt>
                <c:pt idx="210">
                  <c:v>469.87952000000001</c:v>
                </c:pt>
                <c:pt idx="211">
                  <c:v>457.83132999999998</c:v>
                </c:pt>
                <c:pt idx="212">
                  <c:v>445.78313000000003</c:v>
                </c:pt>
                <c:pt idx="213">
                  <c:v>433.73493999999999</c:v>
                </c:pt>
                <c:pt idx="214">
                  <c:v>421.68675000000002</c:v>
                </c:pt>
                <c:pt idx="215">
                  <c:v>409.63855000000001</c:v>
                </c:pt>
                <c:pt idx="216">
                  <c:v>397.59035999999998</c:v>
                </c:pt>
                <c:pt idx="217">
                  <c:v>385.54217</c:v>
                </c:pt>
                <c:pt idx="218">
                  <c:v>373.49398000000002</c:v>
                </c:pt>
                <c:pt idx="219">
                  <c:v>361.44578000000001</c:v>
                </c:pt>
                <c:pt idx="220">
                  <c:v>349.39758999999998</c:v>
                </c:pt>
                <c:pt idx="221">
                  <c:v>337.3494</c:v>
                </c:pt>
                <c:pt idx="222">
                  <c:v>325.30119999999999</c:v>
                </c:pt>
                <c:pt idx="223">
                  <c:v>313.25301000000002</c:v>
                </c:pt>
                <c:pt idx="224">
                  <c:v>301.20481999999998</c:v>
                </c:pt>
                <c:pt idx="225">
                  <c:v>289.15663000000001</c:v>
                </c:pt>
                <c:pt idx="226">
                  <c:v>277.10843</c:v>
                </c:pt>
                <c:pt idx="227">
                  <c:v>265.06024000000002</c:v>
                </c:pt>
                <c:pt idx="228">
                  <c:v>253.01204999999999</c:v>
                </c:pt>
                <c:pt idx="229">
                  <c:v>240.96386000000001</c:v>
                </c:pt>
                <c:pt idx="230">
                  <c:v>228.91566</c:v>
                </c:pt>
                <c:pt idx="231">
                  <c:v>216.86747</c:v>
                </c:pt>
                <c:pt idx="232">
                  <c:v>204.81927999999999</c:v>
                </c:pt>
                <c:pt idx="233">
                  <c:v>192.77108000000001</c:v>
                </c:pt>
                <c:pt idx="234">
                  <c:v>180.72289000000001</c:v>
                </c:pt>
                <c:pt idx="235">
                  <c:v>168.6747</c:v>
                </c:pt>
                <c:pt idx="236">
                  <c:v>156.62651</c:v>
                </c:pt>
                <c:pt idx="237">
                  <c:v>144.57830999999999</c:v>
                </c:pt>
                <c:pt idx="238">
                  <c:v>132.53012000000001</c:v>
                </c:pt>
                <c:pt idx="239">
                  <c:v>120.48193000000001</c:v>
                </c:pt>
                <c:pt idx="240">
                  <c:v>108.43373</c:v>
                </c:pt>
                <c:pt idx="241">
                  <c:v>96.385542000000001</c:v>
                </c:pt>
                <c:pt idx="242">
                  <c:v>84.337349000000003</c:v>
                </c:pt>
                <c:pt idx="243">
                  <c:v>72.289157000000003</c:v>
                </c:pt>
                <c:pt idx="244">
                  <c:v>60.240963999999998</c:v>
                </c:pt>
                <c:pt idx="245">
                  <c:v>48.192771</c:v>
                </c:pt>
                <c:pt idx="246">
                  <c:v>36.144578000000003</c:v>
                </c:pt>
                <c:pt idx="247">
                  <c:v>24.096385999999999</c:v>
                </c:pt>
                <c:pt idx="248">
                  <c:v>12.048192999999999</c:v>
                </c:pt>
                <c:pt idx="249">
                  <c:v>0</c:v>
                </c:pt>
              </c:numCache>
            </c:numRef>
          </c:xVal>
          <c:yVal>
            <c:numRef>
              <c:f>Recombination!$C$1:$C$1000</c:f>
              <c:numCache>
                <c:formatCode>General</c:formatCode>
                <c:ptCount val="1000"/>
                <c:pt idx="0">
                  <c:v>3.4590118319625177E-2</c:v>
                </c:pt>
                <c:pt idx="1">
                  <c:v>3.4516680587679156E-2</c:v>
                </c:pt>
                <c:pt idx="2">
                  <c:v>3.4506131165958603E-2</c:v>
                </c:pt>
                <c:pt idx="3">
                  <c:v>3.4493936838281371E-2</c:v>
                </c:pt>
                <c:pt idx="4">
                  <c:v>3.4479896892238064E-2</c:v>
                </c:pt>
                <c:pt idx="5">
                  <c:v>3.4463690218740725E-2</c:v>
                </c:pt>
                <c:pt idx="6">
                  <c:v>3.4444955513311018E-2</c:v>
                </c:pt>
                <c:pt idx="7">
                  <c:v>3.4423331368900904E-2</c:v>
                </c:pt>
                <c:pt idx="8">
                  <c:v>3.4398335886417948E-2</c:v>
                </c:pt>
                <c:pt idx="9">
                  <c:v>3.436944685931876E-2</c:v>
                </c:pt>
                <c:pt idx="10">
                  <c:v>3.4336021461989809E-2</c:v>
                </c:pt>
                <c:pt idx="11">
                  <c:v>3.4297336278048839E-2</c:v>
                </c:pt>
                <c:pt idx="12">
                  <c:v>3.4252627322936019E-2</c:v>
                </c:pt>
                <c:pt idx="13">
                  <c:v>3.4200889223623486E-2</c:v>
                </c:pt>
                <c:pt idx="14">
                  <c:v>3.4141075671159621E-2</c:v>
                </c:pt>
                <c:pt idx="15">
                  <c:v>3.4071938604272947E-2</c:v>
                </c:pt>
                <c:pt idx="16">
                  <c:v>3.3992067977865199E-2</c:v>
                </c:pt>
                <c:pt idx="17">
                  <c:v>3.3899891306573171E-2</c:v>
                </c:pt>
                <c:pt idx="18">
                  <c:v>3.3793592740023234E-2</c:v>
                </c:pt>
                <c:pt idx="19">
                  <c:v>3.3671152438198487E-2</c:v>
                </c:pt>
                <c:pt idx="20">
                  <c:v>3.3530385818428723E-2</c:v>
                </c:pt>
                <c:pt idx="21">
                  <c:v>3.3368821803359275E-2</c:v>
                </c:pt>
                <c:pt idx="22">
                  <c:v>3.318382194507629E-2</c:v>
                </c:pt>
                <c:pt idx="23">
                  <c:v>3.2972458010674631E-2</c:v>
                </c:pt>
                <c:pt idx="24">
                  <c:v>3.2731670794722258E-2</c:v>
                </c:pt>
                <c:pt idx="25">
                  <c:v>3.2458227546643334E-2</c:v>
                </c:pt>
                <c:pt idx="26">
                  <c:v>3.2148759527812987E-2</c:v>
                </c:pt>
                <c:pt idx="27">
                  <c:v>3.1799880037803721E-2</c:v>
                </c:pt>
                <c:pt idx="28">
                  <c:v>3.1408181455125236E-2</c:v>
                </c:pt>
                <c:pt idx="29">
                  <c:v>3.0970434189739871E-2</c:v>
                </c:pt>
                <c:pt idx="30">
                  <c:v>3.0483543784573124E-2</c:v>
                </c:pt>
                <c:pt idx="31">
                  <c:v>2.9944750992630751E-2</c:v>
                </c:pt>
                <c:pt idx="32">
                  <c:v>2.9351833542459006E-2</c:v>
                </c:pt>
                <c:pt idx="33">
                  <c:v>2.8702984970240372E-2</c:v>
                </c:pt>
                <c:pt idx="34">
                  <c:v>2.7997141100053777E-2</c:v>
                </c:pt>
                <c:pt idx="35">
                  <c:v>2.7234065996407406E-2</c:v>
                </c:pt>
                <c:pt idx="36">
                  <c:v>2.6414358600592044E-2</c:v>
                </c:pt>
                <c:pt idx="37">
                  <c:v>2.5539461056431283E-2</c:v>
                </c:pt>
                <c:pt idx="38">
                  <c:v>2.4611914926719484E-2</c:v>
                </c:pt>
                <c:pt idx="39">
                  <c:v>2.3635252170889392E-2</c:v>
                </c:pt>
                <c:pt idx="40">
                  <c:v>2.261384502011499E-2</c:v>
                </c:pt>
                <c:pt idx="41">
                  <c:v>2.1553126767309153E-2</c:v>
                </c:pt>
                <c:pt idx="42">
                  <c:v>2.045927793154716E-2</c:v>
                </c:pt>
                <c:pt idx="43">
                  <c:v>1.9339198771951387E-2</c:v>
                </c:pt>
                <c:pt idx="44">
                  <c:v>1.8200356144446102E-2</c:v>
                </c:pt>
                <c:pt idx="45">
                  <c:v>1.7050627215793132E-2</c:v>
                </c:pt>
                <c:pt idx="46">
                  <c:v>1.5898223288284098E-2</c:v>
                </c:pt>
                <c:pt idx="47">
                  <c:v>1.4751275149215617E-2</c:v>
                </c:pt>
                <c:pt idx="48">
                  <c:v>1.3617957437296472E-2</c:v>
                </c:pt>
                <c:pt idx="49">
                  <c:v>1.25060226919411E-2</c:v>
                </c:pt>
                <c:pt idx="50">
                  <c:v>1.142291911333038E-2</c:v>
                </c:pt>
                <c:pt idx="51">
                  <c:v>1.0375485078888571E-2</c:v>
                </c:pt>
                <c:pt idx="52">
                  <c:v>9.3698085940881089E-3</c:v>
                </c:pt>
                <c:pt idx="53">
                  <c:v>8.4112977535143636E-3</c:v>
                </c:pt>
                <c:pt idx="54">
                  <c:v>7.5043683746223999E-3</c:v>
                </c:pt>
                <c:pt idx="55">
                  <c:v>6.6526418143108938E-3</c:v>
                </c:pt>
                <c:pt idx="56">
                  <c:v>5.8587180050229896E-3</c:v>
                </c:pt>
                <c:pt idx="57">
                  <c:v>5.1243338232911202E-3</c:v>
                </c:pt>
                <c:pt idx="58">
                  <c:v>4.4503100025368742E-3</c:v>
                </c:pt>
                <c:pt idx="59">
                  <c:v>3.8365424155947106E-3</c:v>
                </c:pt>
                <c:pt idx="60">
                  <c:v>3.2822107267381391E-3</c:v>
                </c:pt>
                <c:pt idx="61">
                  <c:v>2.7857314821147774E-3</c:v>
                </c:pt>
                <c:pt idx="62">
                  <c:v>2.3448419251966934E-3</c:v>
                </c:pt>
                <c:pt idx="63">
                  <c:v>1.9567721433509638E-3</c:v>
                </c:pt>
                <c:pt idx="64">
                  <c:v>1.6182893369438036E-3</c:v>
                </c:pt>
                <c:pt idx="65">
                  <c:v>1.3258728448424016E-3</c:v>
                </c:pt>
                <c:pt idx="66">
                  <c:v>1.0757169767271564E-3</c:v>
                </c:pt>
                <c:pt idx="67">
                  <c:v>8.6386400821795062E-4</c:v>
                </c:pt>
                <c:pt idx="68">
                  <c:v>6.8638090067556885E-4</c:v>
                </c:pt>
                <c:pt idx="69">
                  <c:v>5.3927593792343377E-4</c:v>
                </c:pt>
                <c:pt idx="70">
                  <c:v>4.1880531692639974E-4</c:v>
                </c:pt>
                <c:pt idx="71">
                  <c:v>3.2125906540888925E-4</c:v>
                </c:pt>
                <c:pt idx="72">
                  <c:v>2.432670533078478E-4</c:v>
                </c:pt>
                <c:pt idx="73">
                  <c:v>1.8171421962769521E-4</c:v>
                </c:pt>
                <c:pt idx="74">
                  <c:v>1.3378552127299727E-4</c:v>
                </c:pt>
                <c:pt idx="75">
                  <c:v>9.696713183162016E-5</c:v>
                </c:pt>
                <c:pt idx="76">
                  <c:v>6.9047333505066084E-5</c:v>
                </c:pt>
                <c:pt idx="77">
                  <c:v>4.8204012218061511E-5</c:v>
                </c:pt>
                <c:pt idx="78">
                  <c:v>3.2831421819757209E-5</c:v>
                </c:pt>
                <c:pt idx="79">
                  <c:v>2.1627326682812259E-5</c:v>
                </c:pt>
                <c:pt idx="80">
                  <c:v>1.350634836454122E-5</c:v>
                </c:pt>
                <c:pt idx="81">
                  <c:v>7.6435156187840208E-6</c:v>
                </c:pt>
                <c:pt idx="82">
                  <c:v>3.4309128549258738E-6</c:v>
                </c:pt>
                <c:pt idx="83">
                  <c:v>2.6057661092825235E-7</c:v>
                </c:pt>
                <c:pt idx="84">
                  <c:v>-2.1888497047033605E-6</c:v>
                </c:pt>
                <c:pt idx="85">
                  <c:v>-4.2257058670288688E-6</c:v>
                </c:pt>
                <c:pt idx="86">
                  <c:v>-6.075822302310962E-6</c:v>
                </c:pt>
                <c:pt idx="87">
                  <c:v>-7.9042314993502198E-6</c:v>
                </c:pt>
                <c:pt idx="88">
                  <c:v>-9.8542535913110336E-6</c:v>
                </c:pt>
                <c:pt idx="89">
                  <c:v>-1.2043152962266281E-5</c:v>
                </c:pt>
                <c:pt idx="90">
                  <c:v>-1.4588196657276809E-5</c:v>
                </c:pt>
                <c:pt idx="91">
                  <c:v>-1.7615341427520825E-5</c:v>
                </c:pt>
                <c:pt idx="92">
                  <c:v>-2.1250548898421769E-5</c:v>
                </c:pt>
                <c:pt idx="93">
                  <c:v>-2.5658875961498938E-5</c:v>
                </c:pt>
                <c:pt idx="94">
                  <c:v>-3.1027106088608919E-5</c:v>
                </c:pt>
                <c:pt idx="95">
                  <c:v>-3.7594157452135957E-5</c:v>
                </c:pt>
                <c:pt idx="96">
                  <c:v>-4.5655435629392594E-5</c:v>
                </c:pt>
                <c:pt idx="97">
                  <c:v>-5.5580221225459189E-5</c:v>
                </c:pt>
                <c:pt idx="98">
                  <c:v>-6.7837753055715057E-5</c:v>
                </c:pt>
                <c:pt idx="99">
                  <c:v>-8.3023325422964977E-5</c:v>
                </c:pt>
                <c:pt idx="100">
                  <c:v>-1.0188006263613168E-4</c:v>
                </c:pt>
                <c:pt idx="101">
                  <c:v>-1.2537719813614429E-4</c:v>
                </c:pt>
                <c:pt idx="102">
                  <c:v>-1.5473194128613424E-4</c:v>
                </c:pt>
                <c:pt idx="103">
                  <c:v>-1.9151831648463925E-4</c:v>
                </c:pt>
                <c:pt idx="104">
                  <c:v>-2.3775009206075559E-4</c:v>
                </c:pt>
                <c:pt idx="105">
                  <c:v>-2.9604216626943116E-4</c:v>
                </c:pt>
                <c:pt idx="106">
                  <c:v>-3.6975933819915102E-4</c:v>
                </c:pt>
                <c:pt idx="107">
                  <c:v>-4.6327875863603124E-4</c:v>
                </c:pt>
                <c:pt idx="108">
                  <c:v>-5.8228832997130671E-4</c:v>
                </c:pt>
                <c:pt idx="109">
                  <c:v>-7.3422184409760796E-4</c:v>
                </c:pt>
                <c:pt idx="110">
                  <c:v>-9.287974883009011E-4</c:v>
                </c:pt>
                <c:pt idx="111">
                  <c:v>-1.1787751951683834E-3</c:v>
                </c:pt>
                <c:pt idx="112">
                  <c:v>-1.5009283074941602E-3</c:v>
                </c:pt>
                <c:pt idx="113">
                  <c:v>-1.9173585704417243E-3</c:v>
                </c:pt>
                <c:pt idx="114">
                  <c:v>-2.4572365785116884E-3</c:v>
                </c:pt>
                <c:pt idx="115">
                  <c:v>-3.1590937185382488E-3</c:v>
                </c:pt>
                <c:pt idx="116">
                  <c:v>-4.0738071688241435E-3</c:v>
                </c:pt>
                <c:pt idx="117">
                  <c:v>-5.2685072214196998E-3</c:v>
                </c:pt>
                <c:pt idx="118">
                  <c:v>-6.8315273360995982E-3</c:v>
                </c:pt>
                <c:pt idx="119">
                  <c:v>-8.8785265368475415E-3</c:v>
                </c:pt>
                <c:pt idx="120">
                  <c:v>-1.1559901795599467E-2</c:v>
                </c:pt>
                <c:pt idx="121">
                  <c:v>-1.5069097385605142E-2</c:v>
                </c:pt>
                <c:pt idx="122">
                  <c:v>-1.9651303810117697E-2</c:v>
                </c:pt>
                <c:pt idx="123">
                  <c:v>-2.5611023151984609E-2</c:v>
                </c:pt>
                <c:pt idx="124">
                  <c:v>-3.3316479065111405E-2</c:v>
                </c:pt>
                <c:pt idx="125">
                  <c:v>-4.3197717348078091E-2</c:v>
                </c:pt>
                <c:pt idx="126">
                  <c:v>-5.5735353981253503E-2</c:v>
                </c:pt>
                <c:pt idx="127">
                  <c:v>-7.1437642072061991E-2</c:v>
                </c:pt>
                <c:pt idx="128">
                  <c:v>-9.0806351314005357E-2</c:v>
                </c:pt>
                <c:pt idx="129">
                  <c:v>-0.11429577192433789</c:v>
                </c:pt>
                <c:pt idx="130">
                  <c:v>-0.14227260185489177</c:v>
                </c:pt>
                <c:pt idx="131">
                  <c:v>-0.17498571589955447</c:v>
                </c:pt>
                <c:pt idx="132">
                  <c:v>-0.21255227111352129</c:v>
                </c:pt>
                <c:pt idx="133">
                  <c:v>-0.25496174224397516</c:v>
                </c:pt>
                <c:pt idx="134">
                  <c:v>-0.30209431266719111</c:v>
                </c:pt>
                <c:pt idx="135">
                  <c:v>-0.35374739140977707</c:v>
                </c:pt>
                <c:pt idx="136">
                  <c:v>-0.40966376962445322</c:v>
                </c:pt>
                <c:pt idx="137">
                  <c:v>-0.46955683205835319</c:v>
                </c:pt>
                <c:pt idx="138">
                  <c:v>-0.53313039345723867</c:v>
                </c:pt>
                <c:pt idx="139">
                  <c:v>-0.60009273933827545</c:v>
                </c:pt>
                <c:pt idx="140">
                  <c:v>-0.67016540139339864</c:v>
                </c:pt>
                <c:pt idx="141">
                  <c:v>-0.74308794710850123</c:v>
                </c:pt>
                <c:pt idx="142">
                  <c:v>-0.81861958258201495</c:v>
                </c:pt>
                <c:pt idx="143">
                  <c:v>-0.89653878858585057</c:v>
                </c:pt>
                <c:pt idx="144">
                  <c:v>-0.97664171713569758</c:v>
                </c:pt>
                <c:pt idx="145">
                  <c:v>-1.0587395020537862</c:v>
                </c:pt>
                <c:pt idx="146">
                  <c:v>-1.1426557838077227</c:v>
                </c:pt>
                <c:pt idx="147">
                  <c:v>-1.2282230948743829</c:v>
                </c:pt>
                <c:pt idx="148">
                  <c:v>-1.315280278898415</c:v>
                </c:pt>
                <c:pt idx="149">
                  <c:v>-1.4036694340531575</c:v>
                </c:pt>
                <c:pt idx="150">
                  <c:v>-1.4932332656527858</c:v>
                </c:pt>
                <c:pt idx="151">
                  <c:v>-1.5838130096803078</c:v>
                </c:pt>
                <c:pt idx="152">
                  <c:v>-1.675246642036772</c:v>
                </c:pt>
                <c:pt idx="153">
                  <c:v>-1.7673677572753079</c:v>
                </c:pt>
                <c:pt idx="154">
                  <c:v>-1.8600053374113883</c:v>
                </c:pt>
                <c:pt idx="155">
                  <c:v>-1.9529843454898568</c:v>
                </c:pt>
                <c:pt idx="156">
                  <c:v>-2.0461271262610183</c:v>
                </c:pt>
                <c:pt idx="157">
                  <c:v>-2.1392558933805441</c:v>
                </c:pt>
                <c:pt idx="158">
                  <c:v>-2.2321969311398413</c:v>
                </c:pt>
                <c:pt idx="159">
                  <c:v>-2.3247838103100995</c:v>
                </c:pt>
                <c:pt idx="160">
                  <c:v>-2.4168631769446298</c:v>
                </c:pt>
                <c:pt idx="161">
                  <c:v>-2.5082997585064741</c:v>
                </c:pt>
                <c:pt idx="162">
                  <c:v>-2.5989811684043147</c:v>
                </c:pt>
                <c:pt idx="163">
                  <c:v>-2.6888216106812521</c:v>
                </c:pt>
                <c:pt idx="164">
                  <c:v>-2.777764691919157</c:v>
                </c:pt>
                <c:pt idx="165">
                  <c:v>-2.8657838969528964</c:v>
                </c:pt>
                <c:pt idx="166">
                  <c:v>-2.9528808443873666</c:v>
                </c:pt>
                <c:pt idx="167">
                  <c:v>-3.0390810316774228</c:v>
                </c:pt>
                <c:pt idx="168">
                  <c:v>-3.1244271380474875</c:v>
                </c:pt>
                <c:pt idx="169">
                  <c:v>-3.2089711261595331</c:v>
                </c:pt>
                <c:pt idx="170">
                  <c:v>-3.2927607631376143</c:v>
                </c:pt>
                <c:pt idx="171">
                  <c:v>-3.3758316402524358</c:v>
                </c:pt>
                <c:pt idx="172">
                  <c:v>-3.4581908155767822</c:v>
                </c:pt>
                <c:pt idx="173">
                  <c:v>-3.5398064202684689</c:v>
                </c:pt>
                <c:pt idx="174">
                  <c:v>-3.620591569371586</c:v>
                </c:pt>
                <c:pt idx="175">
                  <c:v>-3.7004000994542459</c:v>
                </c:pt>
                <c:pt idx="176">
                  <c:v>-3.7790195950757837</c:v>
                </c:pt>
                <c:pt idx="177">
                  <c:v>-3.8561663740979273</c:v>
                </c:pt>
                <c:pt idx="178">
                  <c:v>-3.9315039697598797</c:v>
                </c:pt>
                <c:pt idx="179">
                  <c:v>-4.0046427023844542</c:v>
                </c:pt>
                <c:pt idx="180">
                  <c:v>-4.0751872524288641</c:v>
                </c:pt>
                <c:pt idx="181">
                  <c:v>-4.1427564043029985</c:v>
                </c:pt>
                <c:pt idx="182">
                  <c:v>-4.2070210512589554</c:v>
                </c:pt>
                <c:pt idx="183">
                  <c:v>-4.2677338449894728</c:v>
                </c:pt>
                <c:pt idx="184">
                  <c:v>-4.3247481700122785</c:v>
                </c:pt>
                <c:pt idx="185">
                  <c:v>-4.3780243654324007</c:v>
                </c:pt>
                <c:pt idx="186">
                  <c:v>-4.4276216601095681</c:v>
                </c:pt>
                <c:pt idx="187">
                  <c:v>-4.4736809901588916</c:v>
                </c:pt>
                <c:pt idx="188">
                  <c:v>-4.5164028334624158</c:v>
                </c:pt>
                <c:pt idx="189">
                  <c:v>-4.556024540512583</c:v>
                </c:pt>
                <c:pt idx="190">
                  <c:v>-4.5928005842649924</c:v>
                </c:pt>
                <c:pt idx="191">
                  <c:v>-4.6269871272893619</c:v>
                </c:pt>
                <c:pt idx="192">
                  <c:v>-4.6588311391127135</c:v>
                </c:pt>
                <c:pt idx="193">
                  <c:v>-4.6885637137018152</c:v>
                </c:pt>
                <c:pt idx="194">
                  <c:v>-4.7163963633571919</c:v>
                </c:pt>
                <c:pt idx="195">
                  <c:v>-4.7425198782599765</c:v>
                </c:pt>
                <c:pt idx="196">
                  <c:v>-4.7671043985043031</c:v>
                </c:pt>
                <c:pt idx="197">
                  <c:v>-4.7903007174828804</c:v>
                </c:pt>
                <c:pt idx="198">
                  <c:v>-4.8122418075790803</c:v>
                </c:pt>
                <c:pt idx="199">
                  <c:v>-4.8330447282006004</c:v>
                </c:pt>
                <c:pt idx="200">
                  <c:v>-4.8528123386752755</c:v>
                </c:pt>
                <c:pt idx="201">
                  <c:v>-4.8716352758703989</c:v>
                </c:pt>
                <c:pt idx="202">
                  <c:v>-4.8895933716264324</c:v>
                </c:pt>
                <c:pt idx="203">
                  <c:v>-4.9067571829269729</c:v>
                </c:pt>
                <c:pt idx="204">
                  <c:v>-4.9231891846833022</c:v>
                </c:pt>
                <c:pt idx="205">
                  <c:v>-4.9389449388877855</c:v>
                </c:pt>
                <c:pt idx="206">
                  <c:v>-4.9540740445446279</c:v>
                </c:pt>
                <c:pt idx="207">
                  <c:v>-4.9686209071683738</c:v>
                </c:pt>
                <c:pt idx="208">
                  <c:v>-4.9826253308325512</c:v>
                </c:pt>
                <c:pt idx="209">
                  <c:v>-4.9961234252697935</c:v>
                </c:pt>
                <c:pt idx="210">
                  <c:v>-5.0091477024471391</c:v>
                </c:pt>
                <c:pt idx="211">
                  <c:v>-5.0217278159579806</c:v>
                </c:pt>
                <c:pt idx="212">
                  <c:v>-5.0338907912666366</c:v>
                </c:pt>
                <c:pt idx="213">
                  <c:v>-5.0456613773514833</c:v>
                </c:pt>
                <c:pt idx="214">
                  <c:v>-5.0570623215330697</c:v>
                </c:pt>
                <c:pt idx="215">
                  <c:v>-5.0681146004330486</c:v>
                </c:pt>
                <c:pt idx="216">
                  <c:v>-5.0788376466092</c:v>
                </c:pt>
                <c:pt idx="217">
                  <c:v>-5.0892495132904063</c:v>
                </c:pt>
                <c:pt idx="218">
                  <c:v>-5.0993670497695165</c:v>
                </c:pt>
                <c:pt idx="219">
                  <c:v>-5.1092060449595813</c:v>
                </c:pt>
                <c:pt idx="220">
                  <c:v>-5.1187813484927194</c:v>
                </c:pt>
                <c:pt idx="221">
                  <c:v>-5.1281070069832291</c:v>
                </c:pt>
                <c:pt idx="222">
                  <c:v>-5.1371963546917305</c:v>
                </c:pt>
                <c:pt idx="223">
                  <c:v>-5.1460621347536692</c:v>
                </c:pt>
                <c:pt idx="224">
                  <c:v>-5.1547165620245012</c:v>
                </c:pt>
                <c:pt idx="225">
                  <c:v>-5.1631714587865707</c:v>
                </c:pt>
                <c:pt idx="226">
                  <c:v>-5.171438288312256</c:v>
                </c:pt>
                <c:pt idx="227">
                  <c:v>-5.1795282910842824</c:v>
                </c:pt>
                <c:pt idx="228">
                  <c:v>-5.1874525268436313</c:v>
                </c:pt>
                <c:pt idx="229">
                  <c:v>-5.1952219904252308</c:v>
                </c:pt>
                <c:pt idx="230">
                  <c:v>-5.2028476837055635</c:v>
                </c:pt>
                <c:pt idx="231">
                  <c:v>-5.2103407412195457</c:v>
                </c:pt>
                <c:pt idx="232">
                  <c:v>-5.2177124920957381</c:v>
                </c:pt>
                <c:pt idx="233">
                  <c:v>-5.2249746307967868</c:v>
                </c:pt>
                <c:pt idx="234">
                  <c:v>-5.2321393079936476</c:v>
                </c:pt>
                <c:pt idx="235">
                  <c:v>-5.2392193562765828</c:v>
                </c:pt>
                <c:pt idx="236">
                  <c:v>-5.2462284430665251</c:v>
                </c:pt>
                <c:pt idx="237">
                  <c:v>-5.2531813740352211</c:v>
                </c:pt>
                <c:pt idx="238">
                  <c:v>-5.2600944208825355</c:v>
                </c:pt>
                <c:pt idx="239">
                  <c:v>-5.2669857711855501</c:v>
                </c:pt>
                <c:pt idx="240">
                  <c:v>-5.2738762274866771</c:v>
                </c:pt>
                <c:pt idx="241">
                  <c:v>-5.2807901086584197</c:v>
                </c:pt>
                <c:pt idx="242">
                  <c:v>-5.287756722156093</c:v>
                </c:pt>
                <c:pt idx="243">
                  <c:v>-5.2948126549932688</c:v>
                </c:pt>
                <c:pt idx="244">
                  <c:v>-5.3020057694486464</c:v>
                </c:pt>
                <c:pt idx="245">
                  <c:v>-5.3094025160822866</c:v>
                </c:pt>
                <c:pt idx="246">
                  <c:v>-5.3171035042258552</c:v>
                </c:pt>
                <c:pt idx="247">
                  <c:v>-5.3252822092784875</c:v>
                </c:pt>
                <c:pt idx="248">
                  <c:v>-5.334317200903012</c:v>
                </c:pt>
                <c:pt idx="249">
                  <c:v>-5.3458867580260252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F1-4339-8E09-7CF4954F079E}"/>
            </c:ext>
          </c:extLst>
        </c:ser>
        <c:ser>
          <c:idx val="2"/>
          <c:order val="1"/>
          <c:tx>
            <c:v>LCDM Redshift</c:v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Recombination!$E:$E</c:f>
              <c:numCache>
                <c:formatCode>0.00</c:formatCode>
                <c:ptCount val="1048576"/>
                <c:pt idx="0">
                  <c:v>3000</c:v>
                </c:pt>
                <c:pt idx="1">
                  <c:v>2987.9517999999998</c:v>
                </c:pt>
                <c:pt idx="2">
                  <c:v>2975.9036000000001</c:v>
                </c:pt>
                <c:pt idx="3">
                  <c:v>2963.8553999999999</c:v>
                </c:pt>
                <c:pt idx="4">
                  <c:v>2951.8072000000002</c:v>
                </c:pt>
                <c:pt idx="5">
                  <c:v>2939.759</c:v>
                </c:pt>
                <c:pt idx="6">
                  <c:v>2927.7107999999998</c:v>
                </c:pt>
                <c:pt idx="7">
                  <c:v>2915.6626999999999</c:v>
                </c:pt>
                <c:pt idx="8">
                  <c:v>2903.6145000000001</c:v>
                </c:pt>
                <c:pt idx="9">
                  <c:v>2891.5663</c:v>
                </c:pt>
                <c:pt idx="10">
                  <c:v>2879.5180999999998</c:v>
                </c:pt>
                <c:pt idx="11">
                  <c:v>2867.4699000000001</c:v>
                </c:pt>
                <c:pt idx="12">
                  <c:v>2855.4216999999999</c:v>
                </c:pt>
                <c:pt idx="13">
                  <c:v>2843.3735000000001</c:v>
                </c:pt>
                <c:pt idx="14">
                  <c:v>2831.3253</c:v>
                </c:pt>
                <c:pt idx="15">
                  <c:v>2819.2770999999998</c:v>
                </c:pt>
                <c:pt idx="16">
                  <c:v>2807.2289000000001</c:v>
                </c:pt>
                <c:pt idx="17">
                  <c:v>2795.1806999999999</c:v>
                </c:pt>
                <c:pt idx="18">
                  <c:v>2783.1325000000002</c:v>
                </c:pt>
                <c:pt idx="19">
                  <c:v>2771.0843</c:v>
                </c:pt>
                <c:pt idx="20">
                  <c:v>2759.0360999999998</c:v>
                </c:pt>
                <c:pt idx="21">
                  <c:v>2746.9879999999998</c:v>
                </c:pt>
                <c:pt idx="22">
                  <c:v>2734.9398000000001</c:v>
                </c:pt>
                <c:pt idx="23">
                  <c:v>2722.8915999999999</c:v>
                </c:pt>
                <c:pt idx="24">
                  <c:v>2710.8434000000002</c:v>
                </c:pt>
                <c:pt idx="25">
                  <c:v>2698.7952</c:v>
                </c:pt>
                <c:pt idx="26">
                  <c:v>2686.7469999999998</c:v>
                </c:pt>
                <c:pt idx="27">
                  <c:v>2674.6988000000001</c:v>
                </c:pt>
                <c:pt idx="28">
                  <c:v>2662.6505999999999</c:v>
                </c:pt>
                <c:pt idx="29">
                  <c:v>2650.6024000000002</c:v>
                </c:pt>
                <c:pt idx="30">
                  <c:v>2638.5542</c:v>
                </c:pt>
                <c:pt idx="31">
                  <c:v>2626.5059999999999</c:v>
                </c:pt>
                <c:pt idx="32">
                  <c:v>2614.4578000000001</c:v>
                </c:pt>
                <c:pt idx="33">
                  <c:v>2602.4096</c:v>
                </c:pt>
                <c:pt idx="34">
                  <c:v>2590.3613999999998</c:v>
                </c:pt>
                <c:pt idx="35">
                  <c:v>2578.3132999999998</c:v>
                </c:pt>
                <c:pt idx="36">
                  <c:v>2566.2651000000001</c:v>
                </c:pt>
                <c:pt idx="37">
                  <c:v>2554.2168999999999</c:v>
                </c:pt>
                <c:pt idx="38">
                  <c:v>2542.1687000000002</c:v>
                </c:pt>
                <c:pt idx="39">
                  <c:v>2530.1205</c:v>
                </c:pt>
                <c:pt idx="40">
                  <c:v>2518.0722999999998</c:v>
                </c:pt>
                <c:pt idx="41">
                  <c:v>2506.0241000000001</c:v>
                </c:pt>
                <c:pt idx="42">
                  <c:v>2493.9758999999999</c:v>
                </c:pt>
                <c:pt idx="43">
                  <c:v>2481.9277000000002</c:v>
                </c:pt>
                <c:pt idx="44">
                  <c:v>2469.8795</c:v>
                </c:pt>
                <c:pt idx="45">
                  <c:v>2457.8312999999998</c:v>
                </c:pt>
                <c:pt idx="46">
                  <c:v>2445.7831000000001</c:v>
                </c:pt>
                <c:pt idx="47">
                  <c:v>2433.7348999999999</c:v>
                </c:pt>
                <c:pt idx="48">
                  <c:v>2421.6867000000002</c:v>
                </c:pt>
                <c:pt idx="49">
                  <c:v>2409.6386000000002</c:v>
                </c:pt>
                <c:pt idx="50">
                  <c:v>2397.5904</c:v>
                </c:pt>
                <c:pt idx="51">
                  <c:v>2385.5421999999999</c:v>
                </c:pt>
                <c:pt idx="52">
                  <c:v>2373.4940000000001</c:v>
                </c:pt>
                <c:pt idx="53">
                  <c:v>2361.4458</c:v>
                </c:pt>
                <c:pt idx="54">
                  <c:v>2349.3975999999998</c:v>
                </c:pt>
                <c:pt idx="55">
                  <c:v>2337.3494000000001</c:v>
                </c:pt>
                <c:pt idx="56">
                  <c:v>2325.3011999999999</c:v>
                </c:pt>
                <c:pt idx="57">
                  <c:v>2313.2530000000002</c:v>
                </c:pt>
                <c:pt idx="58">
                  <c:v>2301.2048</c:v>
                </c:pt>
                <c:pt idx="59">
                  <c:v>2289.1565999999998</c:v>
                </c:pt>
                <c:pt idx="60">
                  <c:v>2277.1084000000001</c:v>
                </c:pt>
                <c:pt idx="61">
                  <c:v>2265.0601999999999</c:v>
                </c:pt>
                <c:pt idx="62">
                  <c:v>2253.0120000000002</c:v>
                </c:pt>
                <c:pt idx="63">
                  <c:v>2240.9639000000002</c:v>
                </c:pt>
                <c:pt idx="64">
                  <c:v>2228.9157</c:v>
                </c:pt>
                <c:pt idx="65">
                  <c:v>2216.8674999999998</c:v>
                </c:pt>
                <c:pt idx="66">
                  <c:v>2204.8193000000001</c:v>
                </c:pt>
                <c:pt idx="67">
                  <c:v>2192.7710999999999</c:v>
                </c:pt>
                <c:pt idx="68">
                  <c:v>2180.7229000000002</c:v>
                </c:pt>
                <c:pt idx="69">
                  <c:v>2168.6747</c:v>
                </c:pt>
                <c:pt idx="70">
                  <c:v>2156.6264999999999</c:v>
                </c:pt>
                <c:pt idx="71">
                  <c:v>2144.5783000000001</c:v>
                </c:pt>
                <c:pt idx="72">
                  <c:v>2132.5300999999999</c:v>
                </c:pt>
                <c:pt idx="73">
                  <c:v>2120.4819000000002</c:v>
                </c:pt>
                <c:pt idx="74">
                  <c:v>2108.4337</c:v>
                </c:pt>
                <c:pt idx="75">
                  <c:v>2096.3854999999999</c:v>
                </c:pt>
                <c:pt idx="76">
                  <c:v>2084.3373000000001</c:v>
                </c:pt>
                <c:pt idx="77">
                  <c:v>2072.2892000000002</c:v>
                </c:pt>
                <c:pt idx="78">
                  <c:v>2060.241</c:v>
                </c:pt>
                <c:pt idx="79">
                  <c:v>2048.1927999999998</c:v>
                </c:pt>
                <c:pt idx="80">
                  <c:v>2036.1446000000001</c:v>
                </c:pt>
                <c:pt idx="81">
                  <c:v>2024.0963999999999</c:v>
                </c:pt>
                <c:pt idx="82">
                  <c:v>2012.0482</c:v>
                </c:pt>
                <c:pt idx="83">
                  <c:v>2000</c:v>
                </c:pt>
                <c:pt idx="84">
                  <c:v>1987.9518</c:v>
                </c:pt>
                <c:pt idx="85">
                  <c:v>1975.9036000000001</c:v>
                </c:pt>
                <c:pt idx="86">
                  <c:v>1963.8553999999999</c:v>
                </c:pt>
                <c:pt idx="87">
                  <c:v>1951.8072</c:v>
                </c:pt>
                <c:pt idx="88">
                  <c:v>1939.759</c:v>
                </c:pt>
                <c:pt idx="89">
                  <c:v>1927.7108000000001</c:v>
                </c:pt>
                <c:pt idx="90">
                  <c:v>1915.6627000000001</c:v>
                </c:pt>
                <c:pt idx="91">
                  <c:v>1903.6144999999999</c:v>
                </c:pt>
                <c:pt idx="92">
                  <c:v>1891.5663</c:v>
                </c:pt>
                <c:pt idx="93">
                  <c:v>1879.5181</c:v>
                </c:pt>
                <c:pt idx="94">
                  <c:v>1867.4699000000001</c:v>
                </c:pt>
                <c:pt idx="95">
                  <c:v>1855.4217000000001</c:v>
                </c:pt>
                <c:pt idx="96">
                  <c:v>1843.3734999999999</c:v>
                </c:pt>
                <c:pt idx="97">
                  <c:v>1831.3253</c:v>
                </c:pt>
                <c:pt idx="98">
                  <c:v>1819.2771</c:v>
                </c:pt>
                <c:pt idx="99">
                  <c:v>1807.2289000000001</c:v>
                </c:pt>
                <c:pt idx="100">
                  <c:v>1795.1806999999999</c:v>
                </c:pt>
                <c:pt idx="101">
                  <c:v>1783.1324999999999</c:v>
                </c:pt>
                <c:pt idx="102">
                  <c:v>1771.0843</c:v>
                </c:pt>
                <c:pt idx="103">
                  <c:v>1759.0361</c:v>
                </c:pt>
                <c:pt idx="104">
                  <c:v>1746.9880000000001</c:v>
                </c:pt>
                <c:pt idx="105">
                  <c:v>1734.9398000000001</c:v>
                </c:pt>
                <c:pt idx="106">
                  <c:v>1722.8915999999999</c:v>
                </c:pt>
                <c:pt idx="107">
                  <c:v>1710.8434</c:v>
                </c:pt>
                <c:pt idx="108">
                  <c:v>1698.7952</c:v>
                </c:pt>
                <c:pt idx="109">
                  <c:v>1686.7470000000001</c:v>
                </c:pt>
                <c:pt idx="110">
                  <c:v>1674.6987999999999</c:v>
                </c:pt>
                <c:pt idx="111">
                  <c:v>1662.6505999999999</c:v>
                </c:pt>
                <c:pt idx="112">
                  <c:v>1650.6024</c:v>
                </c:pt>
                <c:pt idx="113">
                  <c:v>1638.5542</c:v>
                </c:pt>
                <c:pt idx="114">
                  <c:v>1626.5060000000001</c:v>
                </c:pt>
                <c:pt idx="115">
                  <c:v>1614.4577999999999</c:v>
                </c:pt>
                <c:pt idx="116">
                  <c:v>1602.4096</c:v>
                </c:pt>
                <c:pt idx="117">
                  <c:v>1590.3614</c:v>
                </c:pt>
                <c:pt idx="118">
                  <c:v>1578.3133</c:v>
                </c:pt>
                <c:pt idx="119">
                  <c:v>1566.2651000000001</c:v>
                </c:pt>
                <c:pt idx="120">
                  <c:v>1554.2168999999999</c:v>
                </c:pt>
                <c:pt idx="121">
                  <c:v>1542.1686999999999</c:v>
                </c:pt>
                <c:pt idx="122">
                  <c:v>1530.1205</c:v>
                </c:pt>
                <c:pt idx="123">
                  <c:v>1518.0723</c:v>
                </c:pt>
                <c:pt idx="124">
                  <c:v>1506.0241000000001</c:v>
                </c:pt>
                <c:pt idx="125">
                  <c:v>1493.9758999999999</c:v>
                </c:pt>
                <c:pt idx="126">
                  <c:v>1481.9277</c:v>
                </c:pt>
                <c:pt idx="127">
                  <c:v>1469.8795</c:v>
                </c:pt>
                <c:pt idx="128">
                  <c:v>1457.8313000000001</c:v>
                </c:pt>
                <c:pt idx="129">
                  <c:v>1445.7831000000001</c:v>
                </c:pt>
                <c:pt idx="130">
                  <c:v>1433.7348999999999</c:v>
                </c:pt>
                <c:pt idx="131">
                  <c:v>1421.6867</c:v>
                </c:pt>
                <c:pt idx="132">
                  <c:v>1409.6386</c:v>
                </c:pt>
                <c:pt idx="133">
                  <c:v>1397.5904</c:v>
                </c:pt>
                <c:pt idx="134">
                  <c:v>1385.5422000000001</c:v>
                </c:pt>
                <c:pt idx="135">
                  <c:v>1373.4939999999999</c:v>
                </c:pt>
                <c:pt idx="136">
                  <c:v>1361.4458</c:v>
                </c:pt>
                <c:pt idx="137">
                  <c:v>1349.3976</c:v>
                </c:pt>
                <c:pt idx="138">
                  <c:v>1337.3494000000001</c:v>
                </c:pt>
                <c:pt idx="139">
                  <c:v>1325.3012000000001</c:v>
                </c:pt>
                <c:pt idx="140">
                  <c:v>1313.2529999999999</c:v>
                </c:pt>
                <c:pt idx="141">
                  <c:v>1301.2048</c:v>
                </c:pt>
                <c:pt idx="142">
                  <c:v>1289.1566</c:v>
                </c:pt>
                <c:pt idx="143">
                  <c:v>1277.1084000000001</c:v>
                </c:pt>
                <c:pt idx="144">
                  <c:v>1265.0601999999999</c:v>
                </c:pt>
                <c:pt idx="145">
                  <c:v>1253.0119999999999</c:v>
                </c:pt>
                <c:pt idx="146">
                  <c:v>1240.9639</c:v>
                </c:pt>
                <c:pt idx="147">
                  <c:v>1228.9157</c:v>
                </c:pt>
                <c:pt idx="148">
                  <c:v>1216.8675000000001</c:v>
                </c:pt>
                <c:pt idx="149">
                  <c:v>1204.8193000000001</c:v>
                </c:pt>
                <c:pt idx="150">
                  <c:v>1192.7710999999999</c:v>
                </c:pt>
                <c:pt idx="151">
                  <c:v>1180.7229</c:v>
                </c:pt>
                <c:pt idx="152">
                  <c:v>1168.6747</c:v>
                </c:pt>
                <c:pt idx="153">
                  <c:v>1156.6265000000001</c:v>
                </c:pt>
                <c:pt idx="154">
                  <c:v>1144.5782999999999</c:v>
                </c:pt>
                <c:pt idx="155">
                  <c:v>1132.5300999999999</c:v>
                </c:pt>
                <c:pt idx="156">
                  <c:v>1120.4819</c:v>
                </c:pt>
                <c:pt idx="157">
                  <c:v>1108.4337</c:v>
                </c:pt>
                <c:pt idx="158">
                  <c:v>1096.3855000000001</c:v>
                </c:pt>
                <c:pt idx="159">
                  <c:v>1084.3372999999999</c:v>
                </c:pt>
                <c:pt idx="160">
                  <c:v>1072.2891999999999</c:v>
                </c:pt>
                <c:pt idx="161">
                  <c:v>1060.241</c:v>
                </c:pt>
                <c:pt idx="162">
                  <c:v>1048.1928</c:v>
                </c:pt>
                <c:pt idx="163">
                  <c:v>1036.1446000000001</c:v>
                </c:pt>
                <c:pt idx="164">
                  <c:v>1024.0963999999999</c:v>
                </c:pt>
                <c:pt idx="165">
                  <c:v>1012.0482</c:v>
                </c:pt>
                <c:pt idx="166">
                  <c:v>1000</c:v>
                </c:pt>
                <c:pt idx="167">
                  <c:v>987.95181000000002</c:v>
                </c:pt>
                <c:pt idx="168">
                  <c:v>975.90360999999996</c:v>
                </c:pt>
                <c:pt idx="169">
                  <c:v>963.85541999999998</c:v>
                </c:pt>
                <c:pt idx="170">
                  <c:v>951.80723</c:v>
                </c:pt>
                <c:pt idx="171">
                  <c:v>939.75904000000003</c:v>
                </c:pt>
                <c:pt idx="172">
                  <c:v>927.71083999999996</c:v>
                </c:pt>
                <c:pt idx="173">
                  <c:v>915.66264999999999</c:v>
                </c:pt>
                <c:pt idx="174">
                  <c:v>903.61446000000001</c:v>
                </c:pt>
                <c:pt idx="175">
                  <c:v>891.56627000000003</c:v>
                </c:pt>
                <c:pt idx="176">
                  <c:v>879.51806999999997</c:v>
                </c:pt>
                <c:pt idx="177">
                  <c:v>867.46987999999999</c:v>
                </c:pt>
                <c:pt idx="178">
                  <c:v>855.42169000000001</c:v>
                </c:pt>
                <c:pt idx="179">
                  <c:v>843.37348999999995</c:v>
                </c:pt>
                <c:pt idx="180">
                  <c:v>831.32529999999997</c:v>
                </c:pt>
                <c:pt idx="181">
                  <c:v>819.27710999999999</c:v>
                </c:pt>
                <c:pt idx="182">
                  <c:v>807.22892000000002</c:v>
                </c:pt>
                <c:pt idx="183">
                  <c:v>795.18071999999995</c:v>
                </c:pt>
                <c:pt idx="184">
                  <c:v>783.13252999999997</c:v>
                </c:pt>
                <c:pt idx="185">
                  <c:v>771.08434</c:v>
                </c:pt>
                <c:pt idx="186">
                  <c:v>759.03614000000005</c:v>
                </c:pt>
                <c:pt idx="187">
                  <c:v>746.98794999999996</c:v>
                </c:pt>
                <c:pt idx="188">
                  <c:v>734.93975999999998</c:v>
                </c:pt>
                <c:pt idx="189">
                  <c:v>722.89157</c:v>
                </c:pt>
                <c:pt idx="190">
                  <c:v>710.84337000000005</c:v>
                </c:pt>
                <c:pt idx="191">
                  <c:v>698.79517999999996</c:v>
                </c:pt>
                <c:pt idx="192">
                  <c:v>686.74698999999998</c:v>
                </c:pt>
                <c:pt idx="193">
                  <c:v>674.69880000000001</c:v>
                </c:pt>
                <c:pt idx="194">
                  <c:v>662.65060000000005</c:v>
                </c:pt>
                <c:pt idx="195">
                  <c:v>650.60240999999996</c:v>
                </c:pt>
                <c:pt idx="196">
                  <c:v>638.55421999999999</c:v>
                </c:pt>
                <c:pt idx="197">
                  <c:v>626.50602000000003</c:v>
                </c:pt>
                <c:pt idx="198">
                  <c:v>614.45782999999994</c:v>
                </c:pt>
                <c:pt idx="199">
                  <c:v>602.40963999999997</c:v>
                </c:pt>
                <c:pt idx="200">
                  <c:v>590.36144999999999</c:v>
                </c:pt>
                <c:pt idx="201">
                  <c:v>578.31325000000004</c:v>
                </c:pt>
                <c:pt idx="202">
                  <c:v>566.26505999999995</c:v>
                </c:pt>
                <c:pt idx="203">
                  <c:v>554.21686999999997</c:v>
                </c:pt>
                <c:pt idx="204">
                  <c:v>542.16867000000002</c:v>
                </c:pt>
                <c:pt idx="205">
                  <c:v>530.12048000000004</c:v>
                </c:pt>
                <c:pt idx="206">
                  <c:v>518.07228999999995</c:v>
                </c:pt>
                <c:pt idx="207">
                  <c:v>506.02409999999998</c:v>
                </c:pt>
                <c:pt idx="208">
                  <c:v>493.97590000000002</c:v>
                </c:pt>
                <c:pt idx="209">
                  <c:v>481.92770999999999</c:v>
                </c:pt>
                <c:pt idx="210">
                  <c:v>469.87952000000001</c:v>
                </c:pt>
                <c:pt idx="211">
                  <c:v>457.83132999999998</c:v>
                </c:pt>
                <c:pt idx="212">
                  <c:v>445.78313000000003</c:v>
                </c:pt>
                <c:pt idx="213">
                  <c:v>433.73493999999999</c:v>
                </c:pt>
                <c:pt idx="214">
                  <c:v>421.68675000000002</c:v>
                </c:pt>
                <c:pt idx="215">
                  <c:v>409.63855000000001</c:v>
                </c:pt>
                <c:pt idx="216">
                  <c:v>397.59035999999998</c:v>
                </c:pt>
                <c:pt idx="217">
                  <c:v>385.54217</c:v>
                </c:pt>
                <c:pt idx="218">
                  <c:v>373.49398000000002</c:v>
                </c:pt>
                <c:pt idx="219">
                  <c:v>361.44578000000001</c:v>
                </c:pt>
                <c:pt idx="220">
                  <c:v>349.39758999999998</c:v>
                </c:pt>
                <c:pt idx="221">
                  <c:v>337.3494</c:v>
                </c:pt>
                <c:pt idx="222">
                  <c:v>325.30119999999999</c:v>
                </c:pt>
                <c:pt idx="223">
                  <c:v>313.25301000000002</c:v>
                </c:pt>
                <c:pt idx="224">
                  <c:v>301.20481999999998</c:v>
                </c:pt>
                <c:pt idx="225">
                  <c:v>289.15663000000001</c:v>
                </c:pt>
                <c:pt idx="226">
                  <c:v>277.10843</c:v>
                </c:pt>
                <c:pt idx="227">
                  <c:v>265.06024000000002</c:v>
                </c:pt>
                <c:pt idx="228">
                  <c:v>253.01204999999999</c:v>
                </c:pt>
                <c:pt idx="229">
                  <c:v>240.96386000000001</c:v>
                </c:pt>
                <c:pt idx="230">
                  <c:v>228.91566</c:v>
                </c:pt>
                <c:pt idx="231">
                  <c:v>216.86747</c:v>
                </c:pt>
                <c:pt idx="232">
                  <c:v>204.81927999999999</c:v>
                </c:pt>
                <c:pt idx="233">
                  <c:v>192.77108000000001</c:v>
                </c:pt>
                <c:pt idx="234">
                  <c:v>180.72289000000001</c:v>
                </c:pt>
                <c:pt idx="235">
                  <c:v>168.6747</c:v>
                </c:pt>
                <c:pt idx="236">
                  <c:v>156.62651</c:v>
                </c:pt>
                <c:pt idx="237">
                  <c:v>144.57830999999999</c:v>
                </c:pt>
                <c:pt idx="238">
                  <c:v>132.53012000000001</c:v>
                </c:pt>
                <c:pt idx="239">
                  <c:v>120.48193000000001</c:v>
                </c:pt>
                <c:pt idx="240">
                  <c:v>108.43373</c:v>
                </c:pt>
                <c:pt idx="241">
                  <c:v>96.385542000000001</c:v>
                </c:pt>
                <c:pt idx="242">
                  <c:v>84.337349000000003</c:v>
                </c:pt>
                <c:pt idx="243">
                  <c:v>72.289157000000003</c:v>
                </c:pt>
                <c:pt idx="244">
                  <c:v>60.240963999999998</c:v>
                </c:pt>
                <c:pt idx="245">
                  <c:v>48.192771</c:v>
                </c:pt>
                <c:pt idx="246">
                  <c:v>36.144578000000003</c:v>
                </c:pt>
                <c:pt idx="247">
                  <c:v>24.096385999999999</c:v>
                </c:pt>
                <c:pt idx="248">
                  <c:v>12.048192999999999</c:v>
                </c:pt>
                <c:pt idx="249">
                  <c:v>0</c:v>
                </c:pt>
              </c:numCache>
            </c:numRef>
          </c:xVal>
          <c:yVal>
            <c:numRef>
              <c:f>Recombination!$G:$G</c:f>
              <c:numCache>
                <c:formatCode>General</c:formatCode>
                <c:ptCount val="1048576"/>
                <c:pt idx="0">
                  <c:v>3.4590118319625177E-2</c:v>
                </c:pt>
                <c:pt idx="1">
                  <c:v>3.4548608074522834E-2</c:v>
                </c:pt>
                <c:pt idx="2">
                  <c:v>3.4542631876772027E-2</c:v>
                </c:pt>
                <c:pt idx="3">
                  <c:v>3.453573307643789E-2</c:v>
                </c:pt>
                <c:pt idx="4">
                  <c:v>3.4527751188143795E-2</c:v>
                </c:pt>
                <c:pt idx="5">
                  <c:v>3.4518525707353989E-2</c:v>
                </c:pt>
                <c:pt idx="6">
                  <c:v>3.4507896106073375E-2</c:v>
                </c:pt>
                <c:pt idx="7">
                  <c:v>3.4495621601305849E-2</c:v>
                </c:pt>
                <c:pt idx="8">
                  <c:v>3.4481421251201599E-2</c:v>
                </c:pt>
                <c:pt idx="9">
                  <c:v>3.4465054170015823E-2</c:v>
                </c:pt>
                <c:pt idx="10">
                  <c:v>3.4446199169764463E-2</c:v>
                </c:pt>
                <c:pt idx="11">
                  <c:v>3.4424494847491292E-2</c:v>
                </c:pt>
                <c:pt idx="12">
                  <c:v>3.4399539554178231E-2</c:v>
                </c:pt>
                <c:pt idx="13">
                  <c:v>3.437093148116252E-2</c:v>
                </c:pt>
                <c:pt idx="14">
                  <c:v>3.433826862818623E-2</c:v>
                </c:pt>
                <c:pt idx="15">
                  <c:v>3.4301148767705111E-2</c:v>
                </c:pt>
                <c:pt idx="16">
                  <c:v>3.4259169405447709E-2</c:v>
                </c:pt>
                <c:pt idx="17">
                  <c:v>3.4211927737212947E-2</c:v>
                </c:pt>
                <c:pt idx="18">
                  <c:v>3.4159100890742547E-2</c:v>
                </c:pt>
                <c:pt idx="19">
                  <c:v>3.4100445929319337E-2</c:v>
                </c:pt>
                <c:pt idx="20">
                  <c:v>3.4035840024682178E-2</c:v>
                </c:pt>
                <c:pt idx="21">
                  <c:v>3.396511987245468E-2</c:v>
                </c:pt>
                <c:pt idx="22">
                  <c:v>3.3888282486844869E-2</c:v>
                </c:pt>
                <c:pt idx="23">
                  <c:v>3.3805445153900902E-2</c:v>
                </c:pt>
                <c:pt idx="24">
                  <c:v>3.3716724998360856E-2</c:v>
                </c:pt>
                <c:pt idx="25">
                  <c:v>3.3622359581938238E-2</c:v>
                </c:pt>
                <c:pt idx="26">
                  <c:v>3.3522586447863933E-2</c:v>
                </c:pt>
                <c:pt idx="27">
                  <c:v>3.3417763790265828E-2</c:v>
                </c:pt>
                <c:pt idx="28">
                  <c:v>3.3308169519783701E-2</c:v>
                </c:pt>
                <c:pt idx="29">
                  <c:v>3.3194121899539901E-2</c:v>
                </c:pt>
                <c:pt idx="30">
                  <c:v>3.3076019874408016E-2</c:v>
                </c:pt>
                <c:pt idx="31">
                  <c:v>3.2954182191852116E-2</c:v>
                </c:pt>
                <c:pt idx="32">
                  <c:v>3.2828887589188512E-2</c:v>
                </c:pt>
                <c:pt idx="33">
                  <c:v>3.2700455319523709E-2</c:v>
                </c:pt>
                <c:pt idx="34">
                  <c:v>3.2569204942537684E-2</c:v>
                </c:pt>
                <c:pt idx="35">
                  <c:v>3.2435295130383707E-2</c:v>
                </c:pt>
                <c:pt idx="36">
                  <c:v>3.2299045968566469E-2</c:v>
                </c:pt>
                <c:pt idx="37">
                  <c:v>3.2160616586068877E-2</c:v>
                </c:pt>
                <c:pt idx="38">
                  <c:v>3.2020166281680557E-2</c:v>
                </c:pt>
                <c:pt idx="39">
                  <c:v>3.1877814176017136E-2</c:v>
                </c:pt>
                <c:pt idx="40">
                  <c:v>3.1733719890348136E-2</c:v>
                </c:pt>
                <c:pt idx="41">
                  <c:v>3.1587962471159858E-2</c:v>
                </c:pt>
                <c:pt idx="42">
                  <c:v>3.144062105249356E-2</c:v>
                </c:pt>
                <c:pt idx="43">
                  <c:v>3.1291694038301336E-2</c:v>
                </c:pt>
                <c:pt idx="44">
                  <c:v>3.1141260662787586E-2</c:v>
                </c:pt>
                <c:pt idx="45">
                  <c:v>3.0989278939351321E-2</c:v>
                </c:pt>
                <c:pt idx="46">
                  <c:v>3.0835747260221497E-2</c:v>
                </c:pt>
                <c:pt idx="47">
                  <c:v>3.0680663999901367E-2</c:v>
                </c:pt>
                <c:pt idx="48">
                  <c:v>3.0523987033264234E-2</c:v>
                </c:pt>
                <c:pt idx="49">
                  <c:v>3.0365633661715546E-2</c:v>
                </c:pt>
                <c:pt idx="50">
                  <c:v>3.0205561560012164E-2</c:v>
                </c:pt>
                <c:pt idx="51">
                  <c:v>3.0043647268469285E-2</c:v>
                </c:pt>
                <c:pt idx="52">
                  <c:v>2.9879888748024271E-2</c:v>
                </c:pt>
                <c:pt idx="53">
                  <c:v>2.9714081147579525E-2</c:v>
                </c:pt>
                <c:pt idx="54">
                  <c:v>2.954618156994392E-2</c:v>
                </c:pt>
                <c:pt idx="55">
                  <c:v>2.9376065845565881E-2</c:v>
                </c:pt>
                <c:pt idx="56">
                  <c:v>2.9203609579475483E-2</c:v>
                </c:pt>
                <c:pt idx="57">
                  <c:v>2.9028728766037511E-2</c:v>
                </c:pt>
                <c:pt idx="58">
                  <c:v>2.885117667452726E-2</c:v>
                </c:pt>
                <c:pt idx="59">
                  <c:v>2.8670909401387681E-2</c:v>
                </c:pt>
                <c:pt idx="60">
                  <c:v>2.8487760906169474E-2</c:v>
                </c:pt>
                <c:pt idx="61">
                  <c:v>2.8301564815865581E-2</c:v>
                </c:pt>
                <c:pt idx="62">
                  <c:v>2.8112195120548255E-2</c:v>
                </c:pt>
                <c:pt idx="63">
                  <c:v>2.7919403349982139E-2</c:v>
                </c:pt>
                <c:pt idx="64">
                  <c:v>2.7723144237990046E-2</c:v>
                </c:pt>
                <c:pt idx="65">
                  <c:v>2.7523127783112493E-2</c:v>
                </c:pt>
                <c:pt idx="66">
                  <c:v>2.7319267269466829E-2</c:v>
                </c:pt>
                <c:pt idx="67">
                  <c:v>2.7111312517725625E-2</c:v>
                </c:pt>
                <c:pt idx="68">
                  <c:v>2.6899094405412265E-2</c:v>
                </c:pt>
                <c:pt idx="69">
                  <c:v>2.6682443362708304E-2</c:v>
                </c:pt>
                <c:pt idx="70">
                  <c:v>2.6461148492749449E-2</c:v>
                </c:pt>
                <c:pt idx="71">
                  <c:v>2.6234957447123987E-2</c:v>
                </c:pt>
                <c:pt idx="72">
                  <c:v>2.6003699009516972E-2</c:v>
                </c:pt>
                <c:pt idx="73">
                  <c:v>2.576711957795022E-2</c:v>
                </c:pt>
                <c:pt idx="74">
                  <c:v>2.5525046717790351E-2</c:v>
                </c:pt>
                <c:pt idx="75">
                  <c:v>2.5277225467358055E-2</c:v>
                </c:pt>
                <c:pt idx="76">
                  <c:v>2.50234000713884E-2</c:v>
                </c:pt>
                <c:pt idx="77">
                  <c:v>2.4763313945611817E-2</c:v>
                </c:pt>
                <c:pt idx="78">
                  <c:v>2.4496750687249852E-2</c:v>
                </c:pt>
                <c:pt idx="79">
                  <c:v>2.4223410945182849E-2</c:v>
                </c:pt>
                <c:pt idx="80">
                  <c:v>2.3943076520818896E-2</c:v>
                </c:pt>
                <c:pt idx="81">
                  <c:v>2.3655446082651153E-2</c:v>
                </c:pt>
                <c:pt idx="82">
                  <c:v>2.3360217160237888E-2</c:v>
                </c:pt>
                <c:pt idx="83">
                  <c:v>2.3057127274921364E-2</c:v>
                </c:pt>
                <c:pt idx="84">
                  <c:v>2.2745830391717632E-2</c:v>
                </c:pt>
                <c:pt idx="85">
                  <c:v>2.2426102784832622E-2</c:v>
                </c:pt>
                <c:pt idx="86">
                  <c:v>2.2097595787299106E-2</c:v>
                </c:pt>
                <c:pt idx="87">
                  <c:v>2.1760000492533273E-2</c:v>
                </c:pt>
                <c:pt idx="88">
                  <c:v>2.1412965165136428E-2</c:v>
                </c:pt>
                <c:pt idx="89">
                  <c:v>2.1056177751280089E-2</c:v>
                </c:pt>
                <c:pt idx="90">
                  <c:v>2.0689283155070137E-2</c:v>
                </c:pt>
                <c:pt idx="91">
                  <c:v>2.0312007320062841E-2</c:v>
                </c:pt>
                <c:pt idx="92">
                  <c:v>1.9923867138336097E-2</c:v>
                </c:pt>
                <c:pt idx="93">
                  <c:v>1.9524626150577894E-2</c:v>
                </c:pt>
                <c:pt idx="94">
                  <c:v>1.911383844259756E-2</c:v>
                </c:pt>
                <c:pt idx="95">
                  <c:v>1.8691138770513441E-2</c:v>
                </c:pt>
                <c:pt idx="96">
                  <c:v>1.8256159568986928E-2</c:v>
                </c:pt>
                <c:pt idx="97">
                  <c:v>1.7808447476341357E-2</c:v>
                </c:pt>
                <c:pt idx="98">
                  <c:v>1.7347546240131507E-2</c:v>
                </c:pt>
                <c:pt idx="99">
                  <c:v>1.6872996576393698E-2</c:v>
                </c:pt>
                <c:pt idx="100">
                  <c:v>1.6384294201323847E-2</c:v>
                </c:pt>
                <c:pt idx="101">
                  <c:v>1.5880805695712926E-2</c:v>
                </c:pt>
                <c:pt idx="102">
                  <c:v>1.5361851419995609E-2</c:v>
                </c:pt>
                <c:pt idx="103">
                  <c:v>1.4826663054107406E-2</c:v>
                </c:pt>
                <c:pt idx="104">
                  <c:v>1.4274172679053397E-2</c:v>
                </c:pt>
                <c:pt idx="105">
                  <c:v>1.3703263019053214E-2</c:v>
                </c:pt>
                <c:pt idx="106">
                  <c:v>1.3112303181151527E-2</c:v>
                </c:pt>
                <c:pt idx="107">
                  <c:v>1.2499355565229979E-2</c:v>
                </c:pt>
                <c:pt idx="108">
                  <c:v>1.1861792544995673E-2</c:v>
                </c:pt>
                <c:pt idx="109">
                  <c:v>1.1196163251775465E-2</c:v>
                </c:pt>
                <c:pt idx="110">
                  <c:v>1.0497973524206432E-2</c:v>
                </c:pt>
                <c:pt idx="111">
                  <c:v>9.7610803346944199E-3</c:v>
                </c:pt>
                <c:pt idx="112">
                  <c:v>8.9773332068348276E-3</c:v>
                </c:pt>
                <c:pt idx="113">
                  <c:v>8.1358672289116151E-3</c:v>
                </c:pt>
                <c:pt idx="114">
                  <c:v>7.2219976662463003E-3</c:v>
                </c:pt>
                <c:pt idx="115">
                  <c:v>6.2162189911085276E-3</c:v>
                </c:pt>
                <c:pt idx="116">
                  <c:v>5.0925289193810312E-3</c:v>
                </c:pt>
                <c:pt idx="117">
                  <c:v>3.8168262205892176E-3</c:v>
                </c:pt>
                <c:pt idx="118">
                  <c:v>2.3449283163798984E-3</c:v>
                </c:pt>
                <c:pt idx="119">
                  <c:v>6.2085769211605169E-4</c:v>
                </c:pt>
                <c:pt idx="120">
                  <c:v>-1.4243130603007277E-3</c:v>
                </c:pt>
                <c:pt idx="121">
                  <c:v>-3.8718101414852162E-3</c:v>
                </c:pt>
                <c:pt idx="122">
                  <c:v>-6.8130114052640462E-3</c:v>
                </c:pt>
                <c:pt idx="123">
                  <c:v>-1.0344844301741809E-2</c:v>
                </c:pt>
                <c:pt idx="124">
                  <c:v>-1.4563928429377343E-2</c:v>
                </c:pt>
                <c:pt idx="125">
                  <c:v>-1.9560824583967396E-2</c:v>
                </c:pt>
                <c:pt idx="126">
                  <c:v>-2.5415671482852415E-2</c:v>
                </c:pt>
                <c:pt idx="127">
                  <c:v>-3.2196019941629989E-2</c:v>
                </c:pt>
                <c:pt idx="128">
                  <c:v>-3.995664911606546E-2</c:v>
                </c:pt>
                <c:pt idx="129">
                  <c:v>-4.874076328110033E-2</c:v>
                </c:pt>
                <c:pt idx="130">
                  <c:v>-5.8581841375804307E-2</c:v>
                </c:pt>
                <c:pt idx="131">
                  <c:v>-6.9505693691773229E-2</c:v>
                </c:pt>
                <c:pt idx="132">
                  <c:v>-8.1532373711920264E-2</c:v>
                </c:pt>
                <c:pt idx="133">
                  <c:v>-9.4677920823184269E-2</c:v>
                </c:pt>
                <c:pt idx="134">
                  <c:v>-0.10895584418456232</c:v>
                </c:pt>
                <c:pt idx="135">
                  <c:v>-0.12437842403615651</c:v>
                </c:pt>
                <c:pt idx="136">
                  <c:v>-0.14095780474596056</c:v>
                </c:pt>
                <c:pt idx="137">
                  <c:v>-0.15870697417403085</c:v>
                </c:pt>
                <c:pt idx="138">
                  <c:v>-0.17764050043841464</c:v>
                </c:pt>
                <c:pt idx="139">
                  <c:v>-0.19777517298077768</c:v>
                </c:pt>
                <c:pt idx="140">
                  <c:v>-0.21913046958315643</c:v>
                </c:pt>
                <c:pt idx="141">
                  <c:v>-0.24172890723134466</c:v>
                </c:pt>
                <c:pt idx="142">
                  <c:v>-0.26559619874628193</c:v>
                </c:pt>
                <c:pt idx="143">
                  <c:v>-0.29076133140821681</c:v>
                </c:pt>
                <c:pt idx="144">
                  <c:v>-0.31725649729017874</c:v>
                </c:pt>
                <c:pt idx="145">
                  <c:v>-0.34511685547336918</c:v>
                </c:pt>
                <c:pt idx="146">
                  <c:v>-0.37438027606884572</c:v>
                </c:pt>
                <c:pt idx="147">
                  <c:v>-0.40508688462610459</c:v>
                </c:pt>
                <c:pt idx="148">
                  <c:v>-0.43727858536482889</c:v>
                </c:pt>
                <c:pt idx="149">
                  <c:v>-0.47099847924346244</c:v>
                </c:pt>
                <c:pt idx="150">
                  <c:v>-0.5062902844989523</c:v>
                </c:pt>
                <c:pt idx="151">
                  <c:v>-0.54319767458432411</c:v>
                </c:pt>
                <c:pt idx="152">
                  <c:v>-0.58176359248112963</c:v>
                </c:pt>
                <c:pt idx="153">
                  <c:v>-0.6220297170575394</c:v>
                </c:pt>
                <c:pt idx="154">
                  <c:v>-0.66403564428005357</c:v>
                </c:pt>
                <c:pt idx="155">
                  <c:v>-0.70781849631675375</c:v>
                </c:pt>
                <c:pt idx="156">
                  <c:v>-0.75341210750496579</c:v>
                </c:pt>
                <c:pt idx="157">
                  <c:v>-0.80084650689919312</c:v>
                </c:pt>
                <c:pt idx="158">
                  <c:v>-0.85014737209044433</c:v>
                </c:pt>
                <c:pt idx="159">
                  <c:v>-0.90133516556175708</c:v>
                </c:pt>
                <c:pt idx="160">
                  <c:v>-0.95442453868430832</c:v>
                </c:pt>
                <c:pt idx="161">
                  <c:v>-1.0094234052026934</c:v>
                </c:pt>
                <c:pt idx="162">
                  <c:v>-1.0663317179118936</c:v>
                </c:pt>
                <c:pt idx="163">
                  <c:v>-1.1251402149073733</c:v>
                </c:pt>
                <c:pt idx="164">
                  <c:v>-1.1858285723443329</c:v>
                </c:pt>
                <c:pt idx="165">
                  <c:v>-1.2483631893367422</c:v>
                </c:pt>
                <c:pt idx="166">
                  <c:v>-1.3126942896332823</c:v>
                </c:pt>
                <c:pt idx="167">
                  <c:v>-1.3787524187423854</c:v>
                </c:pt>
                <c:pt idx="168">
                  <c:v>-1.4464440183090059</c:v>
                </c:pt>
                <c:pt idx="169">
                  <c:v>-1.5156463399508349</c:v>
                </c:pt>
                <c:pt idx="170">
                  <c:v>-1.5862013857014901</c:v>
                </c:pt>
                <c:pt idx="171">
                  <c:v>-1.6579095828224459</c:v>
                </c:pt>
                <c:pt idx="172">
                  <c:v>-1.7305233185503002</c:v>
                </c:pt>
                <c:pt idx="173">
                  <c:v>-1.8037414975570754</c:v>
                </c:pt>
                <c:pt idx="174">
                  <c:v>-1.8772064192036204</c:v>
                </c:pt>
                <c:pt idx="175">
                  <c:v>-1.9505046215366684</c:v>
                </c:pt>
                <c:pt idx="176">
                  <c:v>-2.0231736636359785</c:v>
                </c:pt>
                <c:pt idx="177">
                  <c:v>-2.0947166088452738</c:v>
                </c:pt>
                <c:pt idx="178">
                  <c:v>-2.1646242253772456</c:v>
                </c:pt>
                <c:pt idx="179">
                  <c:v>-2.2324039675996445</c:v>
                </c:pt>
                <c:pt idx="180">
                  <c:v>-2.2976119558333772</c:v>
                </c:pt>
                <c:pt idx="181">
                  <c:v>-2.3598826981452725</c:v>
                </c:pt>
                <c:pt idx="182">
                  <c:v>-2.4189511483781345</c:v>
                </c:pt>
                <c:pt idx="183">
                  <c:v>-2.4746630823391422</c:v>
                </c:pt>
                <c:pt idx="184">
                  <c:v>-2.5269730124736571</c:v>
                </c:pt>
                <c:pt idx="185">
                  <c:v>-2.5759309435488422</c:v>
                </c:pt>
                <c:pt idx="186">
                  <c:v>-2.6216630862744656</c:v>
                </c:pt>
                <c:pt idx="187">
                  <c:v>-2.6643490667245735</c:v>
                </c:pt>
                <c:pt idx="188">
                  <c:v>-2.7042016091187251</c:v>
                </c:pt>
                <c:pt idx="189">
                  <c:v>-2.7414480283688514</c:v>
                </c:pt>
                <c:pt idx="190">
                  <c:v>-2.7763175834854841</c:v>
                </c:pt>
                <c:pt idx="191">
                  <c:v>-2.8090311970523931</c:v>
                </c:pt>
                <c:pt idx="192">
                  <c:v>-2.8397967786755212</c:v>
                </c:pt>
                <c:pt idx="193">
                  <c:v>-2.8688044495781555</c:v>
                </c:pt>
                <c:pt idx="194">
                  <c:v>-2.8962279118807457</c:v>
                </c:pt>
                <c:pt idx="195">
                  <c:v>-2.9222207092844363</c:v>
                </c:pt>
                <c:pt idx="196">
                  <c:v>-2.9469226710790704</c:v>
                </c:pt>
                <c:pt idx="197">
                  <c:v>-2.9704536561377095</c:v>
                </c:pt>
                <c:pt idx="198">
                  <c:v>-2.9929248324892712</c:v>
                </c:pt>
                <c:pt idx="199">
                  <c:v>-3.0144294242400265</c:v>
                </c:pt>
                <c:pt idx="200">
                  <c:v>-3.0350533748358592</c:v>
                </c:pt>
                <c:pt idx="201">
                  <c:v>-3.0548713808663694</c:v>
                </c:pt>
                <c:pt idx="202">
                  <c:v>-3.0739499875677554</c:v>
                </c:pt>
                <c:pt idx="203">
                  <c:v>-3.0923484300956479</c:v>
                </c:pt>
                <c:pt idx="204">
                  <c:v>-3.1101196257466674</c:v>
                </c:pt>
                <c:pt idx="205">
                  <c:v>-3.1273111076201197</c:v>
                </c:pt>
                <c:pt idx="206">
                  <c:v>-3.1439655208905504</c:v>
                </c:pt>
                <c:pt idx="207">
                  <c:v>-3.1601212793038296</c:v>
                </c:pt>
                <c:pt idx="208">
                  <c:v>-3.1758134472346828</c:v>
                </c:pt>
                <c:pt idx="209">
                  <c:v>-3.1910736453338471</c:v>
                </c:pt>
                <c:pt idx="210">
                  <c:v>-3.2059309044603794</c:v>
                </c:pt>
                <c:pt idx="211">
                  <c:v>-3.2204119422169053</c:v>
                </c:pt>
                <c:pt idx="212">
                  <c:v>-3.2345411863663749</c:v>
                </c:pt>
                <c:pt idx="213">
                  <c:v>-3.2483413237748877</c:v>
                </c:pt>
                <c:pt idx="214">
                  <c:v>-3.2618334192942027</c:v>
                </c:pt>
                <c:pt idx="215">
                  <c:v>-3.2750371449012445</c:v>
                </c:pt>
                <c:pt idx="216">
                  <c:v>-3.2879709410896338</c:v>
                </c:pt>
                <c:pt idx="217">
                  <c:v>-3.30065217619646</c:v>
                </c:pt>
                <c:pt idx="218">
                  <c:v>-3.3130973558018333</c:v>
                </c:pt>
                <c:pt idx="219">
                  <c:v>-3.3253221922602711</c:v>
                </c:pt>
                <c:pt idx="220">
                  <c:v>-3.337341774794166</c:v>
                </c:pt>
                <c:pt idx="221">
                  <c:v>-3.3491707140419043</c:v>
                </c:pt>
                <c:pt idx="222">
                  <c:v>-3.3608232252940891</c:v>
                </c:pt>
                <c:pt idx="223">
                  <c:v>-3.3723133142213246</c:v>
                </c:pt>
                <c:pt idx="224">
                  <c:v>-3.3836548780515057</c:v>
                </c:pt>
                <c:pt idx="225">
                  <c:v>-3.3948618390570995</c:v>
                </c:pt>
                <c:pt idx="226">
                  <c:v>-3.4059483332533356</c:v>
                </c:pt>
                <c:pt idx="227">
                  <c:v>-3.4169288684004751</c:v>
                </c:pt>
                <c:pt idx="228">
                  <c:v>-3.4278185218664747</c:v>
                </c:pt>
                <c:pt idx="229">
                  <c:v>-3.4386331812903612</c:v>
                </c:pt>
                <c:pt idx="230">
                  <c:v>-3.4493898192044736</c:v>
                </c:pt>
                <c:pt idx="231">
                  <c:v>-3.4601068034656635</c:v>
                </c:pt>
                <c:pt idx="232">
                  <c:v>-3.4708043743801325</c:v>
                </c:pt>
                <c:pt idx="233">
                  <c:v>-3.4815050773726099</c:v>
                </c:pt>
                <c:pt idx="234">
                  <c:v>-3.49223451681909</c:v>
                </c:pt>
                <c:pt idx="235">
                  <c:v>-3.5030221672758666</c:v>
                </c:pt>
                <c:pt idx="236">
                  <c:v>-3.5139025464997795</c:v>
                </c:pt>
                <c:pt idx="237">
                  <c:v>-3.5249167852544172</c:v>
                </c:pt>
                <c:pt idx="238">
                  <c:v>-3.5361148164455414</c:v>
                </c:pt>
                <c:pt idx="239">
                  <c:v>-3.5475584736260934</c:v>
                </c:pt>
                <c:pt idx="240">
                  <c:v>-3.5593261615384302</c:v>
                </c:pt>
                <c:pt idx="241">
                  <c:v>-3.5715199171064658</c:v>
                </c:pt>
                <c:pt idx="242">
                  <c:v>-3.5842768721662934</c:v>
                </c:pt>
                <c:pt idx="243">
                  <c:v>-3.5977885513814116</c:v>
                </c:pt>
                <c:pt idx="244">
                  <c:v>-3.6123363163201518</c:v>
                </c:pt>
                <c:pt idx="245">
                  <c:v>-3.6283622738730821</c:v>
                </c:pt>
                <c:pt idx="246">
                  <c:v>-3.6466317409453977</c:v>
                </c:pt>
                <c:pt idx="247">
                  <c:v>-3.6686877409491894</c:v>
                </c:pt>
                <c:pt idx="248">
                  <c:v>-3.6986761081517856</c:v>
                </c:pt>
                <c:pt idx="249">
                  <c:v>-3.7638711521870434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3-4461-B352-5FB62586E617}"/>
            </c:ext>
          </c:extLst>
        </c:ser>
        <c:ser>
          <c:idx val="1"/>
          <c:order val="2"/>
          <c:tx>
            <c:v>Milestone</c:v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4349612548431444E-2"/>
                  <c:y val="0.2593724482356372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Universe is 90% Neutral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592269716285458"/>
                      <c:h val="0.1708333333333333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6A95-426D-8522-EEC6A386F9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Recombination!$A$145</c:f>
              <c:numCache>
                <c:formatCode>0</c:formatCode>
                <c:ptCount val="1"/>
                <c:pt idx="0">
                  <c:v>1265.0601999999999</c:v>
                </c:pt>
              </c:numCache>
            </c:numRef>
          </c:xVal>
          <c:yVal>
            <c:numRef>
              <c:f>Recombination!$C$145</c:f>
              <c:numCache>
                <c:formatCode>General</c:formatCode>
                <c:ptCount val="1"/>
                <c:pt idx="0">
                  <c:v>-0.97664171713569758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F1-4339-8E09-7CF4954F0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439856"/>
        <c:axId val="490440184"/>
      </c:scatterChart>
      <c:valAx>
        <c:axId val="490439856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Redshift (z)</a:t>
                </a:r>
              </a:p>
            </c:rich>
          </c:tx>
          <c:layout>
            <c:manualLayout>
              <c:xMode val="edge"/>
              <c:yMode val="edge"/>
              <c:x val="0.47182852143482062"/>
              <c:y val="0.92941637503645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90440184"/>
        <c:crossesAt val="-6"/>
        <c:crossBetween val="midCat"/>
        <c:majorUnit val="500"/>
        <c:minorUnit val="100"/>
      </c:valAx>
      <c:valAx>
        <c:axId val="490440184"/>
        <c:scaling>
          <c:orientation val="minMax"/>
          <c:max val="1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 (Log10)</a:t>
                </a:r>
              </a:p>
            </c:rich>
          </c:tx>
          <c:layout>
            <c:manualLayout>
              <c:xMode val="edge"/>
              <c:yMode val="edge"/>
              <c:x val="6.1729783777027874E-3"/>
              <c:y val="0.35042578011081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90439856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15910511186102"/>
          <c:y val="1.7300415573053368E-2"/>
          <c:w val="0.82171009873765777"/>
          <c:h val="0.85140919885014354"/>
        </c:manualLayout>
      </c:layou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4ED2-4CBA-974C-69A9188E934B}"/>
              </c:ext>
            </c:extLst>
          </c:dPt>
          <c:xVal>
            <c:numRef>
              <c:f>'BTFR Data'!$P$3:$P$49</c:f>
              <c:numCache>
                <c:formatCode>0.00</c:formatCode>
                <c:ptCount val="47"/>
                <c:pt idx="0">
                  <c:v>1.2304489213782739</c:v>
                </c:pt>
                <c:pt idx="1">
                  <c:v>1.3010299956639813</c:v>
                </c:pt>
                <c:pt idx="2">
                  <c:v>1.3010299956639813</c:v>
                </c:pt>
                <c:pt idx="3">
                  <c:v>1.3979400086720377</c:v>
                </c:pt>
                <c:pt idx="4">
                  <c:v>1.4313637641589874</c:v>
                </c:pt>
                <c:pt idx="5">
                  <c:v>1.4623979978989561</c:v>
                </c:pt>
                <c:pt idx="6">
                  <c:v>1.4771212547196624</c:v>
                </c:pt>
                <c:pt idx="7">
                  <c:v>1.4913616938342726</c:v>
                </c:pt>
                <c:pt idx="8">
                  <c:v>1.5440680443502757</c:v>
                </c:pt>
                <c:pt idx="9">
                  <c:v>1.568201724066995</c:v>
                </c:pt>
                <c:pt idx="10">
                  <c:v>1.568201724066995</c:v>
                </c:pt>
                <c:pt idx="11">
                  <c:v>1.5797835966168101</c:v>
                </c:pt>
                <c:pt idx="12">
                  <c:v>1.5797835966168101</c:v>
                </c:pt>
                <c:pt idx="13">
                  <c:v>1.6020599913279623</c:v>
                </c:pt>
                <c:pt idx="14">
                  <c:v>1.6127838567197355</c:v>
                </c:pt>
                <c:pt idx="15">
                  <c:v>1.6434526764861874</c:v>
                </c:pt>
                <c:pt idx="16">
                  <c:v>1.6532125137753437</c:v>
                </c:pt>
                <c:pt idx="17">
                  <c:v>1.7242758696007889</c:v>
                </c:pt>
                <c:pt idx="18">
                  <c:v>1.7323937598229686</c:v>
                </c:pt>
                <c:pt idx="19">
                  <c:v>1.7481880270062005</c:v>
                </c:pt>
                <c:pt idx="20">
                  <c:v>1.7634279935629373</c:v>
                </c:pt>
                <c:pt idx="21">
                  <c:v>1.7708520116421442</c:v>
                </c:pt>
                <c:pt idx="22">
                  <c:v>1.7708520116421442</c:v>
                </c:pt>
                <c:pt idx="23">
                  <c:v>1.7781512503836436</c:v>
                </c:pt>
                <c:pt idx="24">
                  <c:v>1.8061799739838871</c:v>
                </c:pt>
                <c:pt idx="25">
                  <c:v>1.8195439355418688</c:v>
                </c:pt>
                <c:pt idx="26">
                  <c:v>1.8195439355418688</c:v>
                </c:pt>
                <c:pt idx="27">
                  <c:v>1.8325089127062364</c:v>
                </c:pt>
                <c:pt idx="28">
                  <c:v>1.8325089127062364</c:v>
                </c:pt>
                <c:pt idx="29">
                  <c:v>1.8573324964312685</c:v>
                </c:pt>
                <c:pt idx="30">
                  <c:v>1.8692317197309762</c:v>
                </c:pt>
                <c:pt idx="31">
                  <c:v>1.8864907251724818</c:v>
                </c:pt>
                <c:pt idx="32">
                  <c:v>1.8920946026904804</c:v>
                </c:pt>
                <c:pt idx="33">
                  <c:v>1.8976270912904414</c:v>
                </c:pt>
                <c:pt idx="34">
                  <c:v>1.919078092376074</c:v>
                </c:pt>
                <c:pt idx="35">
                  <c:v>1.919078092376074</c:v>
                </c:pt>
                <c:pt idx="36">
                  <c:v>1.9242792860618816</c:v>
                </c:pt>
                <c:pt idx="37">
                  <c:v>1.9242792860618816</c:v>
                </c:pt>
                <c:pt idx="38">
                  <c:v>1.954242509439325</c:v>
                </c:pt>
                <c:pt idx="39">
                  <c:v>1.9777236052888478</c:v>
                </c:pt>
                <c:pt idx="40">
                  <c:v>2.0334237554869499</c:v>
                </c:pt>
                <c:pt idx="41">
                  <c:v>2.0453229787866576</c:v>
                </c:pt>
                <c:pt idx="42">
                  <c:v>2.0718820073061255</c:v>
                </c:pt>
                <c:pt idx="43">
                  <c:v>2.0791812460476247</c:v>
                </c:pt>
                <c:pt idx="44">
                  <c:v>2.0934216851622351</c:v>
                </c:pt>
                <c:pt idx="45">
                  <c:v>2.1271047983648077</c:v>
                </c:pt>
                <c:pt idx="46">
                  <c:v>2.173186268412274</c:v>
                </c:pt>
              </c:numCache>
            </c:numRef>
          </c:xVal>
          <c:yVal>
            <c:numRef>
              <c:f>'BTFR Data'!$R$3:$R$49</c:f>
              <c:numCache>
                <c:formatCode>0.00</c:formatCode>
                <c:ptCount val="47"/>
                <c:pt idx="0">
                  <c:v>36.933454237021891</c:v>
                </c:pt>
                <c:pt idx="1">
                  <c:v>37.21577853416472</c:v>
                </c:pt>
                <c:pt idx="2">
                  <c:v>37.21577853416472</c:v>
                </c:pt>
                <c:pt idx="3">
                  <c:v>37.603418586196945</c:v>
                </c:pt>
                <c:pt idx="4">
                  <c:v>37.737113608144746</c:v>
                </c:pt>
                <c:pt idx="5">
                  <c:v>37.861250543104617</c:v>
                </c:pt>
                <c:pt idx="6">
                  <c:v>37.920143570387445</c:v>
                </c:pt>
                <c:pt idx="7">
                  <c:v>37.977105326845887</c:v>
                </c:pt>
                <c:pt idx="8">
                  <c:v>38.187930728909897</c:v>
                </c:pt>
                <c:pt idx="9">
                  <c:v>38.284465447776775</c:v>
                </c:pt>
                <c:pt idx="10">
                  <c:v>38.284465447776775</c:v>
                </c:pt>
                <c:pt idx="11">
                  <c:v>38.330792937976035</c:v>
                </c:pt>
                <c:pt idx="12">
                  <c:v>38.330792937976035</c:v>
                </c:pt>
                <c:pt idx="13">
                  <c:v>38.419898516820645</c:v>
                </c:pt>
                <c:pt idx="14">
                  <c:v>38.462793978387737</c:v>
                </c:pt>
                <c:pt idx="15">
                  <c:v>38.585469257453546</c:v>
                </c:pt>
                <c:pt idx="16">
                  <c:v>38.624508606610171</c:v>
                </c:pt>
                <c:pt idx="17">
                  <c:v>38.908762029911955</c:v>
                </c:pt>
                <c:pt idx="18">
                  <c:v>38.941233590800671</c:v>
                </c:pt>
                <c:pt idx="19">
                  <c:v>39.004410659533598</c:v>
                </c:pt>
                <c:pt idx="20">
                  <c:v>39.065370525760542</c:v>
                </c:pt>
                <c:pt idx="21">
                  <c:v>39.095066598077373</c:v>
                </c:pt>
                <c:pt idx="22">
                  <c:v>39.095066598077373</c:v>
                </c:pt>
                <c:pt idx="23">
                  <c:v>39.12426355304337</c:v>
                </c:pt>
                <c:pt idx="24">
                  <c:v>39.236378447444345</c:v>
                </c:pt>
                <c:pt idx="25">
                  <c:v>39.289834293676272</c:v>
                </c:pt>
                <c:pt idx="26">
                  <c:v>39.289834293676272</c:v>
                </c:pt>
                <c:pt idx="27">
                  <c:v>39.341694202333741</c:v>
                </c:pt>
                <c:pt idx="28">
                  <c:v>39.341694202333741</c:v>
                </c:pt>
                <c:pt idx="29">
                  <c:v>39.440988537233871</c:v>
                </c:pt>
                <c:pt idx="30">
                  <c:v>39.4885854304327</c:v>
                </c:pt>
                <c:pt idx="31">
                  <c:v>39.557621452198724</c:v>
                </c:pt>
                <c:pt idx="32">
                  <c:v>39.580036962270718</c:v>
                </c:pt>
                <c:pt idx="33">
                  <c:v>39.602166916670562</c:v>
                </c:pt>
                <c:pt idx="34">
                  <c:v>39.68797092101309</c:v>
                </c:pt>
                <c:pt idx="35">
                  <c:v>39.68797092101309</c:v>
                </c:pt>
                <c:pt idx="36">
                  <c:v>39.708775695756323</c:v>
                </c:pt>
                <c:pt idx="37">
                  <c:v>39.708775695756323</c:v>
                </c:pt>
                <c:pt idx="38">
                  <c:v>39.828628589266096</c:v>
                </c:pt>
                <c:pt idx="39">
                  <c:v>39.922552972664185</c:v>
                </c:pt>
                <c:pt idx="40">
                  <c:v>40.145353573456596</c:v>
                </c:pt>
                <c:pt idx="41">
                  <c:v>40.192950466655425</c:v>
                </c:pt>
                <c:pt idx="42">
                  <c:v>40.299186580733299</c:v>
                </c:pt>
                <c:pt idx="43">
                  <c:v>40.328383535699295</c:v>
                </c:pt>
                <c:pt idx="44">
                  <c:v>40.385345292157737</c:v>
                </c:pt>
                <c:pt idx="45">
                  <c:v>40.520077744968027</c:v>
                </c:pt>
                <c:pt idx="46">
                  <c:v>40.704403625157894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A-408F-97D0-40CC7B44C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7998000"/>
        <c:axId val="-1738006160"/>
      </c:scatterChar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'BTFR Data'!$P$3:$P$49</c:f>
              <c:numCache>
                <c:formatCode>0.00</c:formatCode>
                <c:ptCount val="47"/>
                <c:pt idx="0">
                  <c:v>1.2304489213782739</c:v>
                </c:pt>
                <c:pt idx="1">
                  <c:v>1.3010299956639813</c:v>
                </c:pt>
                <c:pt idx="2">
                  <c:v>1.3010299956639813</c:v>
                </c:pt>
                <c:pt idx="3">
                  <c:v>1.3979400086720377</c:v>
                </c:pt>
                <c:pt idx="4">
                  <c:v>1.4313637641589874</c:v>
                </c:pt>
                <c:pt idx="5">
                  <c:v>1.4623979978989561</c:v>
                </c:pt>
                <c:pt idx="6">
                  <c:v>1.4771212547196624</c:v>
                </c:pt>
                <c:pt idx="7">
                  <c:v>1.4913616938342726</c:v>
                </c:pt>
                <c:pt idx="8">
                  <c:v>1.5440680443502757</c:v>
                </c:pt>
                <c:pt idx="9">
                  <c:v>1.568201724066995</c:v>
                </c:pt>
                <c:pt idx="10">
                  <c:v>1.568201724066995</c:v>
                </c:pt>
                <c:pt idx="11">
                  <c:v>1.5797835966168101</c:v>
                </c:pt>
                <c:pt idx="12">
                  <c:v>1.5797835966168101</c:v>
                </c:pt>
                <c:pt idx="13">
                  <c:v>1.6020599913279623</c:v>
                </c:pt>
                <c:pt idx="14">
                  <c:v>1.6127838567197355</c:v>
                </c:pt>
                <c:pt idx="15">
                  <c:v>1.6434526764861874</c:v>
                </c:pt>
                <c:pt idx="16">
                  <c:v>1.6532125137753437</c:v>
                </c:pt>
                <c:pt idx="17">
                  <c:v>1.7242758696007889</c:v>
                </c:pt>
                <c:pt idx="18">
                  <c:v>1.7323937598229686</c:v>
                </c:pt>
                <c:pt idx="19">
                  <c:v>1.7481880270062005</c:v>
                </c:pt>
                <c:pt idx="20">
                  <c:v>1.7634279935629373</c:v>
                </c:pt>
                <c:pt idx="21">
                  <c:v>1.7708520116421442</c:v>
                </c:pt>
                <c:pt idx="22">
                  <c:v>1.7708520116421442</c:v>
                </c:pt>
                <c:pt idx="23">
                  <c:v>1.7781512503836436</c:v>
                </c:pt>
                <c:pt idx="24">
                  <c:v>1.8061799739838871</c:v>
                </c:pt>
                <c:pt idx="25">
                  <c:v>1.8195439355418688</c:v>
                </c:pt>
                <c:pt idx="26">
                  <c:v>1.8195439355418688</c:v>
                </c:pt>
                <c:pt idx="27">
                  <c:v>1.8325089127062364</c:v>
                </c:pt>
                <c:pt idx="28">
                  <c:v>1.8325089127062364</c:v>
                </c:pt>
                <c:pt idx="29">
                  <c:v>1.8573324964312685</c:v>
                </c:pt>
                <c:pt idx="30">
                  <c:v>1.8692317197309762</c:v>
                </c:pt>
                <c:pt idx="31">
                  <c:v>1.8864907251724818</c:v>
                </c:pt>
                <c:pt idx="32">
                  <c:v>1.8920946026904804</c:v>
                </c:pt>
                <c:pt idx="33">
                  <c:v>1.8976270912904414</c:v>
                </c:pt>
                <c:pt idx="34">
                  <c:v>1.919078092376074</c:v>
                </c:pt>
                <c:pt idx="35">
                  <c:v>1.919078092376074</c:v>
                </c:pt>
                <c:pt idx="36">
                  <c:v>1.9242792860618816</c:v>
                </c:pt>
                <c:pt idx="37">
                  <c:v>1.9242792860618816</c:v>
                </c:pt>
                <c:pt idx="38">
                  <c:v>1.954242509439325</c:v>
                </c:pt>
                <c:pt idx="39">
                  <c:v>1.9777236052888478</c:v>
                </c:pt>
                <c:pt idx="40">
                  <c:v>2.0334237554869499</c:v>
                </c:pt>
                <c:pt idx="41">
                  <c:v>2.0453229787866576</c:v>
                </c:pt>
                <c:pt idx="42">
                  <c:v>2.0718820073061255</c:v>
                </c:pt>
                <c:pt idx="43">
                  <c:v>2.0791812460476247</c:v>
                </c:pt>
                <c:pt idx="44">
                  <c:v>2.0934216851622351</c:v>
                </c:pt>
                <c:pt idx="45">
                  <c:v>2.1271047983648077</c:v>
                </c:pt>
                <c:pt idx="46">
                  <c:v>2.173186268412274</c:v>
                </c:pt>
              </c:numCache>
            </c:numRef>
          </c:xVal>
          <c:yVal>
            <c:numRef>
              <c:f>'BTFR Data'!$Q$3:$Q$49</c:f>
              <c:numCache>
                <c:formatCode>0.00</c:formatCode>
                <c:ptCount val="47"/>
                <c:pt idx="0">
                  <c:v>37.008243353365344</c:v>
                </c:pt>
                <c:pt idx="1">
                  <c:v>37.792142455437066</c:v>
                </c:pt>
                <c:pt idx="2">
                  <c:v>37.838239159635499</c:v>
                </c:pt>
                <c:pt idx="3">
                  <c:v>38.015091479827632</c:v>
                </c:pt>
                <c:pt idx="4">
                  <c:v>37.755967034225655</c:v>
                </c:pt>
                <c:pt idx="5">
                  <c:v>37.724310817693883</c:v>
                </c:pt>
                <c:pt idx="6">
                  <c:v>38.035091479827635</c:v>
                </c:pt>
                <c:pt idx="7">
                  <c:v>38.176442072630309</c:v>
                </c:pt>
                <c:pt idx="8">
                  <c:v>38.437257849117486</c:v>
                </c:pt>
                <c:pt idx="9">
                  <c:v>38.728708395446382</c:v>
                </c:pt>
                <c:pt idx="10">
                  <c:v>38.409986433303608</c:v>
                </c:pt>
                <c:pt idx="11">
                  <c:v>38.191372978249923</c:v>
                </c:pt>
                <c:pt idx="12">
                  <c:v>38.401057633273851</c:v>
                </c:pt>
                <c:pt idx="13">
                  <c:v>38.287257849117481</c:v>
                </c:pt>
                <c:pt idx="14">
                  <c:v>38.015967034225653</c:v>
                </c:pt>
                <c:pt idx="15">
                  <c:v>38.774641867750908</c:v>
                </c:pt>
                <c:pt idx="16">
                  <c:v>38.282863839047302</c:v>
                </c:pt>
                <c:pt idx="17">
                  <c:v>38.605232250865896</c:v>
                </c:pt>
                <c:pt idx="18">
                  <c:v>39.12280239411573</c:v>
                </c:pt>
                <c:pt idx="19">
                  <c:v>38.252170762462278</c:v>
                </c:pt>
                <c:pt idx="20">
                  <c:v>38.96725784911748</c:v>
                </c:pt>
                <c:pt idx="21">
                  <c:v>38.960967968235749</c:v>
                </c:pt>
                <c:pt idx="22">
                  <c:v>38.941194102726989</c:v>
                </c:pt>
                <c:pt idx="23">
                  <c:v>39.4782391596355</c:v>
                </c:pt>
                <c:pt idx="24">
                  <c:v>39.542596013161351</c:v>
                </c:pt>
                <c:pt idx="25">
                  <c:v>39.106393835993103</c:v>
                </c:pt>
                <c:pt idx="26">
                  <c:v>39.366900167850297</c:v>
                </c:pt>
                <c:pt idx="27">
                  <c:v>39.368272025831288</c:v>
                </c:pt>
                <c:pt idx="28">
                  <c:v>39.68885965395657</c:v>
                </c:pt>
                <c:pt idx="29">
                  <c:v>39.850721953349186</c:v>
                </c:pt>
                <c:pt idx="30">
                  <c:v>39.722170762462277</c:v>
                </c:pt>
                <c:pt idx="31">
                  <c:v>39.640966936847128</c:v>
                </c:pt>
                <c:pt idx="32">
                  <c:v>39.355979411099845</c:v>
                </c:pt>
                <c:pt idx="33">
                  <c:v>39.402436158454826</c:v>
                </c:pt>
                <c:pt idx="34">
                  <c:v>39.411263102642053</c:v>
                </c:pt>
                <c:pt idx="35">
                  <c:v>39.79530430985448</c:v>
                </c:pt>
                <c:pt idx="36">
                  <c:v>39.775967034225658</c:v>
                </c:pt>
                <c:pt idx="37">
                  <c:v>39.143930392095442</c:v>
                </c:pt>
                <c:pt idx="38">
                  <c:v>39.748455754981094</c:v>
                </c:pt>
                <c:pt idx="39">
                  <c:v>39.567013820639801</c:v>
                </c:pt>
                <c:pt idx="40">
                  <c:v>40.247257849117481</c:v>
                </c:pt>
                <c:pt idx="41">
                  <c:v>40.133470803739378</c:v>
                </c:pt>
                <c:pt idx="42">
                  <c:v>40.32295260201672</c:v>
                </c:pt>
                <c:pt idx="43">
                  <c:v>40.267013820639797</c:v>
                </c:pt>
                <c:pt idx="44">
                  <c:v>40.135339469175413</c:v>
                </c:pt>
                <c:pt idx="45">
                  <c:v>40.297013588349387</c:v>
                </c:pt>
                <c:pt idx="46">
                  <c:v>40.812952132200245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3A-408F-97D0-40CC7B44C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37998000"/>
        <c:axId val="-1738006160"/>
      </c:scatterChart>
      <c:valAx>
        <c:axId val="-1737998000"/>
        <c:scaling>
          <c:orientation val="minMax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Velocity Log(km s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.37278215223097111"/>
              <c:y val="0.945138888888888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38006160"/>
        <c:crosses val="autoZero"/>
        <c:crossBetween val="midCat"/>
        <c:majorUnit val="0.5"/>
      </c:valAx>
      <c:valAx>
        <c:axId val="-1738006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Mass Log(kg)</a:t>
                </a:r>
              </a:p>
            </c:rich>
          </c:tx>
          <c:layout>
            <c:manualLayout>
              <c:xMode val="edge"/>
              <c:yMode val="edge"/>
              <c:x val="4.811898512685914E-4"/>
              <c:y val="0.34135076865391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37998000"/>
        <c:crosses val="autoZero"/>
        <c:crossBetween val="midCat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0224'!$L$2</c:f>
          <c:strCache>
            <c:ptCount val="1"/>
            <c:pt idx="0">
              <c:v>NGC 0224</c:v>
            </c:pt>
          </c:strCache>
        </c:strRef>
      </c:tx>
      <c:layout>
        <c:manualLayout>
          <c:xMode val="edge"/>
          <c:yMode val="edge"/>
          <c:x val="0.52781897382488074"/>
          <c:y val="0.704397054534849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0224'!$I$7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0224'!$A$8:$A$105</c:f>
              <c:numCache>
                <c:formatCode>General</c:formatCode>
                <c:ptCount val="98"/>
                <c:pt idx="0">
                  <c:v>1.1399999999999999</c:v>
                </c:pt>
                <c:pt idx="1">
                  <c:v>1.52</c:v>
                </c:pt>
                <c:pt idx="2">
                  <c:v>1.9</c:v>
                </c:pt>
                <c:pt idx="3">
                  <c:v>2.2799999999999998</c:v>
                </c:pt>
                <c:pt idx="4">
                  <c:v>2.66</c:v>
                </c:pt>
                <c:pt idx="5">
                  <c:v>3.04</c:v>
                </c:pt>
                <c:pt idx="6">
                  <c:v>3.43</c:v>
                </c:pt>
                <c:pt idx="7">
                  <c:v>3.81</c:v>
                </c:pt>
                <c:pt idx="8">
                  <c:v>4.1900000000000004</c:v>
                </c:pt>
                <c:pt idx="9">
                  <c:v>4.57</c:v>
                </c:pt>
                <c:pt idx="10">
                  <c:v>4.95</c:v>
                </c:pt>
                <c:pt idx="11">
                  <c:v>5.33</c:v>
                </c:pt>
                <c:pt idx="12">
                  <c:v>5.71</c:v>
                </c:pt>
                <c:pt idx="13">
                  <c:v>6.09</c:v>
                </c:pt>
                <c:pt idx="14">
                  <c:v>6.47</c:v>
                </c:pt>
                <c:pt idx="15">
                  <c:v>6.85</c:v>
                </c:pt>
                <c:pt idx="16">
                  <c:v>7.23</c:v>
                </c:pt>
                <c:pt idx="17">
                  <c:v>7.61</c:v>
                </c:pt>
                <c:pt idx="18">
                  <c:v>7.99</c:v>
                </c:pt>
                <c:pt idx="19">
                  <c:v>8.3699999999999992</c:v>
                </c:pt>
                <c:pt idx="20">
                  <c:v>8.75</c:v>
                </c:pt>
                <c:pt idx="21">
                  <c:v>9.1300000000000008</c:v>
                </c:pt>
                <c:pt idx="22">
                  <c:v>9.51</c:v>
                </c:pt>
                <c:pt idx="23">
                  <c:v>9.9</c:v>
                </c:pt>
                <c:pt idx="24">
                  <c:v>10.28</c:v>
                </c:pt>
                <c:pt idx="25">
                  <c:v>10.66</c:v>
                </c:pt>
                <c:pt idx="26">
                  <c:v>11.04</c:v>
                </c:pt>
                <c:pt idx="27">
                  <c:v>11.42</c:v>
                </c:pt>
                <c:pt idx="28">
                  <c:v>11.8</c:v>
                </c:pt>
                <c:pt idx="29">
                  <c:v>12.18</c:v>
                </c:pt>
                <c:pt idx="30">
                  <c:v>12.56</c:v>
                </c:pt>
                <c:pt idx="31">
                  <c:v>12.94</c:v>
                </c:pt>
                <c:pt idx="32">
                  <c:v>13.32</c:v>
                </c:pt>
                <c:pt idx="33">
                  <c:v>13.7</c:v>
                </c:pt>
                <c:pt idx="34">
                  <c:v>14.08</c:v>
                </c:pt>
                <c:pt idx="35">
                  <c:v>14.46</c:v>
                </c:pt>
                <c:pt idx="36">
                  <c:v>14.84</c:v>
                </c:pt>
                <c:pt idx="37">
                  <c:v>15.23</c:v>
                </c:pt>
                <c:pt idx="38">
                  <c:v>15.61</c:v>
                </c:pt>
                <c:pt idx="39">
                  <c:v>15.99</c:v>
                </c:pt>
                <c:pt idx="40">
                  <c:v>16.37</c:v>
                </c:pt>
                <c:pt idx="41">
                  <c:v>16.75</c:v>
                </c:pt>
                <c:pt idx="42">
                  <c:v>17.13</c:v>
                </c:pt>
                <c:pt idx="43">
                  <c:v>17.510000000000002</c:v>
                </c:pt>
                <c:pt idx="44">
                  <c:v>17.89</c:v>
                </c:pt>
                <c:pt idx="45">
                  <c:v>18.27</c:v>
                </c:pt>
                <c:pt idx="46">
                  <c:v>18.649999999999999</c:v>
                </c:pt>
                <c:pt idx="47">
                  <c:v>19.03</c:v>
                </c:pt>
                <c:pt idx="48">
                  <c:v>19.41</c:v>
                </c:pt>
                <c:pt idx="49">
                  <c:v>19.79</c:v>
                </c:pt>
                <c:pt idx="50">
                  <c:v>20.18</c:v>
                </c:pt>
                <c:pt idx="51">
                  <c:v>20.56</c:v>
                </c:pt>
                <c:pt idx="52">
                  <c:v>20.94</c:v>
                </c:pt>
                <c:pt idx="53">
                  <c:v>21.32</c:v>
                </c:pt>
                <c:pt idx="54">
                  <c:v>21.7</c:v>
                </c:pt>
                <c:pt idx="55">
                  <c:v>22.08</c:v>
                </c:pt>
                <c:pt idx="56">
                  <c:v>22.46</c:v>
                </c:pt>
                <c:pt idx="57">
                  <c:v>22.84</c:v>
                </c:pt>
                <c:pt idx="58">
                  <c:v>23.22</c:v>
                </c:pt>
                <c:pt idx="59">
                  <c:v>23.6</c:v>
                </c:pt>
                <c:pt idx="60">
                  <c:v>23.98</c:v>
                </c:pt>
                <c:pt idx="61">
                  <c:v>24.36</c:v>
                </c:pt>
                <c:pt idx="62">
                  <c:v>24.75</c:v>
                </c:pt>
                <c:pt idx="63">
                  <c:v>25.13</c:v>
                </c:pt>
                <c:pt idx="64">
                  <c:v>25.51</c:v>
                </c:pt>
                <c:pt idx="65">
                  <c:v>25.89</c:v>
                </c:pt>
                <c:pt idx="66">
                  <c:v>26.27</c:v>
                </c:pt>
                <c:pt idx="67">
                  <c:v>26.65</c:v>
                </c:pt>
                <c:pt idx="68">
                  <c:v>27.03</c:v>
                </c:pt>
                <c:pt idx="69">
                  <c:v>27.41</c:v>
                </c:pt>
                <c:pt idx="70">
                  <c:v>27.79</c:v>
                </c:pt>
                <c:pt idx="71">
                  <c:v>28.17</c:v>
                </c:pt>
                <c:pt idx="72">
                  <c:v>28.56</c:v>
                </c:pt>
                <c:pt idx="73">
                  <c:v>28.94</c:v>
                </c:pt>
                <c:pt idx="74">
                  <c:v>29.32</c:v>
                </c:pt>
                <c:pt idx="75">
                  <c:v>29.7</c:v>
                </c:pt>
                <c:pt idx="76">
                  <c:v>30.08</c:v>
                </c:pt>
                <c:pt idx="77">
                  <c:v>30.46</c:v>
                </c:pt>
                <c:pt idx="78">
                  <c:v>30.84</c:v>
                </c:pt>
                <c:pt idx="79">
                  <c:v>31.22</c:v>
                </c:pt>
                <c:pt idx="80">
                  <c:v>31.61</c:v>
                </c:pt>
                <c:pt idx="81">
                  <c:v>31.99</c:v>
                </c:pt>
                <c:pt idx="82">
                  <c:v>32.369999999999997</c:v>
                </c:pt>
                <c:pt idx="83">
                  <c:v>32.75</c:v>
                </c:pt>
                <c:pt idx="84">
                  <c:v>33.130000000000003</c:v>
                </c:pt>
                <c:pt idx="85">
                  <c:v>33.51</c:v>
                </c:pt>
                <c:pt idx="86">
                  <c:v>33.89</c:v>
                </c:pt>
                <c:pt idx="87">
                  <c:v>34.270000000000003</c:v>
                </c:pt>
                <c:pt idx="88">
                  <c:v>34.659999999999997</c:v>
                </c:pt>
                <c:pt idx="89">
                  <c:v>35.04</c:v>
                </c:pt>
                <c:pt idx="90">
                  <c:v>35.42</c:v>
                </c:pt>
                <c:pt idx="91">
                  <c:v>35.799999999999997</c:v>
                </c:pt>
                <c:pt idx="92">
                  <c:v>36.18</c:v>
                </c:pt>
                <c:pt idx="93">
                  <c:v>36.56</c:v>
                </c:pt>
                <c:pt idx="94">
                  <c:v>36.94</c:v>
                </c:pt>
                <c:pt idx="95">
                  <c:v>37.32</c:v>
                </c:pt>
                <c:pt idx="96">
                  <c:v>37.71</c:v>
                </c:pt>
                <c:pt idx="97">
                  <c:v>38.090000000000003</c:v>
                </c:pt>
              </c:numCache>
            </c:numRef>
          </c:xVal>
          <c:yVal>
            <c:numRef>
              <c:f>'NGC 0224'!$I$8:$I$105</c:f>
              <c:numCache>
                <c:formatCode>0.00</c:formatCode>
                <c:ptCount val="98"/>
                <c:pt idx="0">
                  <c:v>336.2</c:v>
                </c:pt>
                <c:pt idx="1">
                  <c:v>324.60000000000002</c:v>
                </c:pt>
                <c:pt idx="2">
                  <c:v>339</c:v>
                </c:pt>
                <c:pt idx="3">
                  <c:v>243.6</c:v>
                </c:pt>
                <c:pt idx="4">
                  <c:v>235.2</c:v>
                </c:pt>
                <c:pt idx="5">
                  <c:v>238.9</c:v>
                </c:pt>
                <c:pt idx="6">
                  <c:v>239.3</c:v>
                </c:pt>
                <c:pt idx="7">
                  <c:v>226.3</c:v>
                </c:pt>
                <c:pt idx="8">
                  <c:v>202.6</c:v>
                </c:pt>
                <c:pt idx="9">
                  <c:v>207.3</c:v>
                </c:pt>
                <c:pt idx="10">
                  <c:v>202.5</c:v>
                </c:pt>
                <c:pt idx="11">
                  <c:v>208.9</c:v>
                </c:pt>
                <c:pt idx="12">
                  <c:v>221.6</c:v>
                </c:pt>
                <c:pt idx="13">
                  <c:v>232.2</c:v>
                </c:pt>
                <c:pt idx="14">
                  <c:v>237.6</c:v>
                </c:pt>
                <c:pt idx="15">
                  <c:v>239.8</c:v>
                </c:pt>
                <c:pt idx="16">
                  <c:v>235.6</c:v>
                </c:pt>
                <c:pt idx="17">
                  <c:v>241.7</c:v>
                </c:pt>
                <c:pt idx="18">
                  <c:v>244.3</c:v>
                </c:pt>
                <c:pt idx="19">
                  <c:v>248.8</c:v>
                </c:pt>
                <c:pt idx="20">
                  <c:v>251.8</c:v>
                </c:pt>
                <c:pt idx="21">
                  <c:v>253</c:v>
                </c:pt>
                <c:pt idx="22">
                  <c:v>258.8</c:v>
                </c:pt>
                <c:pt idx="23">
                  <c:v>259</c:v>
                </c:pt>
                <c:pt idx="24">
                  <c:v>262.2</c:v>
                </c:pt>
                <c:pt idx="25">
                  <c:v>266.8</c:v>
                </c:pt>
                <c:pt idx="26">
                  <c:v>266.8</c:v>
                </c:pt>
                <c:pt idx="27">
                  <c:v>265.89999999999998</c:v>
                </c:pt>
                <c:pt idx="28">
                  <c:v>264.39999999999998</c:v>
                </c:pt>
                <c:pt idx="29">
                  <c:v>264.7</c:v>
                </c:pt>
                <c:pt idx="30">
                  <c:v>265.3</c:v>
                </c:pt>
                <c:pt idx="31">
                  <c:v>265.2</c:v>
                </c:pt>
                <c:pt idx="32">
                  <c:v>262</c:v>
                </c:pt>
                <c:pt idx="33">
                  <c:v>260.8</c:v>
                </c:pt>
                <c:pt idx="34">
                  <c:v>259.2</c:v>
                </c:pt>
                <c:pt idx="35">
                  <c:v>258.10000000000002</c:v>
                </c:pt>
                <c:pt idx="36">
                  <c:v>258.39999999999998</c:v>
                </c:pt>
                <c:pt idx="37">
                  <c:v>259.2</c:v>
                </c:pt>
                <c:pt idx="38">
                  <c:v>262.7</c:v>
                </c:pt>
                <c:pt idx="39">
                  <c:v>266.10000000000002</c:v>
                </c:pt>
                <c:pt idx="40">
                  <c:v>270</c:v>
                </c:pt>
                <c:pt idx="41">
                  <c:v>269.8</c:v>
                </c:pt>
                <c:pt idx="42">
                  <c:v>269.10000000000002</c:v>
                </c:pt>
                <c:pt idx="43">
                  <c:v>268.5</c:v>
                </c:pt>
                <c:pt idx="44">
                  <c:v>263</c:v>
                </c:pt>
                <c:pt idx="45">
                  <c:v>257.10000000000002</c:v>
                </c:pt>
                <c:pt idx="46">
                  <c:v>254.1</c:v>
                </c:pt>
                <c:pt idx="47">
                  <c:v>251.9</c:v>
                </c:pt>
                <c:pt idx="48">
                  <c:v>249.5</c:v>
                </c:pt>
                <c:pt idx="49">
                  <c:v>245.7</c:v>
                </c:pt>
                <c:pt idx="50">
                  <c:v>243.7</c:v>
                </c:pt>
                <c:pt idx="51">
                  <c:v>245.9</c:v>
                </c:pt>
                <c:pt idx="52">
                  <c:v>242.3</c:v>
                </c:pt>
                <c:pt idx="53">
                  <c:v>239.2</c:v>
                </c:pt>
                <c:pt idx="54">
                  <c:v>239.5</c:v>
                </c:pt>
                <c:pt idx="55">
                  <c:v>236.1</c:v>
                </c:pt>
                <c:pt idx="56">
                  <c:v>233.8</c:v>
                </c:pt>
                <c:pt idx="57">
                  <c:v>233.1</c:v>
                </c:pt>
                <c:pt idx="58">
                  <c:v>230.1</c:v>
                </c:pt>
                <c:pt idx="59">
                  <c:v>232.1</c:v>
                </c:pt>
                <c:pt idx="60">
                  <c:v>228.7</c:v>
                </c:pt>
                <c:pt idx="61">
                  <c:v>229.1</c:v>
                </c:pt>
                <c:pt idx="62">
                  <c:v>227.9</c:v>
                </c:pt>
                <c:pt idx="63">
                  <c:v>226.9</c:v>
                </c:pt>
                <c:pt idx="64">
                  <c:v>225.1</c:v>
                </c:pt>
                <c:pt idx="65">
                  <c:v>225.4</c:v>
                </c:pt>
                <c:pt idx="66">
                  <c:v>230.3</c:v>
                </c:pt>
                <c:pt idx="67">
                  <c:v>229</c:v>
                </c:pt>
                <c:pt idx="68">
                  <c:v>229.9</c:v>
                </c:pt>
                <c:pt idx="69">
                  <c:v>230.1</c:v>
                </c:pt>
                <c:pt idx="70">
                  <c:v>229.8</c:v>
                </c:pt>
                <c:pt idx="71">
                  <c:v>230.4</c:v>
                </c:pt>
                <c:pt idx="72">
                  <c:v>230.9</c:v>
                </c:pt>
                <c:pt idx="73">
                  <c:v>229.8</c:v>
                </c:pt>
                <c:pt idx="74">
                  <c:v>228.8</c:v>
                </c:pt>
                <c:pt idx="75">
                  <c:v>238.3</c:v>
                </c:pt>
                <c:pt idx="76">
                  <c:v>243.6</c:v>
                </c:pt>
                <c:pt idx="77">
                  <c:v>247.3</c:v>
                </c:pt>
                <c:pt idx="78">
                  <c:v>247.8</c:v>
                </c:pt>
                <c:pt idx="79">
                  <c:v>248.4</c:v>
                </c:pt>
                <c:pt idx="80">
                  <c:v>248.1</c:v>
                </c:pt>
                <c:pt idx="81">
                  <c:v>244.5</c:v>
                </c:pt>
                <c:pt idx="82">
                  <c:v>244.4</c:v>
                </c:pt>
                <c:pt idx="83">
                  <c:v>241.7</c:v>
                </c:pt>
                <c:pt idx="84">
                  <c:v>237.7</c:v>
                </c:pt>
                <c:pt idx="85">
                  <c:v>237.6</c:v>
                </c:pt>
                <c:pt idx="86">
                  <c:v>244.9</c:v>
                </c:pt>
                <c:pt idx="87">
                  <c:v>247.9</c:v>
                </c:pt>
                <c:pt idx="88">
                  <c:v>256.3</c:v>
                </c:pt>
                <c:pt idx="89">
                  <c:v>253.5</c:v>
                </c:pt>
                <c:pt idx="90">
                  <c:v>244.3</c:v>
                </c:pt>
                <c:pt idx="91">
                  <c:v>249.3</c:v>
                </c:pt>
                <c:pt idx="92">
                  <c:v>255.7</c:v>
                </c:pt>
                <c:pt idx="93">
                  <c:v>255</c:v>
                </c:pt>
                <c:pt idx="94">
                  <c:v>271.10000000000002</c:v>
                </c:pt>
                <c:pt idx="95">
                  <c:v>269.8</c:v>
                </c:pt>
                <c:pt idx="96">
                  <c:v>258.2</c:v>
                </c:pt>
                <c:pt idx="97">
                  <c:v>275.10000000000002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4D-484B-B75F-CBFDA06B0D64}"/>
            </c:ext>
          </c:extLst>
        </c:ser>
        <c:ser>
          <c:idx val="1"/>
          <c:order val="1"/>
          <c:tx>
            <c:strRef>
              <c:f>'NGC 0224'!$K$7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0224'!$A$8:$A$105</c:f>
              <c:numCache>
                <c:formatCode>General</c:formatCode>
                <c:ptCount val="98"/>
                <c:pt idx="0">
                  <c:v>1.1399999999999999</c:v>
                </c:pt>
                <c:pt idx="1">
                  <c:v>1.52</c:v>
                </c:pt>
                <c:pt idx="2">
                  <c:v>1.9</c:v>
                </c:pt>
                <c:pt idx="3">
                  <c:v>2.2799999999999998</c:v>
                </c:pt>
                <c:pt idx="4">
                  <c:v>2.66</c:v>
                </c:pt>
                <c:pt idx="5">
                  <c:v>3.04</c:v>
                </c:pt>
                <c:pt idx="6">
                  <c:v>3.43</c:v>
                </c:pt>
                <c:pt idx="7">
                  <c:v>3.81</c:v>
                </c:pt>
                <c:pt idx="8">
                  <c:v>4.1900000000000004</c:v>
                </c:pt>
                <c:pt idx="9">
                  <c:v>4.57</c:v>
                </c:pt>
                <c:pt idx="10">
                  <c:v>4.95</c:v>
                </c:pt>
                <c:pt idx="11">
                  <c:v>5.33</c:v>
                </c:pt>
                <c:pt idx="12">
                  <c:v>5.71</c:v>
                </c:pt>
                <c:pt idx="13">
                  <c:v>6.09</c:v>
                </c:pt>
                <c:pt idx="14">
                  <c:v>6.47</c:v>
                </c:pt>
                <c:pt idx="15">
                  <c:v>6.85</c:v>
                </c:pt>
                <c:pt idx="16">
                  <c:v>7.23</c:v>
                </c:pt>
                <c:pt idx="17">
                  <c:v>7.61</c:v>
                </c:pt>
                <c:pt idx="18">
                  <c:v>7.99</c:v>
                </c:pt>
                <c:pt idx="19">
                  <c:v>8.3699999999999992</c:v>
                </c:pt>
                <c:pt idx="20">
                  <c:v>8.75</c:v>
                </c:pt>
                <c:pt idx="21">
                  <c:v>9.1300000000000008</c:v>
                </c:pt>
                <c:pt idx="22">
                  <c:v>9.51</c:v>
                </c:pt>
                <c:pt idx="23">
                  <c:v>9.9</c:v>
                </c:pt>
                <c:pt idx="24">
                  <c:v>10.28</c:v>
                </c:pt>
                <c:pt idx="25">
                  <c:v>10.66</c:v>
                </c:pt>
                <c:pt idx="26">
                  <c:v>11.04</c:v>
                </c:pt>
                <c:pt idx="27">
                  <c:v>11.42</c:v>
                </c:pt>
                <c:pt idx="28">
                  <c:v>11.8</c:v>
                </c:pt>
                <c:pt idx="29">
                  <c:v>12.18</c:v>
                </c:pt>
                <c:pt idx="30">
                  <c:v>12.56</c:v>
                </c:pt>
                <c:pt idx="31">
                  <c:v>12.94</c:v>
                </c:pt>
                <c:pt idx="32">
                  <c:v>13.32</c:v>
                </c:pt>
                <c:pt idx="33">
                  <c:v>13.7</c:v>
                </c:pt>
                <c:pt idx="34">
                  <c:v>14.08</c:v>
                </c:pt>
                <c:pt idx="35">
                  <c:v>14.46</c:v>
                </c:pt>
                <c:pt idx="36">
                  <c:v>14.84</c:v>
                </c:pt>
                <c:pt idx="37">
                  <c:v>15.23</c:v>
                </c:pt>
                <c:pt idx="38">
                  <c:v>15.61</c:v>
                </c:pt>
                <c:pt idx="39">
                  <c:v>15.99</c:v>
                </c:pt>
                <c:pt idx="40">
                  <c:v>16.37</c:v>
                </c:pt>
                <c:pt idx="41">
                  <c:v>16.75</c:v>
                </c:pt>
                <c:pt idx="42">
                  <c:v>17.13</c:v>
                </c:pt>
                <c:pt idx="43">
                  <c:v>17.510000000000002</c:v>
                </c:pt>
                <c:pt idx="44">
                  <c:v>17.89</c:v>
                </c:pt>
                <c:pt idx="45">
                  <c:v>18.27</c:v>
                </c:pt>
                <c:pt idx="46">
                  <c:v>18.649999999999999</c:v>
                </c:pt>
                <c:pt idx="47">
                  <c:v>19.03</c:v>
                </c:pt>
                <c:pt idx="48">
                  <c:v>19.41</c:v>
                </c:pt>
                <c:pt idx="49">
                  <c:v>19.79</c:v>
                </c:pt>
                <c:pt idx="50">
                  <c:v>20.18</c:v>
                </c:pt>
                <c:pt idx="51">
                  <c:v>20.56</c:v>
                </c:pt>
                <c:pt idx="52">
                  <c:v>20.94</c:v>
                </c:pt>
                <c:pt idx="53">
                  <c:v>21.32</c:v>
                </c:pt>
                <c:pt idx="54">
                  <c:v>21.7</c:v>
                </c:pt>
                <c:pt idx="55">
                  <c:v>22.08</c:v>
                </c:pt>
                <c:pt idx="56">
                  <c:v>22.46</c:v>
                </c:pt>
                <c:pt idx="57">
                  <c:v>22.84</c:v>
                </c:pt>
                <c:pt idx="58">
                  <c:v>23.22</c:v>
                </c:pt>
                <c:pt idx="59">
                  <c:v>23.6</c:v>
                </c:pt>
                <c:pt idx="60">
                  <c:v>23.98</c:v>
                </c:pt>
                <c:pt idx="61">
                  <c:v>24.36</c:v>
                </c:pt>
                <c:pt idx="62">
                  <c:v>24.75</c:v>
                </c:pt>
                <c:pt idx="63">
                  <c:v>25.13</c:v>
                </c:pt>
                <c:pt idx="64">
                  <c:v>25.51</c:v>
                </c:pt>
                <c:pt idx="65">
                  <c:v>25.89</c:v>
                </c:pt>
                <c:pt idx="66">
                  <c:v>26.27</c:v>
                </c:pt>
                <c:pt idx="67">
                  <c:v>26.65</c:v>
                </c:pt>
                <c:pt idx="68">
                  <c:v>27.03</c:v>
                </c:pt>
                <c:pt idx="69">
                  <c:v>27.41</c:v>
                </c:pt>
                <c:pt idx="70">
                  <c:v>27.79</c:v>
                </c:pt>
                <c:pt idx="71">
                  <c:v>28.17</c:v>
                </c:pt>
                <c:pt idx="72">
                  <c:v>28.56</c:v>
                </c:pt>
                <c:pt idx="73">
                  <c:v>28.94</c:v>
                </c:pt>
                <c:pt idx="74">
                  <c:v>29.32</c:v>
                </c:pt>
                <c:pt idx="75">
                  <c:v>29.7</c:v>
                </c:pt>
                <c:pt idx="76">
                  <c:v>30.08</c:v>
                </c:pt>
                <c:pt idx="77">
                  <c:v>30.46</c:v>
                </c:pt>
                <c:pt idx="78">
                  <c:v>30.84</c:v>
                </c:pt>
                <c:pt idx="79">
                  <c:v>31.22</c:v>
                </c:pt>
                <c:pt idx="80">
                  <c:v>31.61</c:v>
                </c:pt>
                <c:pt idx="81">
                  <c:v>31.99</c:v>
                </c:pt>
                <c:pt idx="82">
                  <c:v>32.369999999999997</c:v>
                </c:pt>
                <c:pt idx="83">
                  <c:v>32.75</c:v>
                </c:pt>
                <c:pt idx="84">
                  <c:v>33.130000000000003</c:v>
                </c:pt>
                <c:pt idx="85">
                  <c:v>33.51</c:v>
                </c:pt>
                <c:pt idx="86">
                  <c:v>33.89</c:v>
                </c:pt>
                <c:pt idx="87">
                  <c:v>34.270000000000003</c:v>
                </c:pt>
                <c:pt idx="88">
                  <c:v>34.659999999999997</c:v>
                </c:pt>
                <c:pt idx="89">
                  <c:v>35.04</c:v>
                </c:pt>
                <c:pt idx="90">
                  <c:v>35.42</c:v>
                </c:pt>
                <c:pt idx="91">
                  <c:v>35.799999999999997</c:v>
                </c:pt>
                <c:pt idx="92">
                  <c:v>36.18</c:v>
                </c:pt>
                <c:pt idx="93">
                  <c:v>36.56</c:v>
                </c:pt>
                <c:pt idx="94">
                  <c:v>36.94</c:v>
                </c:pt>
                <c:pt idx="95">
                  <c:v>37.32</c:v>
                </c:pt>
                <c:pt idx="96">
                  <c:v>37.71</c:v>
                </c:pt>
                <c:pt idx="97">
                  <c:v>38.090000000000003</c:v>
                </c:pt>
              </c:numCache>
            </c:numRef>
          </c:xVal>
          <c:yVal>
            <c:numRef>
              <c:f>'NGC 0224'!$K$8:$K$105</c:f>
              <c:numCache>
                <c:formatCode>0.0</c:formatCode>
                <c:ptCount val="98"/>
                <c:pt idx="0">
                  <c:v>162.52579309414429</c:v>
                </c:pt>
                <c:pt idx="1">
                  <c:v>181.28268629977549</c:v>
                </c:pt>
                <c:pt idx="2">
                  <c:v>195.8786694915116</c:v>
                </c:pt>
                <c:pt idx="3">
                  <c:v>207.47629180344086</c:v>
                </c:pt>
                <c:pt idx="4">
                  <c:v>216.79591577939365</c:v>
                </c:pt>
                <c:pt idx="5">
                  <c:v>224.32530859851028</c:v>
                </c:pt>
                <c:pt idx="6">
                  <c:v>230.55851053037571</c:v>
                </c:pt>
                <c:pt idx="7">
                  <c:v>235.44393121358283</c:v>
                </c:pt>
                <c:pt idx="8">
                  <c:v>239.36150436482905</c:v>
                </c:pt>
                <c:pt idx="9">
                  <c:v>242.47207365038017</c:v>
                </c:pt>
                <c:pt idx="10">
                  <c:v>244.90579463960233</c:v>
                </c:pt>
                <c:pt idx="11">
                  <c:v>246.76957228311466</c:v>
                </c:pt>
                <c:pt idx="12">
                  <c:v>248.15227038811236</c:v>
                </c:pt>
                <c:pt idx="13">
                  <c:v>249.12847339770144</c:v>
                </c:pt>
                <c:pt idx="14">
                  <c:v>249.76127400600456</c:v>
                </c:pt>
                <c:pt idx="15">
                  <c:v>250.10438531565671</c:v>
                </c:pt>
                <c:pt idx="16">
                  <c:v>250.20377233667682</c:v>
                </c:pt>
                <c:pt idx="17">
                  <c:v>250.09893359011394</c:v>
                </c:pt>
                <c:pt idx="18">
                  <c:v>249.82392285102108</c:v>
                </c:pt>
                <c:pt idx="19">
                  <c:v>249.40817443085862</c:v>
                </c:pt>
                <c:pt idx="20">
                  <c:v>248.87717754743213</c:v>
                </c:pt>
                <c:pt idx="21">
                  <c:v>248.25303309854002</c:v>
                </c:pt>
                <c:pt idx="22">
                  <c:v>247.55491760669267</c:v>
                </c:pt>
                <c:pt idx="23">
                  <c:v>246.77895490183317</c:v>
                </c:pt>
                <c:pt idx="24">
                  <c:v>245.97966665517143</c:v>
                </c:pt>
                <c:pt idx="25">
                  <c:v>245.15030606269565</c:v>
                </c:pt>
                <c:pt idx="26">
                  <c:v>244.30166310580216</c:v>
                </c:pt>
                <c:pt idx="27">
                  <c:v>243.44305802108062</c:v>
                </c:pt>
                <c:pt idx="28">
                  <c:v>242.58252048014086</c:v>
                </c:pt>
                <c:pt idx="29">
                  <c:v>241.72694543603899</c:v>
                </c:pt>
                <c:pt idx="30">
                  <c:v>240.88222919285488</c:v>
                </c:pt>
                <c:pt idx="31">
                  <c:v>240.05338861041764</c:v>
                </c:pt>
                <c:pt idx="32">
                  <c:v>239.24466584589857</c:v>
                </c:pt>
                <c:pt idx="33">
                  <c:v>238.4596206268503</c:v>
                </c:pt>
                <c:pt idx="34">
                  <c:v>237.70121172302953</c:v>
                </c:pt>
                <c:pt idx="35">
                  <c:v>236.97186901951017</c:v>
                </c:pt>
                <c:pt idx="36">
                  <c:v>236.27355737786857</c:v>
                </c:pt>
                <c:pt idx="37">
                  <c:v>235.5907659719974</c:v>
                </c:pt>
                <c:pt idx="38">
                  <c:v>234.95973024277245</c:v>
                </c:pt>
                <c:pt idx="39">
                  <c:v>234.36338510109329</c:v>
                </c:pt>
                <c:pt idx="40">
                  <c:v>233.80233544260756</c:v>
                </c:pt>
                <c:pt idx="41">
                  <c:v>233.27694887999399</c:v>
                </c:pt>
                <c:pt idx="42">
                  <c:v>232.78738712042241</c:v>
                </c:pt>
                <c:pt idx="43">
                  <c:v>232.33363387297476</c:v>
                </c:pt>
                <c:pt idx="44">
                  <c:v>231.91551965987645</c:v>
                </c:pt>
                <c:pt idx="45">
                  <c:v>231.53274386156554</c:v>
                </c:pt>
                <c:pt idx="46">
                  <c:v>231.18489428790923</c:v>
                </c:pt>
                <c:pt idx="47">
                  <c:v>230.87146453525509</c:v>
                </c:pt>
                <c:pt idx="48">
                  <c:v>230.59186936064609</c:v>
                </c:pt>
                <c:pt idx="49">
                  <c:v>230.34545827976496</c:v>
                </c:pt>
                <c:pt idx="50">
                  <c:v>230.12632971186062</c:v>
                </c:pt>
                <c:pt idx="51">
                  <c:v>229.94495770972918</c:v>
                </c:pt>
                <c:pt idx="52">
                  <c:v>229.79451909270094</c:v>
                </c:pt>
                <c:pt idx="53">
                  <c:v>229.67420838506314</c:v>
                </c:pt>
                <c:pt idx="54">
                  <c:v>229.58320223375699</c:v>
                </c:pt>
                <c:pt idx="55">
                  <c:v>229.52066560846981</c:v>
                </c:pt>
                <c:pt idx="56">
                  <c:v>229.48575718704842</c:v>
                </c:pt>
                <c:pt idx="57">
                  <c:v>229.4776340139081</c:v>
                </c:pt>
                <c:pt idx="58">
                  <c:v>229.49545551044108</c:v>
                </c:pt>
                <c:pt idx="59">
                  <c:v>229.53838690860906</c:v>
                </c:pt>
                <c:pt idx="60">
                  <c:v>229.60560217183999</c:v>
                </c:pt>
                <c:pt idx="61">
                  <c:v>229.69628646096288</c:v>
                </c:pt>
                <c:pt idx="62">
                  <c:v>229.81292003218164</c:v>
                </c:pt>
                <c:pt idx="63">
                  <c:v>229.94871793894657</c:v>
                </c:pt>
                <c:pt idx="64">
                  <c:v>230.10560639012226</c:v>
                </c:pt>
                <c:pt idx="65">
                  <c:v>230.28283308072434</c:v>
                </c:pt>
                <c:pt idx="66">
                  <c:v>230.47966407357359</c:v>
                </c:pt>
                <c:pt idx="67">
                  <c:v>230.69538445437959</c:v>
                </c:pt>
                <c:pt idx="68">
                  <c:v>230.92929880202277</c:v>
                </c:pt>
                <c:pt idx="69">
                  <c:v>231.18073149816553</c:v>
                </c:pt>
                <c:pt idx="70">
                  <c:v>231.44902689772459</c:v>
                </c:pt>
                <c:pt idx="71">
                  <c:v>231.73354937938726</c:v>
                </c:pt>
                <c:pt idx="72">
                  <c:v>232.04178689495964</c:v>
                </c:pt>
                <c:pt idx="73">
                  <c:v>232.35732370355777</c:v>
                </c:pt>
                <c:pt idx="74">
                  <c:v>232.68728502325405</c:v>
                </c:pt>
                <c:pt idx="75">
                  <c:v>233.0311144970388</c:v>
                </c:pt>
                <c:pt idx="76">
                  <c:v>233.38827476991557</c:v>
                </c:pt>
                <c:pt idx="77">
                  <c:v>233.75824711645407</c:v>
                </c:pt>
                <c:pt idx="78">
                  <c:v>234.14053103398768</c:v>
                </c:pt>
                <c:pt idx="79">
                  <c:v>234.53464380855226</c:v>
                </c:pt>
                <c:pt idx="80">
                  <c:v>234.95093981375751</c:v>
                </c:pt>
                <c:pt idx="81">
                  <c:v>235.36761235348223</c:v>
                </c:pt>
                <c:pt idx="82">
                  <c:v>235.79475656059782</c:v>
                </c:pt>
                <c:pt idx="83">
                  <c:v>236.23195660271134</c:v>
                </c:pt>
                <c:pt idx="84">
                  <c:v>236.67881203492695</c:v>
                </c:pt>
                <c:pt idx="85">
                  <c:v>237.13493730745222</c:v>
                </c:pt>
                <c:pt idx="86">
                  <c:v>237.59996127541982</c:v>
                </c:pt>
                <c:pt idx="87">
                  <c:v>238.07352671307737</c:v>
                </c:pt>
                <c:pt idx="88">
                  <c:v>238.56807546817672</c:v>
                </c:pt>
                <c:pt idx="89">
                  <c:v>239.05790812434259</c:v>
                </c:pt>
                <c:pt idx="90">
                  <c:v>239.55528111899466</c:v>
                </c:pt>
                <c:pt idx="91">
                  <c:v>240.05988850045708</c:v>
                </c:pt>
                <c:pt idx="92">
                  <c:v>240.57143591462926</c:v>
                </c:pt>
                <c:pt idx="93">
                  <c:v>241.08964017429247</c:v>
                </c:pt>
                <c:pt idx="94">
                  <c:v>241.61422884025495</c:v>
                </c:pt>
                <c:pt idx="95">
                  <c:v>242.14493981466757</c:v>
                </c:pt>
                <c:pt idx="96">
                  <c:v>242.69571854093962</c:v>
                </c:pt>
                <c:pt idx="97">
                  <c:v>243.23807214787084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4D-484B-B75F-CBFDA06B0D64}"/>
            </c:ext>
          </c:extLst>
        </c:ser>
        <c:ser>
          <c:idx val="2"/>
          <c:order val="2"/>
          <c:tx>
            <c:strRef>
              <c:f>'NGC 0224'!$K$119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0224'!$A$120:$A$217</c:f>
              <c:numCache>
                <c:formatCode>General</c:formatCode>
                <c:ptCount val="98"/>
                <c:pt idx="0">
                  <c:v>1.1399999999999999</c:v>
                </c:pt>
                <c:pt idx="1">
                  <c:v>1.52</c:v>
                </c:pt>
                <c:pt idx="2">
                  <c:v>1.9</c:v>
                </c:pt>
                <c:pt idx="3">
                  <c:v>2.2799999999999998</c:v>
                </c:pt>
                <c:pt idx="4">
                  <c:v>2.66</c:v>
                </c:pt>
                <c:pt idx="5">
                  <c:v>3.04</c:v>
                </c:pt>
                <c:pt idx="6">
                  <c:v>3.43</c:v>
                </c:pt>
                <c:pt idx="7">
                  <c:v>3.81</c:v>
                </c:pt>
                <c:pt idx="8">
                  <c:v>4.1900000000000004</c:v>
                </c:pt>
                <c:pt idx="9">
                  <c:v>4.57</c:v>
                </c:pt>
                <c:pt idx="10">
                  <c:v>4.95</c:v>
                </c:pt>
                <c:pt idx="11">
                  <c:v>5.33</c:v>
                </c:pt>
                <c:pt idx="12">
                  <c:v>5.71</c:v>
                </c:pt>
                <c:pt idx="13">
                  <c:v>6.09</c:v>
                </c:pt>
                <c:pt idx="14">
                  <c:v>6.47</c:v>
                </c:pt>
                <c:pt idx="15">
                  <c:v>6.85</c:v>
                </c:pt>
                <c:pt idx="16">
                  <c:v>7.23</c:v>
                </c:pt>
                <c:pt idx="17">
                  <c:v>7.61</c:v>
                </c:pt>
                <c:pt idx="18">
                  <c:v>7.99</c:v>
                </c:pt>
                <c:pt idx="19">
                  <c:v>8.3699999999999992</c:v>
                </c:pt>
                <c:pt idx="20">
                  <c:v>8.75</c:v>
                </c:pt>
                <c:pt idx="21">
                  <c:v>9.1300000000000008</c:v>
                </c:pt>
                <c:pt idx="22">
                  <c:v>9.51</c:v>
                </c:pt>
                <c:pt idx="23">
                  <c:v>9.9</c:v>
                </c:pt>
                <c:pt idx="24">
                  <c:v>10.28</c:v>
                </c:pt>
                <c:pt idx="25">
                  <c:v>10.66</c:v>
                </c:pt>
                <c:pt idx="26">
                  <c:v>11.04</c:v>
                </c:pt>
                <c:pt idx="27">
                  <c:v>11.42</c:v>
                </c:pt>
                <c:pt idx="28">
                  <c:v>11.8</c:v>
                </c:pt>
                <c:pt idx="29">
                  <c:v>12.18</c:v>
                </c:pt>
                <c:pt idx="30">
                  <c:v>12.56</c:v>
                </c:pt>
                <c:pt idx="31">
                  <c:v>12.94</c:v>
                </c:pt>
                <c:pt idx="32">
                  <c:v>13.32</c:v>
                </c:pt>
                <c:pt idx="33">
                  <c:v>13.7</c:v>
                </c:pt>
                <c:pt idx="34">
                  <c:v>14.08</c:v>
                </c:pt>
                <c:pt idx="35">
                  <c:v>14.46</c:v>
                </c:pt>
                <c:pt idx="36">
                  <c:v>14.84</c:v>
                </c:pt>
                <c:pt idx="37">
                  <c:v>15.23</c:v>
                </c:pt>
                <c:pt idx="38">
                  <c:v>15.61</c:v>
                </c:pt>
                <c:pt idx="39">
                  <c:v>15.99</c:v>
                </c:pt>
                <c:pt idx="40">
                  <c:v>16.37</c:v>
                </c:pt>
                <c:pt idx="41">
                  <c:v>16.75</c:v>
                </c:pt>
                <c:pt idx="42">
                  <c:v>17.13</c:v>
                </c:pt>
                <c:pt idx="43">
                  <c:v>17.510000000000002</c:v>
                </c:pt>
                <c:pt idx="44">
                  <c:v>17.89</c:v>
                </c:pt>
                <c:pt idx="45">
                  <c:v>18.27</c:v>
                </c:pt>
                <c:pt idx="46">
                  <c:v>18.649999999999999</c:v>
                </c:pt>
                <c:pt idx="47">
                  <c:v>19.03</c:v>
                </c:pt>
                <c:pt idx="48">
                  <c:v>19.41</c:v>
                </c:pt>
                <c:pt idx="49">
                  <c:v>19.79</c:v>
                </c:pt>
                <c:pt idx="50">
                  <c:v>20.18</c:v>
                </c:pt>
                <c:pt idx="51">
                  <c:v>20.56</c:v>
                </c:pt>
                <c:pt idx="52">
                  <c:v>20.94</c:v>
                </c:pt>
                <c:pt idx="53">
                  <c:v>21.32</c:v>
                </c:pt>
                <c:pt idx="54">
                  <c:v>21.7</c:v>
                </c:pt>
                <c:pt idx="55">
                  <c:v>22.08</c:v>
                </c:pt>
                <c:pt idx="56">
                  <c:v>22.46</c:v>
                </c:pt>
                <c:pt idx="57">
                  <c:v>22.84</c:v>
                </c:pt>
                <c:pt idx="58">
                  <c:v>23.22</c:v>
                </c:pt>
                <c:pt idx="59">
                  <c:v>23.6</c:v>
                </c:pt>
                <c:pt idx="60">
                  <c:v>23.98</c:v>
                </c:pt>
                <c:pt idx="61">
                  <c:v>24.36</c:v>
                </c:pt>
                <c:pt idx="62">
                  <c:v>24.75</c:v>
                </c:pt>
                <c:pt idx="63">
                  <c:v>25.13</c:v>
                </c:pt>
                <c:pt idx="64">
                  <c:v>25.51</c:v>
                </c:pt>
                <c:pt idx="65">
                  <c:v>25.89</c:v>
                </c:pt>
                <c:pt idx="66">
                  <c:v>26.27</c:v>
                </c:pt>
                <c:pt idx="67">
                  <c:v>26.65</c:v>
                </c:pt>
                <c:pt idx="68">
                  <c:v>27.03</c:v>
                </c:pt>
                <c:pt idx="69">
                  <c:v>27.41</c:v>
                </c:pt>
                <c:pt idx="70">
                  <c:v>27.79</c:v>
                </c:pt>
                <c:pt idx="71">
                  <c:v>28.17</c:v>
                </c:pt>
                <c:pt idx="72">
                  <c:v>28.56</c:v>
                </c:pt>
                <c:pt idx="73">
                  <c:v>28.94</c:v>
                </c:pt>
                <c:pt idx="74">
                  <c:v>29.32</c:v>
                </c:pt>
                <c:pt idx="75">
                  <c:v>29.7</c:v>
                </c:pt>
                <c:pt idx="76">
                  <c:v>30.08</c:v>
                </c:pt>
                <c:pt idx="77">
                  <c:v>30.46</c:v>
                </c:pt>
                <c:pt idx="78">
                  <c:v>30.84</c:v>
                </c:pt>
                <c:pt idx="79">
                  <c:v>31.22</c:v>
                </c:pt>
                <c:pt idx="80">
                  <c:v>31.61</c:v>
                </c:pt>
                <c:pt idx="81">
                  <c:v>31.99</c:v>
                </c:pt>
                <c:pt idx="82">
                  <c:v>32.369999999999997</c:v>
                </c:pt>
                <c:pt idx="83">
                  <c:v>32.75</c:v>
                </c:pt>
                <c:pt idx="84">
                  <c:v>33.130000000000003</c:v>
                </c:pt>
                <c:pt idx="85">
                  <c:v>33.51</c:v>
                </c:pt>
                <c:pt idx="86">
                  <c:v>33.89</c:v>
                </c:pt>
                <c:pt idx="87">
                  <c:v>34.270000000000003</c:v>
                </c:pt>
                <c:pt idx="88">
                  <c:v>34.659999999999997</c:v>
                </c:pt>
                <c:pt idx="89">
                  <c:v>35.04</c:v>
                </c:pt>
                <c:pt idx="90">
                  <c:v>35.42</c:v>
                </c:pt>
                <c:pt idx="91">
                  <c:v>35.799999999999997</c:v>
                </c:pt>
                <c:pt idx="92">
                  <c:v>36.18</c:v>
                </c:pt>
                <c:pt idx="93">
                  <c:v>36.56</c:v>
                </c:pt>
                <c:pt idx="94">
                  <c:v>36.94</c:v>
                </c:pt>
                <c:pt idx="95">
                  <c:v>37.32</c:v>
                </c:pt>
                <c:pt idx="96">
                  <c:v>37.71</c:v>
                </c:pt>
                <c:pt idx="97">
                  <c:v>38.090000000000003</c:v>
                </c:pt>
              </c:numCache>
            </c:numRef>
          </c:xVal>
          <c:yVal>
            <c:numRef>
              <c:f>'NGC 0224'!$K$120:$K$217</c:f>
              <c:numCache>
                <c:formatCode>0.0</c:formatCode>
                <c:ptCount val="98"/>
                <c:pt idx="0">
                  <c:v>245.60986763186398</c:v>
                </c:pt>
                <c:pt idx="1">
                  <c:v>243.3187038877669</c:v>
                </c:pt>
                <c:pt idx="2">
                  <c:v>241.68751880142835</c:v>
                </c:pt>
                <c:pt idx="3">
                  <c:v>240.64613118759516</c:v>
                </c:pt>
                <c:pt idx="4">
                  <c:v>240.05114588096134</c:v>
                </c:pt>
                <c:pt idx="5">
                  <c:v>239.77316051217454</c:v>
                </c:pt>
                <c:pt idx="6">
                  <c:v>239.71097880259268</c:v>
                </c:pt>
                <c:pt idx="7">
                  <c:v>239.79378323424805</c:v>
                </c:pt>
                <c:pt idx="8">
                  <c:v>239.96256207118407</c:v>
                </c:pt>
                <c:pt idx="9">
                  <c:v>240.1780319890994</c:v>
                </c:pt>
                <c:pt idx="10">
                  <c:v>240.41353207516255</c:v>
                </c:pt>
                <c:pt idx="11">
                  <c:v>240.64976758057375</c:v>
                </c:pt>
                <c:pt idx="12">
                  <c:v>240.87244592552699</c:v>
                </c:pt>
                <c:pt idx="13">
                  <c:v>241.07505840745483</c:v>
                </c:pt>
                <c:pt idx="14">
                  <c:v>241.25156073802927</c:v>
                </c:pt>
                <c:pt idx="15">
                  <c:v>241.35144215519639</c:v>
                </c:pt>
                <c:pt idx="16">
                  <c:v>241.46204353083851</c:v>
                </c:pt>
                <c:pt idx="17">
                  <c:v>241.57819680551489</c:v>
                </c:pt>
                <c:pt idx="18">
                  <c:v>241.64302071624246</c:v>
                </c:pt>
                <c:pt idx="19">
                  <c:v>241.65763713443701</c:v>
                </c:pt>
                <c:pt idx="20">
                  <c:v>241.66834918433659</c:v>
                </c:pt>
                <c:pt idx="21">
                  <c:v>241.66755410768769</c:v>
                </c:pt>
                <c:pt idx="22">
                  <c:v>241.60754030343841</c:v>
                </c:pt>
                <c:pt idx="23">
                  <c:v>241.54005113829905</c:v>
                </c:pt>
                <c:pt idx="24">
                  <c:v>241.46768424598071</c:v>
                </c:pt>
                <c:pt idx="25">
                  <c:v>241.36475155609551</c:v>
                </c:pt>
                <c:pt idx="26">
                  <c:v>241.24603594186129</c:v>
                </c:pt>
                <c:pt idx="27">
                  <c:v>241.1229234570387</c:v>
                </c:pt>
                <c:pt idx="28">
                  <c:v>240.98973503525235</c:v>
                </c:pt>
                <c:pt idx="29">
                  <c:v>240.83705814259349</c:v>
                </c:pt>
                <c:pt idx="30">
                  <c:v>240.68235823279713</c:v>
                </c:pt>
                <c:pt idx="31">
                  <c:v>240.52603459337621</c:v>
                </c:pt>
                <c:pt idx="32">
                  <c:v>240.35596125857538</c:v>
                </c:pt>
                <c:pt idx="33">
                  <c:v>240.18353058461634</c:v>
                </c:pt>
                <c:pt idx="34">
                  <c:v>240.01153948588012</c:v>
                </c:pt>
                <c:pt idx="35">
                  <c:v>239.83601893204406</c:v>
                </c:pt>
                <c:pt idx="36">
                  <c:v>239.65605591588209</c:v>
                </c:pt>
                <c:pt idx="37">
                  <c:v>239.47339800348254</c:v>
                </c:pt>
                <c:pt idx="38">
                  <c:v>239.29748515836386</c:v>
                </c:pt>
                <c:pt idx="39">
                  <c:v>239.11699814389982</c:v>
                </c:pt>
                <c:pt idx="40">
                  <c:v>238.93950944191093</c:v>
                </c:pt>
                <c:pt idx="41">
                  <c:v>238.76517695479657</c:v>
                </c:pt>
                <c:pt idx="42">
                  <c:v>238.5909727953316</c:v>
                </c:pt>
                <c:pt idx="43">
                  <c:v>238.41827929270013</c:v>
                </c:pt>
                <c:pt idx="44">
                  <c:v>238.24927182764389</c:v>
                </c:pt>
                <c:pt idx="45">
                  <c:v>238.08327337057642</c:v>
                </c:pt>
                <c:pt idx="46">
                  <c:v>237.91791846376918</c:v>
                </c:pt>
                <c:pt idx="47">
                  <c:v>237.75648213239134</c:v>
                </c:pt>
                <c:pt idx="48">
                  <c:v>237.59894761983037</c:v>
                </c:pt>
                <c:pt idx="49">
                  <c:v>237.44012264361515</c:v>
                </c:pt>
                <c:pt idx="50">
                  <c:v>237.2796773417902</c:v>
                </c:pt>
                <c:pt idx="51">
                  <c:v>237.12739950200353</c:v>
                </c:pt>
                <c:pt idx="52">
                  <c:v>236.9790417250141</c:v>
                </c:pt>
                <c:pt idx="53">
                  <c:v>236.8345156112718</c:v>
                </c:pt>
                <c:pt idx="54">
                  <c:v>236.69372567795469</c:v>
                </c:pt>
                <c:pt idx="55">
                  <c:v>236.55657046974451</c:v>
                </c:pt>
                <c:pt idx="56">
                  <c:v>236.42294359361409</c:v>
                </c:pt>
                <c:pt idx="57">
                  <c:v>236.29273467617017</c:v>
                </c:pt>
                <c:pt idx="58">
                  <c:v>236.16583024374381</c:v>
                </c:pt>
                <c:pt idx="59">
                  <c:v>236.04211452665791</c:v>
                </c:pt>
                <c:pt idx="60">
                  <c:v>235.92147019001308</c:v>
                </c:pt>
                <c:pt idx="61">
                  <c:v>235.80377899399687</c:v>
                </c:pt>
                <c:pt idx="62">
                  <c:v>235.68593704312866</c:v>
                </c:pt>
                <c:pt idx="63">
                  <c:v>235.57386658017055</c:v>
                </c:pt>
                <c:pt idx="64">
                  <c:v>235.46439164659282</c:v>
                </c:pt>
                <c:pt idx="65">
                  <c:v>235.35739573678975</c:v>
                </c:pt>
                <c:pt idx="66">
                  <c:v>235.24947003829203</c:v>
                </c:pt>
                <c:pt idx="67">
                  <c:v>235.14256277379937</c:v>
                </c:pt>
                <c:pt idx="68">
                  <c:v>235.03791845482445</c:v>
                </c:pt>
                <c:pt idx="69">
                  <c:v>234.93542318494212</c:v>
                </c:pt>
                <c:pt idx="70">
                  <c:v>234.8349658243705</c:v>
                </c:pt>
                <c:pt idx="71">
                  <c:v>234.73643813385505</c:v>
                </c:pt>
                <c:pt idx="72">
                  <c:v>234.63721376681045</c:v>
                </c:pt>
                <c:pt idx="73">
                  <c:v>234.54227682494204</c:v>
                </c:pt>
                <c:pt idx="74">
                  <c:v>234.44896070272245</c:v>
                </c:pt>
                <c:pt idx="75">
                  <c:v>234.35716975347043</c:v>
                </c:pt>
                <c:pt idx="76">
                  <c:v>234.26681157327366</c:v>
                </c:pt>
                <c:pt idx="77">
                  <c:v>234.17779701038162</c:v>
                </c:pt>
                <c:pt idx="78">
                  <c:v>234.09004015999284</c:v>
                </c:pt>
                <c:pt idx="79">
                  <c:v>234.00345834619321</c:v>
                </c:pt>
                <c:pt idx="80">
                  <c:v>233.91573654597488</c:v>
                </c:pt>
                <c:pt idx="81">
                  <c:v>233.83129535707332</c:v>
                </c:pt>
                <c:pt idx="82">
                  <c:v>233.74779832508358</c:v>
                </c:pt>
                <c:pt idx="83">
                  <c:v>233.66438709067788</c:v>
                </c:pt>
                <c:pt idx="84">
                  <c:v>233.58139505891285</c:v>
                </c:pt>
                <c:pt idx="85">
                  <c:v>233.49917176900561</c:v>
                </c:pt>
                <c:pt idx="86">
                  <c:v>233.41765508147481</c:v>
                </c:pt>
                <c:pt idx="87">
                  <c:v>233.33678568015955</c:v>
                </c:pt>
                <c:pt idx="88">
                  <c:v>233.25440187670682</c:v>
                </c:pt>
                <c:pt idx="89">
                  <c:v>233.1746734224925</c:v>
                </c:pt>
                <c:pt idx="90">
                  <c:v>233.095429139489</c:v>
                </c:pt>
                <c:pt idx="91">
                  <c:v>233.01662027240064</c:v>
                </c:pt>
                <c:pt idx="92">
                  <c:v>232.93820048314939</c:v>
                </c:pt>
                <c:pt idx="93">
                  <c:v>232.8601257684783</c:v>
                </c:pt>
                <c:pt idx="94">
                  <c:v>232.78235437794234</c:v>
                </c:pt>
                <c:pt idx="95">
                  <c:v>232.70484673258372</c:v>
                </c:pt>
                <c:pt idx="96">
                  <c:v>232.62553435127765</c:v>
                </c:pt>
                <c:pt idx="97">
                  <c:v>232.54844830388802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4D-484B-B75F-CBFDA06B0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0253'!$M$2</c:f>
          <c:strCache>
            <c:ptCount val="1"/>
            <c:pt idx="0">
              <c:v>NGC 0253</c:v>
            </c:pt>
          </c:strCache>
        </c:strRef>
      </c:tx>
      <c:layout>
        <c:manualLayout>
          <c:xMode val="edge"/>
          <c:yMode val="edge"/>
          <c:x val="0.51639608762038547"/>
          <c:y val="0.694868838822478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0253'!$I$7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0253'!$A$8:$A$36</c:f>
              <c:numCache>
                <c:formatCode>0.00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0253'!$I$8:$I$36</c:f>
              <c:numCache>
                <c:formatCode>0.00</c:formatCode>
                <c:ptCount val="29"/>
                <c:pt idx="0">
                  <c:v>156.13999999999999</c:v>
                </c:pt>
                <c:pt idx="1">
                  <c:v>194.81</c:v>
                </c:pt>
                <c:pt idx="2">
                  <c:v>199.39</c:v>
                </c:pt>
                <c:pt idx="3">
                  <c:v>197.18</c:v>
                </c:pt>
                <c:pt idx="4">
                  <c:v>194.03</c:v>
                </c:pt>
                <c:pt idx="5">
                  <c:v>185.19</c:v>
                </c:pt>
                <c:pt idx="6">
                  <c:v>180.66</c:v>
                </c:pt>
                <c:pt idx="7">
                  <c:v>182.21</c:v>
                </c:pt>
                <c:pt idx="8">
                  <c:v>189.82</c:v>
                </c:pt>
                <c:pt idx="9">
                  <c:v>194.68</c:v>
                </c:pt>
                <c:pt idx="10">
                  <c:v>200.29</c:v>
                </c:pt>
                <c:pt idx="11">
                  <c:v>205.46</c:v>
                </c:pt>
                <c:pt idx="12">
                  <c:v>209.93</c:v>
                </c:pt>
                <c:pt idx="13">
                  <c:v>212.45</c:v>
                </c:pt>
                <c:pt idx="14">
                  <c:v>212.8</c:v>
                </c:pt>
                <c:pt idx="15">
                  <c:v>210.94</c:v>
                </c:pt>
                <c:pt idx="16">
                  <c:v>207.83</c:v>
                </c:pt>
                <c:pt idx="17">
                  <c:v>208.1</c:v>
                </c:pt>
                <c:pt idx="18">
                  <c:v>204.44</c:v>
                </c:pt>
                <c:pt idx="19">
                  <c:v>199.61</c:v>
                </c:pt>
                <c:pt idx="20">
                  <c:v>201.07</c:v>
                </c:pt>
                <c:pt idx="21">
                  <c:v>206.25</c:v>
                </c:pt>
                <c:pt idx="22">
                  <c:v>211.9</c:v>
                </c:pt>
                <c:pt idx="23">
                  <c:v>213.84</c:v>
                </c:pt>
                <c:pt idx="24">
                  <c:v>212.18</c:v>
                </c:pt>
                <c:pt idx="25">
                  <c:v>210.32</c:v>
                </c:pt>
                <c:pt idx="26">
                  <c:v>209.29</c:v>
                </c:pt>
                <c:pt idx="27">
                  <c:v>183.36</c:v>
                </c:pt>
                <c:pt idx="28">
                  <c:v>150.86000000000001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74-4F95-9476-4F77B8FF2B34}"/>
            </c:ext>
          </c:extLst>
        </c:ser>
        <c:ser>
          <c:idx val="1"/>
          <c:order val="1"/>
          <c:tx>
            <c:strRef>
              <c:f>'NGC 0253'!$L$7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0253'!$A$8:$A$36</c:f>
              <c:numCache>
                <c:formatCode>0.00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0253'!$L$8:$L$36</c:f>
              <c:numCache>
                <c:formatCode>0.0</c:formatCode>
                <c:ptCount val="29"/>
                <c:pt idx="0">
                  <c:v>171.75964107418145</c:v>
                </c:pt>
                <c:pt idx="1">
                  <c:v>182.90353340879619</c:v>
                </c:pt>
                <c:pt idx="2">
                  <c:v>186.35535014612068</c:v>
                </c:pt>
                <c:pt idx="3">
                  <c:v>188.0394033614669</c:v>
                </c:pt>
                <c:pt idx="4">
                  <c:v>189.39189587519587</c:v>
                </c:pt>
                <c:pt idx="5">
                  <c:v>190.59717488520758</c:v>
                </c:pt>
                <c:pt idx="6">
                  <c:v>192.04931723966072</c:v>
                </c:pt>
                <c:pt idx="7">
                  <c:v>193.75443399901332</c:v>
                </c:pt>
                <c:pt idx="8">
                  <c:v>195.56376462887522</c:v>
                </c:pt>
                <c:pt idx="9">
                  <c:v>197.57674008841522</c:v>
                </c:pt>
                <c:pt idx="10">
                  <c:v>199.50478121796303</c:v>
                </c:pt>
                <c:pt idx="11">
                  <c:v>201.41838951094016</c:v>
                </c:pt>
                <c:pt idx="12">
                  <c:v>203.18558244602531</c:v>
                </c:pt>
                <c:pt idx="13">
                  <c:v>204.65551390937475</c:v>
                </c:pt>
                <c:pt idx="14">
                  <c:v>205.8287624294187</c:v>
                </c:pt>
                <c:pt idx="15">
                  <c:v>206.55909603845851</c:v>
                </c:pt>
                <c:pt idx="16">
                  <c:v>206.87997721859693</c:v>
                </c:pt>
                <c:pt idx="17">
                  <c:v>206.69570600947267</c:v>
                </c:pt>
                <c:pt idx="18">
                  <c:v>206.0395671574428</c:v>
                </c:pt>
                <c:pt idx="19">
                  <c:v>204.88724429416243</c:v>
                </c:pt>
                <c:pt idx="20">
                  <c:v>203.30291534989647</c:v>
                </c:pt>
                <c:pt idx="21">
                  <c:v>201.34699286660702</c:v>
                </c:pt>
                <c:pt idx="22">
                  <c:v>199.10087839659633</c:v>
                </c:pt>
                <c:pt idx="23">
                  <c:v>196.67294670478265</c:v>
                </c:pt>
                <c:pt idx="24">
                  <c:v>194.24781385467594</c:v>
                </c:pt>
                <c:pt idx="25">
                  <c:v>191.91037453014656</c:v>
                </c:pt>
                <c:pt idx="26">
                  <c:v>189.86970773122303</c:v>
                </c:pt>
                <c:pt idx="27">
                  <c:v>188.25714352763327</c:v>
                </c:pt>
                <c:pt idx="28">
                  <c:v>187.19161155410183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74-4F95-9476-4F77B8FF2B34}"/>
            </c:ext>
          </c:extLst>
        </c:ser>
        <c:ser>
          <c:idx val="2"/>
          <c:order val="2"/>
          <c:tx>
            <c:strRef>
              <c:f>'NGC 0253'!$L$50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0253'!$A$51:$A$79</c:f>
              <c:numCache>
                <c:formatCode>0.00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0253'!$L$51:$L$79</c:f>
              <c:numCache>
                <c:formatCode>0.0</c:formatCode>
                <c:ptCount val="29"/>
                <c:pt idx="0">
                  <c:v>184.15522501374528</c:v>
                </c:pt>
                <c:pt idx="1">
                  <c:v>200.30005201667629</c:v>
                </c:pt>
                <c:pt idx="2">
                  <c:v>205.73652791437814</c:v>
                </c:pt>
                <c:pt idx="3">
                  <c:v>207.83678459002189</c:v>
                </c:pt>
                <c:pt idx="4">
                  <c:v>208.70022240309197</c:v>
                </c:pt>
                <c:pt idx="5">
                  <c:v>208.63064652110288</c:v>
                </c:pt>
                <c:pt idx="6">
                  <c:v>208.41823137482035</c:v>
                </c:pt>
                <c:pt idx="7">
                  <c:v>208.07671902281541</c:v>
                </c:pt>
                <c:pt idx="8">
                  <c:v>207.71811471007754</c:v>
                </c:pt>
                <c:pt idx="9">
                  <c:v>207.34603347055335</c:v>
                </c:pt>
                <c:pt idx="10">
                  <c:v>207.0112695081844</c:v>
                </c:pt>
                <c:pt idx="11">
                  <c:v>206.63456939487281</c:v>
                </c:pt>
                <c:pt idx="12">
                  <c:v>206.2055990657181</c:v>
                </c:pt>
                <c:pt idx="13">
                  <c:v>205.69551692568319</c:v>
                </c:pt>
                <c:pt idx="14">
                  <c:v>205.05168584747918</c:v>
                </c:pt>
                <c:pt idx="15">
                  <c:v>204.25451028812751</c:v>
                </c:pt>
                <c:pt idx="16">
                  <c:v>203.26830290529998</c:v>
                </c:pt>
                <c:pt idx="17">
                  <c:v>202.08450884185305</c:v>
                </c:pt>
                <c:pt idx="18">
                  <c:v>200.70870797408367</c:v>
                </c:pt>
                <c:pt idx="19">
                  <c:v>199.05645511280497</c:v>
                </c:pt>
                <c:pt idx="20">
                  <c:v>197.28993788584171</c:v>
                </c:pt>
                <c:pt idx="21">
                  <c:v>195.35243376756864</c:v>
                </c:pt>
                <c:pt idx="22">
                  <c:v>193.2343202032813</c:v>
                </c:pt>
                <c:pt idx="23">
                  <c:v>190.99578038270576</c:v>
                </c:pt>
                <c:pt idx="24">
                  <c:v>188.70535405345524</c:v>
                </c:pt>
                <c:pt idx="25">
                  <c:v>186.33289227888264</c:v>
                </c:pt>
                <c:pt idx="26">
                  <c:v>183.94674805794997</c:v>
                </c:pt>
                <c:pt idx="27">
                  <c:v>181.53619490046381</c:v>
                </c:pt>
                <c:pt idx="28">
                  <c:v>179.11108373932822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74-4F95-9476-4F77B8FF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  <c:max val="3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0266'!$L$2</c:f>
          <c:strCache>
            <c:ptCount val="1"/>
            <c:pt idx="0">
              <c:v>NGC 0266</c:v>
            </c:pt>
          </c:strCache>
        </c:strRef>
      </c:tx>
      <c:layout>
        <c:manualLayout>
          <c:xMode val="edge"/>
          <c:yMode val="edge"/>
          <c:x val="0.51408847331583551"/>
          <c:y val="0.7041571886847477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0266'!$I$7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0266'!$A$8:$A$25</c:f>
              <c:numCache>
                <c:formatCode>0.00</c:formatCode>
                <c:ptCount val="18"/>
                <c:pt idx="0">
                  <c:v>0.54</c:v>
                </c:pt>
                <c:pt idx="1">
                  <c:v>1.1200000000000001</c:v>
                </c:pt>
                <c:pt idx="2">
                  <c:v>1.77</c:v>
                </c:pt>
                <c:pt idx="3">
                  <c:v>2.48</c:v>
                </c:pt>
                <c:pt idx="4">
                  <c:v>3.27</c:v>
                </c:pt>
                <c:pt idx="5">
                  <c:v>4.13</c:v>
                </c:pt>
                <c:pt idx="6">
                  <c:v>5.08</c:v>
                </c:pt>
                <c:pt idx="7">
                  <c:v>6.12</c:v>
                </c:pt>
                <c:pt idx="8">
                  <c:v>7.27</c:v>
                </c:pt>
                <c:pt idx="9">
                  <c:v>8.5299999999999994</c:v>
                </c:pt>
                <c:pt idx="10">
                  <c:v>9.92</c:v>
                </c:pt>
                <c:pt idx="11">
                  <c:v>11.45</c:v>
                </c:pt>
                <c:pt idx="12">
                  <c:v>13.13</c:v>
                </c:pt>
                <c:pt idx="13">
                  <c:v>14.97</c:v>
                </c:pt>
                <c:pt idx="14">
                  <c:v>17.010000000000002</c:v>
                </c:pt>
                <c:pt idx="15">
                  <c:v>19.239999999999998</c:v>
                </c:pt>
                <c:pt idx="16">
                  <c:v>21.7</c:v>
                </c:pt>
                <c:pt idx="17">
                  <c:v>24.41</c:v>
                </c:pt>
              </c:numCache>
            </c:numRef>
          </c:xVal>
          <c:yVal>
            <c:numRef>
              <c:f>'NGC 0266'!$I$8:$I$25</c:f>
              <c:numCache>
                <c:formatCode>0.00</c:formatCode>
                <c:ptCount val="18"/>
                <c:pt idx="0">
                  <c:v>70.959999999999994</c:v>
                </c:pt>
                <c:pt idx="1">
                  <c:v>205.13</c:v>
                </c:pt>
                <c:pt idx="2">
                  <c:v>216.55</c:v>
                </c:pt>
                <c:pt idx="3">
                  <c:v>229.94</c:v>
                </c:pt>
                <c:pt idx="4">
                  <c:v>208.46</c:v>
                </c:pt>
                <c:pt idx="5">
                  <c:v>187.97</c:v>
                </c:pt>
                <c:pt idx="6">
                  <c:v>209.91</c:v>
                </c:pt>
                <c:pt idx="7">
                  <c:v>262</c:v>
                </c:pt>
                <c:pt idx="8">
                  <c:v>285.36</c:v>
                </c:pt>
                <c:pt idx="9">
                  <c:v>307.98</c:v>
                </c:pt>
                <c:pt idx="10">
                  <c:v>325.05</c:v>
                </c:pt>
                <c:pt idx="11">
                  <c:v>323.85000000000002</c:v>
                </c:pt>
                <c:pt idx="12">
                  <c:v>325.08</c:v>
                </c:pt>
                <c:pt idx="13">
                  <c:v>328.28</c:v>
                </c:pt>
                <c:pt idx="14">
                  <c:v>330.74</c:v>
                </c:pt>
                <c:pt idx="15">
                  <c:v>331.01</c:v>
                </c:pt>
                <c:pt idx="16">
                  <c:v>339.38</c:v>
                </c:pt>
                <c:pt idx="17">
                  <c:v>348.78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D2-4EB7-A7B3-1C8387D51A76}"/>
            </c:ext>
          </c:extLst>
        </c:ser>
        <c:ser>
          <c:idx val="1"/>
          <c:order val="1"/>
          <c:tx>
            <c:strRef>
              <c:f>'NGC 0266'!$K$7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0266'!$A$8:$A$25</c:f>
              <c:numCache>
                <c:formatCode>0.00</c:formatCode>
                <c:ptCount val="18"/>
                <c:pt idx="0">
                  <c:v>0.54</c:v>
                </c:pt>
                <c:pt idx="1">
                  <c:v>1.1200000000000001</c:v>
                </c:pt>
                <c:pt idx="2">
                  <c:v>1.77</c:v>
                </c:pt>
                <c:pt idx="3">
                  <c:v>2.48</c:v>
                </c:pt>
                <c:pt idx="4">
                  <c:v>3.27</c:v>
                </c:pt>
                <c:pt idx="5">
                  <c:v>4.13</c:v>
                </c:pt>
                <c:pt idx="6">
                  <c:v>5.08</c:v>
                </c:pt>
                <c:pt idx="7">
                  <c:v>6.12</c:v>
                </c:pt>
                <c:pt idx="8">
                  <c:v>7.27</c:v>
                </c:pt>
                <c:pt idx="9">
                  <c:v>8.5299999999999994</c:v>
                </c:pt>
                <c:pt idx="10">
                  <c:v>9.92</c:v>
                </c:pt>
                <c:pt idx="11">
                  <c:v>11.45</c:v>
                </c:pt>
                <c:pt idx="12">
                  <c:v>13.13</c:v>
                </c:pt>
                <c:pt idx="13">
                  <c:v>14.97</c:v>
                </c:pt>
                <c:pt idx="14">
                  <c:v>17.010000000000002</c:v>
                </c:pt>
                <c:pt idx="15">
                  <c:v>19.239999999999998</c:v>
                </c:pt>
                <c:pt idx="16">
                  <c:v>21.7</c:v>
                </c:pt>
                <c:pt idx="17">
                  <c:v>24.41</c:v>
                </c:pt>
              </c:numCache>
            </c:numRef>
          </c:xVal>
          <c:yVal>
            <c:numRef>
              <c:f>'NGC 0266'!$K$8:$K$25</c:f>
              <c:numCache>
                <c:formatCode>0.0</c:formatCode>
                <c:ptCount val="18"/>
                <c:pt idx="0">
                  <c:v>121.34440613888901</c:v>
                </c:pt>
                <c:pt idx="1">
                  <c:v>155.91542325837611</c:v>
                </c:pt>
                <c:pt idx="2">
                  <c:v>181.23657749740011</c:v>
                </c:pt>
                <c:pt idx="3">
                  <c:v>201.89508042968203</c:v>
                </c:pt>
                <c:pt idx="4">
                  <c:v>219.98688586167395</c:v>
                </c:pt>
                <c:pt idx="5">
                  <c:v>235.97446023214053</c:v>
                </c:pt>
                <c:pt idx="6">
                  <c:v>250.67422321877052</c:v>
                </c:pt>
                <c:pt idx="7">
                  <c:v>263.85079080568966</c:v>
                </c:pt>
                <c:pt idx="8">
                  <c:v>276.21982226061181</c:v>
                </c:pt>
                <c:pt idx="9">
                  <c:v>287.36590014857387</c:v>
                </c:pt>
                <c:pt idx="10">
                  <c:v>297.63057248964651</c:v>
                </c:pt>
                <c:pt idx="11">
                  <c:v>306.77394423934169</c:v>
                </c:pt>
                <c:pt idx="12">
                  <c:v>314.9612196630095</c:v>
                </c:pt>
                <c:pt idx="13">
                  <c:v>322.07569184116301</c:v>
                </c:pt>
                <c:pt idx="14">
                  <c:v>328.20312487448871</c:v>
                </c:pt>
                <c:pt idx="15">
                  <c:v>333.31566815940118</c:v>
                </c:pt>
                <c:pt idx="16">
                  <c:v>337.49629572960879</c:v>
                </c:pt>
                <c:pt idx="17">
                  <c:v>340.80051752875778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D2-4EB7-A7B3-1C8387D51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0266'!$K$39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0266'!$A$40:$A$57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0.54</c:v>
                      </c:pt>
                      <c:pt idx="1">
                        <c:v>1.1200000000000001</c:v>
                      </c:pt>
                      <c:pt idx="2">
                        <c:v>1.77</c:v>
                      </c:pt>
                      <c:pt idx="3">
                        <c:v>2.48</c:v>
                      </c:pt>
                      <c:pt idx="4">
                        <c:v>3.27</c:v>
                      </c:pt>
                      <c:pt idx="5">
                        <c:v>4.13</c:v>
                      </c:pt>
                      <c:pt idx="6">
                        <c:v>5.08</c:v>
                      </c:pt>
                      <c:pt idx="7">
                        <c:v>6.12</c:v>
                      </c:pt>
                      <c:pt idx="8">
                        <c:v>7.27</c:v>
                      </c:pt>
                      <c:pt idx="9">
                        <c:v>8.5299999999999994</c:v>
                      </c:pt>
                      <c:pt idx="10">
                        <c:v>9.92</c:v>
                      </c:pt>
                      <c:pt idx="11">
                        <c:v>11.45</c:v>
                      </c:pt>
                      <c:pt idx="12">
                        <c:v>13.13</c:v>
                      </c:pt>
                      <c:pt idx="13">
                        <c:v>14.97</c:v>
                      </c:pt>
                      <c:pt idx="14">
                        <c:v>17.010000000000002</c:v>
                      </c:pt>
                      <c:pt idx="15">
                        <c:v>19.239999999999998</c:v>
                      </c:pt>
                      <c:pt idx="16">
                        <c:v>21.7</c:v>
                      </c:pt>
                      <c:pt idx="17">
                        <c:v>24.41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0266'!$K$40:$K$57</c15:sqref>
                        </c15:formulaRef>
                      </c:ext>
                    </c:extLst>
                    <c:numCache>
                      <c:formatCode>0.0</c:formatCode>
                      <c:ptCount val="18"/>
                      <c:pt idx="0">
                        <c:v>154.37571483307207</c:v>
                      </c:pt>
                      <c:pt idx="1">
                        <c:v>179.26962435560665</c:v>
                      </c:pt>
                      <c:pt idx="2">
                        <c:v>198.40727632563954</c:v>
                      </c:pt>
                      <c:pt idx="3">
                        <c:v>214.84559321025716</c:v>
                      </c:pt>
                      <c:pt idx="4">
                        <c:v>229.81052556307955</c:v>
                      </c:pt>
                      <c:pt idx="5">
                        <c:v>243.22856892362444</c:v>
                      </c:pt>
                      <c:pt idx="6">
                        <c:v>255.42497804214162</c:v>
                      </c:pt>
                      <c:pt idx="7">
                        <c:v>266.34363607157587</c:v>
                      </c:pt>
                      <c:pt idx="8">
                        <c:v>276.1221331347142</c:v>
                      </c:pt>
                      <c:pt idx="9">
                        <c:v>284.70646974885113</c:v>
                      </c:pt>
                      <c:pt idx="10">
                        <c:v>292.21061504122821</c:v>
                      </c:pt>
                      <c:pt idx="11">
                        <c:v>298.68252371861024</c:v>
                      </c:pt>
                      <c:pt idx="12">
                        <c:v>304.20495299247062</c:v>
                      </c:pt>
                      <c:pt idx="13">
                        <c:v>308.88392006280213</c:v>
                      </c:pt>
                      <c:pt idx="14">
                        <c:v>312.93174444958078</c:v>
                      </c:pt>
                      <c:pt idx="15">
                        <c:v>316.42713746161832</c:v>
                      </c:pt>
                      <c:pt idx="16">
                        <c:v>319.5757435831307</c:v>
                      </c:pt>
                      <c:pt idx="17">
                        <c:v>322.52510752640598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7D2-4EB7-A7B3-1C8387D51A76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0342'!$L$2</c:f>
          <c:strCache>
            <c:ptCount val="1"/>
            <c:pt idx="0">
              <c:v>NGC 0342 </c:v>
            </c:pt>
          </c:strCache>
        </c:strRef>
      </c:tx>
      <c:layout>
        <c:manualLayout>
          <c:xMode val="edge"/>
          <c:yMode val="edge"/>
          <c:x val="0.52508102179585492"/>
          <c:y val="0.687044577353491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0342'!$I$7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0342'!$A$8:$A$39</c:f>
              <c:numCache>
                <c:formatCode>General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0342'!$I$8:$I$39</c:f>
              <c:numCache>
                <c:formatCode>General</c:formatCode>
                <c:ptCount val="32"/>
                <c:pt idx="0">
                  <c:v>114.58</c:v>
                </c:pt>
                <c:pt idx="1">
                  <c:v>130.28</c:v>
                </c:pt>
                <c:pt idx="2">
                  <c:v>132.77000000000001</c:v>
                </c:pt>
                <c:pt idx="3">
                  <c:v>135.07</c:v>
                </c:pt>
                <c:pt idx="4">
                  <c:v>140.83000000000001</c:v>
                </c:pt>
                <c:pt idx="5">
                  <c:v>152.06</c:v>
                </c:pt>
                <c:pt idx="6">
                  <c:v>162.63999999999999</c:v>
                </c:pt>
                <c:pt idx="7">
                  <c:v>168.68</c:v>
                </c:pt>
                <c:pt idx="8">
                  <c:v>171.57</c:v>
                </c:pt>
                <c:pt idx="9">
                  <c:v>173.31</c:v>
                </c:pt>
                <c:pt idx="10">
                  <c:v>175.28</c:v>
                </c:pt>
                <c:pt idx="11">
                  <c:v>176.81</c:v>
                </c:pt>
                <c:pt idx="12">
                  <c:v>178.75</c:v>
                </c:pt>
                <c:pt idx="13">
                  <c:v>181.15</c:v>
                </c:pt>
                <c:pt idx="14">
                  <c:v>183.68</c:v>
                </c:pt>
                <c:pt idx="15">
                  <c:v>185.27</c:v>
                </c:pt>
                <c:pt idx="16">
                  <c:v>187.92</c:v>
                </c:pt>
                <c:pt idx="17">
                  <c:v>190.29</c:v>
                </c:pt>
                <c:pt idx="18">
                  <c:v>192.88</c:v>
                </c:pt>
                <c:pt idx="19">
                  <c:v>196.34</c:v>
                </c:pt>
                <c:pt idx="20">
                  <c:v>198.93</c:v>
                </c:pt>
                <c:pt idx="21">
                  <c:v>198.97</c:v>
                </c:pt>
                <c:pt idx="22">
                  <c:v>196.05</c:v>
                </c:pt>
                <c:pt idx="23">
                  <c:v>192.57</c:v>
                </c:pt>
                <c:pt idx="24">
                  <c:v>190.61</c:v>
                </c:pt>
                <c:pt idx="25">
                  <c:v>191.01</c:v>
                </c:pt>
                <c:pt idx="26">
                  <c:v>191.99</c:v>
                </c:pt>
                <c:pt idx="27">
                  <c:v>192.84</c:v>
                </c:pt>
                <c:pt idx="28">
                  <c:v>192.67</c:v>
                </c:pt>
                <c:pt idx="29">
                  <c:v>191.7</c:v>
                </c:pt>
                <c:pt idx="30">
                  <c:v>190.8</c:v>
                </c:pt>
                <c:pt idx="31">
                  <c:v>189.94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265-4F14-B029-3E09FA086AEB}"/>
            </c:ext>
          </c:extLst>
        </c:ser>
        <c:ser>
          <c:idx val="1"/>
          <c:order val="1"/>
          <c:tx>
            <c:strRef>
              <c:f>'NGC 0342'!$K$7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0342'!$A$8:$A$39</c:f>
              <c:numCache>
                <c:formatCode>General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0342'!$K$8:$K$39</c:f>
              <c:numCache>
                <c:formatCode>0.0</c:formatCode>
                <c:ptCount val="32"/>
                <c:pt idx="0">
                  <c:v>112.13227257674434</c:v>
                </c:pt>
                <c:pt idx="1">
                  <c:v>127.02733108097395</c:v>
                </c:pt>
                <c:pt idx="2">
                  <c:v>135.39803374929187</c:v>
                </c:pt>
                <c:pt idx="3">
                  <c:v>141.64793289085134</c:v>
                </c:pt>
                <c:pt idx="4">
                  <c:v>147.16485064116097</c:v>
                </c:pt>
                <c:pt idx="5">
                  <c:v>151.75050095411706</c:v>
                </c:pt>
                <c:pt idx="6">
                  <c:v>156.33163148859478</c:v>
                </c:pt>
                <c:pt idx="7">
                  <c:v>160.76405917739362</c:v>
                </c:pt>
                <c:pt idx="8">
                  <c:v>164.89282878832952</c:v>
                </c:pt>
                <c:pt idx="9">
                  <c:v>169.06585386479767</c:v>
                </c:pt>
                <c:pt idx="10">
                  <c:v>172.83458841388864</c:v>
                </c:pt>
                <c:pt idx="11">
                  <c:v>176.47038287553983</c:v>
                </c:pt>
                <c:pt idx="12">
                  <c:v>179.84410667795703</c:v>
                </c:pt>
                <c:pt idx="13">
                  <c:v>182.78138433630409</c:v>
                </c:pt>
                <c:pt idx="14">
                  <c:v>185.39620332722535</c:v>
                </c:pt>
                <c:pt idx="15">
                  <c:v>187.53220377294531</c:v>
                </c:pt>
                <c:pt idx="16">
                  <c:v>189.20216121101996</c:v>
                </c:pt>
                <c:pt idx="17">
                  <c:v>190.36731709312835</c:v>
                </c:pt>
                <c:pt idx="18">
                  <c:v>191.0244491328572</c:v>
                </c:pt>
                <c:pt idx="19">
                  <c:v>191.19867571803684</c:v>
                </c:pt>
                <c:pt idx="20">
                  <c:v>190.89407855336086</c:v>
                </c:pt>
                <c:pt idx="21">
                  <c:v>190.2176609682495</c:v>
                </c:pt>
                <c:pt idx="22">
                  <c:v>189.18894346422522</c:v>
                </c:pt>
                <c:pt idx="23">
                  <c:v>187.92785757391954</c:v>
                </c:pt>
                <c:pt idx="24">
                  <c:v>186.57611959819374</c:v>
                </c:pt>
                <c:pt idx="25">
                  <c:v>185.23462918335034</c:v>
                </c:pt>
                <c:pt idx="26">
                  <c:v>184.07348714782495</c:v>
                </c:pt>
                <c:pt idx="27">
                  <c:v>183.22377141206121</c:v>
                </c:pt>
                <c:pt idx="28">
                  <c:v>182.8245780506349</c:v>
                </c:pt>
                <c:pt idx="29">
                  <c:v>182.99730463944536</c:v>
                </c:pt>
                <c:pt idx="30">
                  <c:v>183.84153501199722</c:v>
                </c:pt>
                <c:pt idx="31">
                  <c:v>185.4329604037666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265-4F14-B029-3E09FA086AEB}"/>
            </c:ext>
          </c:extLst>
        </c:ser>
        <c:ser>
          <c:idx val="2"/>
          <c:order val="2"/>
          <c:tx>
            <c:strRef>
              <c:f>'NGC 0342'!$K$53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0342'!$A$54:$A$85</c:f>
              <c:numCache>
                <c:formatCode>General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0342'!$K$54:$K$85</c:f>
              <c:numCache>
                <c:formatCode>0.0</c:formatCode>
                <c:ptCount val="32"/>
                <c:pt idx="0">
                  <c:v>135.24587036972923</c:v>
                </c:pt>
                <c:pt idx="1">
                  <c:v>145.78846531676106</c:v>
                </c:pt>
                <c:pt idx="2">
                  <c:v>150.23529732314725</c:v>
                </c:pt>
                <c:pt idx="3">
                  <c:v>153.2598190087063</c:v>
                </c:pt>
                <c:pt idx="4">
                  <c:v>156.01161748453518</c:v>
                </c:pt>
                <c:pt idx="5">
                  <c:v>158.44155322268281</c:v>
                </c:pt>
                <c:pt idx="6">
                  <c:v>160.9813020606349</c:v>
                </c:pt>
                <c:pt idx="7">
                  <c:v>163.64973470516827</c:v>
                </c:pt>
                <c:pt idx="8">
                  <c:v>166.23149322034445</c:v>
                </c:pt>
                <c:pt idx="9">
                  <c:v>168.92337809597925</c:v>
                </c:pt>
                <c:pt idx="10">
                  <c:v>171.40986751627847</c:v>
                </c:pt>
                <c:pt idx="11">
                  <c:v>173.84334359047443</c:v>
                </c:pt>
                <c:pt idx="12">
                  <c:v>176.13674881508788</c:v>
                </c:pt>
                <c:pt idx="13">
                  <c:v>178.1649782274566</c:v>
                </c:pt>
                <c:pt idx="14">
                  <c:v>180.01967054346935</c:v>
                </c:pt>
                <c:pt idx="15">
                  <c:v>181.60234447471018</c:v>
                </c:pt>
                <c:pt idx="16">
                  <c:v>182.9633570713375</c:v>
                </c:pt>
                <c:pt idx="17">
                  <c:v>184.10590250266932</c:v>
                </c:pt>
                <c:pt idx="18">
                  <c:v>185.04745489494758</c:v>
                </c:pt>
                <c:pt idx="19">
                  <c:v>185.83743934082941</c:v>
                </c:pt>
                <c:pt idx="20">
                  <c:v>186.48624693020736</c:v>
                </c:pt>
                <c:pt idx="21">
                  <c:v>187.03725903782924</c:v>
                </c:pt>
                <c:pt idx="22">
                  <c:v>187.52428010881599</c:v>
                </c:pt>
                <c:pt idx="23">
                  <c:v>187.97180104192134</c:v>
                </c:pt>
                <c:pt idx="24">
                  <c:v>188.38476402611869</c:v>
                </c:pt>
                <c:pt idx="25">
                  <c:v>188.7715532875504</c:v>
                </c:pt>
                <c:pt idx="26">
                  <c:v>189.1202992609804</c:v>
                </c:pt>
                <c:pt idx="27">
                  <c:v>189.42598402761232</c:v>
                </c:pt>
                <c:pt idx="28">
                  <c:v>189.65684131293361</c:v>
                </c:pt>
                <c:pt idx="29">
                  <c:v>189.78688244678995</c:v>
                </c:pt>
                <c:pt idx="30">
                  <c:v>189.79329859481606</c:v>
                </c:pt>
                <c:pt idx="31">
                  <c:v>189.64843079607422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265-4F14-B029-3E09FA086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0598'!$L$2</c:f>
          <c:strCache>
            <c:ptCount val="1"/>
            <c:pt idx="0">
              <c:v>NGC 0598</c:v>
            </c:pt>
          </c:strCache>
        </c:strRef>
      </c:tx>
      <c:layout>
        <c:manualLayout>
          <c:xMode val="edge"/>
          <c:yMode val="edge"/>
          <c:x val="0.52454550883342477"/>
          <c:y val="0.6939289880431611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0598'!$I$7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0598'!$A$8:$A$37</c:f>
              <c:numCache>
                <c:formatCode>General</c:formatCode>
                <c:ptCount val="30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</c:numCache>
            </c:numRef>
          </c:xVal>
          <c:yVal>
            <c:numRef>
              <c:f>'NGC 0598'!$I$8:$I$37</c:f>
              <c:numCache>
                <c:formatCode>General</c:formatCode>
                <c:ptCount val="30"/>
                <c:pt idx="0">
                  <c:v>17.04</c:v>
                </c:pt>
                <c:pt idx="1">
                  <c:v>24.09</c:v>
                </c:pt>
                <c:pt idx="2">
                  <c:v>29.18</c:v>
                </c:pt>
                <c:pt idx="3">
                  <c:v>35.93</c:v>
                </c:pt>
                <c:pt idx="4">
                  <c:v>44.22</c:v>
                </c:pt>
                <c:pt idx="5">
                  <c:v>51.7</c:v>
                </c:pt>
                <c:pt idx="6">
                  <c:v>57.54</c:v>
                </c:pt>
                <c:pt idx="7">
                  <c:v>61.85</c:v>
                </c:pt>
                <c:pt idx="8">
                  <c:v>67.599999999999994</c:v>
                </c:pt>
                <c:pt idx="9">
                  <c:v>73.37</c:v>
                </c:pt>
                <c:pt idx="10">
                  <c:v>78.36</c:v>
                </c:pt>
                <c:pt idx="11">
                  <c:v>82.8</c:v>
                </c:pt>
                <c:pt idx="12">
                  <c:v>86.74</c:v>
                </c:pt>
                <c:pt idx="13">
                  <c:v>90.42</c:v>
                </c:pt>
                <c:pt idx="14">
                  <c:v>94</c:v>
                </c:pt>
                <c:pt idx="15">
                  <c:v>96.17</c:v>
                </c:pt>
                <c:pt idx="16">
                  <c:v>97.75</c:v>
                </c:pt>
                <c:pt idx="17">
                  <c:v>100.52</c:v>
                </c:pt>
                <c:pt idx="18">
                  <c:v>102.27</c:v>
                </c:pt>
                <c:pt idx="19">
                  <c:v>101.96</c:v>
                </c:pt>
                <c:pt idx="20">
                  <c:v>102.31</c:v>
                </c:pt>
                <c:pt idx="21">
                  <c:v>104.61</c:v>
                </c:pt>
                <c:pt idx="22">
                  <c:v>106.82</c:v>
                </c:pt>
                <c:pt idx="23">
                  <c:v>113.68</c:v>
                </c:pt>
                <c:pt idx="24">
                  <c:v>118.36</c:v>
                </c:pt>
                <c:pt idx="25">
                  <c:v>118.44</c:v>
                </c:pt>
                <c:pt idx="26">
                  <c:v>118.88</c:v>
                </c:pt>
                <c:pt idx="27">
                  <c:v>120.98</c:v>
                </c:pt>
                <c:pt idx="28">
                  <c:v>126.01</c:v>
                </c:pt>
                <c:pt idx="29">
                  <c:v>132.01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1B-4BFD-9B20-031F4505CC2B}"/>
            </c:ext>
          </c:extLst>
        </c:ser>
        <c:ser>
          <c:idx val="1"/>
          <c:order val="1"/>
          <c:tx>
            <c:strRef>
              <c:f>'NGC 0598'!$K$7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0598'!$A$8:$A$37</c:f>
              <c:numCache>
                <c:formatCode>General</c:formatCode>
                <c:ptCount val="30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</c:numCache>
            </c:numRef>
          </c:xVal>
          <c:yVal>
            <c:numRef>
              <c:f>'NGC 0598'!$K$8:$K$37</c:f>
              <c:numCache>
                <c:formatCode>0.0</c:formatCode>
                <c:ptCount val="30"/>
                <c:pt idx="0">
                  <c:v>20.833170632767867</c:v>
                </c:pt>
                <c:pt idx="1">
                  <c:v>29.79814004441975</c:v>
                </c:pt>
                <c:pt idx="2">
                  <c:v>36.811877985644095</c:v>
                </c:pt>
                <c:pt idx="3">
                  <c:v>42.769938244706076</c:v>
                </c:pt>
                <c:pt idx="4">
                  <c:v>48.368820437805077</c:v>
                </c:pt>
                <c:pt idx="5">
                  <c:v>52.988727777635205</c:v>
                </c:pt>
                <c:pt idx="6">
                  <c:v>57.416539630704698</c:v>
                </c:pt>
                <c:pt idx="7">
                  <c:v>61.595675639798721</c:v>
                </c:pt>
                <c:pt idx="8">
                  <c:v>65.313996670193291</c:v>
                </c:pt>
                <c:pt idx="9">
                  <c:v>68.944671705949247</c:v>
                </c:pt>
                <c:pt idx="10">
                  <c:v>72.14768684719273</c:v>
                </c:pt>
                <c:pt idx="11">
                  <c:v>75.21180412673985</c:v>
                </c:pt>
                <c:pt idx="12">
                  <c:v>78.100377373913716</c:v>
                </c:pt>
                <c:pt idx="13">
                  <c:v>80.72544700640438</c:v>
                </c:pt>
                <c:pt idx="14">
                  <c:v>83.265862691336721</c:v>
                </c:pt>
                <c:pt idx="15">
                  <c:v>85.657336392830132</c:v>
                </c:pt>
                <c:pt idx="16">
                  <c:v>87.99041119149328</c:v>
                </c:pt>
                <c:pt idx="17">
                  <c:v>90.294629716401417</c:v>
                </c:pt>
                <c:pt idx="18">
                  <c:v>92.609190653592307</c:v>
                </c:pt>
                <c:pt idx="19">
                  <c:v>95.061947637023223</c:v>
                </c:pt>
                <c:pt idx="20">
                  <c:v>97.643792740478887</c:v>
                </c:pt>
                <c:pt idx="21">
                  <c:v>100.43055996556612</c:v>
                </c:pt>
                <c:pt idx="22">
                  <c:v>103.48867063934038</c:v>
                </c:pt>
                <c:pt idx="23">
                  <c:v>106.87453840206294</c:v>
                </c:pt>
                <c:pt idx="24">
                  <c:v>110.5504718395793</c:v>
                </c:pt>
                <c:pt idx="25">
                  <c:v>114.63174337482062</c:v>
                </c:pt>
                <c:pt idx="26">
                  <c:v>119.05704090624494</c:v>
                </c:pt>
                <c:pt idx="27">
                  <c:v>123.87845226813741</c:v>
                </c:pt>
                <c:pt idx="28">
                  <c:v>129.09804093852372</c:v>
                </c:pt>
                <c:pt idx="29">
                  <c:v>134.71122954355056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1B-4BFD-9B20-031F4505CC2B}"/>
            </c:ext>
          </c:extLst>
        </c:ser>
        <c:ser>
          <c:idx val="2"/>
          <c:order val="2"/>
          <c:tx>
            <c:strRef>
              <c:f>'NGC 0598'!$K$51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0598'!$A$52:$A$81</c:f>
              <c:numCache>
                <c:formatCode>General</c:formatCode>
                <c:ptCount val="30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</c:numCache>
            </c:numRef>
          </c:xVal>
          <c:yVal>
            <c:numRef>
              <c:f>'NGC 0598'!$K$52:$K$81</c:f>
              <c:numCache>
                <c:formatCode>0.0</c:formatCode>
                <c:ptCount val="30"/>
                <c:pt idx="0">
                  <c:v>23.823142068758258</c:v>
                </c:pt>
                <c:pt idx="1">
                  <c:v>32.488716343048488</c:v>
                </c:pt>
                <c:pt idx="2">
                  <c:v>39.198226406832525</c:v>
                </c:pt>
                <c:pt idx="3">
                  <c:v>44.986280566217083</c:v>
                </c:pt>
                <c:pt idx="4">
                  <c:v>50.525218448016417</c:v>
                </c:pt>
                <c:pt idx="5">
                  <c:v>55.219601928216228</c:v>
                </c:pt>
                <c:pt idx="6">
                  <c:v>59.861930960619745</c:v>
                </c:pt>
                <c:pt idx="7">
                  <c:v>64.399689006584808</c:v>
                </c:pt>
                <c:pt idx="8">
                  <c:v>68.601479688712857</c:v>
                </c:pt>
                <c:pt idx="9">
                  <c:v>72.888351059651555</c:v>
                </c:pt>
                <c:pt idx="10">
                  <c:v>76.826176397072388</c:v>
                </c:pt>
                <c:pt idx="11">
                  <c:v>80.759799712509007</c:v>
                </c:pt>
                <c:pt idx="12">
                  <c:v>84.635223842639405</c:v>
                </c:pt>
                <c:pt idx="13">
                  <c:v>88.259916564090929</c:v>
                </c:pt>
                <c:pt idx="14">
                  <c:v>91.855544940190526</c:v>
                </c:pt>
                <c:pt idx="15">
                  <c:v>95.258490870714525</c:v>
                </c:pt>
                <c:pt idx="16">
                  <c:v>98.52675298633801</c:v>
                </c:pt>
                <c:pt idx="17">
                  <c:v>101.61439283197069</c:v>
                </c:pt>
                <c:pt idx="18">
                  <c:v>104.50068942481454</c:v>
                </c:pt>
                <c:pt idx="19">
                  <c:v>107.24716080858566</c:v>
                </c:pt>
                <c:pt idx="20">
                  <c:v>109.76806605563712</c:v>
                </c:pt>
                <c:pt idx="21">
                  <c:v>112.07737788740934</c:v>
                </c:pt>
                <c:pt idx="22">
                  <c:v>114.17462046850326</c:v>
                </c:pt>
                <c:pt idx="23">
                  <c:v>116.05157771861074</c:v>
                </c:pt>
                <c:pt idx="24">
                  <c:v>117.66414259664965</c:v>
                </c:pt>
                <c:pt idx="25">
                  <c:v>119.04667268362694</c:v>
                </c:pt>
                <c:pt idx="26">
                  <c:v>120.16493485084705</c:v>
                </c:pt>
                <c:pt idx="27">
                  <c:v>121.03260324911568</c:v>
                </c:pt>
                <c:pt idx="28">
                  <c:v>121.64625929136328</c:v>
                </c:pt>
                <c:pt idx="29">
                  <c:v>122.00831618881716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1B-4BFD-9B20-031F4505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0660'!$L$2</c:f>
          <c:strCache>
            <c:ptCount val="1"/>
            <c:pt idx="0">
              <c:v>NGC 0660</c:v>
            </c:pt>
          </c:strCache>
        </c:strRef>
      </c:tx>
      <c:layout>
        <c:manualLayout>
          <c:xMode val="edge"/>
          <c:yMode val="edge"/>
          <c:x val="0.52308820056944594"/>
          <c:y val="0.695240874072818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0660'!$I$7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0660'!$A$8:$A$473</c:f>
              <c:numCache>
                <c:formatCode>0.00</c:formatCode>
                <c:ptCount val="466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</c:numCache>
            </c:numRef>
          </c:xVal>
          <c:yVal>
            <c:numRef>
              <c:f>'NGC 0660'!$I$8:$I$473</c:f>
              <c:numCache>
                <c:formatCode>0.00</c:formatCode>
                <c:ptCount val="466"/>
                <c:pt idx="0">
                  <c:v>178.68028000000001</c:v>
                </c:pt>
                <c:pt idx="1">
                  <c:v>180.02099999999999</c:v>
                </c:pt>
                <c:pt idx="2">
                  <c:v>182.22864000000001</c:v>
                </c:pt>
                <c:pt idx="3">
                  <c:v>184.56180000000001</c:v>
                </c:pt>
                <c:pt idx="4">
                  <c:v>186.39711</c:v>
                </c:pt>
                <c:pt idx="5">
                  <c:v>187.53702999999999</c:v>
                </c:pt>
                <c:pt idx="6">
                  <c:v>188.07404</c:v>
                </c:pt>
                <c:pt idx="7">
                  <c:v>188.23921000000001</c:v>
                </c:pt>
                <c:pt idx="8">
                  <c:v>188.14259000000001</c:v>
                </c:pt>
                <c:pt idx="9">
                  <c:v>187.81952999999999</c:v>
                </c:pt>
                <c:pt idx="10">
                  <c:v>187.33926</c:v>
                </c:pt>
                <c:pt idx="11">
                  <c:v>186.72092000000001</c:v>
                </c:pt>
                <c:pt idx="12">
                  <c:v>185.98221000000001</c:v>
                </c:pt>
                <c:pt idx="13">
                  <c:v>185.19346999999999</c:v>
                </c:pt>
                <c:pt idx="14">
                  <c:v>184.40735000000001</c:v>
                </c:pt>
                <c:pt idx="15">
                  <c:v>183.61879999999999</c:v>
                </c:pt>
                <c:pt idx="16">
                  <c:v>182.77207999999999</c:v>
                </c:pt>
                <c:pt idx="17">
                  <c:v>181.79254</c:v>
                </c:pt>
                <c:pt idx="18">
                  <c:v>180.59316999999999</c:v>
                </c:pt>
                <c:pt idx="19">
                  <c:v>179.02986000000001</c:v>
                </c:pt>
                <c:pt idx="20">
                  <c:v>177.29918000000001</c:v>
                </c:pt>
                <c:pt idx="21">
                  <c:v>175.88016999999999</c:v>
                </c:pt>
                <c:pt idx="22">
                  <c:v>174.75614999999999</c:v>
                </c:pt>
                <c:pt idx="23">
                  <c:v>173.67637999999999</c:v>
                </c:pt>
                <c:pt idx="24">
                  <c:v>172.60448</c:v>
                </c:pt>
                <c:pt idx="25">
                  <c:v>171.56795</c:v>
                </c:pt>
                <c:pt idx="26">
                  <c:v>170.57864000000001</c:v>
                </c:pt>
                <c:pt idx="27">
                  <c:v>169.60899000000001</c:v>
                </c:pt>
                <c:pt idx="28">
                  <c:v>168.77646999999999</c:v>
                </c:pt>
                <c:pt idx="29">
                  <c:v>167.98074</c:v>
                </c:pt>
                <c:pt idx="30">
                  <c:v>167.24827999999999</c:v>
                </c:pt>
                <c:pt idx="31">
                  <c:v>166.59135000000001</c:v>
                </c:pt>
                <c:pt idx="32">
                  <c:v>166.01147</c:v>
                </c:pt>
                <c:pt idx="33">
                  <c:v>165.50563</c:v>
                </c:pt>
                <c:pt idx="34">
                  <c:v>165.07001</c:v>
                </c:pt>
                <c:pt idx="35">
                  <c:v>164.69978</c:v>
                </c:pt>
                <c:pt idx="36">
                  <c:v>164.38835</c:v>
                </c:pt>
                <c:pt idx="37">
                  <c:v>164.12798000000001</c:v>
                </c:pt>
                <c:pt idx="38">
                  <c:v>163.91131999999999</c:v>
                </c:pt>
                <c:pt idx="39">
                  <c:v>163.73177000000001</c:v>
                </c:pt>
                <c:pt idx="40">
                  <c:v>163.58249000000001</c:v>
                </c:pt>
                <c:pt idx="41">
                  <c:v>163.45569</c:v>
                </c:pt>
                <c:pt idx="42">
                  <c:v>163.34338</c:v>
                </c:pt>
                <c:pt idx="43">
                  <c:v>163.23898</c:v>
                </c:pt>
                <c:pt idx="44">
                  <c:v>163.13811000000001</c:v>
                </c:pt>
                <c:pt idx="45">
                  <c:v>163.0385</c:v>
                </c:pt>
                <c:pt idx="46">
                  <c:v>162.93934999999999</c:v>
                </c:pt>
                <c:pt idx="47">
                  <c:v>162.84062</c:v>
                </c:pt>
                <c:pt idx="48">
                  <c:v>162.74297000000001</c:v>
                </c:pt>
                <c:pt idx="49">
                  <c:v>162.64788999999999</c:v>
                </c:pt>
                <c:pt idx="50">
                  <c:v>162.55788999999999</c:v>
                </c:pt>
                <c:pt idx="51">
                  <c:v>162.47601</c:v>
                </c:pt>
                <c:pt idx="52">
                  <c:v>162.40483</c:v>
                </c:pt>
                <c:pt idx="53">
                  <c:v>162.34538000000001</c:v>
                </c:pt>
                <c:pt idx="54">
                  <c:v>162.29666</c:v>
                </c:pt>
                <c:pt idx="55">
                  <c:v>162.25615999999999</c:v>
                </c:pt>
                <c:pt idx="56">
                  <c:v>162.22092000000001</c:v>
                </c:pt>
                <c:pt idx="57">
                  <c:v>162.18796</c:v>
                </c:pt>
                <c:pt idx="58">
                  <c:v>162.15446</c:v>
                </c:pt>
                <c:pt idx="59">
                  <c:v>162.11714000000001</c:v>
                </c:pt>
                <c:pt idx="60">
                  <c:v>162.07239999999999</c:v>
                </c:pt>
                <c:pt idx="61">
                  <c:v>162.01697999999999</c:v>
                </c:pt>
                <c:pt idx="62">
                  <c:v>161.94883999999999</c:v>
                </c:pt>
                <c:pt idx="63">
                  <c:v>161.86749</c:v>
                </c:pt>
                <c:pt idx="64">
                  <c:v>161.77345</c:v>
                </c:pt>
                <c:pt idx="65">
                  <c:v>161.66747000000001</c:v>
                </c:pt>
                <c:pt idx="66">
                  <c:v>161.55016000000001</c:v>
                </c:pt>
                <c:pt idx="67">
                  <c:v>161.42213000000001</c:v>
                </c:pt>
                <c:pt idx="68">
                  <c:v>161.28399999999999</c:v>
                </c:pt>
                <c:pt idx="69">
                  <c:v>161.13631000000001</c:v>
                </c:pt>
                <c:pt idx="70">
                  <c:v>160.97954999999999</c:v>
                </c:pt>
                <c:pt idx="71">
                  <c:v>160.81422000000001</c:v>
                </c:pt>
                <c:pt idx="72">
                  <c:v>160.64104</c:v>
                </c:pt>
                <c:pt idx="73">
                  <c:v>160.46093999999999</c:v>
                </c:pt>
                <c:pt idx="74">
                  <c:v>160.27498</c:v>
                </c:pt>
                <c:pt idx="75">
                  <c:v>160.08430000000001</c:v>
                </c:pt>
                <c:pt idx="76">
                  <c:v>159.8905</c:v>
                </c:pt>
                <c:pt idx="77">
                  <c:v>159.69592</c:v>
                </c:pt>
                <c:pt idx="78">
                  <c:v>159.50349</c:v>
                </c:pt>
                <c:pt idx="79">
                  <c:v>159.31614999999999</c:v>
                </c:pt>
                <c:pt idx="80">
                  <c:v>159.13624999999999</c:v>
                </c:pt>
                <c:pt idx="81">
                  <c:v>158.96557999999999</c:v>
                </c:pt>
                <c:pt idx="82">
                  <c:v>158.80553</c:v>
                </c:pt>
                <c:pt idx="83">
                  <c:v>158.65744000000001</c:v>
                </c:pt>
                <c:pt idx="84">
                  <c:v>158.52234000000001</c:v>
                </c:pt>
                <c:pt idx="85">
                  <c:v>158.40033</c:v>
                </c:pt>
                <c:pt idx="86">
                  <c:v>158.29051000000001</c:v>
                </c:pt>
                <c:pt idx="87">
                  <c:v>158.19132999999999</c:v>
                </c:pt>
                <c:pt idx="88">
                  <c:v>158.10109</c:v>
                </c:pt>
                <c:pt idx="89">
                  <c:v>158.01791</c:v>
                </c:pt>
                <c:pt idx="90">
                  <c:v>157.93943999999999</c:v>
                </c:pt>
                <c:pt idx="91">
                  <c:v>157.86272</c:v>
                </c:pt>
                <c:pt idx="92">
                  <c:v>157.78451999999999</c:v>
                </c:pt>
                <c:pt idx="93">
                  <c:v>157.70219</c:v>
                </c:pt>
                <c:pt idx="94">
                  <c:v>157.61417</c:v>
                </c:pt>
                <c:pt idx="95">
                  <c:v>157.52001999999999</c:v>
                </c:pt>
                <c:pt idx="96">
                  <c:v>157.42000999999999</c:v>
                </c:pt>
                <c:pt idx="97">
                  <c:v>157.31474</c:v>
                </c:pt>
                <c:pt idx="98">
                  <c:v>157.20515</c:v>
                </c:pt>
                <c:pt idx="99">
                  <c:v>157.09267</c:v>
                </c:pt>
                <c:pt idx="100">
                  <c:v>156.97935000000001</c:v>
                </c:pt>
                <c:pt idx="101">
                  <c:v>156.86752000000001</c:v>
                </c:pt>
                <c:pt idx="102">
                  <c:v>156.75916000000001</c:v>
                </c:pt>
                <c:pt idx="103">
                  <c:v>156.65523999999999</c:v>
                </c:pt>
                <c:pt idx="104">
                  <c:v>156.55573000000001</c:v>
                </c:pt>
                <c:pt idx="105">
                  <c:v>156.45977999999999</c:v>
                </c:pt>
                <c:pt idx="106">
                  <c:v>156.36618000000001</c:v>
                </c:pt>
                <c:pt idx="107">
                  <c:v>156.27347</c:v>
                </c:pt>
                <c:pt idx="108">
                  <c:v>156.17964000000001</c:v>
                </c:pt>
                <c:pt idx="109">
                  <c:v>156.08192</c:v>
                </c:pt>
                <c:pt idx="110">
                  <c:v>155.97696999999999</c:v>
                </c:pt>
                <c:pt idx="111">
                  <c:v>155.86136999999999</c:v>
                </c:pt>
                <c:pt idx="112">
                  <c:v>155.73222000000001</c:v>
                </c:pt>
                <c:pt idx="113">
                  <c:v>155.58702</c:v>
                </c:pt>
                <c:pt idx="114">
                  <c:v>155.42329000000001</c:v>
                </c:pt>
                <c:pt idx="115">
                  <c:v>155.23856000000001</c:v>
                </c:pt>
                <c:pt idx="116">
                  <c:v>155.03110000000001</c:v>
                </c:pt>
                <c:pt idx="117">
                  <c:v>154.80074999999999</c:v>
                </c:pt>
                <c:pt idx="118">
                  <c:v>154.54881</c:v>
                </c:pt>
                <c:pt idx="119">
                  <c:v>154.27727999999999</c:v>
                </c:pt>
                <c:pt idx="120">
                  <c:v>153.98841999999999</c:v>
                </c:pt>
                <c:pt idx="121">
                  <c:v>153.68512000000001</c:v>
                </c:pt>
                <c:pt idx="122">
                  <c:v>153.37163000000001</c:v>
                </c:pt>
                <c:pt idx="123">
                  <c:v>153.05341000000001</c:v>
                </c:pt>
                <c:pt idx="124">
                  <c:v>152.73607999999999</c:v>
                </c:pt>
                <c:pt idx="125">
                  <c:v>152.42406</c:v>
                </c:pt>
                <c:pt idx="126">
                  <c:v>152.11993000000001</c:v>
                </c:pt>
                <c:pt idx="127">
                  <c:v>151.82486</c:v>
                </c:pt>
                <c:pt idx="128">
                  <c:v>151.53908999999999</c:v>
                </c:pt>
                <c:pt idx="129">
                  <c:v>151.26248000000001</c:v>
                </c:pt>
                <c:pt idx="130">
                  <c:v>150.99399</c:v>
                </c:pt>
                <c:pt idx="131">
                  <c:v>150.73138</c:v>
                </c:pt>
                <c:pt idx="132">
                  <c:v>150.47134</c:v>
                </c:pt>
                <c:pt idx="133">
                  <c:v>150.21030999999999</c:v>
                </c:pt>
                <c:pt idx="134">
                  <c:v>149.94562999999999</c:v>
                </c:pt>
                <c:pt idx="135">
                  <c:v>149.67625000000001</c:v>
                </c:pt>
                <c:pt idx="136">
                  <c:v>149.40273999999999</c:v>
                </c:pt>
                <c:pt idx="137">
                  <c:v>149.12663000000001</c:v>
                </c:pt>
                <c:pt idx="138">
                  <c:v>148.84993</c:v>
                </c:pt>
                <c:pt idx="139">
                  <c:v>148.57464999999999</c:v>
                </c:pt>
                <c:pt idx="140">
                  <c:v>148.30309</c:v>
                </c:pt>
                <c:pt idx="141">
                  <c:v>148.03795</c:v>
                </c:pt>
                <c:pt idx="142">
                  <c:v>147.78210000000001</c:v>
                </c:pt>
                <c:pt idx="143">
                  <c:v>147.5378</c:v>
                </c:pt>
                <c:pt idx="144">
                  <c:v>147.30598000000001</c:v>
                </c:pt>
                <c:pt idx="145">
                  <c:v>147.08615</c:v>
                </c:pt>
                <c:pt idx="146">
                  <c:v>146.87698</c:v>
                </c:pt>
                <c:pt idx="147">
                  <c:v>146.67702</c:v>
                </c:pt>
                <c:pt idx="148">
                  <c:v>146.48497</c:v>
                </c:pt>
                <c:pt idx="149">
                  <c:v>146.29964000000001</c:v>
                </c:pt>
                <c:pt idx="150">
                  <c:v>146.11977999999999</c:v>
                </c:pt>
                <c:pt idx="151">
                  <c:v>145.94441</c:v>
                </c:pt>
                <c:pt idx="152">
                  <c:v>145.77298999999999</c:v>
                </c:pt>
                <c:pt idx="153">
                  <c:v>145.60581999999999</c:v>
                </c:pt>
                <c:pt idx="154">
                  <c:v>145.44399999999999</c:v>
                </c:pt>
                <c:pt idx="155">
                  <c:v>145.28937999999999</c:v>
                </c:pt>
                <c:pt idx="156">
                  <c:v>145.14412999999999</c:v>
                </c:pt>
                <c:pt idx="157">
                  <c:v>145.01006000000001</c:v>
                </c:pt>
                <c:pt idx="158">
                  <c:v>144.88849999999999</c:v>
                </c:pt>
                <c:pt idx="159">
                  <c:v>144.78056000000001</c:v>
                </c:pt>
                <c:pt idx="160">
                  <c:v>144.68735000000001</c:v>
                </c:pt>
                <c:pt idx="161">
                  <c:v>144.60977</c:v>
                </c:pt>
                <c:pt idx="162">
                  <c:v>144.5479</c:v>
                </c:pt>
                <c:pt idx="163">
                  <c:v>144.50064</c:v>
                </c:pt>
                <c:pt idx="164">
                  <c:v>144.46628000000001</c:v>
                </c:pt>
                <c:pt idx="165">
                  <c:v>144.44315</c:v>
                </c:pt>
                <c:pt idx="166">
                  <c:v>144.43027000000001</c:v>
                </c:pt>
                <c:pt idx="167">
                  <c:v>144.42743999999999</c:v>
                </c:pt>
                <c:pt idx="168">
                  <c:v>144.43536</c:v>
                </c:pt>
                <c:pt idx="169">
                  <c:v>144.45527999999999</c:v>
                </c:pt>
                <c:pt idx="170">
                  <c:v>144.48875000000001</c:v>
                </c:pt>
                <c:pt idx="171">
                  <c:v>144.53704999999999</c:v>
                </c:pt>
                <c:pt idx="172">
                  <c:v>144.60106999999999</c:v>
                </c:pt>
                <c:pt idx="173">
                  <c:v>144.68161000000001</c:v>
                </c:pt>
                <c:pt idx="174">
                  <c:v>144.77936</c:v>
                </c:pt>
                <c:pt idx="175">
                  <c:v>144.89431999999999</c:v>
                </c:pt>
                <c:pt idx="176">
                  <c:v>145.02498</c:v>
                </c:pt>
                <c:pt idx="177">
                  <c:v>145.16813999999999</c:v>
                </c:pt>
                <c:pt idx="178">
                  <c:v>145.31970000000001</c:v>
                </c:pt>
                <c:pt idx="179">
                  <c:v>145.47577999999999</c:v>
                </c:pt>
                <c:pt idx="180">
                  <c:v>145.63338999999999</c:v>
                </c:pt>
                <c:pt idx="181">
                  <c:v>145.79033000000001</c:v>
                </c:pt>
                <c:pt idx="182">
                  <c:v>145.94492</c:v>
                </c:pt>
                <c:pt idx="183">
                  <c:v>146.09585999999999</c:v>
                </c:pt>
                <c:pt idx="184">
                  <c:v>146.24258</c:v>
                </c:pt>
                <c:pt idx="185">
                  <c:v>146.38564</c:v>
                </c:pt>
                <c:pt idx="186">
                  <c:v>146.52674999999999</c:v>
                </c:pt>
                <c:pt idx="187">
                  <c:v>146.66846000000001</c:v>
                </c:pt>
                <c:pt idx="188">
                  <c:v>146.81332</c:v>
                </c:pt>
                <c:pt idx="189">
                  <c:v>146.96329</c:v>
                </c:pt>
                <c:pt idx="190">
                  <c:v>147.11967000000001</c:v>
                </c:pt>
                <c:pt idx="191">
                  <c:v>147.28344999999999</c:v>
                </c:pt>
                <c:pt idx="192">
                  <c:v>147.45536999999999</c:v>
                </c:pt>
                <c:pt idx="193">
                  <c:v>147.63594000000001</c:v>
                </c:pt>
                <c:pt idx="194">
                  <c:v>147.82500999999999</c:v>
                </c:pt>
                <c:pt idx="195">
                  <c:v>148.02172999999999</c:v>
                </c:pt>
                <c:pt idx="196">
                  <c:v>148.22481999999999</c:v>
                </c:pt>
                <c:pt idx="197">
                  <c:v>148.43297999999999</c:v>
                </c:pt>
                <c:pt idx="198">
                  <c:v>148.64491000000001</c:v>
                </c:pt>
                <c:pt idx="199">
                  <c:v>148.85920999999999</c:v>
                </c:pt>
                <c:pt idx="200">
                  <c:v>149.07422</c:v>
                </c:pt>
                <c:pt idx="201">
                  <c:v>149.28827999999999</c:v>
                </c:pt>
                <c:pt idx="202">
                  <c:v>149.49985000000001</c:v>
                </c:pt>
                <c:pt idx="203">
                  <c:v>149.70762999999999</c:v>
                </c:pt>
                <c:pt idx="204">
                  <c:v>149.91057000000001</c:v>
                </c:pt>
                <c:pt idx="205">
                  <c:v>150.10757000000001</c:v>
                </c:pt>
                <c:pt idx="206">
                  <c:v>150.29781</c:v>
                </c:pt>
                <c:pt idx="207">
                  <c:v>150.48111</c:v>
                </c:pt>
                <c:pt idx="208">
                  <c:v>150.65842000000001</c:v>
                </c:pt>
                <c:pt idx="209">
                  <c:v>150.83161999999999</c:v>
                </c:pt>
                <c:pt idx="210">
                  <c:v>151.00309999999999</c:v>
                </c:pt>
                <c:pt idx="211">
                  <c:v>151.17492999999999</c:v>
                </c:pt>
                <c:pt idx="212">
                  <c:v>151.34871999999999</c:v>
                </c:pt>
                <c:pt idx="213">
                  <c:v>151.52565000000001</c:v>
                </c:pt>
                <c:pt idx="214">
                  <c:v>151.70653999999999</c:v>
                </c:pt>
                <c:pt idx="215">
                  <c:v>151.892</c:v>
                </c:pt>
                <c:pt idx="216">
                  <c:v>152.08179999999999</c:v>
                </c:pt>
                <c:pt idx="217">
                  <c:v>152.27463</c:v>
                </c:pt>
                <c:pt idx="218">
                  <c:v>152.46797000000001</c:v>
                </c:pt>
                <c:pt idx="219">
                  <c:v>152.65864999999999</c:v>
                </c:pt>
                <c:pt idx="220">
                  <c:v>152.84363999999999</c:v>
                </c:pt>
                <c:pt idx="221">
                  <c:v>153.02065999999999</c:v>
                </c:pt>
                <c:pt idx="222">
                  <c:v>153.18799000000001</c:v>
                </c:pt>
                <c:pt idx="223">
                  <c:v>153.34419</c:v>
                </c:pt>
                <c:pt idx="224">
                  <c:v>153.48804000000001</c:v>
                </c:pt>
                <c:pt idx="225">
                  <c:v>153.61877000000001</c:v>
                </c:pt>
                <c:pt idx="226">
                  <c:v>153.73669000000001</c:v>
                </c:pt>
                <c:pt idx="227">
                  <c:v>153.84298999999999</c:v>
                </c:pt>
                <c:pt idx="228">
                  <c:v>153.93919</c:v>
                </c:pt>
                <c:pt idx="229">
                  <c:v>154.02701999999999</c:v>
                </c:pt>
                <c:pt idx="230">
                  <c:v>154.10843</c:v>
                </c:pt>
                <c:pt idx="231">
                  <c:v>154.18597</c:v>
                </c:pt>
                <c:pt idx="232">
                  <c:v>154.26279</c:v>
                </c:pt>
                <c:pt idx="233">
                  <c:v>154.34190000000001</c:v>
                </c:pt>
                <c:pt idx="234">
                  <c:v>154.42545000000001</c:v>
                </c:pt>
                <c:pt idx="235">
                  <c:v>154.51403999999999</c:v>
                </c:pt>
                <c:pt idx="236">
                  <c:v>154.60704000000001</c:v>
                </c:pt>
                <c:pt idx="237">
                  <c:v>154.70295999999999</c:v>
                </c:pt>
                <c:pt idx="238">
                  <c:v>154.80002999999999</c:v>
                </c:pt>
                <c:pt idx="239">
                  <c:v>154.89626999999999</c:v>
                </c:pt>
                <c:pt idx="240">
                  <c:v>154.98922999999999</c:v>
                </c:pt>
                <c:pt idx="241">
                  <c:v>155.07594</c:v>
                </c:pt>
                <c:pt idx="242">
                  <c:v>155.15347</c:v>
                </c:pt>
                <c:pt idx="243">
                  <c:v>155.21985000000001</c:v>
                </c:pt>
                <c:pt idx="244">
                  <c:v>155.27486999999999</c:v>
                </c:pt>
                <c:pt idx="245">
                  <c:v>155.32017999999999</c:v>
                </c:pt>
                <c:pt idx="246">
                  <c:v>155.35839999999999</c:v>
                </c:pt>
                <c:pt idx="247">
                  <c:v>155.39230000000001</c:v>
                </c:pt>
                <c:pt idx="248">
                  <c:v>155.42426</c:v>
                </c:pt>
                <c:pt idx="249">
                  <c:v>155.45638</c:v>
                </c:pt>
                <c:pt idx="250">
                  <c:v>155.49065999999999</c:v>
                </c:pt>
                <c:pt idx="251">
                  <c:v>155.52905000000001</c:v>
                </c:pt>
                <c:pt idx="252">
                  <c:v>155.57293999999999</c:v>
                </c:pt>
                <c:pt idx="253">
                  <c:v>155.62289000000001</c:v>
                </c:pt>
                <c:pt idx="254">
                  <c:v>155.67876000000001</c:v>
                </c:pt>
                <c:pt idx="255">
                  <c:v>155.73984999999999</c:v>
                </c:pt>
                <c:pt idx="256">
                  <c:v>155.80549999999999</c:v>
                </c:pt>
                <c:pt idx="257">
                  <c:v>155.87509</c:v>
                </c:pt>
                <c:pt idx="258">
                  <c:v>155.94798</c:v>
                </c:pt>
                <c:pt idx="259">
                  <c:v>156.02350000000001</c:v>
                </c:pt>
                <c:pt idx="260">
                  <c:v>156.10095000000001</c:v>
                </c:pt>
                <c:pt idx="261">
                  <c:v>156.17946000000001</c:v>
                </c:pt>
                <c:pt idx="262">
                  <c:v>156.2578</c:v>
                </c:pt>
                <c:pt idx="263">
                  <c:v>156.33412000000001</c:v>
                </c:pt>
                <c:pt idx="264">
                  <c:v>156.40613999999999</c:v>
                </c:pt>
                <c:pt idx="265">
                  <c:v>156.47157000000001</c:v>
                </c:pt>
                <c:pt idx="266">
                  <c:v>156.52876000000001</c:v>
                </c:pt>
                <c:pt idx="267">
                  <c:v>156.57705999999999</c:v>
                </c:pt>
                <c:pt idx="268">
                  <c:v>156.61641</c:v>
                </c:pt>
                <c:pt idx="269">
                  <c:v>156.64714000000001</c:v>
                </c:pt>
                <c:pt idx="270">
                  <c:v>156.66981999999999</c:v>
                </c:pt>
                <c:pt idx="271">
                  <c:v>156.68564000000001</c:v>
                </c:pt>
                <c:pt idx="272">
                  <c:v>156.69676000000001</c:v>
                </c:pt>
                <c:pt idx="273">
                  <c:v>156.70599000000001</c:v>
                </c:pt>
                <c:pt idx="274">
                  <c:v>156.71619000000001</c:v>
                </c:pt>
                <c:pt idx="275">
                  <c:v>156.72953999999999</c:v>
                </c:pt>
                <c:pt idx="276">
                  <c:v>156.74746999999999</c:v>
                </c:pt>
                <c:pt idx="277">
                  <c:v>156.77086</c:v>
                </c:pt>
                <c:pt idx="278">
                  <c:v>156.80028999999999</c:v>
                </c:pt>
                <c:pt idx="279">
                  <c:v>156.83606</c:v>
                </c:pt>
                <c:pt idx="280">
                  <c:v>156.8777</c:v>
                </c:pt>
                <c:pt idx="281">
                  <c:v>156.92392000000001</c:v>
                </c:pt>
                <c:pt idx="282">
                  <c:v>156.97272000000001</c:v>
                </c:pt>
                <c:pt idx="283">
                  <c:v>157.02197000000001</c:v>
                </c:pt>
                <c:pt idx="284">
                  <c:v>157.06992</c:v>
                </c:pt>
                <c:pt idx="285">
                  <c:v>157.11512999999999</c:v>
                </c:pt>
                <c:pt idx="286">
                  <c:v>157.15639999999999</c:v>
                </c:pt>
                <c:pt idx="287">
                  <c:v>157.19256999999999</c:v>
                </c:pt>
                <c:pt idx="288">
                  <c:v>157.22272000000001</c:v>
                </c:pt>
                <c:pt idx="289">
                  <c:v>157.24655000000001</c:v>
                </c:pt>
                <c:pt idx="290">
                  <c:v>157.26447999999999</c:v>
                </c:pt>
                <c:pt idx="291">
                  <c:v>157.27746999999999</c:v>
                </c:pt>
                <c:pt idx="292">
                  <c:v>157.28650999999999</c:v>
                </c:pt>
                <c:pt idx="293">
                  <c:v>157.29257000000001</c:v>
                </c:pt>
                <c:pt idx="294">
                  <c:v>157.29633000000001</c:v>
                </c:pt>
                <c:pt idx="295">
                  <c:v>157.29843</c:v>
                </c:pt>
                <c:pt idx="296">
                  <c:v>157.29955000000001</c:v>
                </c:pt>
                <c:pt idx="297">
                  <c:v>157.30037999999999</c:v>
                </c:pt>
                <c:pt idx="298">
                  <c:v>157.30179999999999</c:v>
                </c:pt>
                <c:pt idx="299">
                  <c:v>157.30492000000001</c:v>
                </c:pt>
                <c:pt idx="300">
                  <c:v>157.31120000000001</c:v>
                </c:pt>
                <c:pt idx="301">
                  <c:v>157.32223999999999</c:v>
                </c:pt>
                <c:pt idx="302">
                  <c:v>157.33926</c:v>
                </c:pt>
                <c:pt idx="303">
                  <c:v>157.36306999999999</c:v>
                </c:pt>
                <c:pt idx="304">
                  <c:v>157.39385999999999</c:v>
                </c:pt>
                <c:pt idx="305">
                  <c:v>157.43169</c:v>
                </c:pt>
                <c:pt idx="306">
                  <c:v>157.47626</c:v>
                </c:pt>
                <c:pt idx="307">
                  <c:v>157.52656999999999</c:v>
                </c:pt>
                <c:pt idx="308">
                  <c:v>157.58054000000001</c:v>
                </c:pt>
                <c:pt idx="309">
                  <c:v>157.63500999999999</c:v>
                </c:pt>
                <c:pt idx="310">
                  <c:v>157.68652</c:v>
                </c:pt>
                <c:pt idx="311">
                  <c:v>157.73204000000001</c:v>
                </c:pt>
                <c:pt idx="312">
                  <c:v>157.76929000000001</c:v>
                </c:pt>
                <c:pt idx="313">
                  <c:v>157.79660000000001</c:v>
                </c:pt>
                <c:pt idx="314">
                  <c:v>157.81245000000001</c:v>
                </c:pt>
                <c:pt idx="315">
                  <c:v>157.81564</c:v>
                </c:pt>
                <c:pt idx="316">
                  <c:v>157.80575999999999</c:v>
                </c:pt>
                <c:pt idx="317">
                  <c:v>157.78364999999999</c:v>
                </c:pt>
                <c:pt idx="318">
                  <c:v>157.75112999999999</c:v>
                </c:pt>
                <c:pt idx="319">
                  <c:v>157.71036000000001</c:v>
                </c:pt>
                <c:pt idx="320">
                  <c:v>157.66316</c:v>
                </c:pt>
                <c:pt idx="321">
                  <c:v>157.61102</c:v>
                </c:pt>
                <c:pt idx="322">
                  <c:v>157.55524</c:v>
                </c:pt>
                <c:pt idx="323">
                  <c:v>157.49700999999999</c:v>
                </c:pt>
                <c:pt idx="324">
                  <c:v>157.43736000000001</c:v>
                </c:pt>
                <c:pt idx="325">
                  <c:v>157.37694999999999</c:v>
                </c:pt>
                <c:pt idx="326">
                  <c:v>157.31603999999999</c:v>
                </c:pt>
                <c:pt idx="327">
                  <c:v>157.25459000000001</c:v>
                </c:pt>
                <c:pt idx="328">
                  <c:v>157.19255000000001</c:v>
                </c:pt>
                <c:pt idx="329">
                  <c:v>157.12996999999999</c:v>
                </c:pt>
                <c:pt idx="330">
                  <c:v>157.06746999999999</c:v>
                </c:pt>
                <c:pt idx="331">
                  <c:v>157.00623999999999</c:v>
                </c:pt>
                <c:pt idx="332">
                  <c:v>156.94798</c:v>
                </c:pt>
                <c:pt idx="333">
                  <c:v>156.89452</c:v>
                </c:pt>
                <c:pt idx="334">
                  <c:v>156.84715</c:v>
                </c:pt>
                <c:pt idx="335">
                  <c:v>156.80659</c:v>
                </c:pt>
                <c:pt idx="336">
                  <c:v>156.7731</c:v>
                </c:pt>
                <c:pt idx="337">
                  <c:v>156.74666999999999</c:v>
                </c:pt>
                <c:pt idx="338">
                  <c:v>156.72720000000001</c:v>
                </c:pt>
                <c:pt idx="339">
                  <c:v>156.71417</c:v>
                </c:pt>
                <c:pt idx="340">
                  <c:v>156.70644999999999</c:v>
                </c:pt>
                <c:pt idx="341">
                  <c:v>156.70248000000001</c:v>
                </c:pt>
                <c:pt idx="342">
                  <c:v>156.70072999999999</c:v>
                </c:pt>
                <c:pt idx="343">
                  <c:v>156.69989000000001</c:v>
                </c:pt>
                <c:pt idx="344">
                  <c:v>156.69899000000001</c:v>
                </c:pt>
                <c:pt idx="345">
                  <c:v>156.69711000000001</c:v>
                </c:pt>
                <c:pt idx="346">
                  <c:v>156.69325000000001</c:v>
                </c:pt>
                <c:pt idx="347">
                  <c:v>156.68633</c:v>
                </c:pt>
                <c:pt idx="348">
                  <c:v>156.67523</c:v>
                </c:pt>
                <c:pt idx="349">
                  <c:v>156.65912</c:v>
                </c:pt>
                <c:pt idx="350">
                  <c:v>156.63721000000001</c:v>
                </c:pt>
                <c:pt idx="351">
                  <c:v>156.60873000000001</c:v>
                </c:pt>
                <c:pt idx="352">
                  <c:v>156.57307</c:v>
                </c:pt>
                <c:pt idx="353">
                  <c:v>156.53020000000001</c:v>
                </c:pt>
                <c:pt idx="354">
                  <c:v>156.48105000000001</c:v>
                </c:pt>
                <c:pt idx="355">
                  <c:v>156.42738</c:v>
                </c:pt>
                <c:pt idx="356">
                  <c:v>156.37137999999999</c:v>
                </c:pt>
                <c:pt idx="357">
                  <c:v>156.31503000000001</c:v>
                </c:pt>
                <c:pt idx="358">
                  <c:v>156.26008999999999</c:v>
                </c:pt>
                <c:pt idx="359">
                  <c:v>156.20818</c:v>
                </c:pt>
                <c:pt idx="360">
                  <c:v>156.16095999999999</c:v>
                </c:pt>
                <c:pt idx="361">
                  <c:v>156.11994999999999</c:v>
                </c:pt>
                <c:pt idx="362">
                  <c:v>156.08606</c:v>
                </c:pt>
                <c:pt idx="363">
                  <c:v>156.05930000000001</c:v>
                </c:pt>
                <c:pt idx="364">
                  <c:v>156.03899000000001</c:v>
                </c:pt>
                <c:pt idx="365">
                  <c:v>156.02412000000001</c:v>
                </c:pt>
                <c:pt idx="366">
                  <c:v>156.01375999999999</c:v>
                </c:pt>
                <c:pt idx="367">
                  <c:v>156.00708</c:v>
                </c:pt>
                <c:pt idx="368">
                  <c:v>156.00318999999999</c:v>
                </c:pt>
                <c:pt idx="369">
                  <c:v>156.00117</c:v>
                </c:pt>
                <c:pt idx="370">
                  <c:v>156.00008</c:v>
                </c:pt>
                <c:pt idx="371">
                  <c:v>155.99896000000001</c:v>
                </c:pt>
                <c:pt idx="372">
                  <c:v>155.99666999999999</c:v>
                </c:pt>
                <c:pt idx="373">
                  <c:v>155.99184</c:v>
                </c:pt>
                <c:pt idx="374">
                  <c:v>155.98276999999999</c:v>
                </c:pt>
                <c:pt idx="375">
                  <c:v>155.96802</c:v>
                </c:pt>
                <c:pt idx="376">
                  <c:v>155.94658000000001</c:v>
                </c:pt>
                <c:pt idx="377">
                  <c:v>155.91808</c:v>
                </c:pt>
                <c:pt idx="378">
                  <c:v>155.88246000000001</c:v>
                </c:pt>
                <c:pt idx="379">
                  <c:v>155.8398</c:v>
                </c:pt>
                <c:pt idx="380">
                  <c:v>155.79041000000001</c:v>
                </c:pt>
                <c:pt idx="381">
                  <c:v>155.73501999999999</c:v>
                </c:pt>
                <c:pt idx="382">
                  <c:v>155.67496</c:v>
                </c:pt>
                <c:pt idx="383">
                  <c:v>155.61166</c:v>
                </c:pt>
                <c:pt idx="384">
                  <c:v>155.54633000000001</c:v>
                </c:pt>
                <c:pt idx="385">
                  <c:v>155.47931</c:v>
                </c:pt>
                <c:pt idx="386">
                  <c:v>155.41016999999999</c:v>
                </c:pt>
                <c:pt idx="387">
                  <c:v>155.33770999999999</c:v>
                </c:pt>
                <c:pt idx="388">
                  <c:v>155.26043999999999</c:v>
                </c:pt>
                <c:pt idx="389">
                  <c:v>155.17712</c:v>
                </c:pt>
                <c:pt idx="390">
                  <c:v>155.08707000000001</c:v>
                </c:pt>
                <c:pt idx="391">
                  <c:v>154.98997</c:v>
                </c:pt>
                <c:pt idx="392">
                  <c:v>154.88576</c:v>
                </c:pt>
                <c:pt idx="393">
                  <c:v>154.77448000000001</c:v>
                </c:pt>
                <c:pt idx="394">
                  <c:v>154.65652</c:v>
                </c:pt>
                <c:pt idx="395">
                  <c:v>154.53294</c:v>
                </c:pt>
                <c:pt idx="396">
                  <c:v>154.40522999999999</c:v>
                </c:pt>
                <c:pt idx="397">
                  <c:v>154.27494999999999</c:v>
                </c:pt>
                <c:pt idx="398">
                  <c:v>154.14324999999999</c:v>
                </c:pt>
                <c:pt idx="399">
                  <c:v>154.01067</c:v>
                </c:pt>
                <c:pt idx="400">
                  <c:v>153.87711999999999</c:v>
                </c:pt>
                <c:pt idx="401">
                  <c:v>153.74225999999999</c:v>
                </c:pt>
                <c:pt idx="402">
                  <c:v>153.60563999999999</c:v>
                </c:pt>
                <c:pt idx="403">
                  <c:v>153.46696</c:v>
                </c:pt>
                <c:pt idx="404">
                  <c:v>153.32623000000001</c:v>
                </c:pt>
                <c:pt idx="405">
                  <c:v>153.18358000000001</c:v>
                </c:pt>
                <c:pt idx="406">
                  <c:v>153.03912</c:v>
                </c:pt>
                <c:pt idx="407">
                  <c:v>152.89265</c:v>
                </c:pt>
                <c:pt idx="408">
                  <c:v>152.74341999999999</c:v>
                </c:pt>
                <c:pt idx="409">
                  <c:v>152.58996999999999</c:v>
                </c:pt>
                <c:pt idx="410">
                  <c:v>152.43020999999999</c:v>
                </c:pt>
                <c:pt idx="411">
                  <c:v>152.26186000000001</c:v>
                </c:pt>
                <c:pt idx="412">
                  <c:v>152.08278999999999</c:v>
                </c:pt>
                <c:pt idx="413">
                  <c:v>151.89116999999999</c:v>
                </c:pt>
                <c:pt idx="414">
                  <c:v>151.68507</c:v>
                </c:pt>
                <c:pt idx="415">
                  <c:v>151.46259000000001</c:v>
                </c:pt>
                <c:pt idx="416">
                  <c:v>151.22234</c:v>
                </c:pt>
                <c:pt idx="417">
                  <c:v>150.96474000000001</c:v>
                </c:pt>
                <c:pt idx="418">
                  <c:v>150.69211999999999</c:v>
                </c:pt>
                <c:pt idx="419">
                  <c:v>150.40822</c:v>
                </c:pt>
                <c:pt idx="420">
                  <c:v>150.11685</c:v>
                </c:pt>
                <c:pt idx="421">
                  <c:v>149.82121000000001</c:v>
                </c:pt>
                <c:pt idx="422">
                  <c:v>149.52387999999999</c:v>
                </c:pt>
                <c:pt idx="423">
                  <c:v>149.22703999999999</c:v>
                </c:pt>
                <c:pt idx="424">
                  <c:v>148.93271999999999</c:v>
                </c:pt>
                <c:pt idx="425">
                  <c:v>148.64246</c:v>
                </c:pt>
                <c:pt idx="426">
                  <c:v>148.35688999999999</c:v>
                </c:pt>
                <c:pt idx="427">
                  <c:v>148.07578000000001</c:v>
                </c:pt>
                <c:pt idx="428">
                  <c:v>147.79826</c:v>
                </c:pt>
                <c:pt idx="429">
                  <c:v>147.52343999999999</c:v>
                </c:pt>
                <c:pt idx="430">
                  <c:v>147.25055</c:v>
                </c:pt>
                <c:pt idx="431">
                  <c:v>146.97914</c:v>
                </c:pt>
                <c:pt idx="432">
                  <c:v>146.70904999999999</c:v>
                </c:pt>
                <c:pt idx="433">
                  <c:v>146.44023000000001</c:v>
                </c:pt>
                <c:pt idx="434">
                  <c:v>146.17287999999999</c:v>
                </c:pt>
                <c:pt idx="435">
                  <c:v>145.90737999999999</c:v>
                </c:pt>
                <c:pt idx="436">
                  <c:v>145.64438999999999</c:v>
                </c:pt>
                <c:pt idx="437">
                  <c:v>145.38487000000001</c:v>
                </c:pt>
                <c:pt idx="438">
                  <c:v>145.12984</c:v>
                </c:pt>
                <c:pt idx="439">
                  <c:v>144.8801</c:v>
                </c:pt>
                <c:pt idx="440">
                  <c:v>144.63607999999999</c:v>
                </c:pt>
                <c:pt idx="441">
                  <c:v>144.39793</c:v>
                </c:pt>
                <c:pt idx="442">
                  <c:v>144.16565</c:v>
                </c:pt>
                <c:pt idx="443">
                  <c:v>143.93896000000001</c:v>
                </c:pt>
                <c:pt idx="444">
                  <c:v>143.71706</c:v>
                </c:pt>
                <c:pt idx="445">
                  <c:v>143.49821</c:v>
                </c:pt>
                <c:pt idx="446">
                  <c:v>143.28001</c:v>
                </c:pt>
                <c:pt idx="447">
                  <c:v>143.05998</c:v>
                </c:pt>
                <c:pt idx="448">
                  <c:v>142.83636000000001</c:v>
                </c:pt>
                <c:pt idx="449">
                  <c:v>142.60873000000001</c:v>
                </c:pt>
                <c:pt idx="450">
                  <c:v>142.37781000000001</c:v>
                </c:pt>
                <c:pt idx="451">
                  <c:v>142.14508000000001</c:v>
                </c:pt>
                <c:pt idx="452">
                  <c:v>141.91230999999999</c:v>
                </c:pt>
                <c:pt idx="453">
                  <c:v>141.68143000000001</c:v>
                </c:pt>
                <c:pt idx="454">
                  <c:v>141.45466999999999</c:v>
                </c:pt>
                <c:pt idx="455">
                  <c:v>141.23473000000001</c:v>
                </c:pt>
                <c:pt idx="456">
                  <c:v>141.02440999999999</c:v>
                </c:pt>
                <c:pt idx="457">
                  <c:v>140.82584</c:v>
                </c:pt>
                <c:pt idx="458">
                  <c:v>140.63964999999999</c:v>
                </c:pt>
                <c:pt idx="459">
                  <c:v>140.46526</c:v>
                </c:pt>
                <c:pt idx="460">
                  <c:v>140.30127999999999</c:v>
                </c:pt>
                <c:pt idx="461">
                  <c:v>140.14632</c:v>
                </c:pt>
                <c:pt idx="462">
                  <c:v>139.99892</c:v>
                </c:pt>
                <c:pt idx="463">
                  <c:v>139.85748000000001</c:v>
                </c:pt>
                <c:pt idx="464">
                  <c:v>139.72020000000001</c:v>
                </c:pt>
                <c:pt idx="465">
                  <c:v>139.58499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1E-4B66-89EA-88B3A259B8B4}"/>
            </c:ext>
          </c:extLst>
        </c:ser>
        <c:ser>
          <c:idx val="1"/>
          <c:order val="1"/>
          <c:tx>
            <c:strRef>
              <c:f>'NGC 0660'!$K$7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0660'!$A$8:$A$473</c:f>
              <c:numCache>
                <c:formatCode>0.00</c:formatCode>
                <c:ptCount val="466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</c:numCache>
            </c:numRef>
          </c:xVal>
          <c:yVal>
            <c:numRef>
              <c:f>'NGC 0660'!$K$8:$K$473</c:f>
              <c:numCache>
                <c:formatCode>0.0</c:formatCode>
                <c:ptCount val="466"/>
                <c:pt idx="0">
                  <c:v>179.52113126977181</c:v>
                </c:pt>
                <c:pt idx="1">
                  <c:v>186.85791788497639</c:v>
                </c:pt>
                <c:pt idx="2">
                  <c:v>187.85298000837392</c:v>
                </c:pt>
                <c:pt idx="3">
                  <c:v>187.06666105572808</c:v>
                </c:pt>
                <c:pt idx="4">
                  <c:v>186.02983351255966</c:v>
                </c:pt>
                <c:pt idx="5">
                  <c:v>184.95689952599298</c:v>
                </c:pt>
                <c:pt idx="6">
                  <c:v>183.93248239968869</c:v>
                </c:pt>
                <c:pt idx="7">
                  <c:v>183.06065299680498</c:v>
                </c:pt>
                <c:pt idx="8">
                  <c:v>182.28938073015374</c:v>
                </c:pt>
                <c:pt idx="9">
                  <c:v>181.61235572960487</c:v>
                </c:pt>
                <c:pt idx="10">
                  <c:v>181.0325278981598</c:v>
                </c:pt>
                <c:pt idx="11">
                  <c:v>180.50976394233348</c:v>
                </c:pt>
                <c:pt idx="12">
                  <c:v>180.04043833883287</c:v>
                </c:pt>
                <c:pt idx="13">
                  <c:v>179.61768912724949</c:v>
                </c:pt>
                <c:pt idx="14">
                  <c:v>179.21581218116606</c:v>
                </c:pt>
                <c:pt idx="15">
                  <c:v>178.83735195484491</c:v>
                </c:pt>
                <c:pt idx="16">
                  <c:v>178.47576916095173</c:v>
                </c:pt>
                <c:pt idx="17">
                  <c:v>178.11594419986707</c:v>
                </c:pt>
                <c:pt idx="18">
                  <c:v>177.76177978092426</c:v>
                </c:pt>
                <c:pt idx="19">
                  <c:v>177.40821890468072</c:v>
                </c:pt>
                <c:pt idx="20">
                  <c:v>177.04745177193121</c:v>
                </c:pt>
                <c:pt idx="21">
                  <c:v>176.68308905204577</c:v>
                </c:pt>
                <c:pt idx="22">
                  <c:v>176.31144240674672</c:v>
                </c:pt>
                <c:pt idx="23">
                  <c:v>175.9295418079258</c:v>
                </c:pt>
                <c:pt idx="24">
                  <c:v>175.53967385378067</c:v>
                </c:pt>
                <c:pt idx="25">
                  <c:v>175.13939119292718</c:v>
                </c:pt>
                <c:pt idx="26">
                  <c:v>174.72811155527145</c:v>
                </c:pt>
                <c:pt idx="27">
                  <c:v>174.30781769700641</c:v>
                </c:pt>
                <c:pt idx="28">
                  <c:v>173.87655426395239</c:v>
                </c:pt>
                <c:pt idx="29">
                  <c:v>173.43535432927933</c:v>
                </c:pt>
                <c:pt idx="30">
                  <c:v>172.96548287571756</c:v>
                </c:pt>
                <c:pt idx="31">
                  <c:v>172.48709060947766</c:v>
                </c:pt>
                <c:pt idx="32">
                  <c:v>172.01197726000044</c:v>
                </c:pt>
                <c:pt idx="33">
                  <c:v>171.53897227172249</c:v>
                </c:pt>
                <c:pt idx="34">
                  <c:v>171.06719126145074</c:v>
                </c:pt>
                <c:pt idx="35">
                  <c:v>170.59598431870342</c:v>
                </c:pt>
                <c:pt idx="36">
                  <c:v>170.0984066669441</c:v>
                </c:pt>
                <c:pt idx="37">
                  <c:v>169.58431490357245</c:v>
                </c:pt>
                <c:pt idx="38">
                  <c:v>169.07181355707698</c:v>
                </c:pt>
                <c:pt idx="39">
                  <c:v>168.56068478569253</c:v>
                </c:pt>
                <c:pt idx="40">
                  <c:v>168.05080873254673</c:v>
                </c:pt>
                <c:pt idx="41">
                  <c:v>167.54214525684043</c:v>
                </c:pt>
                <c:pt idx="42">
                  <c:v>167.02083421576597</c:v>
                </c:pt>
                <c:pt idx="43">
                  <c:v>166.48921571522533</c:v>
                </c:pt>
                <c:pt idx="44">
                  <c:v>165.96000350008359</c:v>
                </c:pt>
                <c:pt idx="45">
                  <c:v>165.43328238021957</c:v>
                </c:pt>
                <c:pt idx="46">
                  <c:v>164.90916726745073</c:v>
                </c:pt>
                <c:pt idx="47">
                  <c:v>164.38779634909011</c:v>
                </c:pt>
                <c:pt idx="48">
                  <c:v>163.86169307300429</c:v>
                </c:pt>
                <c:pt idx="49">
                  <c:v>163.33012777189217</c:v>
                </c:pt>
                <c:pt idx="50">
                  <c:v>162.80233988240457</c:v>
                </c:pt>
                <c:pt idx="51">
                  <c:v>162.2784813849706</c:v>
                </c:pt>
                <c:pt idx="52">
                  <c:v>161.75870920551691</c:v>
                </c:pt>
                <c:pt idx="53">
                  <c:v>161.24318267646584</c:v>
                </c:pt>
                <c:pt idx="54">
                  <c:v>160.72781261755347</c:v>
                </c:pt>
                <c:pt idx="55">
                  <c:v>160.21066964733595</c:v>
                </c:pt>
                <c:pt idx="56">
                  <c:v>159.69855046349781</c:v>
                </c:pt>
                <c:pt idx="57">
                  <c:v>159.19159088344028</c:v>
                </c:pt>
                <c:pt idx="58">
                  <c:v>158.68992282176723</c:v>
                </c:pt>
                <c:pt idx="59">
                  <c:v>158.19367344654333</c:v>
                </c:pt>
                <c:pt idx="60">
                  <c:v>157.70055171929673</c:v>
                </c:pt>
                <c:pt idx="61">
                  <c:v>157.20822015822191</c:v>
                </c:pt>
                <c:pt idx="62">
                  <c:v>156.7218411053401</c:v>
                </c:pt>
                <c:pt idx="63">
                  <c:v>156.24150905907305</c:v>
                </c:pt>
                <c:pt idx="64">
                  <c:v>155.76731223306885</c:v>
                </c:pt>
                <c:pt idx="65">
                  <c:v>155.29933239130759</c:v>
                </c:pt>
                <c:pt idx="66">
                  <c:v>154.83631800383756</c:v>
                </c:pt>
                <c:pt idx="67">
                  <c:v>154.37593105850587</c:v>
                </c:pt>
                <c:pt idx="68">
                  <c:v>153.92208438037534</c:v>
                </c:pt>
                <c:pt idx="69">
                  <c:v>153.4748288638668</c:v>
                </c:pt>
                <c:pt idx="70">
                  <c:v>153.03420925151207</c:v>
                </c:pt>
                <c:pt idx="71">
                  <c:v>152.60026422958606</c:v>
                </c:pt>
                <c:pt idx="72">
                  <c:v>152.17231682558648</c:v>
                </c:pt>
                <c:pt idx="73">
                  <c:v>151.74814298659228</c:v>
                </c:pt>
                <c:pt idx="74">
                  <c:v>151.33080273493627</c:v>
                </c:pt>
                <c:pt idx="75">
                  <c:v>150.92030917319534</c:v>
                </c:pt>
                <c:pt idx="76">
                  <c:v>150.51667027265856</c:v>
                </c:pt>
                <c:pt idx="77">
                  <c:v>150.11988905214213</c:v>
                </c:pt>
                <c:pt idx="78">
                  <c:v>149.72963140375293</c:v>
                </c:pt>
                <c:pt idx="79">
                  <c:v>149.34389368790895</c:v>
                </c:pt>
                <c:pt idx="80">
                  <c:v>148.96504726307336</c:v>
                </c:pt>
                <c:pt idx="81">
                  <c:v>148.59307557087055</c:v>
                </c:pt>
                <c:pt idx="82">
                  <c:v>148.22795814015728</c:v>
                </c:pt>
                <c:pt idx="83">
                  <c:v>147.86967077469978</c:v>
                </c:pt>
                <c:pt idx="84">
                  <c:v>147.51807162453827</c:v>
                </c:pt>
                <c:pt idx="85">
                  <c:v>147.17134111303423</c:v>
                </c:pt>
                <c:pt idx="86">
                  <c:v>146.83138473554959</c:v>
                </c:pt>
                <c:pt idx="87">
                  <c:v>146.49816417683542</c:v>
                </c:pt>
                <c:pt idx="88">
                  <c:v>146.17163835050397</c:v>
                </c:pt>
                <c:pt idx="89">
                  <c:v>145.85176356618081</c:v>
                </c:pt>
                <c:pt idx="90">
                  <c:v>145.53849369243838</c:v>
                </c:pt>
                <c:pt idx="91">
                  <c:v>145.22827167834339</c:v>
                </c:pt>
                <c:pt idx="92">
                  <c:v>144.92457650828757</c:v>
                </c:pt>
                <c:pt idx="93">
                  <c:v>144.62739487973113</c:v>
                </c:pt>
                <c:pt idx="94">
                  <c:v>144.33667091225789</c:v>
                </c:pt>
                <c:pt idx="95">
                  <c:v>144.05234709351629</c:v>
                </c:pt>
                <c:pt idx="96">
                  <c:v>143.77436440964254</c:v>
                </c:pt>
                <c:pt idx="97">
                  <c:v>143.50266247091545</c:v>
                </c:pt>
                <c:pt idx="98">
                  <c:v>143.23717963264167</c:v>
                </c:pt>
                <c:pt idx="99">
                  <c:v>142.97785311129223</c:v>
                </c:pt>
                <c:pt idx="100">
                  <c:v>142.72461909592917</c:v>
                </c:pt>
                <c:pt idx="101">
                  <c:v>142.47741285497668</c:v>
                </c:pt>
                <c:pt idx="102">
                  <c:v>142.23616883840458</c:v>
                </c:pt>
                <c:pt idx="103">
                  <c:v>142.00082077540281</c:v>
                </c:pt>
                <c:pt idx="104">
                  <c:v>141.77130176763552</c:v>
                </c:pt>
                <c:pt idx="105">
                  <c:v>141.54754437817007</c:v>
                </c:pt>
                <c:pt idx="106">
                  <c:v>141.32948071618407</c:v>
                </c:pt>
                <c:pt idx="107">
                  <c:v>141.11704251755654</c:v>
                </c:pt>
                <c:pt idx="108">
                  <c:v>140.91016122145561</c:v>
                </c:pt>
                <c:pt idx="109">
                  <c:v>140.708768043036</c:v>
                </c:pt>
                <c:pt idx="110">
                  <c:v>140.51279404236351</c:v>
                </c:pt>
                <c:pt idx="111">
                  <c:v>140.32217018968348</c:v>
                </c:pt>
                <c:pt idx="112">
                  <c:v>140.1368274271521</c:v>
                </c:pt>
                <c:pt idx="113">
                  <c:v>139.95669672714953</c:v>
                </c:pt>
                <c:pt idx="114">
                  <c:v>139.78170914729276</c:v>
                </c:pt>
                <c:pt idx="115">
                  <c:v>139.61179588226611</c:v>
                </c:pt>
                <c:pt idx="116">
                  <c:v>139.446888312586</c:v>
                </c:pt>
                <c:pt idx="117">
                  <c:v>139.2869180504153</c:v>
                </c:pt>
                <c:pt idx="118">
                  <c:v>139.13181698254013</c:v>
                </c:pt>
                <c:pt idx="119">
                  <c:v>138.98151731062177</c:v>
                </c:pt>
                <c:pt idx="120">
                  <c:v>138.83595158883207</c:v>
                </c:pt>
                <c:pt idx="121">
                  <c:v>138.69340668730095</c:v>
                </c:pt>
                <c:pt idx="122">
                  <c:v>138.55461122099564</c:v>
                </c:pt>
                <c:pt idx="123">
                  <c:v>138.42038536267518</c:v>
                </c:pt>
                <c:pt idx="124">
                  <c:v>138.29066277782283</c:v>
                </c:pt>
                <c:pt idx="125">
                  <c:v>138.16537765398471</c:v>
                </c:pt>
                <c:pt idx="126">
                  <c:v>138.04446472414921</c:v>
                </c:pt>
                <c:pt idx="127">
                  <c:v>137.92785928824742</c:v>
                </c:pt>
                <c:pt idx="128">
                  <c:v>137.81549723286042</c:v>
                </c:pt>
                <c:pt idx="129">
                  <c:v>137.70731504921801</c:v>
                </c:pt>
                <c:pt idx="130">
                  <c:v>137.60324984956961</c:v>
                </c:pt>
                <c:pt idx="131">
                  <c:v>137.50323938200592</c:v>
                </c:pt>
                <c:pt idx="132">
                  <c:v>137.40722204380782</c:v>
                </c:pt>
                <c:pt idx="133">
                  <c:v>137.31513689339559</c:v>
                </c:pt>
                <c:pt idx="134">
                  <c:v>137.22692366094904</c:v>
                </c:pt>
                <c:pt idx="135">
                  <c:v>137.14252275776752</c:v>
                </c:pt>
                <c:pt idx="136">
                  <c:v>137.06187528443496</c:v>
                </c:pt>
                <c:pt idx="137">
                  <c:v>136.984923037854</c:v>
                </c:pt>
                <c:pt idx="138">
                  <c:v>136.91160851720932</c:v>
                </c:pt>
                <c:pt idx="139">
                  <c:v>136.84187492891985</c:v>
                </c:pt>
                <c:pt idx="140">
                  <c:v>136.77566619063504</c:v>
                </c:pt>
                <c:pt idx="141">
                  <c:v>136.71292693433</c:v>
                </c:pt>
                <c:pt idx="142">
                  <c:v>136.65360250855136</c:v>
                </c:pt>
                <c:pt idx="143">
                  <c:v>136.59763897986301</c:v>
                </c:pt>
                <c:pt idx="144">
                  <c:v>136.54498313353974</c:v>
                </c:pt>
                <c:pt idx="145">
                  <c:v>136.49558247355475</c:v>
                </c:pt>
                <c:pt idx="146">
                  <c:v>136.44938522190347</c:v>
                </c:pt>
                <c:pt idx="147">
                  <c:v>136.40634031730724</c:v>
                </c:pt>
                <c:pt idx="148">
                  <c:v>136.36639741333457</c:v>
                </c:pt>
                <c:pt idx="149">
                  <c:v>136.32950687598012</c:v>
                </c:pt>
                <c:pt idx="150">
                  <c:v>136.29561978073627</c:v>
                </c:pt>
                <c:pt idx="151">
                  <c:v>136.26448024035554</c:v>
                </c:pt>
                <c:pt idx="152">
                  <c:v>136.23580091440471</c:v>
                </c:pt>
                <c:pt idx="153">
                  <c:v>136.20999074667813</c:v>
                </c:pt>
                <c:pt idx="154">
                  <c:v>136.18700349243079</c:v>
                </c:pt>
                <c:pt idx="155">
                  <c:v>136.16679359759911</c:v>
                </c:pt>
                <c:pt idx="156">
                  <c:v>136.14931619343997</c:v>
                </c:pt>
                <c:pt idx="157">
                  <c:v>136.13452709087616</c:v>
                </c:pt>
                <c:pt idx="158">
                  <c:v>136.12238277457288</c:v>
                </c:pt>
                <c:pt idx="159">
                  <c:v>136.11284039676875</c:v>
                </c:pt>
                <c:pt idx="160">
                  <c:v>136.10585777088224</c:v>
                </c:pt>
                <c:pt idx="161">
                  <c:v>136.10139336491568</c:v>
                </c:pt>
                <c:pt idx="162">
                  <c:v>136.09940629467522</c:v>
                </c:pt>
                <c:pt idx="163">
                  <c:v>136.09985631682628</c:v>
                </c:pt>
                <c:pt idx="164">
                  <c:v>136.10270382180158</c:v>
                </c:pt>
                <c:pt idx="165">
                  <c:v>136.10790982657886</c:v>
                </c:pt>
                <c:pt idx="166">
                  <c:v>136.11543596734347</c:v>
                </c:pt>
                <c:pt idx="167">
                  <c:v>136.12524449205119</c:v>
                </c:pt>
                <c:pt idx="168">
                  <c:v>136.137298252905</c:v>
                </c:pt>
                <c:pt idx="169">
                  <c:v>136.15156069875903</c:v>
                </c:pt>
                <c:pt idx="170">
                  <c:v>136.16799586746217</c:v>
                </c:pt>
                <c:pt idx="171">
                  <c:v>136.186568378153</c:v>
                </c:pt>
                <c:pt idx="172">
                  <c:v>136.2072434235169</c:v>
                </c:pt>
                <c:pt idx="173">
                  <c:v>136.22998676201576</c:v>
                </c:pt>
                <c:pt idx="174">
                  <c:v>136.25476471010001</c:v>
                </c:pt>
                <c:pt idx="175">
                  <c:v>136.28154413441183</c:v>
                </c:pt>
                <c:pt idx="176">
                  <c:v>136.310292443988</c:v>
                </c:pt>
                <c:pt idx="177">
                  <c:v>136.34097758247049</c:v>
                </c:pt>
                <c:pt idx="178">
                  <c:v>136.37356802033216</c:v>
                </c:pt>
                <c:pt idx="179">
                  <c:v>136.4080327471242</c:v>
                </c:pt>
                <c:pt idx="180">
                  <c:v>136.44434126375165</c:v>
                </c:pt>
                <c:pt idx="181">
                  <c:v>136.48246357478368</c:v>
                </c:pt>
                <c:pt idx="182">
                  <c:v>136.52196321472215</c:v>
                </c:pt>
                <c:pt idx="183">
                  <c:v>136.56321336867418</c:v>
                </c:pt>
                <c:pt idx="184">
                  <c:v>136.60619499304985</c:v>
                </c:pt>
                <c:pt idx="185">
                  <c:v>136.65087996991838</c:v>
                </c:pt>
                <c:pt idx="186">
                  <c:v>136.6972406481953</c:v>
                </c:pt>
                <c:pt idx="187">
                  <c:v>136.7452498362411</c:v>
                </c:pt>
                <c:pt idx="188">
                  <c:v>136.79488079452528</c:v>
                </c:pt>
                <c:pt idx="189">
                  <c:v>136.84610722835905</c:v>
                </c:pt>
                <c:pt idx="190">
                  <c:v>136.8989032806991</c:v>
                </c:pt>
                <c:pt idx="191">
                  <c:v>136.95324352502533</c:v>
                </c:pt>
                <c:pt idx="192">
                  <c:v>137.00910295829456</c:v>
                </c:pt>
                <c:pt idx="193">
                  <c:v>137.06645699397222</c:v>
                </c:pt>
                <c:pt idx="194">
                  <c:v>137.12528145514375</c:v>
                </c:pt>
                <c:pt idx="195">
                  <c:v>137.18555256770782</c:v>
                </c:pt>
                <c:pt idx="196">
                  <c:v>137.24724695365157</c:v>
                </c:pt>
                <c:pt idx="197">
                  <c:v>137.31034162441085</c:v>
                </c:pt>
                <c:pt idx="198">
                  <c:v>137.37481397431455</c:v>
                </c:pt>
                <c:pt idx="199">
                  <c:v>137.44064177411545</c:v>
                </c:pt>
                <c:pt idx="200">
                  <c:v>137.50780316460722</c:v>
                </c:pt>
                <c:pt idx="201">
                  <c:v>137.57627665032913</c:v>
                </c:pt>
                <c:pt idx="202">
                  <c:v>137.64604109335764</c:v>
                </c:pt>
                <c:pt idx="203">
                  <c:v>137.71707570718681</c:v>
                </c:pt>
                <c:pt idx="204">
                  <c:v>137.78936005069599</c:v>
                </c:pt>
                <c:pt idx="205">
                  <c:v>137.86287402220626</c:v>
                </c:pt>
                <c:pt idx="206">
                  <c:v>137.93759785362496</c:v>
                </c:pt>
                <c:pt idx="207">
                  <c:v>138.01351210467811</c:v>
                </c:pt>
                <c:pt idx="208">
                  <c:v>138.09059765723094</c:v>
                </c:pt>
                <c:pt idx="209">
                  <c:v>138.16883570969597</c:v>
                </c:pt>
                <c:pt idx="210">
                  <c:v>138.24820777152823</c:v>
                </c:pt>
                <c:pt idx="211">
                  <c:v>138.32869565780743</c:v>
                </c:pt>
                <c:pt idx="212">
                  <c:v>138.41018428035329</c:v>
                </c:pt>
                <c:pt idx="213">
                  <c:v>138.49269990470899</c:v>
                </c:pt>
                <c:pt idx="214">
                  <c:v>138.57628016230333</c:v>
                </c:pt>
                <c:pt idx="215">
                  <c:v>138.66090801931668</c:v>
                </c:pt>
                <c:pt idx="216">
                  <c:v>138.7465667220097</c:v>
                </c:pt>
                <c:pt idx="217">
                  <c:v>138.83323979181023</c:v>
                </c:pt>
                <c:pt idx="218">
                  <c:v>138.92091102048173</c:v>
                </c:pt>
                <c:pt idx="219">
                  <c:v>139.00956446537415</c:v>
                </c:pt>
                <c:pt idx="220">
                  <c:v>139.099184444755</c:v>
                </c:pt>
                <c:pt idx="221">
                  <c:v>139.18975553322031</c:v>
                </c:pt>
                <c:pt idx="222">
                  <c:v>139.28126255718462</c:v>
                </c:pt>
                <c:pt idx="223">
                  <c:v>139.37369059044889</c:v>
                </c:pt>
                <c:pt idx="224">
                  <c:v>139.46702494984535</c:v>
                </c:pt>
                <c:pt idx="225">
                  <c:v>139.56125119095864</c:v>
                </c:pt>
                <c:pt idx="226">
                  <c:v>139.65635510392178</c:v>
                </c:pt>
                <c:pt idx="227">
                  <c:v>139.75232270928657</c:v>
                </c:pt>
                <c:pt idx="228">
                  <c:v>139.84914025396662</c:v>
                </c:pt>
                <c:pt idx="229">
                  <c:v>139.94679420725291</c:v>
                </c:pt>
                <c:pt idx="230">
                  <c:v>140.04527125690018</c:v>
                </c:pt>
                <c:pt idx="231">
                  <c:v>140.14455830528328</c:v>
                </c:pt>
                <c:pt idx="232">
                  <c:v>140.2446424656228</c:v>
                </c:pt>
                <c:pt idx="233">
                  <c:v>140.34551105827836</c:v>
                </c:pt>
                <c:pt idx="234">
                  <c:v>140.44715160710905</c:v>
                </c:pt>
                <c:pt idx="235">
                  <c:v>140.54955183589962</c:v>
                </c:pt>
                <c:pt idx="236">
                  <c:v>140.65269966485178</c:v>
                </c:pt>
                <c:pt idx="237">
                  <c:v>140.75658320713896</c:v>
                </c:pt>
                <c:pt idx="238">
                  <c:v>140.86119076552441</c:v>
                </c:pt>
                <c:pt idx="239">
                  <c:v>140.96651082904054</c:v>
                </c:pt>
                <c:pt idx="240">
                  <c:v>141.07253206972956</c:v>
                </c:pt>
                <c:pt idx="241">
                  <c:v>141.17924333944347</c:v>
                </c:pt>
                <c:pt idx="242">
                  <c:v>141.28661141053712</c:v>
                </c:pt>
                <c:pt idx="243">
                  <c:v>141.39459699495376</c:v>
                </c:pt>
                <c:pt idx="244">
                  <c:v>141.50324091954866</c:v>
                </c:pt>
                <c:pt idx="245">
                  <c:v>141.61253271667803</c:v>
                </c:pt>
                <c:pt idx="246">
                  <c:v>141.72246208347229</c:v>
                </c:pt>
                <c:pt idx="247">
                  <c:v>141.83301887897278</c:v>
                </c:pt>
                <c:pt idx="248">
                  <c:v>141.94419312132118</c:v>
                </c:pt>
                <c:pt idx="249">
                  <c:v>142.05597498500128</c:v>
                </c:pt>
                <c:pt idx="250">
                  <c:v>142.1683547981315</c:v>
                </c:pt>
                <c:pt idx="251">
                  <c:v>142.28132303980792</c:v>
                </c:pt>
                <c:pt idx="252">
                  <c:v>142.39487033749614</c:v>
                </c:pt>
                <c:pt idx="253">
                  <c:v>142.50898746447217</c:v>
                </c:pt>
                <c:pt idx="254">
                  <c:v>142.62366533731014</c:v>
                </c:pt>
                <c:pt idx="255">
                  <c:v>142.73889501341719</c:v>
                </c:pt>
                <c:pt idx="256">
                  <c:v>142.85466768861372</c:v>
                </c:pt>
                <c:pt idx="257">
                  <c:v>142.97097469475884</c:v>
                </c:pt>
                <c:pt idx="258">
                  <c:v>143.0878074974197</c:v>
                </c:pt>
                <c:pt idx="259">
                  <c:v>143.2051576935844</c:v>
                </c:pt>
                <c:pt idx="260">
                  <c:v>143.32301700941696</c:v>
                </c:pt>
                <c:pt idx="261">
                  <c:v>143.44137729805422</c:v>
                </c:pt>
                <c:pt idx="262">
                  <c:v>143.56023053744377</c:v>
                </c:pt>
                <c:pt idx="263">
                  <c:v>143.67956882822133</c:v>
                </c:pt>
                <c:pt idx="264">
                  <c:v>143.79938439162831</c:v>
                </c:pt>
                <c:pt idx="265">
                  <c:v>143.91966956746748</c:v>
                </c:pt>
                <c:pt idx="266">
                  <c:v>144.04041681209645</c:v>
                </c:pt>
                <c:pt idx="267">
                  <c:v>144.16161869645879</c:v>
                </c:pt>
                <c:pt idx="268">
                  <c:v>144.28326790415088</c:v>
                </c:pt>
                <c:pt idx="269">
                  <c:v>144.40535722952524</c:v>
                </c:pt>
                <c:pt idx="270">
                  <c:v>144.52787957582817</c:v>
                </c:pt>
                <c:pt idx="271">
                  <c:v>144.6508279533725</c:v>
                </c:pt>
                <c:pt idx="272">
                  <c:v>144.77419547774346</c:v>
                </c:pt>
                <c:pt idx="273">
                  <c:v>144.89794008644765</c:v>
                </c:pt>
                <c:pt idx="274">
                  <c:v>145.02208945520889</c:v>
                </c:pt>
                <c:pt idx="275">
                  <c:v>145.14663825635938</c:v>
                </c:pt>
                <c:pt idx="276">
                  <c:v>145.27158000590248</c:v>
                </c:pt>
                <c:pt idx="277">
                  <c:v>145.396908316669</c:v>
                </c:pt>
                <c:pt idx="278">
                  <c:v>145.52261689671178</c:v>
                </c:pt>
                <c:pt idx="279">
                  <c:v>145.64869954772959</c:v>
                </c:pt>
                <c:pt idx="280">
                  <c:v>145.77515016352024</c:v>
                </c:pt>
                <c:pt idx="281">
                  <c:v>145.90196272846146</c:v>
                </c:pt>
                <c:pt idx="282">
                  <c:v>146.02913131602</c:v>
                </c:pt>
                <c:pt idx="283">
                  <c:v>146.15665008728757</c:v>
                </c:pt>
                <c:pt idx="284">
                  <c:v>146.28451328954367</c:v>
                </c:pt>
                <c:pt idx="285">
                  <c:v>146.41271525484436</c:v>
                </c:pt>
                <c:pt idx="286">
                  <c:v>146.541250398637</c:v>
                </c:pt>
                <c:pt idx="287">
                  <c:v>146.67011321839973</c:v>
                </c:pt>
                <c:pt idx="288">
                  <c:v>146.79929829230582</c:v>
                </c:pt>
                <c:pt idx="289">
                  <c:v>146.92880027791227</c:v>
                </c:pt>
                <c:pt idx="290">
                  <c:v>147.05861391087183</c:v>
                </c:pt>
                <c:pt idx="291">
                  <c:v>147.1887340036686</c:v>
                </c:pt>
                <c:pt idx="292">
                  <c:v>147.31915544437609</c:v>
                </c:pt>
                <c:pt idx="293">
                  <c:v>147.4498731954379</c:v>
                </c:pt>
                <c:pt idx="294">
                  <c:v>147.58088229247011</c:v>
                </c:pt>
                <c:pt idx="295">
                  <c:v>147.71217784308519</c:v>
                </c:pt>
                <c:pt idx="296">
                  <c:v>147.84375502573715</c:v>
                </c:pt>
                <c:pt idx="297">
                  <c:v>147.97560908858708</c:v>
                </c:pt>
                <c:pt idx="298">
                  <c:v>148.10773534838904</c:v>
                </c:pt>
                <c:pt idx="299">
                  <c:v>148.24012918939601</c:v>
                </c:pt>
                <c:pt idx="300">
                  <c:v>148.372786062285</c:v>
                </c:pt>
                <c:pt idx="301">
                  <c:v>148.50570148310146</c:v>
                </c:pt>
                <c:pt idx="302">
                  <c:v>148.63887103222234</c:v>
                </c:pt>
                <c:pt idx="303">
                  <c:v>148.77227808175437</c:v>
                </c:pt>
                <c:pt idx="304">
                  <c:v>148.90592349372196</c:v>
                </c:pt>
                <c:pt idx="305">
                  <c:v>149.03981031254412</c:v>
                </c:pt>
                <c:pt idx="306">
                  <c:v>149.17393436433653</c:v>
                </c:pt>
                <c:pt idx="307">
                  <c:v>149.30829153464848</c:v>
                </c:pt>
                <c:pt idx="308">
                  <c:v>149.44287776753055</c:v>
                </c:pt>
                <c:pt idx="309">
                  <c:v>149.57768906461902</c:v>
                </c:pt>
                <c:pt idx="310">
                  <c:v>149.71272148423606</c:v>
                </c:pt>
                <c:pt idx="311">
                  <c:v>149.84797114050571</c:v>
                </c:pt>
                <c:pt idx="312">
                  <c:v>149.98343420248526</c:v>
                </c:pt>
                <c:pt idx="313">
                  <c:v>150.11910689331168</c:v>
                </c:pt>
                <c:pt idx="314">
                  <c:v>150.25498548936315</c:v>
                </c:pt>
                <c:pt idx="315">
                  <c:v>150.3910663194348</c:v>
                </c:pt>
                <c:pt idx="316">
                  <c:v>150.52734576392888</c:v>
                </c:pt>
                <c:pt idx="317">
                  <c:v>150.66382025405915</c:v>
                </c:pt>
                <c:pt idx="318">
                  <c:v>150.80048627106859</c:v>
                </c:pt>
                <c:pt idx="319">
                  <c:v>150.93734034546085</c:v>
                </c:pt>
                <c:pt idx="320">
                  <c:v>151.07437905624485</c:v>
                </c:pt>
                <c:pt idx="321">
                  <c:v>151.21159903019242</c:v>
                </c:pt>
                <c:pt idx="322">
                  <c:v>151.34899694110851</c:v>
                </c:pt>
                <c:pt idx="323">
                  <c:v>151.48656950911405</c:v>
                </c:pt>
                <c:pt idx="324">
                  <c:v>151.62431349994094</c:v>
                </c:pt>
                <c:pt idx="325">
                  <c:v>151.76222572423904</c:v>
                </c:pt>
                <c:pt idx="326">
                  <c:v>151.90030303689517</c:v>
                </c:pt>
                <c:pt idx="327">
                  <c:v>152.03854233636332</c:v>
                </c:pt>
                <c:pt idx="328">
                  <c:v>152.17694056400643</c:v>
                </c:pt>
                <c:pt idx="329">
                  <c:v>152.31549470344945</c:v>
                </c:pt>
                <c:pt idx="330">
                  <c:v>152.45420177994288</c:v>
                </c:pt>
                <c:pt idx="331">
                  <c:v>152.59305885973754</c:v>
                </c:pt>
                <c:pt idx="332">
                  <c:v>152.73206304946945</c:v>
                </c:pt>
                <c:pt idx="333">
                  <c:v>152.87120789499784</c:v>
                </c:pt>
                <c:pt idx="334">
                  <c:v>153.01048549500968</c:v>
                </c:pt>
                <c:pt idx="335">
                  <c:v>153.14990185665542</c:v>
                </c:pt>
                <c:pt idx="336">
                  <c:v>153.28945424128833</c:v>
                </c:pt>
                <c:pt idx="337">
                  <c:v>153.42913994773284</c:v>
                </c:pt>
                <c:pt idx="338">
                  <c:v>153.56895631172867</c:v>
                </c:pt>
                <c:pt idx="339">
                  <c:v>153.70890070538425</c:v>
                </c:pt>
                <c:pt idx="340">
                  <c:v>153.84897053663909</c:v>
                </c:pt>
                <c:pt idx="341">
                  <c:v>153.98916324873491</c:v>
                </c:pt>
                <c:pt idx="342">
                  <c:v>154.12947631969578</c:v>
                </c:pt>
                <c:pt idx="343">
                  <c:v>154.26990726181683</c:v>
                </c:pt>
                <c:pt idx="344">
                  <c:v>154.41045362116091</c:v>
                </c:pt>
                <c:pt idx="345">
                  <c:v>154.55111297706426</c:v>
                </c:pt>
                <c:pt idx="346">
                  <c:v>154.69188294164965</c:v>
                </c:pt>
                <c:pt idx="347">
                  <c:v>154.83276115934763</c:v>
                </c:pt>
                <c:pt idx="348">
                  <c:v>154.97374530642597</c:v>
                </c:pt>
                <c:pt idx="349">
                  <c:v>155.11483309052619</c:v>
                </c:pt>
                <c:pt idx="350">
                  <c:v>155.25602225020825</c:v>
                </c:pt>
                <c:pt idx="351">
                  <c:v>155.3973105545019</c:v>
                </c:pt>
                <c:pt idx="352">
                  <c:v>155.53869580246604</c:v>
                </c:pt>
                <c:pt idx="353">
                  <c:v>155.68017582275479</c:v>
                </c:pt>
                <c:pt idx="354">
                  <c:v>155.82174847319069</c:v>
                </c:pt>
                <c:pt idx="355">
                  <c:v>155.96341164034465</c:v>
                </c:pt>
                <c:pt idx="356">
                  <c:v>156.10516323912285</c:v>
                </c:pt>
                <c:pt idx="357">
                  <c:v>156.24700121236009</c:v>
                </c:pt>
                <c:pt idx="358">
                  <c:v>156.3889235304199</c:v>
                </c:pt>
                <c:pt idx="359">
                  <c:v>156.53092819080089</c:v>
                </c:pt>
                <c:pt idx="360">
                  <c:v>156.67301321774914</c:v>
                </c:pt>
                <c:pt idx="361">
                  <c:v>156.81517666187744</c:v>
                </c:pt>
                <c:pt idx="362">
                  <c:v>156.95741659978981</c:v>
                </c:pt>
                <c:pt idx="363">
                  <c:v>157.09973113371262</c:v>
                </c:pt>
                <c:pt idx="364">
                  <c:v>157.24210738068729</c:v>
                </c:pt>
                <c:pt idx="365">
                  <c:v>157.38455405952615</c:v>
                </c:pt>
                <c:pt idx="366">
                  <c:v>157.52706987433493</c:v>
                </c:pt>
                <c:pt idx="367">
                  <c:v>157.66965302553348</c:v>
                </c:pt>
                <c:pt idx="368">
                  <c:v>157.81230173741133</c:v>
                </c:pt>
                <c:pt idx="369">
                  <c:v>157.95501425779196</c:v>
                </c:pt>
                <c:pt idx="370">
                  <c:v>158.09778885770245</c:v>
                </c:pt>
                <c:pt idx="371">
                  <c:v>158.24062383104842</c:v>
                </c:pt>
                <c:pt idx="372">
                  <c:v>158.38351749429376</c:v>
                </c:pt>
                <c:pt idx="373">
                  <c:v>158.52646818614556</c:v>
                </c:pt>
                <c:pt idx="374">
                  <c:v>158.66947426724397</c:v>
                </c:pt>
                <c:pt idx="375">
                  <c:v>158.81253411985659</c:v>
                </c:pt>
                <c:pt idx="376">
                  <c:v>158.95564614757814</c:v>
                </c:pt>
                <c:pt idx="377">
                  <c:v>159.09880877503412</c:v>
                </c:pt>
                <c:pt idx="378">
                  <c:v>159.24202044758962</c:v>
                </c:pt>
                <c:pt idx="379">
                  <c:v>159.38527963106228</c:v>
                </c:pt>
                <c:pt idx="380">
                  <c:v>159.5285848114398</c:v>
                </c:pt>
                <c:pt idx="381">
                  <c:v>159.67193449460177</c:v>
                </c:pt>
                <c:pt idx="382">
                  <c:v>159.81532720604574</c:v>
                </c:pt>
                <c:pt idx="383">
                  <c:v>159.9587614906176</c:v>
                </c:pt>
                <c:pt idx="384">
                  <c:v>160.10223591224602</c:v>
                </c:pt>
                <c:pt idx="385">
                  <c:v>160.24574905368067</c:v>
                </c:pt>
                <c:pt idx="386">
                  <c:v>160.38929951623493</c:v>
                </c:pt>
                <c:pt idx="387">
                  <c:v>160.53288591953225</c:v>
                </c:pt>
                <c:pt idx="388">
                  <c:v>160.67650690125632</c:v>
                </c:pt>
                <c:pt idx="389">
                  <c:v>160.82016111690498</c:v>
                </c:pt>
                <c:pt idx="390">
                  <c:v>160.96384723954819</c:v>
                </c:pt>
                <c:pt idx="391">
                  <c:v>161.10756395958919</c:v>
                </c:pt>
                <c:pt idx="392">
                  <c:v>161.25130998452968</c:v>
                </c:pt>
                <c:pt idx="393">
                  <c:v>161.39508403873819</c:v>
                </c:pt>
                <c:pt idx="394">
                  <c:v>161.53888486322222</c:v>
                </c:pt>
                <c:pt idx="395">
                  <c:v>161.68271121540354</c:v>
                </c:pt>
                <c:pt idx="396">
                  <c:v>161.82656186889707</c:v>
                </c:pt>
                <c:pt idx="397">
                  <c:v>161.97043561329306</c:v>
                </c:pt>
                <c:pt idx="398">
                  <c:v>162.11433125394211</c:v>
                </c:pt>
                <c:pt idx="399">
                  <c:v>162.25824761174414</c:v>
                </c:pt>
                <c:pt idx="400">
                  <c:v>162.40218352293968</c:v>
                </c:pt>
                <c:pt idx="401">
                  <c:v>162.546137838905</c:v>
                </c:pt>
                <c:pt idx="402">
                  <c:v>162.69010942594971</c:v>
                </c:pt>
                <c:pt idx="403">
                  <c:v>162.83409716511764</c:v>
                </c:pt>
                <c:pt idx="404">
                  <c:v>162.97809995199063</c:v>
                </c:pt>
                <c:pt idx="405">
                  <c:v>163.12211669649497</c:v>
                </c:pt>
                <c:pt idx="406">
                  <c:v>163.26614632271131</c:v>
                </c:pt>
                <c:pt idx="407">
                  <c:v>163.41018776868654</c:v>
                </c:pt>
                <c:pt idx="408">
                  <c:v>163.55423998624903</c:v>
                </c:pt>
                <c:pt idx="409">
                  <c:v>163.69830194082647</c:v>
                </c:pt>
                <c:pt idx="410">
                  <c:v>163.84237261126597</c:v>
                </c:pt>
                <c:pt idx="411">
                  <c:v>163.98645098965756</c:v>
                </c:pt>
                <c:pt idx="412">
                  <c:v>164.13053608115933</c:v>
                </c:pt>
                <c:pt idx="413">
                  <c:v>164.274626903826</c:v>
                </c:pt>
                <c:pt idx="414">
                  <c:v>164.41872248843927</c:v>
                </c:pt>
                <c:pt idx="415">
                  <c:v>164.56282187834111</c:v>
                </c:pt>
                <c:pt idx="416">
                  <c:v>164.70692412926917</c:v>
                </c:pt>
                <c:pt idx="417">
                  <c:v>164.85102830919485</c:v>
                </c:pt>
                <c:pt idx="418">
                  <c:v>164.99513349816323</c:v>
                </c:pt>
                <c:pt idx="419">
                  <c:v>165.13923878813594</c:v>
                </c:pt>
                <c:pt idx="420">
                  <c:v>165.28334328283583</c:v>
                </c:pt>
                <c:pt idx="421">
                  <c:v>165.42744609759387</c:v>
                </c:pt>
                <c:pt idx="422">
                  <c:v>165.57154635919863</c:v>
                </c:pt>
                <c:pt idx="423">
                  <c:v>165.71564320574751</c:v>
                </c:pt>
                <c:pt idx="424">
                  <c:v>165.85973578650015</c:v>
                </c:pt>
                <c:pt idx="425">
                  <c:v>166.00382326173431</c:v>
                </c:pt>
                <c:pt idx="426">
                  <c:v>166.14790480260325</c:v>
                </c:pt>
                <c:pt idx="427">
                  <c:v>166.29197959099551</c:v>
                </c:pt>
                <c:pt idx="428">
                  <c:v>166.43604681939664</c:v>
                </c:pt>
                <c:pt idx="429">
                  <c:v>166.5801056907527</c:v>
                </c:pt>
                <c:pt idx="430">
                  <c:v>166.72415541833593</c:v>
                </c:pt>
                <c:pt idx="431">
                  <c:v>166.86819522561208</c:v>
                </c:pt>
                <c:pt idx="432">
                  <c:v>167.01222434610989</c:v>
                </c:pt>
                <c:pt idx="433">
                  <c:v>167.15624202329215</c:v>
                </c:pt>
                <c:pt idx="434">
                  <c:v>167.30024751042868</c:v>
                </c:pt>
                <c:pt idx="435">
                  <c:v>167.44424007047115</c:v>
                </c:pt>
                <c:pt idx="436">
                  <c:v>167.58821897592958</c:v>
                </c:pt>
                <c:pt idx="437">
                  <c:v>167.73218350875047</c:v>
                </c:pt>
                <c:pt idx="438">
                  <c:v>167.87613296019694</c:v>
                </c:pt>
                <c:pt idx="439">
                  <c:v>168.02006663073021</c:v>
                </c:pt>
                <c:pt idx="440">
                  <c:v>168.16398382989286</c:v>
                </c:pt>
                <c:pt idx="441">
                  <c:v>168.30788387619384</c:v>
                </c:pt>
                <c:pt idx="442">
                  <c:v>168.45176609699485</c:v>
                </c:pt>
                <c:pt idx="443">
                  <c:v>168.59562982839847</c:v>
                </c:pt>
                <c:pt idx="444">
                  <c:v>168.73947441513769</c:v>
                </c:pt>
                <c:pt idx="445">
                  <c:v>168.88329921046713</c:v>
                </c:pt>
                <c:pt idx="446">
                  <c:v>169.02710357605571</c:v>
                </c:pt>
                <c:pt idx="447">
                  <c:v>169.17088688188059</c:v>
                </c:pt>
                <c:pt idx="448">
                  <c:v>169.31464850612292</c:v>
                </c:pt>
                <c:pt idx="449">
                  <c:v>169.45838783506491</c:v>
                </c:pt>
                <c:pt idx="450">
                  <c:v>169.60210426298798</c:v>
                </c:pt>
                <c:pt idx="451">
                  <c:v>169.74579719207279</c:v>
                </c:pt>
                <c:pt idx="452">
                  <c:v>169.88946603230045</c:v>
                </c:pt>
                <c:pt idx="453">
                  <c:v>170.03311020135484</c:v>
                </c:pt>
                <c:pt idx="454">
                  <c:v>170.1767291245267</c:v>
                </c:pt>
                <c:pt idx="455">
                  <c:v>170.32032223461874</c:v>
                </c:pt>
                <c:pt idx="456">
                  <c:v>170.46388897185199</c:v>
                </c:pt>
                <c:pt idx="457">
                  <c:v>170.60742878377363</c:v>
                </c:pt>
                <c:pt idx="458">
                  <c:v>170.75094112516598</c:v>
                </c:pt>
                <c:pt idx="459">
                  <c:v>170.89442545795666</c:v>
                </c:pt>
                <c:pt idx="460">
                  <c:v>171.03788125113002</c:v>
                </c:pt>
                <c:pt idx="461">
                  <c:v>171.18130798063984</c:v>
                </c:pt>
                <c:pt idx="462">
                  <c:v>171.32470512932298</c:v>
                </c:pt>
                <c:pt idx="463">
                  <c:v>171.46807218681448</c:v>
                </c:pt>
                <c:pt idx="464">
                  <c:v>171.61140864946356</c:v>
                </c:pt>
                <c:pt idx="465">
                  <c:v>171.75471402025096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1E-4B66-89EA-88B3A259B8B4}"/>
            </c:ext>
          </c:extLst>
        </c:ser>
        <c:ser>
          <c:idx val="2"/>
          <c:order val="2"/>
          <c:tx>
            <c:strRef>
              <c:f>'NGC 0660'!$K$487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0660'!$A$488:$A$953</c:f>
              <c:numCache>
                <c:formatCode>0.00</c:formatCode>
                <c:ptCount val="466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</c:numCache>
            </c:numRef>
          </c:xVal>
          <c:yVal>
            <c:numRef>
              <c:f>'NGC 0660'!$K$488:$K$953</c:f>
              <c:numCache>
                <c:formatCode>0.0</c:formatCode>
                <c:ptCount val="466"/>
                <c:pt idx="0">
                  <c:v>176.13992968322245</c:v>
                </c:pt>
                <c:pt idx="1">
                  <c:v>190.71805751433209</c:v>
                </c:pt>
                <c:pt idx="2">
                  <c:v>195.24471109093076</c:v>
                </c:pt>
                <c:pt idx="3">
                  <c:v>196.70315521903862</c:v>
                </c:pt>
                <c:pt idx="4">
                  <c:v>196.76113541189429</c:v>
                </c:pt>
                <c:pt idx="5">
                  <c:v>196.11747468326726</c:v>
                </c:pt>
                <c:pt idx="6">
                  <c:v>195.10630445330557</c:v>
                </c:pt>
                <c:pt idx="7">
                  <c:v>193.89873272056499</c:v>
                </c:pt>
                <c:pt idx="8">
                  <c:v>192.52555243089324</c:v>
                </c:pt>
                <c:pt idx="9">
                  <c:v>191.12732197222013</c:v>
                </c:pt>
                <c:pt idx="10">
                  <c:v>189.73934003524187</c:v>
                </c:pt>
                <c:pt idx="11">
                  <c:v>188.37362165059099</c:v>
                </c:pt>
                <c:pt idx="12">
                  <c:v>187.03879237111548</c:v>
                </c:pt>
                <c:pt idx="13">
                  <c:v>185.73961075371477</c:v>
                </c:pt>
                <c:pt idx="14">
                  <c:v>184.47778334996099</c:v>
                </c:pt>
                <c:pt idx="15">
                  <c:v>183.25540017854323</c:v>
                </c:pt>
                <c:pt idx="16">
                  <c:v>182.05651938394416</c:v>
                </c:pt>
                <c:pt idx="17">
                  <c:v>180.89659350855123</c:v>
                </c:pt>
                <c:pt idx="18">
                  <c:v>179.77911350252316</c:v>
                </c:pt>
                <c:pt idx="19">
                  <c:v>178.70213071465568</c:v>
                </c:pt>
                <c:pt idx="20">
                  <c:v>177.66403555632689</c:v>
                </c:pt>
                <c:pt idx="21">
                  <c:v>176.66334311311743</c:v>
                </c:pt>
                <c:pt idx="22">
                  <c:v>175.69862264904378</c:v>
                </c:pt>
                <c:pt idx="23">
                  <c:v>174.76839695799853</c:v>
                </c:pt>
                <c:pt idx="24">
                  <c:v>173.8659254548036</c:v>
                </c:pt>
                <c:pt idx="25">
                  <c:v>172.99422408676659</c:v>
                </c:pt>
                <c:pt idx="26">
                  <c:v>172.15420934202825</c:v>
                </c:pt>
                <c:pt idx="27">
                  <c:v>171.34462704782996</c:v>
                </c:pt>
                <c:pt idx="28">
                  <c:v>170.56461506649114</c:v>
                </c:pt>
                <c:pt idx="29">
                  <c:v>169.81301689254391</c:v>
                </c:pt>
                <c:pt idx="30">
                  <c:v>169.0885579900571</c:v>
                </c:pt>
                <c:pt idx="31">
                  <c:v>168.39045514115219</c:v>
                </c:pt>
                <c:pt idx="32">
                  <c:v>167.71604608999306</c:v>
                </c:pt>
                <c:pt idx="33">
                  <c:v>167.06441891316194</c:v>
                </c:pt>
                <c:pt idx="34">
                  <c:v>166.43664754745279</c:v>
                </c:pt>
                <c:pt idx="35">
                  <c:v>165.83203867587235</c:v>
                </c:pt>
                <c:pt idx="36">
                  <c:v>165.24972829002803</c:v>
                </c:pt>
                <c:pt idx="37">
                  <c:v>164.68884380831864</c:v>
                </c:pt>
                <c:pt idx="38">
                  <c:v>164.14861157256919</c:v>
                </c:pt>
                <c:pt idx="39">
                  <c:v>163.62834233466694</c:v>
                </c:pt>
                <c:pt idx="40">
                  <c:v>163.12684627905688</c:v>
                </c:pt>
                <c:pt idx="41">
                  <c:v>162.64295012098808</c:v>
                </c:pt>
                <c:pt idx="42">
                  <c:v>162.17686652327612</c:v>
                </c:pt>
                <c:pt idx="43">
                  <c:v>161.72846811477768</c:v>
                </c:pt>
                <c:pt idx="44">
                  <c:v>161.29690889554604</c:v>
                </c:pt>
                <c:pt idx="45">
                  <c:v>160.88172743238829</c:v>
                </c:pt>
                <c:pt idx="46">
                  <c:v>160.48246144818077</c:v>
                </c:pt>
                <c:pt idx="47">
                  <c:v>160.09805610929163</c:v>
                </c:pt>
                <c:pt idx="48">
                  <c:v>159.72847622119622</c:v>
                </c:pt>
                <c:pt idx="49">
                  <c:v>159.37158754162456</c:v>
                </c:pt>
                <c:pt idx="50">
                  <c:v>159.02881610465636</c:v>
                </c:pt>
                <c:pt idx="51">
                  <c:v>158.69939954263876</c:v>
                </c:pt>
                <c:pt idx="52">
                  <c:v>158.38260027009594</c:v>
                </c:pt>
                <c:pt idx="53">
                  <c:v>158.07807722289888</c:v>
                </c:pt>
                <c:pt idx="54">
                  <c:v>157.78552624446934</c:v>
                </c:pt>
                <c:pt idx="55">
                  <c:v>157.50436328463968</c:v>
                </c:pt>
                <c:pt idx="56">
                  <c:v>157.23426899820259</c:v>
                </c:pt>
                <c:pt idx="57">
                  <c:v>156.95394692823359</c:v>
                </c:pt>
                <c:pt idx="58">
                  <c:v>156.68881863998186</c:v>
                </c:pt>
                <c:pt idx="59">
                  <c:v>156.43813045850504</c:v>
                </c:pt>
                <c:pt idx="60">
                  <c:v>156.20117128142073</c:v>
                </c:pt>
                <c:pt idx="61">
                  <c:v>155.9772695723403</c:v>
                </c:pt>
                <c:pt idx="62">
                  <c:v>155.76579062537277</c:v>
                </c:pt>
                <c:pt idx="63">
                  <c:v>155.5661340709014</c:v>
                </c:pt>
                <c:pt idx="64">
                  <c:v>155.37773159657732</c:v>
                </c:pt>
                <c:pt idx="65">
                  <c:v>155.20004486070064</c:v>
                </c:pt>
                <c:pt idx="66">
                  <c:v>155.03256357794908</c:v>
                </c:pt>
                <c:pt idx="67">
                  <c:v>154.87480375983529</c:v>
                </c:pt>
                <c:pt idx="68">
                  <c:v>154.70860107935488</c:v>
                </c:pt>
                <c:pt idx="69">
                  <c:v>154.54004915164205</c:v>
                </c:pt>
                <c:pt idx="70">
                  <c:v>154.38066936365948</c:v>
                </c:pt>
                <c:pt idx="71">
                  <c:v>154.23004065481462</c:v>
                </c:pt>
                <c:pt idx="72">
                  <c:v>154.08776254526435</c:v>
                </c:pt>
                <c:pt idx="73">
                  <c:v>153.95345396301173</c:v>
                </c:pt>
                <c:pt idx="74">
                  <c:v>153.82675215318955</c:v>
                </c:pt>
                <c:pt idx="75">
                  <c:v>153.70731166233804</c:v>
                </c:pt>
                <c:pt idx="76">
                  <c:v>153.59480339124951</c:v>
                </c:pt>
                <c:pt idx="77">
                  <c:v>153.48891371061154</c:v>
                </c:pt>
                <c:pt idx="78">
                  <c:v>153.38934363426964</c:v>
                </c:pt>
                <c:pt idx="79">
                  <c:v>153.29234257704258</c:v>
                </c:pt>
                <c:pt idx="80">
                  <c:v>153.18748595168631</c:v>
                </c:pt>
                <c:pt idx="81">
                  <c:v>153.0885291066505</c:v>
                </c:pt>
                <c:pt idx="82">
                  <c:v>152.99521176497487</c:v>
                </c:pt>
                <c:pt idx="83">
                  <c:v>152.90728537817952</c:v>
                </c:pt>
                <c:pt idx="84">
                  <c:v>152.8245125368916</c:v>
                </c:pt>
                <c:pt idx="85">
                  <c:v>152.74666641600658</c:v>
                </c:pt>
                <c:pt idx="86">
                  <c:v>152.67353025193094</c:v>
                </c:pt>
                <c:pt idx="87">
                  <c:v>152.60489684966558</c:v>
                </c:pt>
                <c:pt idx="88">
                  <c:v>152.54056811768015</c:v>
                </c:pt>
                <c:pt idx="89">
                  <c:v>152.48035462870024</c:v>
                </c:pt>
                <c:pt idx="90">
                  <c:v>152.42407520469001</c:v>
                </c:pt>
                <c:pt idx="91">
                  <c:v>152.36301287608566</c:v>
                </c:pt>
                <c:pt idx="92">
                  <c:v>152.30360948229395</c:v>
                </c:pt>
                <c:pt idx="93">
                  <c:v>152.24785850630374</c:v>
                </c:pt>
                <c:pt idx="94">
                  <c:v>152.19560189682591</c:v>
                </c:pt>
                <c:pt idx="95">
                  <c:v>152.1466883067267</c:v>
                </c:pt>
                <c:pt idx="96">
                  <c:v>152.10097278453873</c:v>
                </c:pt>
                <c:pt idx="97">
                  <c:v>152.05831648185264</c:v>
                </c:pt>
                <c:pt idx="98">
                  <c:v>152.01858637564558</c:v>
                </c:pt>
                <c:pt idx="99">
                  <c:v>151.98165500467042</c:v>
                </c:pt>
                <c:pt idx="100">
                  <c:v>151.94740021909226</c:v>
                </c:pt>
                <c:pt idx="101">
                  <c:v>151.91570494261154</c:v>
                </c:pt>
                <c:pt idx="102">
                  <c:v>151.88370860448771</c:v>
                </c:pt>
                <c:pt idx="103">
                  <c:v>151.85002002886296</c:v>
                </c:pt>
                <c:pt idx="104">
                  <c:v>151.81869467081347</c:v>
                </c:pt>
                <c:pt idx="105">
                  <c:v>151.78963029670311</c:v>
                </c:pt>
                <c:pt idx="106">
                  <c:v>151.76272882810261</c:v>
                </c:pt>
                <c:pt idx="107">
                  <c:v>151.73789616133135</c:v>
                </c:pt>
                <c:pt idx="108">
                  <c:v>151.71504199559544</c:v>
                </c:pt>
                <c:pt idx="109">
                  <c:v>151.6940796692669</c:v>
                </c:pt>
                <c:pt idx="110">
                  <c:v>151.67492600387544</c:v>
                </c:pt>
                <c:pt idx="111">
                  <c:v>151.65750115540834</c:v>
                </c:pt>
                <c:pt idx="112">
                  <c:v>151.64172847254065</c:v>
                </c:pt>
                <c:pt idx="113">
                  <c:v>151.62753436143907</c:v>
                </c:pt>
                <c:pt idx="114">
                  <c:v>151.61024987130608</c:v>
                </c:pt>
                <c:pt idx="115">
                  <c:v>151.59448389634858</c:v>
                </c:pt>
                <c:pt idx="116">
                  <c:v>151.58016937903238</c:v>
                </c:pt>
                <c:pt idx="117">
                  <c:v>151.56724189431526</c:v>
                </c:pt>
                <c:pt idx="118">
                  <c:v>151.55563954061941</c:v>
                </c:pt>
                <c:pt idx="119">
                  <c:v>151.54530283571205</c:v>
                </c:pt>
                <c:pt idx="120">
                  <c:v>151.53617461725273</c:v>
                </c:pt>
                <c:pt idx="121">
                  <c:v>151.52819994777715</c:v>
                </c:pt>
                <c:pt idx="122">
                  <c:v>151.5213260239031</c:v>
                </c:pt>
                <c:pt idx="123">
                  <c:v>151.51550208955254</c:v>
                </c:pt>
                <c:pt idx="124">
                  <c:v>151.51067935299739</c:v>
                </c:pt>
                <c:pt idx="125">
                  <c:v>151.5049265711485</c:v>
                </c:pt>
                <c:pt idx="126">
                  <c:v>151.49886617634783</c:v>
                </c:pt>
                <c:pt idx="127">
                  <c:v>151.49371993278743</c:v>
                </c:pt>
                <c:pt idx="128">
                  <c:v>151.48944507412648</c:v>
                </c:pt>
                <c:pt idx="129">
                  <c:v>151.48600046462258</c:v>
                </c:pt>
                <c:pt idx="130">
                  <c:v>151.48334653459725</c:v>
                </c:pt>
                <c:pt idx="131">
                  <c:v>151.4814452186628</c:v>
                </c:pt>
                <c:pt idx="132">
                  <c:v>151.480259896582</c:v>
                </c:pt>
                <c:pt idx="133">
                  <c:v>151.4797553366395</c:v>
                </c:pt>
                <c:pt idx="134">
                  <c:v>151.47989764140843</c:v>
                </c:pt>
                <c:pt idx="135">
                  <c:v>151.48065419580257</c:v>
                </c:pt>
                <c:pt idx="136">
                  <c:v>151.48154575879411</c:v>
                </c:pt>
                <c:pt idx="137">
                  <c:v>151.48121804309736</c:v>
                </c:pt>
                <c:pt idx="138">
                  <c:v>151.48144591821699</c:v>
                </c:pt>
                <c:pt idx="139">
                  <c:v>151.48220075794396</c:v>
                </c:pt>
                <c:pt idx="140">
                  <c:v>151.48345500672761</c:v>
                </c:pt>
                <c:pt idx="141">
                  <c:v>151.48518213888491</c:v>
                </c:pt>
                <c:pt idx="142">
                  <c:v>151.48735661948427</c:v>
                </c:pt>
                <c:pt idx="143">
                  <c:v>151.48995386682722</c:v>
                </c:pt>
                <c:pt idx="144">
                  <c:v>151.49295021645915</c:v>
                </c:pt>
                <c:pt idx="145">
                  <c:v>151.49632288663966</c:v>
                </c:pt>
                <c:pt idx="146">
                  <c:v>151.50004994521098</c:v>
                </c:pt>
                <c:pt idx="147">
                  <c:v>151.50411027780044</c:v>
                </c:pt>
                <c:pt idx="148">
                  <c:v>151.5072138300408</c:v>
                </c:pt>
                <c:pt idx="149">
                  <c:v>151.51031244686763</c:v>
                </c:pt>
                <c:pt idx="150">
                  <c:v>151.51370645941796</c:v>
                </c:pt>
                <c:pt idx="151">
                  <c:v>151.51737732761239</c:v>
                </c:pt>
                <c:pt idx="152">
                  <c:v>151.52130719809119</c:v>
                </c:pt>
                <c:pt idx="153">
                  <c:v>151.52547887901056</c:v>
                </c:pt>
                <c:pt idx="154">
                  <c:v>151.52987581582974</c:v>
                </c:pt>
                <c:pt idx="155">
                  <c:v>151.53448206804546</c:v>
                </c:pt>
                <c:pt idx="156">
                  <c:v>151.53928228683506</c:v>
                </c:pt>
                <c:pt idx="157">
                  <c:v>151.54426169356844</c:v>
                </c:pt>
                <c:pt idx="158">
                  <c:v>151.54940605915263</c:v>
                </c:pt>
                <c:pt idx="159">
                  <c:v>151.55422768588491</c:v>
                </c:pt>
                <c:pt idx="160">
                  <c:v>151.55848674282603</c:v>
                </c:pt>
                <c:pt idx="161">
                  <c:v>151.56288575279936</c:v>
                </c:pt>
                <c:pt idx="162">
                  <c:v>151.56741222817791</c:v>
                </c:pt>
                <c:pt idx="163">
                  <c:v>151.57205414503755</c:v>
                </c:pt>
                <c:pt idx="164">
                  <c:v>151.57679992664922</c:v>
                </c:pt>
                <c:pt idx="165">
                  <c:v>151.58163842759654</c:v>
                </c:pt>
                <c:pt idx="166">
                  <c:v>151.58655891849136</c:v>
                </c:pt>
                <c:pt idx="167">
                  <c:v>151.59155107126446</c:v>
                </c:pt>
                <c:pt idx="168">
                  <c:v>151.59660494500662</c:v>
                </c:pt>
                <c:pt idx="169">
                  <c:v>151.60171097233854</c:v>
                </c:pt>
                <c:pt idx="170">
                  <c:v>151.60685994628858</c:v>
                </c:pt>
                <c:pt idx="171">
                  <c:v>151.60999699129439</c:v>
                </c:pt>
                <c:pt idx="172">
                  <c:v>151.61318336612393</c:v>
                </c:pt>
                <c:pt idx="173">
                  <c:v>151.61641046245876</c:v>
                </c:pt>
                <c:pt idx="174">
                  <c:v>151.6196699934857</c:v>
                </c:pt>
                <c:pt idx="175">
                  <c:v>151.62295398278931</c:v>
                </c:pt>
                <c:pt idx="176">
                  <c:v>151.62625475364837</c:v>
                </c:pt>
                <c:pt idx="177">
                  <c:v>151.62956491872086</c:v>
                </c:pt>
                <c:pt idx="178">
                  <c:v>151.63287737010262</c:v>
                </c:pt>
                <c:pt idx="179">
                  <c:v>151.63618526974412</c:v>
                </c:pt>
                <c:pt idx="180">
                  <c:v>151.63948204021236</c:v>
                </c:pt>
                <c:pt idx="181">
                  <c:v>151.64276135578385</c:v>
                </c:pt>
                <c:pt idx="182">
                  <c:v>151.6460171338563</c:v>
                </c:pt>
                <c:pt idx="183">
                  <c:v>151.64924352666617</c:v>
                </c:pt>
                <c:pt idx="184">
                  <c:v>151.65243491330082</c:v>
                </c:pt>
                <c:pt idx="185">
                  <c:v>151.65558589199415</c:v>
                </c:pt>
                <c:pt idx="186">
                  <c:v>151.65869127269366</c:v>
                </c:pt>
                <c:pt idx="187">
                  <c:v>151.66174606989054</c:v>
                </c:pt>
                <c:pt idx="188">
                  <c:v>151.66474549570094</c:v>
                </c:pt>
                <c:pt idx="189">
                  <c:v>151.66768495319005</c:v>
                </c:pt>
                <c:pt idx="190">
                  <c:v>151.67056002992959</c:v>
                </c:pt>
                <c:pt idx="191">
                  <c:v>151.67336649177952</c:v>
                </c:pt>
                <c:pt idx="192">
                  <c:v>151.67610027688605</c:v>
                </c:pt>
                <c:pt idx="193">
                  <c:v>151.67875748988811</c:v>
                </c:pt>
                <c:pt idx="194">
                  <c:v>151.68133439632331</c:v>
                </c:pt>
                <c:pt idx="195">
                  <c:v>151.68382741722732</c:v>
                </c:pt>
                <c:pt idx="196">
                  <c:v>151.68623312391927</c:v>
                </c:pt>
                <c:pt idx="197">
                  <c:v>151.68854823296491</c:v>
                </c:pt>
                <c:pt idx="198">
                  <c:v>151.69076960131346</c:v>
                </c:pt>
                <c:pt idx="199">
                  <c:v>151.69289422159969</c:v>
                </c:pt>
                <c:pt idx="200">
                  <c:v>151.69491921760559</c:v>
                </c:pt>
                <c:pt idx="201">
                  <c:v>151.69684183987695</c:v>
                </c:pt>
                <c:pt idx="202">
                  <c:v>151.69865946148812</c:v>
                </c:pt>
                <c:pt idx="203">
                  <c:v>151.70036957394947</c:v>
                </c:pt>
                <c:pt idx="204">
                  <c:v>151.70196978325325</c:v>
                </c:pt>
                <c:pt idx="205">
                  <c:v>151.70345780605271</c:v>
                </c:pt>
                <c:pt idx="206">
                  <c:v>151.7048314659682</c:v>
                </c:pt>
                <c:pt idx="207">
                  <c:v>151.7060886900185</c:v>
                </c:pt>
                <c:pt idx="208">
                  <c:v>151.70722750517058</c:v>
                </c:pt>
                <c:pt idx="209">
                  <c:v>151.70824603500327</c:v>
                </c:pt>
                <c:pt idx="210">
                  <c:v>151.70914249648445</c:v>
                </c:pt>
                <c:pt idx="211">
                  <c:v>151.70991519685234</c:v>
                </c:pt>
                <c:pt idx="212">
                  <c:v>151.71056253060186</c:v>
                </c:pt>
                <c:pt idx="213">
                  <c:v>151.71108297657011</c:v>
                </c:pt>
                <c:pt idx="214">
                  <c:v>151.71147509511735</c:v>
                </c:pt>
                <c:pt idx="215">
                  <c:v>151.7117375254013</c:v>
                </c:pt>
                <c:pt idx="216">
                  <c:v>151.71186898274118</c:v>
                </c:pt>
                <c:pt idx="217">
                  <c:v>151.71186825606685</c:v>
                </c:pt>
                <c:pt idx="218">
                  <c:v>151.71173420545296</c:v>
                </c:pt>
                <c:pt idx="219">
                  <c:v>151.71146575973259</c:v>
                </c:pt>
                <c:pt idx="220">
                  <c:v>151.71106191418855</c:v>
                </c:pt>
                <c:pt idx="221">
                  <c:v>151.71052172832046</c:v>
                </c:pt>
                <c:pt idx="222">
                  <c:v>151.70984432368351</c:v>
                </c:pt>
                <c:pt idx="223">
                  <c:v>151.70902888179776</c:v>
                </c:pt>
                <c:pt idx="224">
                  <c:v>151.7080746421247</c:v>
                </c:pt>
                <c:pt idx="225">
                  <c:v>151.70698090010964</c:v>
                </c:pt>
                <c:pt idx="226">
                  <c:v>151.70574700528618</c:v>
                </c:pt>
                <c:pt idx="227">
                  <c:v>151.704372359443</c:v>
                </c:pt>
                <c:pt idx="228">
                  <c:v>151.70147172370716</c:v>
                </c:pt>
                <c:pt idx="229">
                  <c:v>151.69844128843539</c:v>
                </c:pt>
                <c:pt idx="230">
                  <c:v>151.69528044223273</c:v>
                </c:pt>
                <c:pt idx="231">
                  <c:v>151.69198862192522</c:v>
                </c:pt>
                <c:pt idx="232">
                  <c:v>151.68856531094454</c:v>
                </c:pt>
                <c:pt idx="233">
                  <c:v>151.68501003776453</c:v>
                </c:pt>
                <c:pt idx="234">
                  <c:v>151.6813223743859</c:v>
                </c:pt>
                <c:pt idx="235">
                  <c:v>151.67750193486921</c:v>
                </c:pt>
                <c:pt idx="236">
                  <c:v>151.67354837391446</c:v>
                </c:pt>
                <c:pt idx="237">
                  <c:v>151.66946138548428</c:v>
                </c:pt>
                <c:pt idx="238">
                  <c:v>151.66524070147122</c:v>
                </c:pt>
                <c:pt idx="239">
                  <c:v>151.66088609040648</c:v>
                </c:pt>
                <c:pt idx="240">
                  <c:v>151.65639735620888</c:v>
                </c:pt>
                <c:pt idx="241">
                  <c:v>151.65177433697318</c:v>
                </c:pt>
                <c:pt idx="242">
                  <c:v>151.64701690379633</c:v>
                </c:pt>
                <c:pt idx="243">
                  <c:v>151.64212495963974</c:v>
                </c:pt>
                <c:pt idx="244">
                  <c:v>151.63709843822753</c:v>
                </c:pt>
                <c:pt idx="245">
                  <c:v>151.6319373029792</c:v>
                </c:pt>
                <c:pt idx="246">
                  <c:v>151.62664154597479</c:v>
                </c:pt>
                <c:pt idx="247">
                  <c:v>151.62121118695251</c:v>
                </c:pt>
                <c:pt idx="248">
                  <c:v>151.6156462723379</c:v>
                </c:pt>
                <c:pt idx="249">
                  <c:v>151.60994687430227</c:v>
                </c:pt>
                <c:pt idx="250">
                  <c:v>151.60411308985076</c:v>
                </c:pt>
                <c:pt idx="251">
                  <c:v>151.59814503993886</c:v>
                </c:pt>
                <c:pt idx="252">
                  <c:v>151.59204286861521</c:v>
                </c:pt>
                <c:pt idx="253">
                  <c:v>151.58580674219246</c:v>
                </c:pt>
                <c:pt idx="254">
                  <c:v>151.57943684844219</c:v>
                </c:pt>
                <c:pt idx="255">
                  <c:v>151.57293339581528</c:v>
                </c:pt>
                <c:pt idx="256">
                  <c:v>151.56629661268687</c:v>
                </c:pt>
                <c:pt idx="257">
                  <c:v>151.5595267466235</c:v>
                </c:pt>
                <c:pt idx="258">
                  <c:v>151.55262406367353</c:v>
                </c:pt>
                <c:pt idx="259">
                  <c:v>151.54558884767928</c:v>
                </c:pt>
                <c:pt idx="260">
                  <c:v>151.53842139961026</c:v>
                </c:pt>
                <c:pt idx="261">
                  <c:v>151.53112203691663</c:v>
                </c:pt>
                <c:pt idx="262">
                  <c:v>151.52369109290328</c:v>
                </c:pt>
                <c:pt idx="263">
                  <c:v>151.51612891612226</c:v>
                </c:pt>
                <c:pt idx="264">
                  <c:v>151.50843586978436</c:v>
                </c:pt>
                <c:pt idx="265">
                  <c:v>151.50061233118893</c:v>
                </c:pt>
                <c:pt idx="266">
                  <c:v>151.4926586911707</c:v>
                </c:pt>
                <c:pt idx="267">
                  <c:v>151.48457535356386</c:v>
                </c:pt>
                <c:pt idx="268">
                  <c:v>151.47636273468279</c:v>
                </c:pt>
                <c:pt idx="269">
                  <c:v>151.46802126281835</c:v>
                </c:pt>
                <c:pt idx="270">
                  <c:v>151.45955137774988</c:v>
                </c:pt>
                <c:pt idx="271">
                  <c:v>151.45095353027222</c:v>
                </c:pt>
                <c:pt idx="272">
                  <c:v>151.44222818173705</c:v>
                </c:pt>
                <c:pt idx="273">
                  <c:v>151.43337580360844</c:v>
                </c:pt>
                <c:pt idx="274">
                  <c:v>151.42439687703231</c:v>
                </c:pt>
                <c:pt idx="275">
                  <c:v>151.41529189241851</c:v>
                </c:pt>
                <c:pt idx="276">
                  <c:v>151.40606134903652</c:v>
                </c:pt>
                <c:pt idx="277">
                  <c:v>151.39670575462307</c:v>
                </c:pt>
                <c:pt idx="278">
                  <c:v>151.38722562500183</c:v>
                </c:pt>
                <c:pt idx="279">
                  <c:v>151.37762148371525</c:v>
                </c:pt>
                <c:pt idx="280">
                  <c:v>151.36789386166737</c:v>
                </c:pt>
                <c:pt idx="281">
                  <c:v>151.35804329677771</c:v>
                </c:pt>
                <c:pt idx="282">
                  <c:v>151.34807033364604</c:v>
                </c:pt>
                <c:pt idx="283">
                  <c:v>151.33797552322739</c:v>
                </c:pt>
                <c:pt idx="284">
                  <c:v>151.32775942251689</c:v>
                </c:pt>
                <c:pt idx="285">
                  <c:v>151.31706683536078</c:v>
                </c:pt>
                <c:pt idx="286">
                  <c:v>151.30625651813864</c:v>
                </c:pt>
                <c:pt idx="287">
                  <c:v>151.29532901802764</c:v>
                </c:pt>
                <c:pt idx="288">
                  <c:v>151.2842848874472</c:v>
                </c:pt>
                <c:pt idx="289">
                  <c:v>151.2731246837831</c:v>
                </c:pt>
                <c:pt idx="290">
                  <c:v>151.26184896912133</c:v>
                </c:pt>
                <c:pt idx="291">
                  <c:v>151.25045830998934</c:v>
                </c:pt>
                <c:pt idx="292">
                  <c:v>151.23895327710571</c:v>
                </c:pt>
                <c:pt idx="293">
                  <c:v>151.22733444513736</c:v>
                </c:pt>
                <c:pt idx="294">
                  <c:v>151.21560239246463</c:v>
                </c:pt>
                <c:pt idx="295">
                  <c:v>151.20375770095339</c:v>
                </c:pt>
                <c:pt idx="296">
                  <c:v>151.19180095573435</c:v>
                </c:pt>
                <c:pt idx="297">
                  <c:v>151.17973274498937</c:v>
                </c:pt>
                <c:pt idx="298">
                  <c:v>151.16755365974427</c:v>
                </c:pt>
                <c:pt idx="299">
                  <c:v>151.15526429366841</c:v>
                </c:pt>
                <c:pt idx="300">
                  <c:v>151.14286524288053</c:v>
                </c:pt>
                <c:pt idx="301">
                  <c:v>151.13035710576031</c:v>
                </c:pt>
                <c:pt idx="302">
                  <c:v>151.11774048276658</c:v>
                </c:pt>
                <c:pt idx="303">
                  <c:v>151.10501597626066</c:v>
                </c:pt>
                <c:pt idx="304">
                  <c:v>151.09218419033562</c:v>
                </c:pt>
                <c:pt idx="305">
                  <c:v>151.07924573065131</c:v>
                </c:pt>
                <c:pt idx="306">
                  <c:v>151.06620120427371</c:v>
                </c:pt>
                <c:pt idx="307">
                  <c:v>151.0530512195204</c:v>
                </c:pt>
                <c:pt idx="308">
                  <c:v>151.03979638581058</c:v>
                </c:pt>
                <c:pt idx="309">
                  <c:v>151.02643731351998</c:v>
                </c:pt>
                <c:pt idx="310">
                  <c:v>151.0129746138403</c:v>
                </c:pt>
                <c:pt idx="311">
                  <c:v>150.99940889864365</c:v>
                </c:pt>
                <c:pt idx="312">
                  <c:v>150.9857407803508</c:v>
                </c:pt>
                <c:pt idx="313">
                  <c:v>150.97197087180425</c:v>
                </c:pt>
                <c:pt idx="314">
                  <c:v>150.95809978614545</c:v>
                </c:pt>
                <c:pt idx="315">
                  <c:v>150.94412813669561</c:v>
                </c:pt>
                <c:pt idx="316">
                  <c:v>150.93005653684094</c:v>
                </c:pt>
                <c:pt idx="317">
                  <c:v>150.91588559992138</c:v>
                </c:pt>
                <c:pt idx="318">
                  <c:v>150.90161593912339</c:v>
                </c:pt>
                <c:pt idx="319">
                  <c:v>150.88724816737599</c:v>
                </c:pt>
                <c:pt idx="320">
                  <c:v>150.87278289725043</c:v>
                </c:pt>
                <c:pt idx="321">
                  <c:v>150.85822074086337</c:v>
                </c:pt>
                <c:pt idx="322">
                  <c:v>150.84356230978332</c:v>
                </c:pt>
                <c:pt idx="323">
                  <c:v>150.82880821494004</c:v>
                </c:pt>
                <c:pt idx="324">
                  <c:v>150.81395906653725</c:v>
                </c:pt>
                <c:pt idx="325">
                  <c:v>150.79901547396872</c:v>
                </c:pt>
                <c:pt idx="326">
                  <c:v>150.78397804573646</c:v>
                </c:pt>
                <c:pt idx="327">
                  <c:v>150.7688473893725</c:v>
                </c:pt>
                <c:pt idx="328">
                  <c:v>150.75362411136317</c:v>
                </c:pt>
                <c:pt idx="329">
                  <c:v>150.73830881707599</c:v>
                </c:pt>
                <c:pt idx="330">
                  <c:v>150.7229021106892</c:v>
                </c:pt>
                <c:pt idx="331">
                  <c:v>150.70740459512407</c:v>
                </c:pt>
                <c:pt idx="332">
                  <c:v>150.69181687197928</c:v>
                </c:pt>
                <c:pt idx="333">
                  <c:v>150.67613954146796</c:v>
                </c:pt>
                <c:pt idx="334">
                  <c:v>150.66037320235708</c:v>
                </c:pt>
                <c:pt idx="335">
                  <c:v>150.64451845190874</c:v>
                </c:pt>
                <c:pt idx="336">
                  <c:v>150.62857588582412</c:v>
                </c:pt>
                <c:pt idx="337">
                  <c:v>150.61254609818937</c:v>
                </c:pt>
                <c:pt idx="338">
                  <c:v>150.59642968142327</c:v>
                </c:pt>
                <c:pt idx="339">
                  <c:v>150.58022722622735</c:v>
                </c:pt>
                <c:pt idx="340">
                  <c:v>150.56393932153782</c:v>
                </c:pt>
                <c:pt idx="341">
                  <c:v>150.54756655447912</c:v>
                </c:pt>
                <c:pt idx="342">
                  <c:v>150.53088277751152</c:v>
                </c:pt>
                <c:pt idx="343">
                  <c:v>150.51411657499966</c:v>
                </c:pt>
                <c:pt idx="344">
                  <c:v>150.49726851695866</c:v>
                </c:pt>
                <c:pt idx="345">
                  <c:v>150.48033917155999</c:v>
                </c:pt>
                <c:pt idx="346">
                  <c:v>150.46332910509179</c:v>
                </c:pt>
                <c:pt idx="347">
                  <c:v>150.44623888192081</c:v>
                </c:pt>
                <c:pt idx="348">
                  <c:v>150.42906906445666</c:v>
                </c:pt>
                <c:pt idx="349">
                  <c:v>150.4118202131161</c:v>
                </c:pt>
                <c:pt idx="350">
                  <c:v>150.39449288629027</c:v>
                </c:pt>
                <c:pt idx="351">
                  <c:v>150.37708764031279</c:v>
                </c:pt>
                <c:pt idx="352">
                  <c:v>150.35960502942888</c:v>
                </c:pt>
                <c:pt idx="353">
                  <c:v>150.34204560576637</c:v>
                </c:pt>
                <c:pt idx="354">
                  <c:v>150.32440991930804</c:v>
                </c:pt>
                <c:pt idx="355">
                  <c:v>150.30669851786467</c:v>
                </c:pt>
                <c:pt idx="356">
                  <c:v>150.28891194705</c:v>
                </c:pt>
                <c:pt idx="357">
                  <c:v>150.27105075025636</c:v>
                </c:pt>
                <c:pt idx="358">
                  <c:v>150.25311546863199</c:v>
                </c:pt>
                <c:pt idx="359">
                  <c:v>150.23510664105885</c:v>
                </c:pt>
                <c:pt idx="360">
                  <c:v>150.21702480413219</c:v>
                </c:pt>
                <c:pt idx="361">
                  <c:v>150.19887049214071</c:v>
                </c:pt>
                <c:pt idx="362">
                  <c:v>150.18064423704791</c:v>
                </c:pt>
                <c:pt idx="363">
                  <c:v>150.16234656847462</c:v>
                </c:pt>
                <c:pt idx="364">
                  <c:v>150.14397801368222</c:v>
                </c:pt>
                <c:pt idx="365">
                  <c:v>150.12553909755687</c:v>
                </c:pt>
                <c:pt idx="366">
                  <c:v>150.10703034259492</c:v>
                </c:pt>
                <c:pt idx="367">
                  <c:v>150.08845226888883</c:v>
                </c:pt>
                <c:pt idx="368">
                  <c:v>150.06980539411418</c:v>
                </c:pt>
                <c:pt idx="369">
                  <c:v>150.0510902335175</c:v>
                </c:pt>
                <c:pt idx="370">
                  <c:v>150.03230729990509</c:v>
                </c:pt>
                <c:pt idx="371">
                  <c:v>150.01345710363185</c:v>
                </c:pt>
                <c:pt idx="372">
                  <c:v>149.99454015259207</c:v>
                </c:pt>
                <c:pt idx="373">
                  <c:v>149.9755569522101</c:v>
                </c:pt>
                <c:pt idx="374">
                  <c:v>149.95650800543174</c:v>
                </c:pt>
                <c:pt idx="375">
                  <c:v>149.93739381271718</c:v>
                </c:pt>
                <c:pt idx="376">
                  <c:v>149.91821487203322</c:v>
                </c:pt>
                <c:pt idx="377">
                  <c:v>149.89897167884757</c:v>
                </c:pt>
                <c:pt idx="378">
                  <c:v>149.87966472612291</c:v>
                </c:pt>
                <c:pt idx="379">
                  <c:v>149.86029450431167</c:v>
                </c:pt>
                <c:pt idx="380">
                  <c:v>149.84086150135175</c:v>
                </c:pt>
                <c:pt idx="381">
                  <c:v>149.82136620266255</c:v>
                </c:pt>
                <c:pt idx="382">
                  <c:v>149.80180909114154</c:v>
                </c:pt>
                <c:pt idx="383">
                  <c:v>149.7821906471614</c:v>
                </c:pt>
                <c:pt idx="384">
                  <c:v>149.76251134856795</c:v>
                </c:pt>
                <c:pt idx="385">
                  <c:v>149.74277167067825</c:v>
                </c:pt>
                <c:pt idx="386">
                  <c:v>149.72297208627924</c:v>
                </c:pt>
                <c:pt idx="387">
                  <c:v>149.70311306562704</c:v>
                </c:pt>
                <c:pt idx="388">
                  <c:v>149.68319507644654</c:v>
                </c:pt>
                <c:pt idx="389">
                  <c:v>149.6632185839315</c:v>
                </c:pt>
                <c:pt idx="390">
                  <c:v>149.64318405074522</c:v>
                </c:pt>
                <c:pt idx="391">
                  <c:v>149.62309193702129</c:v>
                </c:pt>
                <c:pt idx="392">
                  <c:v>149.60294270036505</c:v>
                </c:pt>
                <c:pt idx="393">
                  <c:v>149.58273679585525</c:v>
                </c:pt>
                <c:pt idx="394">
                  <c:v>149.56247467604649</c:v>
                </c:pt>
                <c:pt idx="395">
                  <c:v>149.54215679097112</c:v>
                </c:pt>
                <c:pt idx="396">
                  <c:v>149.5217835881428</c:v>
                </c:pt>
                <c:pt idx="397">
                  <c:v>149.50135551255906</c:v>
                </c:pt>
                <c:pt idx="398">
                  <c:v>149.48087300670534</c:v>
                </c:pt>
                <c:pt idx="399">
                  <c:v>149.46025225025809</c:v>
                </c:pt>
                <c:pt idx="400">
                  <c:v>149.43957833803259</c:v>
                </c:pt>
                <c:pt idx="401">
                  <c:v>149.41885170193973</c:v>
                </c:pt>
                <c:pt idx="402">
                  <c:v>149.39807277142651</c:v>
                </c:pt>
                <c:pt idx="403">
                  <c:v>149.37724197348061</c:v>
                </c:pt>
                <c:pt idx="404">
                  <c:v>149.35635973263521</c:v>
                </c:pt>
                <c:pt idx="405">
                  <c:v>149.33542647097443</c:v>
                </c:pt>
                <c:pt idx="406">
                  <c:v>149.31444260813839</c:v>
                </c:pt>
                <c:pt idx="407">
                  <c:v>149.29340856132922</c:v>
                </c:pt>
                <c:pt idx="408">
                  <c:v>149.27232474531658</c:v>
                </c:pt>
                <c:pt idx="409">
                  <c:v>149.25119157244413</c:v>
                </c:pt>
                <c:pt idx="410">
                  <c:v>149.23000945263573</c:v>
                </c:pt>
                <c:pt idx="411">
                  <c:v>149.20877879340182</c:v>
                </c:pt>
                <c:pt idx="412">
                  <c:v>149.18749999984666</c:v>
                </c:pt>
                <c:pt idx="413">
                  <c:v>149.16617347467465</c:v>
                </c:pt>
                <c:pt idx="414">
                  <c:v>149.14479961819805</c:v>
                </c:pt>
                <c:pt idx="415">
                  <c:v>149.12337882834385</c:v>
                </c:pt>
                <c:pt idx="416">
                  <c:v>149.10191150066183</c:v>
                </c:pt>
                <c:pt idx="417">
                  <c:v>149.0803980283315</c:v>
                </c:pt>
                <c:pt idx="418">
                  <c:v>149.05883880217058</c:v>
                </c:pt>
                <c:pt idx="419">
                  <c:v>149.03723421064262</c:v>
                </c:pt>
                <c:pt idx="420">
                  <c:v>149.01558463986532</c:v>
                </c:pt>
                <c:pt idx="421">
                  <c:v>148.99389047361873</c:v>
                </c:pt>
                <c:pt idx="422">
                  <c:v>148.97215209335354</c:v>
                </c:pt>
                <c:pt idx="423">
                  <c:v>148.95036987819989</c:v>
                </c:pt>
                <c:pt idx="424">
                  <c:v>148.92854420497591</c:v>
                </c:pt>
                <c:pt idx="425">
                  <c:v>148.90667544819638</c:v>
                </c:pt>
                <c:pt idx="426">
                  <c:v>148.88476398008203</c:v>
                </c:pt>
                <c:pt idx="427">
                  <c:v>148.862810170568</c:v>
                </c:pt>
                <c:pt idx="428">
                  <c:v>148.84081438731332</c:v>
                </c:pt>
                <c:pt idx="429">
                  <c:v>148.81877699571015</c:v>
                </c:pt>
                <c:pt idx="430">
                  <c:v>148.79669835889297</c:v>
                </c:pt>
                <c:pt idx="431">
                  <c:v>148.7745788377479</c:v>
                </c:pt>
                <c:pt idx="432">
                  <c:v>148.75241879092241</c:v>
                </c:pt>
                <c:pt idx="433">
                  <c:v>148.73021857483479</c:v>
                </c:pt>
                <c:pt idx="434">
                  <c:v>148.70797854368365</c:v>
                </c:pt>
                <c:pt idx="435">
                  <c:v>148.68569904945792</c:v>
                </c:pt>
                <c:pt idx="436">
                  <c:v>148.66338044194646</c:v>
                </c:pt>
                <c:pt idx="437">
                  <c:v>148.64102306874796</c:v>
                </c:pt>
                <c:pt idx="438">
                  <c:v>148.6186272752806</c:v>
                </c:pt>
                <c:pt idx="439">
                  <c:v>148.59619340479267</c:v>
                </c:pt>
                <c:pt idx="440">
                  <c:v>148.57372179837196</c:v>
                </c:pt>
                <c:pt idx="441">
                  <c:v>148.55121279495606</c:v>
                </c:pt>
                <c:pt idx="442">
                  <c:v>148.52866673134255</c:v>
                </c:pt>
                <c:pt idx="443">
                  <c:v>148.5060839421991</c:v>
                </c:pt>
                <c:pt idx="444">
                  <c:v>148.48346476007373</c:v>
                </c:pt>
                <c:pt idx="445">
                  <c:v>148.46080951540492</c:v>
                </c:pt>
                <c:pt idx="446">
                  <c:v>148.43811853653224</c:v>
                </c:pt>
                <c:pt idx="447">
                  <c:v>148.41539214970612</c:v>
                </c:pt>
                <c:pt idx="448">
                  <c:v>148.39263067909872</c:v>
                </c:pt>
                <c:pt idx="449">
                  <c:v>148.36983444681397</c:v>
                </c:pt>
                <c:pt idx="450">
                  <c:v>148.34700377289815</c:v>
                </c:pt>
                <c:pt idx="451">
                  <c:v>148.32413897535028</c:v>
                </c:pt>
                <c:pt idx="452">
                  <c:v>148.30124037013238</c:v>
                </c:pt>
                <c:pt idx="453">
                  <c:v>148.27830827118018</c:v>
                </c:pt>
                <c:pt idx="454">
                  <c:v>148.25534299041337</c:v>
                </c:pt>
                <c:pt idx="455">
                  <c:v>148.23234483774635</c:v>
                </c:pt>
                <c:pt idx="456">
                  <c:v>148.20927222063426</c:v>
                </c:pt>
                <c:pt idx="457">
                  <c:v>148.18616751542194</c:v>
                </c:pt>
                <c:pt idx="458">
                  <c:v>148.16303102492648</c:v>
                </c:pt>
                <c:pt idx="459">
                  <c:v>148.13986305001185</c:v>
                </c:pt>
                <c:pt idx="460">
                  <c:v>148.11666388959915</c:v>
                </c:pt>
                <c:pt idx="461">
                  <c:v>148.09343384067714</c:v>
                </c:pt>
                <c:pt idx="462">
                  <c:v>148.07017319831246</c:v>
                </c:pt>
                <c:pt idx="463">
                  <c:v>148.04688225566028</c:v>
                </c:pt>
                <c:pt idx="464">
                  <c:v>148.02356130397442</c:v>
                </c:pt>
                <c:pt idx="465">
                  <c:v>148.00021063261789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1E-4B66-89EA-88B3A259B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2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0891'!$L$2</c:f>
          <c:strCache>
            <c:ptCount val="1"/>
            <c:pt idx="0">
              <c:v>NGC 0891</c:v>
            </c:pt>
          </c:strCache>
        </c:strRef>
      </c:tx>
      <c:layout>
        <c:manualLayout>
          <c:xMode val="edge"/>
          <c:yMode val="edge"/>
          <c:x val="0.52334131200476852"/>
          <c:y val="0.703863371245260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0891'!$I$7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0891'!$A$8:$A$42</c:f>
              <c:numCache>
                <c:formatCode>General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0891'!$I$8:$I$42</c:f>
              <c:numCache>
                <c:formatCode>General</c:formatCode>
                <c:ptCount val="35"/>
                <c:pt idx="0">
                  <c:v>188.06</c:v>
                </c:pt>
                <c:pt idx="1">
                  <c:v>224.29</c:v>
                </c:pt>
                <c:pt idx="2">
                  <c:v>229.93</c:v>
                </c:pt>
                <c:pt idx="3">
                  <c:v>228.89</c:v>
                </c:pt>
                <c:pt idx="4">
                  <c:v>225.97</c:v>
                </c:pt>
                <c:pt idx="5">
                  <c:v>222.52</c:v>
                </c:pt>
                <c:pt idx="6">
                  <c:v>218.71</c:v>
                </c:pt>
                <c:pt idx="7">
                  <c:v>215.68</c:v>
                </c:pt>
                <c:pt idx="8">
                  <c:v>212.47</c:v>
                </c:pt>
                <c:pt idx="9">
                  <c:v>209.7</c:v>
                </c:pt>
                <c:pt idx="10">
                  <c:v>207.96</c:v>
                </c:pt>
                <c:pt idx="11">
                  <c:v>207.2</c:v>
                </c:pt>
                <c:pt idx="12">
                  <c:v>207.3</c:v>
                </c:pt>
                <c:pt idx="13">
                  <c:v>207.96</c:v>
                </c:pt>
                <c:pt idx="14">
                  <c:v>209.73</c:v>
                </c:pt>
                <c:pt idx="15">
                  <c:v>213.12</c:v>
                </c:pt>
                <c:pt idx="16">
                  <c:v>217.68</c:v>
                </c:pt>
                <c:pt idx="17">
                  <c:v>222.09</c:v>
                </c:pt>
                <c:pt idx="18">
                  <c:v>225.26</c:v>
                </c:pt>
                <c:pt idx="19">
                  <c:v>226.83</c:v>
                </c:pt>
                <c:pt idx="20">
                  <c:v>227.49</c:v>
                </c:pt>
                <c:pt idx="21">
                  <c:v>227.66</c:v>
                </c:pt>
                <c:pt idx="22">
                  <c:v>227.44</c:v>
                </c:pt>
                <c:pt idx="23">
                  <c:v>226.79</c:v>
                </c:pt>
                <c:pt idx="24">
                  <c:v>225.89</c:v>
                </c:pt>
                <c:pt idx="25">
                  <c:v>224.7</c:v>
                </c:pt>
                <c:pt idx="26">
                  <c:v>223.73</c:v>
                </c:pt>
                <c:pt idx="27">
                  <c:v>222.43</c:v>
                </c:pt>
                <c:pt idx="28">
                  <c:v>217.24</c:v>
                </c:pt>
                <c:pt idx="29">
                  <c:v>208.27</c:v>
                </c:pt>
                <c:pt idx="30">
                  <c:v>195.99</c:v>
                </c:pt>
                <c:pt idx="31">
                  <c:v>176.59</c:v>
                </c:pt>
                <c:pt idx="32">
                  <c:v>165.78</c:v>
                </c:pt>
                <c:pt idx="33">
                  <c:v>167.44</c:v>
                </c:pt>
                <c:pt idx="34">
                  <c:v>167.98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D-4DB7-8C33-DFCE835E8836}"/>
            </c:ext>
          </c:extLst>
        </c:ser>
        <c:ser>
          <c:idx val="1"/>
          <c:order val="1"/>
          <c:tx>
            <c:strRef>
              <c:f>'NGC 0891'!$K$7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0891'!$A$8:$A$42</c:f>
              <c:numCache>
                <c:formatCode>General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0891'!$K$8:$K$42</c:f>
              <c:numCache>
                <c:formatCode>0.0</c:formatCode>
                <c:ptCount val="35"/>
                <c:pt idx="0">
                  <c:v>206.40222764880664</c:v>
                </c:pt>
                <c:pt idx="1">
                  <c:v>217.78448323258445</c:v>
                </c:pt>
                <c:pt idx="2">
                  <c:v>219.48897286791941</c:v>
                </c:pt>
                <c:pt idx="3">
                  <c:v>218.9781355441352</c:v>
                </c:pt>
                <c:pt idx="4">
                  <c:v>217.78489674239327</c:v>
                </c:pt>
                <c:pt idx="5">
                  <c:v>216.70881269492833</c:v>
                </c:pt>
                <c:pt idx="6">
                  <c:v>215.78661975813182</c:v>
                </c:pt>
                <c:pt idx="7">
                  <c:v>215.24062930752999</c:v>
                </c:pt>
                <c:pt idx="8">
                  <c:v>215.05810106213471</c:v>
                </c:pt>
                <c:pt idx="9">
                  <c:v>215.1889473504763</c:v>
                </c:pt>
                <c:pt idx="10">
                  <c:v>215.5554557199257</c:v>
                </c:pt>
                <c:pt idx="11">
                  <c:v>216.09834808249951</c:v>
                </c:pt>
                <c:pt idx="12">
                  <c:v>216.72838284157416</c:v>
                </c:pt>
                <c:pt idx="13">
                  <c:v>217.32200464451915</c:v>
                </c:pt>
                <c:pt idx="14">
                  <c:v>217.82339920650261</c:v>
                </c:pt>
                <c:pt idx="15">
                  <c:v>218.10166725349231</c:v>
                </c:pt>
                <c:pt idx="16">
                  <c:v>218.12954929568019</c:v>
                </c:pt>
                <c:pt idx="17">
                  <c:v>217.83836239394051</c:v>
                </c:pt>
                <c:pt idx="18">
                  <c:v>217.19616548198871</c:v>
                </c:pt>
                <c:pt idx="19">
                  <c:v>216.14161047892961</c:v>
                </c:pt>
                <c:pt idx="20">
                  <c:v>214.70029792891637</c:v>
                </c:pt>
                <c:pt idx="21">
                  <c:v>212.89508810949715</c:v>
                </c:pt>
                <c:pt idx="22">
                  <c:v>210.77004966456258</c:v>
                </c:pt>
                <c:pt idx="23">
                  <c:v>208.39753033868521</c:v>
                </c:pt>
                <c:pt idx="24">
                  <c:v>205.93359643067848</c:v>
                </c:pt>
                <c:pt idx="25">
                  <c:v>203.43404299670911</c:v>
                </c:pt>
                <c:pt idx="26">
                  <c:v>201.09808137873478</c:v>
                </c:pt>
                <c:pt idx="27">
                  <c:v>199.0639603069047</c:v>
                </c:pt>
                <c:pt idx="28">
                  <c:v>197.45956926431862</c:v>
                </c:pt>
                <c:pt idx="29">
                  <c:v>196.42321741398737</c:v>
                </c:pt>
                <c:pt idx="30">
                  <c:v>196.07569029986806</c:v>
                </c:pt>
                <c:pt idx="31">
                  <c:v>196.5088462122832</c:v>
                </c:pt>
                <c:pt idx="32">
                  <c:v>197.77448207783996</c:v>
                </c:pt>
                <c:pt idx="33">
                  <c:v>199.93355773972146</c:v>
                </c:pt>
                <c:pt idx="34">
                  <c:v>202.97621325668385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9D-4DB7-8C33-DFCE835E8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0891'!$K$56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0891'!$A$57:$A$91</c15:sqref>
                        </c15:formulaRef>
                      </c:ext>
                    </c:extLst>
                    <c:numCache>
                      <c:formatCode>General</c:formatCode>
                      <c:ptCount val="35"/>
                      <c:pt idx="0">
                        <c:v>0.09</c:v>
                      </c:pt>
                      <c:pt idx="1">
                        <c:v>0.19</c:v>
                      </c:pt>
                      <c:pt idx="2">
                        <c:v>0.3</c:v>
                      </c:pt>
                      <c:pt idx="3">
                        <c:v>0.42</c:v>
                      </c:pt>
                      <c:pt idx="4">
                        <c:v>0.56000000000000005</c:v>
                      </c:pt>
                      <c:pt idx="5">
                        <c:v>0.7</c:v>
                      </c:pt>
                      <c:pt idx="6">
                        <c:v>0.86</c:v>
                      </c:pt>
                      <c:pt idx="7">
                        <c:v>1.04</c:v>
                      </c:pt>
                      <c:pt idx="8">
                        <c:v>1.23</c:v>
                      </c:pt>
                      <c:pt idx="9">
                        <c:v>1.45</c:v>
                      </c:pt>
                      <c:pt idx="10">
                        <c:v>1.68</c:v>
                      </c:pt>
                      <c:pt idx="11">
                        <c:v>1.94</c:v>
                      </c:pt>
                      <c:pt idx="12">
                        <c:v>2.23</c:v>
                      </c:pt>
                      <c:pt idx="13">
                        <c:v>2.54</c:v>
                      </c:pt>
                      <c:pt idx="14">
                        <c:v>2.89</c:v>
                      </c:pt>
                      <c:pt idx="15">
                        <c:v>3.27</c:v>
                      </c:pt>
                      <c:pt idx="16">
                        <c:v>3.69</c:v>
                      </c:pt>
                      <c:pt idx="17">
                        <c:v>4.1500000000000004</c:v>
                      </c:pt>
                      <c:pt idx="18">
                        <c:v>4.6500000000000004</c:v>
                      </c:pt>
                      <c:pt idx="19">
                        <c:v>5.21</c:v>
                      </c:pt>
                      <c:pt idx="20">
                        <c:v>5.82</c:v>
                      </c:pt>
                      <c:pt idx="21">
                        <c:v>6.49</c:v>
                      </c:pt>
                      <c:pt idx="22">
                        <c:v>7.23</c:v>
                      </c:pt>
                      <c:pt idx="23">
                        <c:v>8.0500000000000007</c:v>
                      </c:pt>
                      <c:pt idx="24">
                        <c:v>8.94</c:v>
                      </c:pt>
                      <c:pt idx="25">
                        <c:v>9.93</c:v>
                      </c:pt>
                      <c:pt idx="26">
                        <c:v>11.01</c:v>
                      </c:pt>
                      <c:pt idx="27">
                        <c:v>12.2</c:v>
                      </c:pt>
                      <c:pt idx="28">
                        <c:v>13.51</c:v>
                      </c:pt>
                      <c:pt idx="29">
                        <c:v>14.95</c:v>
                      </c:pt>
                      <c:pt idx="30">
                        <c:v>16.54</c:v>
                      </c:pt>
                      <c:pt idx="31">
                        <c:v>18.29</c:v>
                      </c:pt>
                      <c:pt idx="32">
                        <c:v>20.2</c:v>
                      </c:pt>
                      <c:pt idx="33">
                        <c:v>22.32</c:v>
                      </c:pt>
                      <c:pt idx="34">
                        <c:v>24.64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0891'!$K$57:$K$91</c15:sqref>
                        </c15:formulaRef>
                      </c:ext>
                    </c:extLst>
                    <c:numCache>
                      <c:formatCode>0.0</c:formatCode>
                      <c:ptCount val="35"/>
                      <c:pt idx="0">
                        <c:v>230.74810657600693</c:v>
                      </c:pt>
                      <c:pt idx="1">
                        <c:v>243.32888532319805</c:v>
                      </c:pt>
                      <c:pt idx="2">
                        <c:v>244.82152161404923</c:v>
                      </c:pt>
                      <c:pt idx="3">
                        <c:v>242.92188984775473</c:v>
                      </c:pt>
                      <c:pt idx="4">
                        <c:v>239.58391868920637</c:v>
                      </c:pt>
                      <c:pt idx="5">
                        <c:v>236.29371888653918</c:v>
                      </c:pt>
                      <c:pt idx="6">
                        <c:v>232.97589382279605</c:v>
                      </c:pt>
                      <c:pt idx="7">
                        <c:v>229.84766483411872</c:v>
                      </c:pt>
                      <c:pt idx="8">
                        <c:v>227.21705069083077</c:v>
                      </c:pt>
                      <c:pt idx="9">
                        <c:v>224.84553877337407</c:v>
                      </c:pt>
                      <c:pt idx="10">
                        <c:v>222.96772408811427</c:v>
                      </c:pt>
                      <c:pt idx="11">
                        <c:v>221.38579083991181</c:v>
                      </c:pt>
                      <c:pt idx="12">
                        <c:v>220.10054079180918</c:v>
                      </c:pt>
                      <c:pt idx="13">
                        <c:v>219.10172045405844</c:v>
                      </c:pt>
                      <c:pt idx="14">
                        <c:v>218.26641627304204</c:v>
                      </c:pt>
                      <c:pt idx="15">
                        <c:v>217.56391132395154</c:v>
                      </c:pt>
                      <c:pt idx="16">
                        <c:v>216.86293727917212</c:v>
                      </c:pt>
                      <c:pt idx="17">
                        <c:v>216.205053352406</c:v>
                      </c:pt>
                      <c:pt idx="18">
                        <c:v>215.45397197633758</c:v>
                      </c:pt>
                      <c:pt idx="19">
                        <c:v>214.56821144545111</c:v>
                      </c:pt>
                      <c:pt idx="20">
                        <c:v>213.4976794276518</c:v>
                      </c:pt>
                      <c:pt idx="21">
                        <c:v>212.19405334760506</c:v>
                      </c:pt>
                      <c:pt idx="22">
                        <c:v>210.62381410470257</c:v>
                      </c:pt>
                      <c:pt idx="23">
                        <c:v>208.76427462193294</c:v>
                      </c:pt>
                      <c:pt idx="24">
                        <c:v>206.65395929026411</c:v>
                      </c:pt>
                      <c:pt idx="25">
                        <c:v>204.24970095649914</c:v>
                      </c:pt>
                      <c:pt idx="26">
                        <c:v>201.60125216273599</c:v>
                      </c:pt>
                      <c:pt idx="27">
                        <c:v>198.71979474641208</c:v>
                      </c:pt>
                      <c:pt idx="28">
                        <c:v>195.66138456945257</c:v>
                      </c:pt>
                      <c:pt idx="29">
                        <c:v>192.43918578427866</c:v>
                      </c:pt>
                      <c:pt idx="30">
                        <c:v>189.07108450131639</c:v>
                      </c:pt>
                      <c:pt idx="31">
                        <c:v>185.61164261993866</c:v>
                      </c:pt>
                      <c:pt idx="32">
                        <c:v>182.10880399088148</c:v>
                      </c:pt>
                      <c:pt idx="33">
                        <c:v>178.52725842379346</c:v>
                      </c:pt>
                      <c:pt idx="34">
                        <c:v>174.93153698967538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4C9D-4DB7-8C33-DFCE835E8836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1365'!$L$2</c:f>
          <c:strCache>
            <c:ptCount val="1"/>
            <c:pt idx="0">
              <c:v>NGC 1365</c:v>
            </c:pt>
          </c:strCache>
        </c:strRef>
      </c:tx>
      <c:layout>
        <c:manualLayout>
          <c:xMode val="edge"/>
          <c:yMode val="edge"/>
          <c:x val="0.51966736117084311"/>
          <c:y val="0.6950831146106736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1365'!$I$7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1365'!$A$8:$A$44</c:f>
              <c:numCache>
                <c:formatCode>General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1365'!$I$8:$I$44</c:f>
              <c:numCache>
                <c:formatCode>General</c:formatCode>
                <c:ptCount val="37"/>
                <c:pt idx="0">
                  <c:v>180.58</c:v>
                </c:pt>
                <c:pt idx="1">
                  <c:v>229.61</c:v>
                </c:pt>
                <c:pt idx="2">
                  <c:v>238.7</c:v>
                </c:pt>
                <c:pt idx="3">
                  <c:v>241.17</c:v>
                </c:pt>
                <c:pt idx="4">
                  <c:v>241.74</c:v>
                </c:pt>
                <c:pt idx="5">
                  <c:v>241.55</c:v>
                </c:pt>
                <c:pt idx="6">
                  <c:v>240.72</c:v>
                </c:pt>
                <c:pt idx="7">
                  <c:v>239.4</c:v>
                </c:pt>
                <c:pt idx="8">
                  <c:v>236.44</c:v>
                </c:pt>
                <c:pt idx="9">
                  <c:v>231.81</c:v>
                </c:pt>
                <c:pt idx="10">
                  <c:v>225.81</c:v>
                </c:pt>
                <c:pt idx="11">
                  <c:v>220.92</c:v>
                </c:pt>
                <c:pt idx="12">
                  <c:v>218.68</c:v>
                </c:pt>
                <c:pt idx="13">
                  <c:v>220.55</c:v>
                </c:pt>
                <c:pt idx="14">
                  <c:v>228.29</c:v>
                </c:pt>
                <c:pt idx="15">
                  <c:v>241.21</c:v>
                </c:pt>
                <c:pt idx="16">
                  <c:v>255.4</c:v>
                </c:pt>
                <c:pt idx="17">
                  <c:v>266.19</c:v>
                </c:pt>
                <c:pt idx="18">
                  <c:v>271.62</c:v>
                </c:pt>
                <c:pt idx="19">
                  <c:v>273.77999999999997</c:v>
                </c:pt>
                <c:pt idx="20">
                  <c:v>274.77</c:v>
                </c:pt>
                <c:pt idx="21">
                  <c:v>274.45</c:v>
                </c:pt>
                <c:pt idx="22">
                  <c:v>273.07</c:v>
                </c:pt>
                <c:pt idx="23">
                  <c:v>271.04000000000002</c:v>
                </c:pt>
                <c:pt idx="24">
                  <c:v>268.42</c:v>
                </c:pt>
                <c:pt idx="25">
                  <c:v>264.64</c:v>
                </c:pt>
                <c:pt idx="26">
                  <c:v>259.33</c:v>
                </c:pt>
                <c:pt idx="27">
                  <c:v>253.7</c:v>
                </c:pt>
                <c:pt idx="28">
                  <c:v>247.83</c:v>
                </c:pt>
                <c:pt idx="29">
                  <c:v>242.76</c:v>
                </c:pt>
                <c:pt idx="30">
                  <c:v>239.24</c:v>
                </c:pt>
                <c:pt idx="31">
                  <c:v>236.58</c:v>
                </c:pt>
                <c:pt idx="32">
                  <c:v>234.44</c:v>
                </c:pt>
                <c:pt idx="33">
                  <c:v>232.91</c:v>
                </c:pt>
                <c:pt idx="34">
                  <c:v>230.3</c:v>
                </c:pt>
                <c:pt idx="35">
                  <c:v>223.21</c:v>
                </c:pt>
                <c:pt idx="36">
                  <c:v>214.86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D2-4BAC-B4E0-CE09AF85169D}"/>
            </c:ext>
          </c:extLst>
        </c:ser>
        <c:ser>
          <c:idx val="1"/>
          <c:order val="1"/>
          <c:tx>
            <c:strRef>
              <c:f>'NGC 1365'!$K$7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1365'!$A$8:$A$44</c:f>
              <c:numCache>
                <c:formatCode>General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1365'!$K$8:$K$44</c:f>
              <c:numCache>
                <c:formatCode>0.0</c:formatCode>
                <c:ptCount val="37"/>
                <c:pt idx="0">
                  <c:v>207.38589492207973</c:v>
                </c:pt>
                <c:pt idx="1">
                  <c:v>222.14741091436167</c:v>
                </c:pt>
                <c:pt idx="2">
                  <c:v>227.21562249565258</c:v>
                </c:pt>
                <c:pt idx="3">
                  <c:v>228.79242307124946</c:v>
                </c:pt>
                <c:pt idx="4">
                  <c:v>229.69404109357953</c:v>
                </c:pt>
                <c:pt idx="5">
                  <c:v>230.36413925220594</c:v>
                </c:pt>
                <c:pt idx="6">
                  <c:v>231.20852077488141</c:v>
                </c:pt>
                <c:pt idx="7">
                  <c:v>232.40912477578178</c:v>
                </c:pt>
                <c:pt idx="8">
                  <c:v>233.89887994690127</c:v>
                </c:pt>
                <c:pt idx="9">
                  <c:v>235.83055291573035</c:v>
                </c:pt>
                <c:pt idx="10">
                  <c:v>237.95789746747863</c:v>
                </c:pt>
                <c:pt idx="11">
                  <c:v>240.37713629666663</c:v>
                </c:pt>
                <c:pt idx="12">
                  <c:v>242.97857269163597</c:v>
                </c:pt>
                <c:pt idx="13">
                  <c:v>245.55875023861771</c:v>
                </c:pt>
                <c:pt idx="14">
                  <c:v>248.15776027224572</c:v>
                </c:pt>
                <c:pt idx="15">
                  <c:v>250.57101050048774</c:v>
                </c:pt>
                <c:pt idx="16">
                  <c:v>252.74487347461772</c:v>
                </c:pt>
                <c:pt idx="17">
                  <c:v>254.52165108748753</c:v>
                </c:pt>
                <c:pt idx="18">
                  <c:v>255.92826868983059</c:v>
                </c:pt>
                <c:pt idx="19">
                  <c:v>256.83660194633211</c:v>
                </c:pt>
                <c:pt idx="20">
                  <c:v>257.17023087533033</c:v>
                </c:pt>
                <c:pt idx="21">
                  <c:v>256.9231507104958</c:v>
                </c:pt>
                <c:pt idx="22">
                  <c:v>256.073750931875</c:v>
                </c:pt>
                <c:pt idx="23">
                  <c:v>254.62477226769056</c:v>
                </c:pt>
                <c:pt idx="24">
                  <c:v>252.65744105993093</c:v>
                </c:pt>
                <c:pt idx="25">
                  <c:v>250.20084017457859</c:v>
                </c:pt>
                <c:pt idx="26">
                  <c:v>247.4095819914466</c:v>
                </c:pt>
                <c:pt idx="27">
                  <c:v>244.3855726825584</c:v>
                </c:pt>
                <c:pt idx="28">
                  <c:v>241.30889936838767</c:v>
                </c:pt>
                <c:pt idx="29">
                  <c:v>238.36297770049745</c:v>
                </c:pt>
                <c:pt idx="30">
                  <c:v>235.69352918315181</c:v>
                </c:pt>
                <c:pt idx="31">
                  <c:v>233.51108226479116</c:v>
                </c:pt>
                <c:pt idx="32">
                  <c:v>231.9857019547415</c:v>
                </c:pt>
                <c:pt idx="33">
                  <c:v>231.23601771718353</c:v>
                </c:pt>
                <c:pt idx="34">
                  <c:v>231.38368388631542</c:v>
                </c:pt>
                <c:pt idx="35">
                  <c:v>232.50278260174943</c:v>
                </c:pt>
                <c:pt idx="36">
                  <c:v>234.64526345775207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D2-4BAC-B4E0-CE09AF85169D}"/>
            </c:ext>
          </c:extLst>
        </c:ser>
        <c:ser>
          <c:idx val="2"/>
          <c:order val="2"/>
          <c:tx>
            <c:strRef>
              <c:f>'NGC 1365'!$K$58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1365'!$A$59:$A$95</c:f>
              <c:numCache>
                <c:formatCode>General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1365'!$K$59:$K$95</c:f>
              <c:numCache>
                <c:formatCode>0.0</c:formatCode>
                <c:ptCount val="37"/>
                <c:pt idx="0">
                  <c:v>233.59535424466341</c:v>
                </c:pt>
                <c:pt idx="1">
                  <c:v>251.88098609979809</c:v>
                </c:pt>
                <c:pt idx="2">
                  <c:v>256.88309766007887</c:v>
                </c:pt>
                <c:pt idx="3">
                  <c:v>257.82526593550176</c:v>
                </c:pt>
                <c:pt idx="4">
                  <c:v>257.00355042392334</c:v>
                </c:pt>
                <c:pt idx="5">
                  <c:v>255.55074370662902</c:v>
                </c:pt>
                <c:pt idx="6">
                  <c:v>253.85414905447698</c:v>
                </c:pt>
                <c:pt idx="7">
                  <c:v>252.22960333147751</c:v>
                </c:pt>
                <c:pt idx="8">
                  <c:v>250.8873216234953</c:v>
                </c:pt>
                <c:pt idx="9">
                  <c:v>249.78090653979399</c:v>
                </c:pt>
                <c:pt idx="10">
                  <c:v>249.02008237257505</c:v>
                </c:pt>
                <c:pt idx="11">
                  <c:v>248.55938451600221</c:v>
                </c:pt>
                <c:pt idx="12">
                  <c:v>248.38930137070204</c:v>
                </c:pt>
                <c:pt idx="13">
                  <c:v>248.46056531385761</c:v>
                </c:pt>
                <c:pt idx="14">
                  <c:v>248.72285745309574</c:v>
                </c:pt>
                <c:pt idx="15">
                  <c:v>249.09976176661056</c:v>
                </c:pt>
                <c:pt idx="16">
                  <c:v>249.53212162067078</c:v>
                </c:pt>
                <c:pt idx="17">
                  <c:v>249.93912492734779</c:v>
                </c:pt>
                <c:pt idx="18">
                  <c:v>250.21716550888158</c:v>
                </c:pt>
                <c:pt idx="19">
                  <c:v>250.38302088098126</c:v>
                </c:pt>
                <c:pt idx="20">
                  <c:v>250.33853777966783</c:v>
                </c:pt>
                <c:pt idx="21">
                  <c:v>250.0560043835018</c:v>
                </c:pt>
                <c:pt idx="22">
                  <c:v>249.4764521031091</c:v>
                </c:pt>
                <c:pt idx="23">
                  <c:v>248.56709088692307</c:v>
                </c:pt>
                <c:pt idx="24">
                  <c:v>247.35974580424249</c:v>
                </c:pt>
                <c:pt idx="25">
                  <c:v>245.83520035486484</c:v>
                </c:pt>
                <c:pt idx="26">
                  <c:v>244.04205832202868</c:v>
                </c:pt>
                <c:pt idx="27">
                  <c:v>242.00292168118403</c:v>
                </c:pt>
                <c:pt idx="28">
                  <c:v>239.76016180078733</c:v>
                </c:pt>
                <c:pt idx="29">
                  <c:v>237.3405208756802</c:v>
                </c:pt>
                <c:pt idx="30">
                  <c:v>234.81458284713895</c:v>
                </c:pt>
                <c:pt idx="31">
                  <c:v>232.21642563473918</c:v>
                </c:pt>
                <c:pt idx="32">
                  <c:v>229.56967741679057</c:v>
                </c:pt>
                <c:pt idx="33">
                  <c:v>226.87510649213954</c:v>
                </c:pt>
                <c:pt idx="34">
                  <c:v>224.16621203302884</c:v>
                </c:pt>
                <c:pt idx="35">
                  <c:v>221.43684935153249</c:v>
                </c:pt>
                <c:pt idx="36">
                  <c:v>218.66454326133319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BAC-B4E0-CE09AF851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3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1642'!$L$2</c:f>
          <c:strCache>
            <c:ptCount val="1"/>
            <c:pt idx="0">
              <c:v>NGC 1642</c:v>
            </c:pt>
          </c:strCache>
        </c:strRef>
      </c:tx>
      <c:layout>
        <c:manualLayout>
          <c:xMode val="edge"/>
          <c:yMode val="edge"/>
          <c:x val="0.45687216722009683"/>
          <c:y val="0.6663721201516478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63528176178707"/>
          <c:y val="4.6134441528142313E-2"/>
          <c:w val="0.76930755395190775"/>
          <c:h val="0.7982020997375327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1642'!$I$7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1642'!$A$8:$A$23</c:f>
              <c:numCache>
                <c:formatCode>0.00</c:formatCode>
                <c:ptCount val="16"/>
                <c:pt idx="0">
                  <c:v>0.8</c:v>
                </c:pt>
                <c:pt idx="1">
                  <c:v>1.68</c:v>
                </c:pt>
                <c:pt idx="2">
                  <c:v>2.64</c:v>
                </c:pt>
                <c:pt idx="3">
                  <c:v>3.71</c:v>
                </c:pt>
                <c:pt idx="4">
                  <c:v>4.87</c:v>
                </c:pt>
                <c:pt idx="5">
                  <c:v>6.16</c:v>
                </c:pt>
                <c:pt idx="6">
                  <c:v>7.57</c:v>
                </c:pt>
                <c:pt idx="7">
                  <c:v>9.1300000000000008</c:v>
                </c:pt>
                <c:pt idx="8">
                  <c:v>10.84</c:v>
                </c:pt>
                <c:pt idx="9">
                  <c:v>12.72</c:v>
                </c:pt>
                <c:pt idx="10">
                  <c:v>14.79</c:v>
                </c:pt>
                <c:pt idx="11">
                  <c:v>17.07</c:v>
                </c:pt>
                <c:pt idx="12">
                  <c:v>19.579999999999998</c:v>
                </c:pt>
                <c:pt idx="13">
                  <c:v>22.33</c:v>
                </c:pt>
                <c:pt idx="14">
                  <c:v>25.37</c:v>
                </c:pt>
                <c:pt idx="15">
                  <c:v>28.7</c:v>
                </c:pt>
              </c:numCache>
            </c:numRef>
          </c:xVal>
          <c:yVal>
            <c:numRef>
              <c:f>'NGC 1642'!$I$8:$I$23</c:f>
              <c:numCache>
                <c:formatCode>0.00</c:formatCode>
                <c:ptCount val="16"/>
                <c:pt idx="0">
                  <c:v>144.56</c:v>
                </c:pt>
                <c:pt idx="1">
                  <c:v>201.75</c:v>
                </c:pt>
                <c:pt idx="2">
                  <c:v>206.03</c:v>
                </c:pt>
                <c:pt idx="3">
                  <c:v>208.58</c:v>
                </c:pt>
                <c:pt idx="4">
                  <c:v>213.65</c:v>
                </c:pt>
                <c:pt idx="5">
                  <c:v>219.11</c:v>
                </c:pt>
                <c:pt idx="6">
                  <c:v>224.12</c:v>
                </c:pt>
                <c:pt idx="7">
                  <c:v>220.66</c:v>
                </c:pt>
                <c:pt idx="8">
                  <c:v>221</c:v>
                </c:pt>
                <c:pt idx="9">
                  <c:v>215.85</c:v>
                </c:pt>
                <c:pt idx="10">
                  <c:v>206.7</c:v>
                </c:pt>
                <c:pt idx="11">
                  <c:v>198.22</c:v>
                </c:pt>
                <c:pt idx="12">
                  <c:v>192.68</c:v>
                </c:pt>
                <c:pt idx="13">
                  <c:v>190.08</c:v>
                </c:pt>
                <c:pt idx="14">
                  <c:v>190.97</c:v>
                </c:pt>
                <c:pt idx="15">
                  <c:v>192.5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A2-4831-966A-97F836FE7630}"/>
            </c:ext>
          </c:extLst>
        </c:ser>
        <c:ser>
          <c:idx val="1"/>
          <c:order val="1"/>
          <c:tx>
            <c:strRef>
              <c:f>'NGC 1642'!$K$7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1642'!$A$8:$A$23</c:f>
              <c:numCache>
                <c:formatCode>0.00</c:formatCode>
                <c:ptCount val="16"/>
                <c:pt idx="0">
                  <c:v>0.8</c:v>
                </c:pt>
                <c:pt idx="1">
                  <c:v>1.68</c:v>
                </c:pt>
                <c:pt idx="2">
                  <c:v>2.64</c:v>
                </c:pt>
                <c:pt idx="3">
                  <c:v>3.71</c:v>
                </c:pt>
                <c:pt idx="4">
                  <c:v>4.87</c:v>
                </c:pt>
                <c:pt idx="5">
                  <c:v>6.16</c:v>
                </c:pt>
                <c:pt idx="6">
                  <c:v>7.57</c:v>
                </c:pt>
                <c:pt idx="7">
                  <c:v>9.1300000000000008</c:v>
                </c:pt>
                <c:pt idx="8">
                  <c:v>10.84</c:v>
                </c:pt>
                <c:pt idx="9">
                  <c:v>12.72</c:v>
                </c:pt>
                <c:pt idx="10">
                  <c:v>14.79</c:v>
                </c:pt>
                <c:pt idx="11">
                  <c:v>17.07</c:v>
                </c:pt>
                <c:pt idx="12">
                  <c:v>19.579999999999998</c:v>
                </c:pt>
                <c:pt idx="13">
                  <c:v>22.33</c:v>
                </c:pt>
                <c:pt idx="14">
                  <c:v>25.37</c:v>
                </c:pt>
                <c:pt idx="15">
                  <c:v>28.7</c:v>
                </c:pt>
              </c:numCache>
            </c:numRef>
          </c:xVal>
          <c:yVal>
            <c:numRef>
              <c:f>'NGC 1642'!$K$8:$K$23</c:f>
              <c:numCache>
                <c:formatCode>0.0</c:formatCode>
                <c:ptCount val="16"/>
                <c:pt idx="0">
                  <c:v>147.79053248442</c:v>
                </c:pt>
                <c:pt idx="1">
                  <c:v>189.24130518764397</c:v>
                </c:pt>
                <c:pt idx="2">
                  <c:v>208.80125993635988</c:v>
                </c:pt>
                <c:pt idx="3">
                  <c:v>216.75733107908113</c:v>
                </c:pt>
                <c:pt idx="4">
                  <c:v>217.60704496082278</c:v>
                </c:pt>
                <c:pt idx="5">
                  <c:v>214.40813091756095</c:v>
                </c:pt>
                <c:pt idx="6">
                  <c:v>209.28849122827941</c:v>
                </c:pt>
                <c:pt idx="7">
                  <c:v>203.71604377594073</c:v>
                </c:pt>
                <c:pt idx="8">
                  <c:v>198.79462212548643</c:v>
                </c:pt>
                <c:pt idx="9">
                  <c:v>195.16204841340419</c:v>
                </c:pt>
                <c:pt idx="10">
                  <c:v>193.15245644226709</c:v>
                </c:pt>
                <c:pt idx="11">
                  <c:v>192.87629263644942</c:v>
                </c:pt>
                <c:pt idx="12">
                  <c:v>194.29650997706264</c:v>
                </c:pt>
                <c:pt idx="13">
                  <c:v>197.28190264947312</c:v>
                </c:pt>
                <c:pt idx="14">
                  <c:v>201.72019758272418</c:v>
                </c:pt>
                <c:pt idx="15">
                  <c:v>207.43620446595187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A2-4831-966A-97F836FE7630}"/>
            </c:ext>
          </c:extLst>
        </c:ser>
        <c:ser>
          <c:idx val="2"/>
          <c:order val="2"/>
          <c:tx>
            <c:strRef>
              <c:f>'NGC 1642'!$K$37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1642'!$A$38:$A$53</c:f>
              <c:numCache>
                <c:formatCode>0.00</c:formatCode>
                <c:ptCount val="16"/>
                <c:pt idx="0">
                  <c:v>0.8</c:v>
                </c:pt>
                <c:pt idx="1">
                  <c:v>1.68</c:v>
                </c:pt>
                <c:pt idx="2">
                  <c:v>2.64</c:v>
                </c:pt>
                <c:pt idx="3">
                  <c:v>3.71</c:v>
                </c:pt>
                <c:pt idx="4">
                  <c:v>4.87</c:v>
                </c:pt>
                <c:pt idx="5">
                  <c:v>6.16</c:v>
                </c:pt>
                <c:pt idx="6">
                  <c:v>7.57</c:v>
                </c:pt>
                <c:pt idx="7">
                  <c:v>9.1300000000000008</c:v>
                </c:pt>
                <c:pt idx="8">
                  <c:v>10.84</c:v>
                </c:pt>
                <c:pt idx="9">
                  <c:v>12.72</c:v>
                </c:pt>
                <c:pt idx="10">
                  <c:v>14.79</c:v>
                </c:pt>
                <c:pt idx="11">
                  <c:v>17.07</c:v>
                </c:pt>
                <c:pt idx="12">
                  <c:v>19.579999999999998</c:v>
                </c:pt>
                <c:pt idx="13">
                  <c:v>22.33</c:v>
                </c:pt>
                <c:pt idx="14">
                  <c:v>25.37</c:v>
                </c:pt>
                <c:pt idx="15">
                  <c:v>28.7</c:v>
                </c:pt>
              </c:numCache>
            </c:numRef>
          </c:xVal>
          <c:yVal>
            <c:numRef>
              <c:f>'NGC 1642'!$K$38:$K$53</c:f>
              <c:numCache>
                <c:formatCode>0.0</c:formatCode>
                <c:ptCount val="16"/>
                <c:pt idx="0">
                  <c:v>174.07529444576198</c:v>
                </c:pt>
                <c:pt idx="1">
                  <c:v>193.62563106519434</c:v>
                </c:pt>
                <c:pt idx="2">
                  <c:v>203.71258192609537</c:v>
                </c:pt>
                <c:pt idx="3">
                  <c:v>208.90168084235697</c:v>
                </c:pt>
                <c:pt idx="4">
                  <c:v>210.59780384783949</c:v>
                </c:pt>
                <c:pt idx="5">
                  <c:v>209.87083640407437</c:v>
                </c:pt>
                <c:pt idx="6">
                  <c:v>207.50910703445371</c:v>
                </c:pt>
                <c:pt idx="7">
                  <c:v>204.17556215108377</c:v>
                </c:pt>
                <c:pt idx="8">
                  <c:v>200.48267672967376</c:v>
                </c:pt>
                <c:pt idx="9">
                  <c:v>196.9000246528455</c:v>
                </c:pt>
                <c:pt idx="10">
                  <c:v>193.77741043578067</c:v>
                </c:pt>
                <c:pt idx="11">
                  <c:v>191.32261793485651</c:v>
                </c:pt>
                <c:pt idx="12">
                  <c:v>189.71006262800526</c:v>
                </c:pt>
                <c:pt idx="13">
                  <c:v>188.92329707483995</c:v>
                </c:pt>
                <c:pt idx="14">
                  <c:v>188.90352770127689</c:v>
                </c:pt>
                <c:pt idx="15">
                  <c:v>189.55968617137407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A2-4831-966A-97F836FE7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3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1808'!$L$2</c:f>
          <c:strCache>
            <c:ptCount val="1"/>
            <c:pt idx="0">
              <c:v>NGC 1808</c:v>
            </c:pt>
          </c:strCache>
        </c:strRef>
      </c:tx>
      <c:layout>
        <c:manualLayout>
          <c:xMode val="edge"/>
          <c:yMode val="edge"/>
          <c:x val="0.52317202318763723"/>
          <c:y val="0.704585885097696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1808'!$I$7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1808'!$A$8:$A$37</c:f>
              <c:numCache>
                <c:formatCode>General</c:formatCode>
                <c:ptCount val="30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</c:numCache>
            </c:numRef>
          </c:xVal>
          <c:yVal>
            <c:numRef>
              <c:f>'NGC 1808'!$I$8:$I$37</c:f>
              <c:numCache>
                <c:formatCode>General</c:formatCode>
                <c:ptCount val="30"/>
                <c:pt idx="0">
                  <c:v>174.54</c:v>
                </c:pt>
                <c:pt idx="1">
                  <c:v>202.57</c:v>
                </c:pt>
                <c:pt idx="2">
                  <c:v>206.73</c:v>
                </c:pt>
                <c:pt idx="3">
                  <c:v>207</c:v>
                </c:pt>
                <c:pt idx="4">
                  <c:v>206.35</c:v>
                </c:pt>
                <c:pt idx="5">
                  <c:v>204.96</c:v>
                </c:pt>
                <c:pt idx="6">
                  <c:v>202.55</c:v>
                </c:pt>
                <c:pt idx="7">
                  <c:v>200.4</c:v>
                </c:pt>
                <c:pt idx="8">
                  <c:v>197.35</c:v>
                </c:pt>
                <c:pt idx="9">
                  <c:v>194.08</c:v>
                </c:pt>
                <c:pt idx="10">
                  <c:v>192.51</c:v>
                </c:pt>
                <c:pt idx="11">
                  <c:v>191.52</c:v>
                </c:pt>
                <c:pt idx="12">
                  <c:v>190.78</c:v>
                </c:pt>
                <c:pt idx="13">
                  <c:v>190.57</c:v>
                </c:pt>
                <c:pt idx="14">
                  <c:v>190.16</c:v>
                </c:pt>
                <c:pt idx="15">
                  <c:v>189.17</c:v>
                </c:pt>
                <c:pt idx="16">
                  <c:v>189.02</c:v>
                </c:pt>
                <c:pt idx="17">
                  <c:v>191.42</c:v>
                </c:pt>
                <c:pt idx="18">
                  <c:v>195.55</c:v>
                </c:pt>
                <c:pt idx="19">
                  <c:v>199.35</c:v>
                </c:pt>
                <c:pt idx="20">
                  <c:v>201.43</c:v>
                </c:pt>
                <c:pt idx="21">
                  <c:v>199.83</c:v>
                </c:pt>
                <c:pt idx="22">
                  <c:v>193.41</c:v>
                </c:pt>
                <c:pt idx="23">
                  <c:v>183.44</c:v>
                </c:pt>
                <c:pt idx="24">
                  <c:v>175.99</c:v>
                </c:pt>
                <c:pt idx="25">
                  <c:v>172.74</c:v>
                </c:pt>
                <c:pt idx="26">
                  <c:v>169.7</c:v>
                </c:pt>
                <c:pt idx="27">
                  <c:v>163.72</c:v>
                </c:pt>
                <c:pt idx="28">
                  <c:v>149.72999999999999</c:v>
                </c:pt>
                <c:pt idx="29">
                  <c:v>134.77000000000001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AC-4E27-B234-F68A07E8AA59}"/>
            </c:ext>
          </c:extLst>
        </c:ser>
        <c:ser>
          <c:idx val="1"/>
          <c:order val="1"/>
          <c:tx>
            <c:strRef>
              <c:f>'NGC 1808'!$K$7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1808'!$A$8:$A$37</c:f>
              <c:numCache>
                <c:formatCode>General</c:formatCode>
                <c:ptCount val="30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</c:numCache>
            </c:numRef>
          </c:xVal>
          <c:yVal>
            <c:numRef>
              <c:f>'NGC 1808'!$K$8:$K$37</c:f>
              <c:numCache>
                <c:formatCode>0.0</c:formatCode>
                <c:ptCount val="30"/>
                <c:pt idx="0">
                  <c:v>184.99696463768606</c:v>
                </c:pt>
                <c:pt idx="1">
                  <c:v>197.6363650772943</c:v>
                </c:pt>
                <c:pt idx="2">
                  <c:v>201.50185135895705</c:v>
                </c:pt>
                <c:pt idx="3">
                  <c:v>202.099202865915</c:v>
                </c:pt>
                <c:pt idx="4">
                  <c:v>201.81616079292399</c:v>
                </c:pt>
                <c:pt idx="5">
                  <c:v>201.20280970634442</c:v>
                </c:pt>
                <c:pt idx="6">
                  <c:v>200.45091465109584</c:v>
                </c:pt>
                <c:pt idx="7">
                  <c:v>199.69772970660429</c:v>
                </c:pt>
                <c:pt idx="8">
                  <c:v>198.96066122446524</c:v>
                </c:pt>
                <c:pt idx="9">
                  <c:v>198.20538220023241</c:v>
                </c:pt>
                <c:pt idx="10">
                  <c:v>197.44987877992284</c:v>
                </c:pt>
                <c:pt idx="11">
                  <c:v>196.58812616907503</c:v>
                </c:pt>
                <c:pt idx="12">
                  <c:v>195.56169324122459</c:v>
                </c:pt>
                <c:pt idx="13">
                  <c:v>194.37672236424271</c:v>
                </c:pt>
                <c:pt idx="14">
                  <c:v>192.92356458344668</c:v>
                </c:pt>
                <c:pt idx="15">
                  <c:v>191.23131322748651</c:v>
                </c:pt>
                <c:pt idx="16">
                  <c:v>189.26165363658652</c:v>
                </c:pt>
                <c:pt idx="17">
                  <c:v>186.99945358685349</c:v>
                </c:pt>
                <c:pt idx="18">
                  <c:v>184.6113878791397</c:v>
                </c:pt>
                <c:pt idx="19">
                  <c:v>182.00443818790535</c:v>
                </c:pt>
                <c:pt idx="20">
                  <c:v>179.30717011398772</c:v>
                </c:pt>
                <c:pt idx="21">
                  <c:v>176.62916338377613</c:v>
                </c:pt>
                <c:pt idx="22">
                  <c:v>174.06002025623448</c:v>
                </c:pt>
                <c:pt idx="23">
                  <c:v>171.71543446613077</c:v>
                </c:pt>
                <c:pt idx="24">
                  <c:v>169.76269126665986</c:v>
                </c:pt>
                <c:pt idx="25">
                  <c:v>168.26433673198642</c:v>
                </c:pt>
                <c:pt idx="26">
                  <c:v>167.35922162098561</c:v>
                </c:pt>
                <c:pt idx="27">
                  <c:v>167.09978071884672</c:v>
                </c:pt>
                <c:pt idx="28">
                  <c:v>167.57567267678817</c:v>
                </c:pt>
                <c:pt idx="29">
                  <c:v>168.82401002642123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AC-4E27-B234-F68A07E8AA59}"/>
            </c:ext>
          </c:extLst>
        </c:ser>
        <c:ser>
          <c:idx val="2"/>
          <c:order val="2"/>
          <c:tx>
            <c:strRef>
              <c:f>'NGC 1808'!$K$51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1808'!$A$52:$A$81</c:f>
              <c:numCache>
                <c:formatCode>General</c:formatCode>
                <c:ptCount val="30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</c:numCache>
            </c:numRef>
          </c:xVal>
          <c:yVal>
            <c:numRef>
              <c:f>'NGC 1808'!$K$52:$K$81</c:f>
              <c:numCache>
                <c:formatCode>0.0</c:formatCode>
                <c:ptCount val="30"/>
                <c:pt idx="0">
                  <c:v>209.90539152722582</c:v>
                </c:pt>
                <c:pt idx="1">
                  <c:v>221.15289586159392</c:v>
                </c:pt>
                <c:pt idx="2">
                  <c:v>222.29440482422956</c:v>
                </c:pt>
                <c:pt idx="3">
                  <c:v>220.7728185622712</c:v>
                </c:pt>
                <c:pt idx="4">
                  <c:v>218.07700181451392</c:v>
                </c:pt>
                <c:pt idx="5">
                  <c:v>215.36614690796839</c:v>
                </c:pt>
                <c:pt idx="6">
                  <c:v>212.57538343107959</c:v>
                </c:pt>
                <c:pt idx="7">
                  <c:v>209.81045352766031</c:v>
                </c:pt>
                <c:pt idx="8">
                  <c:v>207.34992444683152</c:v>
                </c:pt>
                <c:pt idx="9">
                  <c:v>204.96232975484776</c:v>
                </c:pt>
                <c:pt idx="10">
                  <c:v>202.84241238932253</c:v>
                </c:pt>
                <c:pt idx="11">
                  <c:v>200.80174969512009</c:v>
                </c:pt>
                <c:pt idx="12">
                  <c:v>198.82817667010545</c:v>
                </c:pt>
                <c:pt idx="13">
                  <c:v>196.95114807728973</c:v>
                </c:pt>
                <c:pt idx="14">
                  <c:v>195.01691225541683</c:v>
                </c:pt>
                <c:pt idx="15">
                  <c:v>193.04720685164068</c:v>
                </c:pt>
                <c:pt idx="16">
                  <c:v>190.90140800947077</c:v>
                </c:pt>
                <c:pt idx="17">
                  <c:v>188.68276245921686</c:v>
                </c:pt>
                <c:pt idx="18">
                  <c:v>186.28675217944595</c:v>
                </c:pt>
                <c:pt idx="19">
                  <c:v>183.57453894493588</c:v>
                </c:pt>
                <c:pt idx="20">
                  <c:v>180.61954211912078</c:v>
                </c:pt>
                <c:pt idx="21">
                  <c:v>177.38095235204199</c:v>
                </c:pt>
                <c:pt idx="22">
                  <c:v>173.828886889849</c:v>
                </c:pt>
                <c:pt idx="23">
                  <c:v>169.94695711083884</c:v>
                </c:pt>
                <c:pt idx="24">
                  <c:v>165.83808239165751</c:v>
                </c:pt>
                <c:pt idx="25">
                  <c:v>161.43028130527088</c:v>
                </c:pt>
                <c:pt idx="26">
                  <c:v>156.82567487632133</c:v>
                </c:pt>
                <c:pt idx="27">
                  <c:v>152.06939596813615</c:v>
                </c:pt>
                <c:pt idx="28">
                  <c:v>147.20332040863997</c:v>
                </c:pt>
                <c:pt idx="29">
                  <c:v>142.26320303855977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AC-4E27-B234-F68A07E8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2403'!$L$2</c:f>
          <c:strCache>
            <c:ptCount val="1"/>
            <c:pt idx="0">
              <c:v>NGC 2403</c:v>
            </c:pt>
          </c:strCache>
        </c:strRef>
      </c:tx>
      <c:layout>
        <c:manualLayout>
          <c:xMode val="edge"/>
          <c:yMode val="edge"/>
          <c:x val="0.52383000334742613"/>
          <c:y val="0.704292067658209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2403'!$I$7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2403'!$A$8:$A$39</c:f>
              <c:numCache>
                <c:formatCode>General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2403'!$I$8:$I$39</c:f>
              <c:numCache>
                <c:formatCode>General</c:formatCode>
                <c:ptCount val="32"/>
                <c:pt idx="0">
                  <c:v>51.23</c:v>
                </c:pt>
                <c:pt idx="1">
                  <c:v>65</c:v>
                </c:pt>
                <c:pt idx="2">
                  <c:v>70.81</c:v>
                </c:pt>
                <c:pt idx="3">
                  <c:v>74.14</c:v>
                </c:pt>
                <c:pt idx="4">
                  <c:v>76.66</c:v>
                </c:pt>
                <c:pt idx="5">
                  <c:v>78.739999999999995</c:v>
                </c:pt>
                <c:pt idx="6">
                  <c:v>80.73</c:v>
                </c:pt>
                <c:pt idx="7">
                  <c:v>82.63</c:v>
                </c:pt>
                <c:pt idx="8">
                  <c:v>85.41</c:v>
                </c:pt>
                <c:pt idx="9">
                  <c:v>88.08</c:v>
                </c:pt>
                <c:pt idx="10">
                  <c:v>90.5</c:v>
                </c:pt>
                <c:pt idx="11">
                  <c:v>92.86</c:v>
                </c:pt>
                <c:pt idx="12">
                  <c:v>95.26</c:v>
                </c:pt>
                <c:pt idx="13">
                  <c:v>98.57</c:v>
                </c:pt>
                <c:pt idx="14">
                  <c:v>102.9</c:v>
                </c:pt>
                <c:pt idx="15">
                  <c:v>107.83</c:v>
                </c:pt>
                <c:pt idx="16">
                  <c:v>113.39</c:v>
                </c:pt>
                <c:pt idx="17">
                  <c:v>119.24</c:v>
                </c:pt>
                <c:pt idx="18">
                  <c:v>123.65</c:v>
                </c:pt>
                <c:pt idx="19">
                  <c:v>125.73</c:v>
                </c:pt>
                <c:pt idx="20">
                  <c:v>126.79</c:v>
                </c:pt>
                <c:pt idx="21">
                  <c:v>127.58</c:v>
                </c:pt>
                <c:pt idx="22">
                  <c:v>128.19999999999999</c:v>
                </c:pt>
                <c:pt idx="23">
                  <c:v>128.6</c:v>
                </c:pt>
                <c:pt idx="24">
                  <c:v>129.22</c:v>
                </c:pt>
                <c:pt idx="25">
                  <c:v>130.77000000000001</c:v>
                </c:pt>
                <c:pt idx="26">
                  <c:v>132.87</c:v>
                </c:pt>
                <c:pt idx="27">
                  <c:v>135.13</c:v>
                </c:pt>
                <c:pt idx="28">
                  <c:v>136.65</c:v>
                </c:pt>
                <c:pt idx="29">
                  <c:v>135.69</c:v>
                </c:pt>
                <c:pt idx="30">
                  <c:v>133.84</c:v>
                </c:pt>
                <c:pt idx="31">
                  <c:v>134.08000000000001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7D-4D4F-93C6-F2C0A5FD4D03}"/>
            </c:ext>
          </c:extLst>
        </c:ser>
        <c:ser>
          <c:idx val="1"/>
          <c:order val="1"/>
          <c:tx>
            <c:strRef>
              <c:f>'NGC 2403'!$K$7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2403'!$A$8:$A$39</c:f>
              <c:numCache>
                <c:formatCode>General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2403'!$K$8:$K$39</c:f>
              <c:numCache>
                <c:formatCode>0.0</c:formatCode>
                <c:ptCount val="32"/>
                <c:pt idx="0">
                  <c:v>55.791909450577357</c:v>
                </c:pt>
                <c:pt idx="1">
                  <c:v>62.169540148429547</c:v>
                </c:pt>
                <c:pt idx="2">
                  <c:v>66.427245853424338</c:v>
                </c:pt>
                <c:pt idx="3">
                  <c:v>70.074247121035569</c:v>
                </c:pt>
                <c:pt idx="4">
                  <c:v>73.730702950099442</c:v>
                </c:pt>
                <c:pt idx="5">
                  <c:v>76.968297986231903</c:v>
                </c:pt>
                <c:pt idx="6">
                  <c:v>80.259096218702084</c:v>
                </c:pt>
                <c:pt idx="7">
                  <c:v>83.533336190624055</c:v>
                </c:pt>
                <c:pt idx="8">
                  <c:v>86.566589521307876</c:v>
                </c:pt>
                <c:pt idx="9">
                  <c:v>89.621555094756985</c:v>
                </c:pt>
                <c:pt idx="10">
                  <c:v>92.370680113220672</c:v>
                </c:pt>
                <c:pt idx="11">
                  <c:v>95.024335813528353</c:v>
                </c:pt>
                <c:pt idx="12">
                  <c:v>97.520779541242163</c:v>
                </c:pt>
                <c:pt idx="13">
                  <c:v>99.756765588908422</c:v>
                </c:pt>
                <c:pt idx="14">
                  <c:v>101.86166211400921</c:v>
                </c:pt>
                <c:pt idx="15">
                  <c:v>103.75873424865976</c:v>
                </c:pt>
                <c:pt idx="16">
                  <c:v>105.52393884762806</c:v>
                </c:pt>
                <c:pt idx="17">
                  <c:v>107.17113528644319</c:v>
                </c:pt>
                <c:pt idx="18">
                  <c:v>108.73810600800033</c:v>
                </c:pt>
                <c:pt idx="19">
                  <c:v>110.32961418498942</c:v>
                </c:pt>
                <c:pt idx="20">
                  <c:v>111.96796691076258</c:v>
                </c:pt>
                <c:pt idx="21">
                  <c:v>113.737756333391</c:v>
                </c:pt>
                <c:pt idx="22">
                  <c:v>115.72167909684053</c:v>
                </c:pt>
                <c:pt idx="23">
                  <c:v>117.99917560684261</c:v>
                </c:pt>
                <c:pt idx="24">
                  <c:v>120.58251175422494</c:v>
                </c:pt>
                <c:pt idx="25">
                  <c:v>123.58776400086229</c:v>
                </c:pt>
                <c:pt idx="26">
                  <c:v>126.99986072496525</c:v>
                </c:pt>
                <c:pt idx="27">
                  <c:v>130.87551098475546</c:v>
                </c:pt>
                <c:pt idx="28">
                  <c:v>135.22919052916887</c:v>
                </c:pt>
                <c:pt idx="29">
                  <c:v>140.0633814997918</c:v>
                </c:pt>
                <c:pt idx="30">
                  <c:v>145.4027590881586</c:v>
                </c:pt>
                <c:pt idx="31">
                  <c:v>151.23093257088047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7D-4D4F-93C6-F2C0A5FD4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2403'!$K$53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2403'!$A$54:$A$85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0.09</c:v>
                      </c:pt>
                      <c:pt idx="1">
                        <c:v>0.19</c:v>
                      </c:pt>
                      <c:pt idx="2">
                        <c:v>0.3</c:v>
                      </c:pt>
                      <c:pt idx="3">
                        <c:v>0.42</c:v>
                      </c:pt>
                      <c:pt idx="4">
                        <c:v>0.56000000000000005</c:v>
                      </c:pt>
                      <c:pt idx="5">
                        <c:v>0.7</c:v>
                      </c:pt>
                      <c:pt idx="6">
                        <c:v>0.86</c:v>
                      </c:pt>
                      <c:pt idx="7">
                        <c:v>1.04</c:v>
                      </c:pt>
                      <c:pt idx="8">
                        <c:v>1.23</c:v>
                      </c:pt>
                      <c:pt idx="9">
                        <c:v>1.45</c:v>
                      </c:pt>
                      <c:pt idx="10">
                        <c:v>1.68</c:v>
                      </c:pt>
                      <c:pt idx="11">
                        <c:v>1.94</c:v>
                      </c:pt>
                      <c:pt idx="12">
                        <c:v>2.23</c:v>
                      </c:pt>
                      <c:pt idx="13">
                        <c:v>2.54</c:v>
                      </c:pt>
                      <c:pt idx="14">
                        <c:v>2.89</c:v>
                      </c:pt>
                      <c:pt idx="15">
                        <c:v>3.27</c:v>
                      </c:pt>
                      <c:pt idx="16">
                        <c:v>3.69</c:v>
                      </c:pt>
                      <c:pt idx="17">
                        <c:v>4.1500000000000004</c:v>
                      </c:pt>
                      <c:pt idx="18">
                        <c:v>4.6500000000000004</c:v>
                      </c:pt>
                      <c:pt idx="19">
                        <c:v>5.21</c:v>
                      </c:pt>
                      <c:pt idx="20">
                        <c:v>5.82</c:v>
                      </c:pt>
                      <c:pt idx="21">
                        <c:v>6.49</c:v>
                      </c:pt>
                      <c:pt idx="22">
                        <c:v>7.23</c:v>
                      </c:pt>
                      <c:pt idx="23">
                        <c:v>8.0500000000000007</c:v>
                      </c:pt>
                      <c:pt idx="24">
                        <c:v>8.94</c:v>
                      </c:pt>
                      <c:pt idx="25">
                        <c:v>9.93</c:v>
                      </c:pt>
                      <c:pt idx="26">
                        <c:v>11.01</c:v>
                      </c:pt>
                      <c:pt idx="27">
                        <c:v>12.2</c:v>
                      </c:pt>
                      <c:pt idx="28">
                        <c:v>13.51</c:v>
                      </c:pt>
                      <c:pt idx="29">
                        <c:v>14.95</c:v>
                      </c:pt>
                      <c:pt idx="30">
                        <c:v>16.54</c:v>
                      </c:pt>
                      <c:pt idx="31">
                        <c:v>18.29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2403'!$K$54:$K$85</c15:sqref>
                        </c15:formulaRef>
                      </c:ext>
                    </c:extLst>
                    <c:numCache>
                      <c:formatCode>0.0</c:formatCode>
                      <c:ptCount val="32"/>
                      <c:pt idx="0">
                        <c:v>58.067603565386726</c:v>
                      </c:pt>
                      <c:pt idx="1">
                        <c:v>57.448373229232118</c:v>
                      </c:pt>
                      <c:pt idx="2">
                        <c:v>58.403026752700079</c:v>
                      </c:pt>
                      <c:pt idx="3">
                        <c:v>60.595902237071357</c:v>
                      </c:pt>
                      <c:pt idx="4">
                        <c:v>63.790313488717977</c:v>
                      </c:pt>
                      <c:pt idx="5">
                        <c:v>67.186808108610009</c:v>
                      </c:pt>
                      <c:pt idx="6">
                        <c:v>71.028305190314626</c:v>
                      </c:pt>
                      <c:pt idx="7">
                        <c:v>75.150981917071149</c:v>
                      </c:pt>
                      <c:pt idx="8">
                        <c:v>79.20806695413745</c:v>
                      </c:pt>
                      <c:pt idx="9">
                        <c:v>83.513947050873668</c:v>
                      </c:pt>
                      <c:pt idx="10">
                        <c:v>87.596803620211716</c:v>
                      </c:pt>
                      <c:pt idx="11">
                        <c:v>91.74968903017718</c:v>
                      </c:pt>
                      <c:pt idx="12">
                        <c:v>95.876827086752485</c:v>
                      </c:pt>
                      <c:pt idx="13">
                        <c:v>99.786991836931534</c:v>
                      </c:pt>
                      <c:pt idx="14">
                        <c:v>103.67472486634324</c:v>
                      </c:pt>
                      <c:pt idx="15">
                        <c:v>107.36079077902131</c:v>
                      </c:pt>
                      <c:pt idx="16">
                        <c:v>110.89795919264296</c:v>
                      </c:pt>
                      <c:pt idx="17">
                        <c:v>114.23556230183168</c:v>
                      </c:pt>
                      <c:pt idx="18">
                        <c:v>117.33883931470035</c:v>
                      </c:pt>
                      <c:pt idx="19">
                        <c:v>120.28364034892587</c:v>
                      </c:pt>
                      <c:pt idx="20">
                        <c:v>122.97145711362585</c:v>
                      </c:pt>
                      <c:pt idx="21">
                        <c:v>125.41817427487085</c:v>
                      </c:pt>
                      <c:pt idx="22">
                        <c:v>127.62592668587357</c:v>
                      </c:pt>
                      <c:pt idx="23">
                        <c:v>129.58841755234062</c:v>
                      </c:pt>
                      <c:pt idx="24">
                        <c:v>131.26223790132406</c:v>
                      </c:pt>
                      <c:pt idx="25">
                        <c:v>132.68582630143422</c:v>
                      </c:pt>
                      <c:pt idx="26">
                        <c:v>133.8284736343318</c:v>
                      </c:pt>
                      <c:pt idx="27">
                        <c:v>134.70483222837007</c:v>
                      </c:pt>
                      <c:pt idx="28">
                        <c:v>135.31521141104193</c:v>
                      </c:pt>
                      <c:pt idx="29">
                        <c:v>135.66288507749431</c:v>
                      </c:pt>
                      <c:pt idx="30">
                        <c:v>135.75426589503746</c:v>
                      </c:pt>
                      <c:pt idx="31">
                        <c:v>135.59531756358155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687D-4D4F-93C6-F2C0A5FD4D03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2543'!$L$2</c:f>
          <c:strCache>
            <c:ptCount val="1"/>
            <c:pt idx="0">
              <c:v>NGC 2543</c:v>
            </c:pt>
          </c:strCache>
        </c:strRef>
      </c:tx>
      <c:layout>
        <c:manualLayout>
          <c:xMode val="edge"/>
          <c:yMode val="edge"/>
          <c:x val="0.5298926248696777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lineMarker"/>
        <c:varyColors val="0"/>
        <c:ser>
          <c:idx val="0"/>
          <c:order val="0"/>
          <c:tx>
            <c:strRef>
              <c:f>'NGC 2543'!$I$7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2543'!$A$8:$A$22</c:f>
              <c:numCache>
                <c:formatCode>0.00</c:formatCode>
                <c:ptCount val="15"/>
                <c:pt idx="0">
                  <c:v>0.38</c:v>
                </c:pt>
                <c:pt idx="1">
                  <c:v>0.8</c:v>
                </c:pt>
                <c:pt idx="2">
                  <c:v>1.27</c:v>
                </c:pt>
                <c:pt idx="3">
                  <c:v>1.77</c:v>
                </c:pt>
                <c:pt idx="4">
                  <c:v>2.33</c:v>
                </c:pt>
                <c:pt idx="5">
                  <c:v>2.95</c:v>
                </c:pt>
                <c:pt idx="6">
                  <c:v>3.63</c:v>
                </c:pt>
                <c:pt idx="7">
                  <c:v>4.37</c:v>
                </c:pt>
                <c:pt idx="8">
                  <c:v>5.19</c:v>
                </c:pt>
                <c:pt idx="9">
                  <c:v>6.09</c:v>
                </c:pt>
                <c:pt idx="10">
                  <c:v>7.09</c:v>
                </c:pt>
                <c:pt idx="11">
                  <c:v>8.18</c:v>
                </c:pt>
                <c:pt idx="12">
                  <c:v>9.3800000000000008</c:v>
                </c:pt>
                <c:pt idx="13">
                  <c:v>10.7</c:v>
                </c:pt>
                <c:pt idx="14">
                  <c:v>12.15</c:v>
                </c:pt>
              </c:numCache>
            </c:numRef>
          </c:xVal>
          <c:yVal>
            <c:numRef>
              <c:f>'NGC 2543'!$I$8:$I$22</c:f>
              <c:numCache>
                <c:formatCode>0.00</c:formatCode>
                <c:ptCount val="15"/>
                <c:pt idx="0">
                  <c:v>58.88</c:v>
                </c:pt>
                <c:pt idx="1">
                  <c:v>110.44</c:v>
                </c:pt>
                <c:pt idx="2">
                  <c:v>112.51</c:v>
                </c:pt>
                <c:pt idx="3">
                  <c:v>116.47</c:v>
                </c:pt>
                <c:pt idx="4">
                  <c:v>128.41</c:v>
                </c:pt>
                <c:pt idx="5">
                  <c:v>127.37</c:v>
                </c:pt>
                <c:pt idx="6">
                  <c:v>132.36000000000001</c:v>
                </c:pt>
                <c:pt idx="7">
                  <c:v>158.4</c:v>
                </c:pt>
                <c:pt idx="8">
                  <c:v>179.31</c:v>
                </c:pt>
                <c:pt idx="9">
                  <c:v>193.52</c:v>
                </c:pt>
                <c:pt idx="10">
                  <c:v>199.81</c:v>
                </c:pt>
                <c:pt idx="11">
                  <c:v>198.57</c:v>
                </c:pt>
                <c:pt idx="12">
                  <c:v>193.33</c:v>
                </c:pt>
                <c:pt idx="13">
                  <c:v>194.91</c:v>
                </c:pt>
                <c:pt idx="14">
                  <c:v>197.32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76-4629-B7A4-4D39F1B59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scatterChart>
        <c:scatterStyle val="smoothMarker"/>
        <c:varyColors val="0"/>
        <c:ser>
          <c:idx val="1"/>
          <c:order val="1"/>
          <c:tx>
            <c:strRef>
              <c:f>'NGC 2543'!$K$7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2543'!$A$8:$A$22</c:f>
              <c:numCache>
                <c:formatCode>0.00</c:formatCode>
                <c:ptCount val="15"/>
                <c:pt idx="0">
                  <c:v>0.38</c:v>
                </c:pt>
                <c:pt idx="1">
                  <c:v>0.8</c:v>
                </c:pt>
                <c:pt idx="2">
                  <c:v>1.27</c:v>
                </c:pt>
                <c:pt idx="3">
                  <c:v>1.77</c:v>
                </c:pt>
                <c:pt idx="4">
                  <c:v>2.33</c:v>
                </c:pt>
                <c:pt idx="5">
                  <c:v>2.95</c:v>
                </c:pt>
                <c:pt idx="6">
                  <c:v>3.63</c:v>
                </c:pt>
                <c:pt idx="7">
                  <c:v>4.37</c:v>
                </c:pt>
                <c:pt idx="8">
                  <c:v>5.19</c:v>
                </c:pt>
                <c:pt idx="9">
                  <c:v>6.09</c:v>
                </c:pt>
                <c:pt idx="10">
                  <c:v>7.09</c:v>
                </c:pt>
                <c:pt idx="11">
                  <c:v>8.18</c:v>
                </c:pt>
                <c:pt idx="12">
                  <c:v>9.3800000000000008</c:v>
                </c:pt>
                <c:pt idx="13">
                  <c:v>10.7</c:v>
                </c:pt>
                <c:pt idx="14">
                  <c:v>12.15</c:v>
                </c:pt>
              </c:numCache>
            </c:numRef>
          </c:xVal>
          <c:yVal>
            <c:numRef>
              <c:f>'NGC 2543'!$K$8:$K$22</c:f>
              <c:numCache>
                <c:formatCode>0.0</c:formatCode>
                <c:ptCount val="15"/>
                <c:pt idx="0">
                  <c:v>69.005717827654848</c:v>
                </c:pt>
                <c:pt idx="1">
                  <c:v>89.289148916137506</c:v>
                </c:pt>
                <c:pt idx="2">
                  <c:v>105.03309791514395</c:v>
                </c:pt>
                <c:pt idx="3">
                  <c:v>118.00653824981488</c:v>
                </c:pt>
                <c:pt idx="4">
                  <c:v>129.71806526284615</c:v>
                </c:pt>
                <c:pt idx="5">
                  <c:v>140.35778160814792</c:v>
                </c:pt>
                <c:pt idx="6">
                  <c:v>149.98494419123389</c:v>
                </c:pt>
                <c:pt idx="7">
                  <c:v>158.6569548668422</c:v>
                </c:pt>
                <c:pt idx="8">
                  <c:v>166.5871155754794</c:v>
                </c:pt>
                <c:pt idx="9">
                  <c:v>173.73812382184471</c:v>
                </c:pt>
                <c:pt idx="10">
                  <c:v>180.216838142467</c:v>
                </c:pt>
                <c:pt idx="11">
                  <c:v>185.93488211711136</c:v>
                </c:pt>
                <c:pt idx="12">
                  <c:v>191.00328618953293</c:v>
                </c:pt>
                <c:pt idx="13">
                  <c:v>195.47288851949071</c:v>
                </c:pt>
                <c:pt idx="14">
                  <c:v>199.41275210633583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76-4629-B7A4-4D39F1B59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2543'!$K$36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2543'!$A$37:$A$51</c15:sqref>
                        </c15:formulaRef>
                      </c:ext>
                    </c:extLst>
                    <c:numCache>
                      <c:formatCode>0.00</c:formatCode>
                      <c:ptCount val="15"/>
                      <c:pt idx="0">
                        <c:v>0.38</c:v>
                      </c:pt>
                      <c:pt idx="1">
                        <c:v>0.8</c:v>
                      </c:pt>
                      <c:pt idx="2">
                        <c:v>1.27</c:v>
                      </c:pt>
                      <c:pt idx="3">
                        <c:v>1.77</c:v>
                      </c:pt>
                      <c:pt idx="4">
                        <c:v>2.33</c:v>
                      </c:pt>
                      <c:pt idx="5">
                        <c:v>2.95</c:v>
                      </c:pt>
                      <c:pt idx="6">
                        <c:v>3.63</c:v>
                      </c:pt>
                      <c:pt idx="7">
                        <c:v>4.37</c:v>
                      </c:pt>
                      <c:pt idx="8">
                        <c:v>5.19</c:v>
                      </c:pt>
                      <c:pt idx="9">
                        <c:v>6.09</c:v>
                      </c:pt>
                      <c:pt idx="10">
                        <c:v>7.09</c:v>
                      </c:pt>
                      <c:pt idx="11">
                        <c:v>8.18</c:v>
                      </c:pt>
                      <c:pt idx="12">
                        <c:v>9.3800000000000008</c:v>
                      </c:pt>
                      <c:pt idx="13">
                        <c:v>10.7</c:v>
                      </c:pt>
                      <c:pt idx="14">
                        <c:v>12.15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2543'!$K$37:$K$51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82.271717323882882</c:v>
                      </c:pt>
                      <c:pt idx="1">
                        <c:v>99.249608485178143</c:v>
                      </c:pt>
                      <c:pt idx="2">
                        <c:v>113.49544920272872</c:v>
                      </c:pt>
                      <c:pt idx="3">
                        <c:v>125.56665346507619</c:v>
                      </c:pt>
                      <c:pt idx="4">
                        <c:v>136.46544468257591</c:v>
                      </c:pt>
                      <c:pt idx="5">
                        <c:v>146.16971475147682</c:v>
                      </c:pt>
                      <c:pt idx="6">
                        <c:v>154.68760647597347</c:v>
                      </c:pt>
                      <c:pt idx="7">
                        <c:v>162.0620693715174</c:v>
                      </c:pt>
                      <c:pt idx="8">
                        <c:v>168.49748704626066</c:v>
                      </c:pt>
                      <c:pt idx="9">
                        <c:v>173.99889600668118</c:v>
                      </c:pt>
                      <c:pt idx="10">
                        <c:v>178.68378510116565</c:v>
                      </c:pt>
                      <c:pt idx="11">
                        <c:v>182.53830339390672</c:v>
                      </c:pt>
                      <c:pt idx="12">
                        <c:v>185.69301842786771</c:v>
                      </c:pt>
                      <c:pt idx="13">
                        <c:v>188.22819005162935</c:v>
                      </c:pt>
                      <c:pt idx="14">
                        <c:v>190.22614194848299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976-4629-B7A4-4D39F1B594F1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2599'!$L$2</c:f>
          <c:strCache>
            <c:ptCount val="1"/>
            <c:pt idx="0">
              <c:v>NGC 2599</c:v>
            </c:pt>
          </c:strCache>
        </c:strRef>
      </c:tx>
      <c:layout>
        <c:manualLayout>
          <c:xMode val="edge"/>
          <c:yMode val="edge"/>
          <c:x val="0.51003707370309148"/>
          <c:y val="0.695005103528725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lineMarker"/>
        <c:varyColors val="0"/>
        <c:ser>
          <c:idx val="0"/>
          <c:order val="0"/>
          <c:tx>
            <c:strRef>
              <c:f>'NGC 2599'!$I$7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2599'!$A$8:$A$41</c:f>
              <c:numCache>
                <c:formatCode>General</c:formatCode>
                <c:ptCount val="34"/>
                <c:pt idx="0">
                  <c:v>0.21</c:v>
                </c:pt>
                <c:pt idx="1">
                  <c:v>0.45</c:v>
                </c:pt>
                <c:pt idx="2">
                  <c:v>0.7</c:v>
                </c:pt>
                <c:pt idx="3">
                  <c:v>0.99</c:v>
                </c:pt>
                <c:pt idx="4">
                  <c:v>1.3</c:v>
                </c:pt>
                <c:pt idx="5">
                  <c:v>1.64</c:v>
                </c:pt>
                <c:pt idx="6">
                  <c:v>2.02</c:v>
                </c:pt>
                <c:pt idx="7">
                  <c:v>2.4300000000000002</c:v>
                </c:pt>
                <c:pt idx="8">
                  <c:v>2.89</c:v>
                </c:pt>
                <c:pt idx="9">
                  <c:v>3.39</c:v>
                </c:pt>
                <c:pt idx="10">
                  <c:v>3.94</c:v>
                </c:pt>
                <c:pt idx="11">
                  <c:v>4.55</c:v>
                </c:pt>
                <c:pt idx="12">
                  <c:v>5.21</c:v>
                </c:pt>
                <c:pt idx="13">
                  <c:v>5.95</c:v>
                </c:pt>
                <c:pt idx="14">
                  <c:v>6.75</c:v>
                </c:pt>
                <c:pt idx="15">
                  <c:v>7.64</c:v>
                </c:pt>
                <c:pt idx="16">
                  <c:v>8.6199999999999992</c:v>
                </c:pt>
                <c:pt idx="17">
                  <c:v>9.69</c:v>
                </c:pt>
                <c:pt idx="18">
                  <c:v>10.88</c:v>
                </c:pt>
                <c:pt idx="19">
                  <c:v>12.18</c:v>
                </c:pt>
                <c:pt idx="20">
                  <c:v>13.61</c:v>
                </c:pt>
                <c:pt idx="21">
                  <c:v>15.18</c:v>
                </c:pt>
                <c:pt idx="22">
                  <c:v>16.91</c:v>
                </c:pt>
                <c:pt idx="23">
                  <c:v>18.809999999999999</c:v>
                </c:pt>
                <c:pt idx="24">
                  <c:v>20.91</c:v>
                </c:pt>
                <c:pt idx="25">
                  <c:v>23.21</c:v>
                </c:pt>
                <c:pt idx="26">
                  <c:v>25.75</c:v>
                </c:pt>
                <c:pt idx="27">
                  <c:v>28.53</c:v>
                </c:pt>
                <c:pt idx="28">
                  <c:v>31.6</c:v>
                </c:pt>
                <c:pt idx="29">
                  <c:v>34.97</c:v>
                </c:pt>
                <c:pt idx="30">
                  <c:v>38.68</c:v>
                </c:pt>
                <c:pt idx="31">
                  <c:v>42.76</c:v>
                </c:pt>
                <c:pt idx="32">
                  <c:v>47.25</c:v>
                </c:pt>
                <c:pt idx="33">
                  <c:v>52.19</c:v>
                </c:pt>
              </c:numCache>
            </c:numRef>
          </c:xVal>
          <c:yVal>
            <c:numRef>
              <c:f>'NGC 2599'!$I$8:$I$41</c:f>
              <c:numCache>
                <c:formatCode>General</c:formatCode>
                <c:ptCount val="34"/>
                <c:pt idx="0">
                  <c:v>277.57</c:v>
                </c:pt>
                <c:pt idx="1">
                  <c:v>475.77</c:v>
                </c:pt>
                <c:pt idx="2">
                  <c:v>472.83</c:v>
                </c:pt>
                <c:pt idx="3">
                  <c:v>456.91</c:v>
                </c:pt>
                <c:pt idx="4">
                  <c:v>442.26</c:v>
                </c:pt>
                <c:pt idx="5">
                  <c:v>426.53</c:v>
                </c:pt>
                <c:pt idx="6">
                  <c:v>412.41</c:v>
                </c:pt>
                <c:pt idx="7">
                  <c:v>399.06</c:v>
                </c:pt>
                <c:pt idx="8">
                  <c:v>385.11</c:v>
                </c:pt>
                <c:pt idx="9">
                  <c:v>373.74</c:v>
                </c:pt>
                <c:pt idx="10">
                  <c:v>365.19</c:v>
                </c:pt>
                <c:pt idx="11">
                  <c:v>355.09</c:v>
                </c:pt>
                <c:pt idx="12">
                  <c:v>347.76</c:v>
                </c:pt>
                <c:pt idx="13">
                  <c:v>343.27</c:v>
                </c:pt>
                <c:pt idx="14">
                  <c:v>339.17</c:v>
                </c:pt>
                <c:pt idx="15">
                  <c:v>337.17</c:v>
                </c:pt>
                <c:pt idx="16">
                  <c:v>335.17</c:v>
                </c:pt>
                <c:pt idx="17">
                  <c:v>332.17</c:v>
                </c:pt>
                <c:pt idx="18">
                  <c:v>329.63</c:v>
                </c:pt>
                <c:pt idx="19">
                  <c:v>326.01</c:v>
                </c:pt>
                <c:pt idx="20">
                  <c:v>320.60000000000002</c:v>
                </c:pt>
                <c:pt idx="21">
                  <c:v>312.41000000000003</c:v>
                </c:pt>
                <c:pt idx="22">
                  <c:v>299.52</c:v>
                </c:pt>
                <c:pt idx="23">
                  <c:v>292.08999999999997</c:v>
                </c:pt>
                <c:pt idx="24">
                  <c:v>279.49</c:v>
                </c:pt>
                <c:pt idx="25">
                  <c:v>271.47000000000003</c:v>
                </c:pt>
                <c:pt idx="26">
                  <c:v>262.45999999999998</c:v>
                </c:pt>
                <c:pt idx="27">
                  <c:v>255.2</c:v>
                </c:pt>
                <c:pt idx="28">
                  <c:v>248.26</c:v>
                </c:pt>
                <c:pt idx="29">
                  <c:v>243.96</c:v>
                </c:pt>
                <c:pt idx="30">
                  <c:v>241.65</c:v>
                </c:pt>
                <c:pt idx="31">
                  <c:v>239.43</c:v>
                </c:pt>
                <c:pt idx="32">
                  <c:v>240.56</c:v>
                </c:pt>
                <c:pt idx="33">
                  <c:v>243.95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13-43CC-9F42-48094231D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scatterChart>
        <c:scatterStyle val="smoothMarker"/>
        <c:varyColors val="0"/>
        <c:ser>
          <c:idx val="1"/>
          <c:order val="1"/>
          <c:tx>
            <c:strRef>
              <c:f>'NGC 2599'!$K$7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2599'!$A$8:$A$41</c:f>
              <c:numCache>
                <c:formatCode>General</c:formatCode>
                <c:ptCount val="34"/>
                <c:pt idx="0">
                  <c:v>0.21</c:v>
                </c:pt>
                <c:pt idx="1">
                  <c:v>0.45</c:v>
                </c:pt>
                <c:pt idx="2">
                  <c:v>0.7</c:v>
                </c:pt>
                <c:pt idx="3">
                  <c:v>0.99</c:v>
                </c:pt>
                <c:pt idx="4">
                  <c:v>1.3</c:v>
                </c:pt>
                <c:pt idx="5">
                  <c:v>1.64</c:v>
                </c:pt>
                <c:pt idx="6">
                  <c:v>2.02</c:v>
                </c:pt>
                <c:pt idx="7">
                  <c:v>2.4300000000000002</c:v>
                </c:pt>
                <c:pt idx="8">
                  <c:v>2.89</c:v>
                </c:pt>
                <c:pt idx="9">
                  <c:v>3.39</c:v>
                </c:pt>
                <c:pt idx="10">
                  <c:v>3.94</c:v>
                </c:pt>
                <c:pt idx="11">
                  <c:v>4.55</c:v>
                </c:pt>
                <c:pt idx="12">
                  <c:v>5.21</c:v>
                </c:pt>
                <c:pt idx="13">
                  <c:v>5.95</c:v>
                </c:pt>
                <c:pt idx="14">
                  <c:v>6.75</c:v>
                </c:pt>
                <c:pt idx="15">
                  <c:v>7.64</c:v>
                </c:pt>
                <c:pt idx="16">
                  <c:v>8.6199999999999992</c:v>
                </c:pt>
                <c:pt idx="17">
                  <c:v>9.69</c:v>
                </c:pt>
                <c:pt idx="18">
                  <c:v>10.88</c:v>
                </c:pt>
                <c:pt idx="19">
                  <c:v>12.18</c:v>
                </c:pt>
                <c:pt idx="20">
                  <c:v>13.61</c:v>
                </c:pt>
                <c:pt idx="21">
                  <c:v>15.18</c:v>
                </c:pt>
                <c:pt idx="22">
                  <c:v>16.91</c:v>
                </c:pt>
                <c:pt idx="23">
                  <c:v>18.809999999999999</c:v>
                </c:pt>
                <c:pt idx="24">
                  <c:v>20.91</c:v>
                </c:pt>
                <c:pt idx="25">
                  <c:v>23.21</c:v>
                </c:pt>
                <c:pt idx="26">
                  <c:v>25.75</c:v>
                </c:pt>
                <c:pt idx="27">
                  <c:v>28.53</c:v>
                </c:pt>
                <c:pt idx="28">
                  <c:v>31.6</c:v>
                </c:pt>
                <c:pt idx="29">
                  <c:v>34.97</c:v>
                </c:pt>
                <c:pt idx="30">
                  <c:v>38.68</c:v>
                </c:pt>
                <c:pt idx="31">
                  <c:v>42.76</c:v>
                </c:pt>
                <c:pt idx="32">
                  <c:v>47.25</c:v>
                </c:pt>
                <c:pt idx="33">
                  <c:v>52.19</c:v>
                </c:pt>
              </c:numCache>
            </c:numRef>
          </c:xVal>
          <c:yVal>
            <c:numRef>
              <c:f>'NGC 2599'!$K$8:$K$41</c:f>
              <c:numCache>
                <c:formatCode>0.0</c:formatCode>
                <c:ptCount val="34"/>
                <c:pt idx="0">
                  <c:v>349.18715040022505</c:v>
                </c:pt>
                <c:pt idx="1">
                  <c:v>380.55711973749135</c:v>
                </c:pt>
                <c:pt idx="2">
                  <c:v>404.11110764462904</c:v>
                </c:pt>
                <c:pt idx="3">
                  <c:v>422.88128135360085</c:v>
                </c:pt>
                <c:pt idx="4">
                  <c:v>434.94438415506892</c:v>
                </c:pt>
                <c:pt idx="5">
                  <c:v>441.14480423000816</c:v>
                </c:pt>
                <c:pt idx="6">
                  <c:v>441.92703523525097</c:v>
                </c:pt>
                <c:pt idx="7">
                  <c:v>437.96556422228156</c:v>
                </c:pt>
                <c:pt idx="8">
                  <c:v>429.75363330575061</c:v>
                </c:pt>
                <c:pt idx="9">
                  <c:v>418.32920899722041</c:v>
                </c:pt>
                <c:pt idx="10">
                  <c:v>404.40224896965225</c:v>
                </c:pt>
                <c:pt idx="11">
                  <c:v>388.65377060968024</c:v>
                </c:pt>
                <c:pt idx="12">
                  <c:v>372.23877041840598</c:v>
                </c:pt>
                <c:pt idx="13">
                  <c:v>355.24852953625094</c:v>
                </c:pt>
                <c:pt idx="14">
                  <c:v>338.91389762469998</c:v>
                </c:pt>
                <c:pt idx="15">
                  <c:v>323.16943361252021</c:v>
                </c:pt>
                <c:pt idx="16">
                  <c:v>308.54487085599771</c:v>
                </c:pt>
                <c:pt idx="17">
                  <c:v>295.34226512262308</c:v>
                </c:pt>
                <c:pt idx="18">
                  <c:v>283.44119969146351</c:v>
                </c:pt>
                <c:pt idx="19">
                  <c:v>273.09965722934584</c:v>
                </c:pt>
                <c:pt idx="20">
                  <c:v>264.22615388798567</c:v>
                </c:pt>
                <c:pt idx="21">
                  <c:v>256.81277679741044</c:v>
                </c:pt>
                <c:pt idx="22">
                  <c:v>250.80401346379534</c:v>
                </c:pt>
                <c:pt idx="23">
                  <c:v>246.19142653453235</c:v>
                </c:pt>
                <c:pt idx="24">
                  <c:v>242.92489209813024</c:v>
                </c:pt>
                <c:pt idx="25">
                  <c:v>241.00738347055329</c:v>
                </c:pt>
                <c:pt idx="26">
                  <c:v>240.39467377040995</c:v>
                </c:pt>
                <c:pt idx="27">
                  <c:v>241.06058287941403</c:v>
                </c:pt>
                <c:pt idx="28">
                  <c:v>242.97750989083832</c:v>
                </c:pt>
                <c:pt idx="29">
                  <c:v>246.10436889636841</c:v>
                </c:pt>
                <c:pt idx="30">
                  <c:v>250.4133681635839</c:v>
                </c:pt>
                <c:pt idx="31">
                  <c:v>255.86606342645655</c:v>
                </c:pt>
                <c:pt idx="32">
                  <c:v>262.43239213429911</c:v>
                </c:pt>
                <c:pt idx="33">
                  <c:v>270.07956642633428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13-43CC-9F42-48094231D8F7}"/>
            </c:ext>
          </c:extLst>
        </c:ser>
        <c:ser>
          <c:idx val="2"/>
          <c:order val="2"/>
          <c:tx>
            <c:strRef>
              <c:f>'NGC 2599'!$K$55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2599'!$A$56:$A$89</c:f>
              <c:numCache>
                <c:formatCode>General</c:formatCode>
                <c:ptCount val="34"/>
                <c:pt idx="0">
                  <c:v>0.21</c:v>
                </c:pt>
                <c:pt idx="1">
                  <c:v>0.45</c:v>
                </c:pt>
                <c:pt idx="2">
                  <c:v>0.7</c:v>
                </c:pt>
                <c:pt idx="3">
                  <c:v>0.99</c:v>
                </c:pt>
                <c:pt idx="4">
                  <c:v>1.3</c:v>
                </c:pt>
                <c:pt idx="5">
                  <c:v>1.64</c:v>
                </c:pt>
                <c:pt idx="6">
                  <c:v>2.02</c:v>
                </c:pt>
                <c:pt idx="7">
                  <c:v>2.4300000000000002</c:v>
                </c:pt>
                <c:pt idx="8">
                  <c:v>2.89</c:v>
                </c:pt>
                <c:pt idx="9">
                  <c:v>3.39</c:v>
                </c:pt>
                <c:pt idx="10">
                  <c:v>3.94</c:v>
                </c:pt>
                <c:pt idx="11">
                  <c:v>4.55</c:v>
                </c:pt>
                <c:pt idx="12">
                  <c:v>5.21</c:v>
                </c:pt>
                <c:pt idx="13">
                  <c:v>5.95</c:v>
                </c:pt>
                <c:pt idx="14">
                  <c:v>6.75</c:v>
                </c:pt>
                <c:pt idx="15">
                  <c:v>7.64</c:v>
                </c:pt>
                <c:pt idx="16">
                  <c:v>8.6199999999999992</c:v>
                </c:pt>
                <c:pt idx="17">
                  <c:v>9.69</c:v>
                </c:pt>
                <c:pt idx="18">
                  <c:v>10.88</c:v>
                </c:pt>
                <c:pt idx="19">
                  <c:v>12.18</c:v>
                </c:pt>
                <c:pt idx="20">
                  <c:v>13.61</c:v>
                </c:pt>
                <c:pt idx="21">
                  <c:v>15.18</c:v>
                </c:pt>
                <c:pt idx="22">
                  <c:v>16.91</c:v>
                </c:pt>
                <c:pt idx="23">
                  <c:v>18.809999999999999</c:v>
                </c:pt>
                <c:pt idx="24">
                  <c:v>20.91</c:v>
                </c:pt>
                <c:pt idx="25">
                  <c:v>23.21</c:v>
                </c:pt>
                <c:pt idx="26">
                  <c:v>25.75</c:v>
                </c:pt>
                <c:pt idx="27">
                  <c:v>28.53</c:v>
                </c:pt>
                <c:pt idx="28">
                  <c:v>31.6</c:v>
                </c:pt>
                <c:pt idx="29">
                  <c:v>34.97</c:v>
                </c:pt>
                <c:pt idx="30">
                  <c:v>38.68</c:v>
                </c:pt>
                <c:pt idx="31">
                  <c:v>42.76</c:v>
                </c:pt>
                <c:pt idx="32">
                  <c:v>47.25</c:v>
                </c:pt>
                <c:pt idx="33">
                  <c:v>52.19</c:v>
                </c:pt>
              </c:numCache>
            </c:numRef>
          </c:xVal>
          <c:yVal>
            <c:numRef>
              <c:f>'NGC 2599'!$K$56:$K$89</c:f>
              <c:numCache>
                <c:formatCode>0.0</c:formatCode>
                <c:ptCount val="34"/>
                <c:pt idx="0">
                  <c:v>451.03895588274059</c:v>
                </c:pt>
                <c:pt idx="1">
                  <c:v>457.74321651573945</c:v>
                </c:pt>
                <c:pt idx="2">
                  <c:v>448.84313973698556</c:v>
                </c:pt>
                <c:pt idx="3">
                  <c:v>436.49965494412538</c:v>
                </c:pt>
                <c:pt idx="4">
                  <c:v>424.20410787908747</c:v>
                </c:pt>
                <c:pt idx="5">
                  <c:v>412.51289629092395</c:v>
                </c:pt>
                <c:pt idx="6">
                  <c:v>401.5721540957652</c:v>
                </c:pt>
                <c:pt idx="7">
                  <c:v>391.73316405417023</c:v>
                </c:pt>
                <c:pt idx="8">
                  <c:v>382.50658027210284</c:v>
                </c:pt>
                <c:pt idx="9">
                  <c:v>374.04378165443489</c:v>
                </c:pt>
                <c:pt idx="10">
                  <c:v>366.07947083962756</c:v>
                </c:pt>
                <c:pt idx="11">
                  <c:v>358.4055827379434</c:v>
                </c:pt>
                <c:pt idx="12">
                  <c:v>351.06326275284204</c:v>
                </c:pt>
                <c:pt idx="13">
                  <c:v>343.53456496131832</c:v>
                </c:pt>
                <c:pt idx="14">
                  <c:v>336.35750733264069</c:v>
                </c:pt>
                <c:pt idx="15">
                  <c:v>329.02098475298715</c:v>
                </c:pt>
                <c:pt idx="16">
                  <c:v>321.56942549339595</c:v>
                </c:pt>
                <c:pt idx="17">
                  <c:v>314.1021368125663</c:v>
                </c:pt>
                <c:pt idx="18">
                  <c:v>306.54008100535401</c:v>
                </c:pt>
                <c:pt idx="19">
                  <c:v>299.08961687369271</c:v>
                </c:pt>
                <c:pt idx="20">
                  <c:v>291.79985381224134</c:v>
                </c:pt>
                <c:pt idx="21">
                  <c:v>284.78580807409111</c:v>
                </c:pt>
                <c:pt idx="22">
                  <c:v>278.08528552189017</c:v>
                </c:pt>
                <c:pt idx="23">
                  <c:v>271.85235364968253</c:v>
                </c:pt>
                <c:pt idx="24">
                  <c:v>266.17231592199556</c:v>
                </c:pt>
                <c:pt idx="25">
                  <c:v>261.053082811244</c:v>
                </c:pt>
                <c:pt idx="26">
                  <c:v>256.50005760249383</c:v>
                </c:pt>
                <c:pt idx="27">
                  <c:v>252.5444449475668</c:v>
                </c:pt>
                <c:pt idx="28">
                  <c:v>249.10950476723059</c:v>
                </c:pt>
                <c:pt idx="29">
                  <c:v>246.15368429305659</c:v>
                </c:pt>
                <c:pt idx="30">
                  <c:v>243.60957429156116</c:v>
                </c:pt>
                <c:pt idx="31">
                  <c:v>241.40688039963209</c:v>
                </c:pt>
                <c:pt idx="32">
                  <c:v>239.47347920778719</c:v>
                </c:pt>
                <c:pt idx="33">
                  <c:v>237.74189910017418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13-43CC-9F42-48094231D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  <c:max val="5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2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2649'!$L$2</c:f>
          <c:strCache>
            <c:ptCount val="1"/>
            <c:pt idx="0">
              <c:v>NGC 2649</c:v>
            </c:pt>
          </c:strCache>
        </c:strRef>
      </c:tx>
      <c:layout>
        <c:manualLayout>
          <c:xMode val="edge"/>
          <c:yMode val="edge"/>
          <c:x val="0.52407763618025272"/>
          <c:y val="0.696796367074696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2649'!$I$7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2649'!$A$8:$A$19</c:f>
              <c:numCache>
                <c:formatCode>0.00</c:formatCode>
                <c:ptCount val="12"/>
                <c:pt idx="0">
                  <c:v>0.68</c:v>
                </c:pt>
                <c:pt idx="1">
                  <c:v>1.44</c:v>
                </c:pt>
                <c:pt idx="2">
                  <c:v>2.27</c:v>
                </c:pt>
                <c:pt idx="3">
                  <c:v>3.18</c:v>
                </c:pt>
                <c:pt idx="4">
                  <c:v>4.18</c:v>
                </c:pt>
                <c:pt idx="5">
                  <c:v>5.28</c:v>
                </c:pt>
                <c:pt idx="6">
                  <c:v>6.49</c:v>
                </c:pt>
                <c:pt idx="7">
                  <c:v>7.83</c:v>
                </c:pt>
                <c:pt idx="8">
                  <c:v>9.3000000000000007</c:v>
                </c:pt>
                <c:pt idx="9">
                  <c:v>10.91</c:v>
                </c:pt>
                <c:pt idx="10">
                  <c:v>12.68</c:v>
                </c:pt>
                <c:pt idx="11">
                  <c:v>14.64</c:v>
                </c:pt>
              </c:numCache>
            </c:numRef>
          </c:xVal>
          <c:yVal>
            <c:numRef>
              <c:f>'NGC 2649'!$I$8:$I$19</c:f>
              <c:numCache>
                <c:formatCode>0.00</c:formatCode>
                <c:ptCount val="12"/>
                <c:pt idx="0">
                  <c:v>82.03</c:v>
                </c:pt>
                <c:pt idx="1">
                  <c:v>117.66</c:v>
                </c:pt>
                <c:pt idx="2">
                  <c:v>130.18</c:v>
                </c:pt>
                <c:pt idx="3">
                  <c:v>149.83000000000001</c:v>
                </c:pt>
                <c:pt idx="4">
                  <c:v>162.58000000000001</c:v>
                </c:pt>
                <c:pt idx="5">
                  <c:v>170.03</c:v>
                </c:pt>
                <c:pt idx="6">
                  <c:v>173.7</c:v>
                </c:pt>
                <c:pt idx="7">
                  <c:v>178.05</c:v>
                </c:pt>
                <c:pt idx="8">
                  <c:v>184.92</c:v>
                </c:pt>
                <c:pt idx="9">
                  <c:v>190.38</c:v>
                </c:pt>
                <c:pt idx="10">
                  <c:v>189.46</c:v>
                </c:pt>
                <c:pt idx="11">
                  <c:v>187.72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F3-4826-A5E8-24192B9EBBC4}"/>
            </c:ext>
          </c:extLst>
        </c:ser>
        <c:ser>
          <c:idx val="1"/>
          <c:order val="1"/>
          <c:tx>
            <c:strRef>
              <c:f>'NGC 2649'!$K$7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2649'!$A$8:$A$19</c:f>
              <c:numCache>
                <c:formatCode>0.00</c:formatCode>
                <c:ptCount val="12"/>
                <c:pt idx="0">
                  <c:v>0.68</c:v>
                </c:pt>
                <c:pt idx="1">
                  <c:v>1.44</c:v>
                </c:pt>
                <c:pt idx="2">
                  <c:v>2.27</c:v>
                </c:pt>
                <c:pt idx="3">
                  <c:v>3.18</c:v>
                </c:pt>
                <c:pt idx="4">
                  <c:v>4.18</c:v>
                </c:pt>
                <c:pt idx="5">
                  <c:v>5.28</c:v>
                </c:pt>
                <c:pt idx="6">
                  <c:v>6.49</c:v>
                </c:pt>
                <c:pt idx="7">
                  <c:v>7.83</c:v>
                </c:pt>
                <c:pt idx="8">
                  <c:v>9.3000000000000007</c:v>
                </c:pt>
                <c:pt idx="9">
                  <c:v>10.91</c:v>
                </c:pt>
                <c:pt idx="10">
                  <c:v>12.68</c:v>
                </c:pt>
                <c:pt idx="11">
                  <c:v>14.64</c:v>
                </c:pt>
              </c:numCache>
            </c:numRef>
          </c:xVal>
          <c:yVal>
            <c:numRef>
              <c:f>'NGC 2649'!$K$8:$K$19</c:f>
              <c:numCache>
                <c:formatCode>0.0</c:formatCode>
                <c:ptCount val="12"/>
                <c:pt idx="0">
                  <c:v>81.854571038244643</c:v>
                </c:pt>
                <c:pt idx="1">
                  <c:v>112.39474011137655</c:v>
                </c:pt>
                <c:pt idx="2">
                  <c:v>132.7476923788189</c:v>
                </c:pt>
                <c:pt idx="3">
                  <c:v>147.35068002355175</c:v>
                </c:pt>
                <c:pt idx="4">
                  <c:v>157.98860022474122</c:v>
                </c:pt>
                <c:pt idx="5">
                  <c:v>165.66726824829911</c:v>
                </c:pt>
                <c:pt idx="6">
                  <c:v>171.09318457155476</c:v>
                </c:pt>
                <c:pt idx="7">
                  <c:v>174.86702722198035</c:v>
                </c:pt>
                <c:pt idx="8">
                  <c:v>177.46764894913304</c:v>
                </c:pt>
                <c:pt idx="9">
                  <c:v>179.38206551903968</c:v>
                </c:pt>
                <c:pt idx="10">
                  <c:v>181.05659147050292</c:v>
                </c:pt>
                <c:pt idx="11">
                  <c:v>182.88749577818203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F3-4826-A5E8-24192B9EBBC4}"/>
            </c:ext>
          </c:extLst>
        </c:ser>
        <c:ser>
          <c:idx val="2"/>
          <c:order val="2"/>
          <c:tx>
            <c:strRef>
              <c:f>'NGC 2649'!$K$33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2649'!$A$34:$A$45</c:f>
              <c:numCache>
                <c:formatCode>0.00</c:formatCode>
                <c:ptCount val="12"/>
                <c:pt idx="0">
                  <c:v>0.68</c:v>
                </c:pt>
                <c:pt idx="1">
                  <c:v>1.44</c:v>
                </c:pt>
                <c:pt idx="2">
                  <c:v>2.27</c:v>
                </c:pt>
                <c:pt idx="3">
                  <c:v>3.18</c:v>
                </c:pt>
                <c:pt idx="4">
                  <c:v>4.18</c:v>
                </c:pt>
                <c:pt idx="5">
                  <c:v>5.28</c:v>
                </c:pt>
                <c:pt idx="6">
                  <c:v>6.49</c:v>
                </c:pt>
                <c:pt idx="7">
                  <c:v>7.83</c:v>
                </c:pt>
                <c:pt idx="8">
                  <c:v>9.3000000000000007</c:v>
                </c:pt>
                <c:pt idx="9">
                  <c:v>10.91</c:v>
                </c:pt>
                <c:pt idx="10">
                  <c:v>12.68</c:v>
                </c:pt>
                <c:pt idx="11">
                  <c:v>14.64</c:v>
                </c:pt>
              </c:numCache>
            </c:numRef>
          </c:xVal>
          <c:yVal>
            <c:numRef>
              <c:f>'NGC 2649'!$K$34:$K$45</c:f>
              <c:numCache>
                <c:formatCode>0.0</c:formatCode>
                <c:ptCount val="12"/>
                <c:pt idx="0">
                  <c:v>91.962427427707937</c:v>
                </c:pt>
                <c:pt idx="1">
                  <c:v>116.85878432889851</c:v>
                </c:pt>
                <c:pt idx="2">
                  <c:v>134.11210988070945</c:v>
                </c:pt>
                <c:pt idx="3">
                  <c:v>146.82226929366215</c:v>
                </c:pt>
                <c:pt idx="4">
                  <c:v>156.30972949402343</c:v>
                </c:pt>
                <c:pt idx="5">
                  <c:v>163.36319946303124</c:v>
                </c:pt>
                <c:pt idx="6">
                  <c:v>168.54363552584886</c:v>
                </c:pt>
                <c:pt idx="7">
                  <c:v>172.31390441573623</c:v>
                </c:pt>
                <c:pt idx="8">
                  <c:v>174.99557818836513</c:v>
                </c:pt>
                <c:pt idx="9">
                  <c:v>176.89033905034981</c:v>
                </c:pt>
                <c:pt idx="10">
                  <c:v>178.23717405076755</c:v>
                </c:pt>
                <c:pt idx="11">
                  <c:v>179.20885648852808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F3-4826-A5E8-24192B9EB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2654'!$L$2</c:f>
          <c:strCache>
            <c:ptCount val="1"/>
            <c:pt idx="0">
              <c:v>NGC 2654</c:v>
            </c:pt>
          </c:strCache>
        </c:strRef>
      </c:tx>
      <c:layout>
        <c:manualLayout>
          <c:xMode val="edge"/>
          <c:yMode val="edge"/>
          <c:x val="0.51700645248922794"/>
          <c:y val="0.6953382910469524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493215328893"/>
          <c:y val="4.1018518518518517E-2"/>
          <c:w val="0.78919239547224873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2654'!$I$7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2654'!$A$8:$A$45</c:f>
              <c:numCache>
                <c:formatCode>0.00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2654'!$I$8:$I$45</c:f>
              <c:numCache>
                <c:formatCode>0.00</c:formatCode>
                <c:ptCount val="38"/>
                <c:pt idx="0">
                  <c:v>119.79</c:v>
                </c:pt>
                <c:pt idx="1">
                  <c:v>163.85</c:v>
                </c:pt>
                <c:pt idx="2">
                  <c:v>173.69</c:v>
                </c:pt>
                <c:pt idx="3">
                  <c:v>172.95</c:v>
                </c:pt>
                <c:pt idx="4">
                  <c:v>170.55</c:v>
                </c:pt>
                <c:pt idx="5">
                  <c:v>167.3</c:v>
                </c:pt>
                <c:pt idx="6">
                  <c:v>165.62</c:v>
                </c:pt>
                <c:pt idx="7">
                  <c:v>165.01</c:v>
                </c:pt>
                <c:pt idx="8">
                  <c:v>169.89</c:v>
                </c:pt>
                <c:pt idx="9">
                  <c:v>173.99</c:v>
                </c:pt>
                <c:pt idx="10">
                  <c:v>181.96</c:v>
                </c:pt>
                <c:pt idx="11">
                  <c:v>189.66</c:v>
                </c:pt>
                <c:pt idx="12">
                  <c:v>197.95</c:v>
                </c:pt>
                <c:pt idx="13">
                  <c:v>206.15</c:v>
                </c:pt>
                <c:pt idx="14">
                  <c:v>214.44</c:v>
                </c:pt>
                <c:pt idx="15">
                  <c:v>222.1</c:v>
                </c:pt>
                <c:pt idx="16">
                  <c:v>226.74</c:v>
                </c:pt>
                <c:pt idx="17">
                  <c:v>227.22</c:v>
                </c:pt>
                <c:pt idx="18">
                  <c:v>224.39</c:v>
                </c:pt>
                <c:pt idx="19">
                  <c:v>220.94</c:v>
                </c:pt>
                <c:pt idx="20">
                  <c:v>217.37</c:v>
                </c:pt>
                <c:pt idx="21">
                  <c:v>215.06</c:v>
                </c:pt>
                <c:pt idx="22">
                  <c:v>214.28</c:v>
                </c:pt>
                <c:pt idx="23">
                  <c:v>214.38</c:v>
                </c:pt>
                <c:pt idx="24">
                  <c:v>215.02</c:v>
                </c:pt>
                <c:pt idx="25">
                  <c:v>214.89</c:v>
                </c:pt>
                <c:pt idx="26">
                  <c:v>214.57</c:v>
                </c:pt>
                <c:pt idx="27">
                  <c:v>212.54</c:v>
                </c:pt>
                <c:pt idx="28">
                  <c:v>208.55</c:v>
                </c:pt>
                <c:pt idx="29">
                  <c:v>204.29</c:v>
                </c:pt>
                <c:pt idx="30">
                  <c:v>197.88</c:v>
                </c:pt>
                <c:pt idx="31">
                  <c:v>192.1</c:v>
                </c:pt>
                <c:pt idx="32">
                  <c:v>187.68</c:v>
                </c:pt>
                <c:pt idx="33">
                  <c:v>185.73</c:v>
                </c:pt>
                <c:pt idx="34">
                  <c:v>187.45</c:v>
                </c:pt>
                <c:pt idx="35">
                  <c:v>189.62</c:v>
                </c:pt>
                <c:pt idx="36">
                  <c:v>190.36</c:v>
                </c:pt>
                <c:pt idx="37">
                  <c:v>189.25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8-46C6-805C-1F5BC345685D}"/>
            </c:ext>
          </c:extLst>
        </c:ser>
        <c:ser>
          <c:idx val="1"/>
          <c:order val="1"/>
          <c:tx>
            <c:strRef>
              <c:f>'NGC 2654'!$K$7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2654'!$A$8:$A$45</c:f>
              <c:numCache>
                <c:formatCode>0.00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2654'!$K$8:$K$45</c:f>
              <c:numCache>
                <c:formatCode>0.0</c:formatCode>
                <c:ptCount val="38"/>
                <c:pt idx="0">
                  <c:v>141.44226146538364</c:v>
                </c:pt>
                <c:pt idx="1">
                  <c:v>150.03522174957661</c:v>
                </c:pt>
                <c:pt idx="2">
                  <c:v>154.74887190463042</c:v>
                </c:pt>
                <c:pt idx="3">
                  <c:v>158.893542982486</c:v>
                </c:pt>
                <c:pt idx="4">
                  <c:v>163.54224540252113</c:v>
                </c:pt>
                <c:pt idx="5">
                  <c:v>168.06781882277377</c:v>
                </c:pt>
                <c:pt idx="6">
                  <c:v>173.0138864771873</c:v>
                </c:pt>
                <c:pt idx="7">
                  <c:v>178.22324821392382</c:v>
                </c:pt>
                <c:pt idx="8">
                  <c:v>183.24000823657596</c:v>
                </c:pt>
                <c:pt idx="9">
                  <c:v>188.40755017753983</c:v>
                </c:pt>
                <c:pt idx="10">
                  <c:v>193.09751461263821</c:v>
                </c:pt>
                <c:pt idx="11">
                  <c:v>197.58902810029898</c:v>
                </c:pt>
                <c:pt idx="12">
                  <c:v>201.68392859125962</c:v>
                </c:pt>
                <c:pt idx="13">
                  <c:v>205.14753501234603</c:v>
                </c:pt>
                <c:pt idx="14">
                  <c:v>208.09912919940035</c:v>
                </c:pt>
                <c:pt idx="15">
                  <c:v>210.34879807574265</c:v>
                </c:pt>
                <c:pt idx="16">
                  <c:v>211.9000585432791</c:v>
                </c:pt>
                <c:pt idx="17">
                  <c:v>212.71707975686647</c:v>
                </c:pt>
                <c:pt idx="18">
                  <c:v>212.8139028073368</c:v>
                </c:pt>
                <c:pt idx="19">
                  <c:v>212.2143406663784</c:v>
                </c:pt>
                <c:pt idx="20">
                  <c:v>210.98039310743562</c:v>
                </c:pt>
                <c:pt idx="21">
                  <c:v>209.19749289783357</c:v>
                </c:pt>
                <c:pt idx="22">
                  <c:v>206.95952372561925</c:v>
                </c:pt>
                <c:pt idx="23">
                  <c:v>204.40475491535202</c:v>
                </c:pt>
                <c:pt idx="24">
                  <c:v>201.74276495278301</c:v>
                </c:pt>
                <c:pt idx="25">
                  <c:v>199.07292573237163</c:v>
                </c:pt>
                <c:pt idx="26">
                  <c:v>196.63203302017433</c:v>
                </c:pt>
                <c:pt idx="27">
                  <c:v>194.55860324600769</c:v>
                </c:pt>
                <c:pt idx="28">
                  <c:v>193.01296275399849</c:v>
                </c:pt>
                <c:pt idx="29">
                  <c:v>192.12607075653426</c:v>
                </c:pt>
                <c:pt idx="30">
                  <c:v>191.99968792469673</c:v>
                </c:pt>
                <c:pt idx="31">
                  <c:v>192.70992691808488</c:v>
                </c:pt>
                <c:pt idx="32">
                  <c:v>194.28345924481241</c:v>
                </c:pt>
                <c:pt idx="33">
                  <c:v>196.76678960186254</c:v>
                </c:pt>
                <c:pt idx="34">
                  <c:v>200.13018758171509</c:v>
                </c:pt>
                <c:pt idx="35">
                  <c:v>204.37076483652905</c:v>
                </c:pt>
                <c:pt idx="36">
                  <c:v>209.48399965258602</c:v>
                </c:pt>
                <c:pt idx="37">
                  <c:v>215.44169498870153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D8-46C6-805C-1F5BC345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2654'!$K$59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2654'!$A$60:$A$97</c15:sqref>
                        </c15:formulaRef>
                      </c:ext>
                    </c:extLst>
                    <c:numCache>
                      <c:formatCode>0.00</c:formatCode>
                      <c:ptCount val="38"/>
                      <c:pt idx="0">
                        <c:v>0.09</c:v>
                      </c:pt>
                      <c:pt idx="1">
                        <c:v>0.19</c:v>
                      </c:pt>
                      <c:pt idx="2">
                        <c:v>0.3</c:v>
                      </c:pt>
                      <c:pt idx="3">
                        <c:v>0.42</c:v>
                      </c:pt>
                      <c:pt idx="4">
                        <c:v>0.56000000000000005</c:v>
                      </c:pt>
                      <c:pt idx="5">
                        <c:v>0.7</c:v>
                      </c:pt>
                      <c:pt idx="6">
                        <c:v>0.86</c:v>
                      </c:pt>
                      <c:pt idx="7">
                        <c:v>1.04</c:v>
                      </c:pt>
                      <c:pt idx="8">
                        <c:v>1.23</c:v>
                      </c:pt>
                      <c:pt idx="9">
                        <c:v>1.45</c:v>
                      </c:pt>
                      <c:pt idx="10">
                        <c:v>1.68</c:v>
                      </c:pt>
                      <c:pt idx="11">
                        <c:v>1.94</c:v>
                      </c:pt>
                      <c:pt idx="12">
                        <c:v>2.23</c:v>
                      </c:pt>
                      <c:pt idx="13">
                        <c:v>2.54</c:v>
                      </c:pt>
                      <c:pt idx="14">
                        <c:v>2.89</c:v>
                      </c:pt>
                      <c:pt idx="15">
                        <c:v>3.27</c:v>
                      </c:pt>
                      <c:pt idx="16">
                        <c:v>3.69</c:v>
                      </c:pt>
                      <c:pt idx="17">
                        <c:v>4.1500000000000004</c:v>
                      </c:pt>
                      <c:pt idx="18">
                        <c:v>4.6500000000000004</c:v>
                      </c:pt>
                      <c:pt idx="19">
                        <c:v>5.21</c:v>
                      </c:pt>
                      <c:pt idx="20">
                        <c:v>5.82</c:v>
                      </c:pt>
                      <c:pt idx="21">
                        <c:v>6.49</c:v>
                      </c:pt>
                      <c:pt idx="22">
                        <c:v>7.23</c:v>
                      </c:pt>
                      <c:pt idx="23">
                        <c:v>8.0500000000000007</c:v>
                      </c:pt>
                      <c:pt idx="24">
                        <c:v>8.94</c:v>
                      </c:pt>
                      <c:pt idx="25">
                        <c:v>9.93</c:v>
                      </c:pt>
                      <c:pt idx="26">
                        <c:v>11.01</c:v>
                      </c:pt>
                      <c:pt idx="27">
                        <c:v>12.2</c:v>
                      </c:pt>
                      <c:pt idx="28">
                        <c:v>13.51</c:v>
                      </c:pt>
                      <c:pt idx="29">
                        <c:v>14.95</c:v>
                      </c:pt>
                      <c:pt idx="30">
                        <c:v>16.54</c:v>
                      </c:pt>
                      <c:pt idx="31">
                        <c:v>18.29</c:v>
                      </c:pt>
                      <c:pt idx="32">
                        <c:v>20.2</c:v>
                      </c:pt>
                      <c:pt idx="33">
                        <c:v>22.32</c:v>
                      </c:pt>
                      <c:pt idx="34">
                        <c:v>24.64</c:v>
                      </c:pt>
                      <c:pt idx="35">
                        <c:v>27.19</c:v>
                      </c:pt>
                      <c:pt idx="36">
                        <c:v>30</c:v>
                      </c:pt>
                      <c:pt idx="37">
                        <c:v>33.090000000000003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2654'!$K$60:$K$97</c15:sqref>
                        </c15:formulaRef>
                      </c:ext>
                    </c:extLst>
                    <c:numCache>
                      <c:formatCode>0.0</c:formatCode>
                      <c:ptCount val="38"/>
                      <c:pt idx="0">
                        <c:v>161.38474208728206</c:v>
                      </c:pt>
                      <c:pt idx="1">
                        <c:v>178.26598497200951</c:v>
                      </c:pt>
                      <c:pt idx="2">
                        <c:v>185.39776760082057</c:v>
                      </c:pt>
                      <c:pt idx="3">
                        <c:v>189.38625312544715</c:v>
                      </c:pt>
                      <c:pt idx="4">
                        <c:v>191.93488673064783</c:v>
                      </c:pt>
                      <c:pt idx="5">
                        <c:v>193.6838880633716</c:v>
                      </c:pt>
                      <c:pt idx="6">
                        <c:v>195.31699199272231</c:v>
                      </c:pt>
                      <c:pt idx="7">
                        <c:v>196.7742206974448</c:v>
                      </c:pt>
                      <c:pt idx="8">
                        <c:v>198.18522038967748</c:v>
                      </c:pt>
                      <c:pt idx="9">
                        <c:v>199.68585961592288</c:v>
                      </c:pt>
                      <c:pt idx="10">
                        <c:v>201.1171889869855</c:v>
                      </c:pt>
                      <c:pt idx="11">
                        <c:v>202.57006060808533</c:v>
                      </c:pt>
                      <c:pt idx="12">
                        <c:v>203.97339838409926</c:v>
                      </c:pt>
                      <c:pt idx="13">
                        <c:v>205.22694710676069</c:v>
                      </c:pt>
                      <c:pt idx="14">
                        <c:v>206.34980564312809</c:v>
                      </c:pt>
                      <c:pt idx="15">
                        <c:v>207.23215728113797</c:v>
                      </c:pt>
                      <c:pt idx="16">
                        <c:v>207.84866761368855</c:v>
                      </c:pt>
                      <c:pt idx="17">
                        <c:v>208.14686098089427</c:v>
                      </c:pt>
                      <c:pt idx="18">
                        <c:v>208.09694165340139</c:v>
                      </c:pt>
                      <c:pt idx="19">
                        <c:v>207.67332224976545</c:v>
                      </c:pt>
                      <c:pt idx="20">
                        <c:v>206.84209123759425</c:v>
                      </c:pt>
                      <c:pt idx="21">
                        <c:v>205.7125733763603</c:v>
                      </c:pt>
                      <c:pt idx="22">
                        <c:v>204.20622989637357</c:v>
                      </c:pt>
                      <c:pt idx="23">
                        <c:v>202.41115305014111</c:v>
                      </c:pt>
                      <c:pt idx="24">
                        <c:v>200.42699733853638</c:v>
                      </c:pt>
                      <c:pt idx="25">
                        <c:v>198.28347280275173</c:v>
                      </c:pt>
                      <c:pt idx="26">
                        <c:v>196.11410411858552</c:v>
                      </c:pt>
                      <c:pt idx="27">
                        <c:v>193.99345196921288</c:v>
                      </c:pt>
                      <c:pt idx="28">
                        <c:v>192.01728631459105</c:v>
                      </c:pt>
                      <c:pt idx="29">
                        <c:v>190.27069255139543</c:v>
                      </c:pt>
                      <c:pt idx="30">
                        <c:v>188.80540097993989</c:v>
                      </c:pt>
                      <c:pt idx="31">
                        <c:v>187.67596256129471</c:v>
                      </c:pt>
                      <c:pt idx="32">
                        <c:v>186.92046175585097</c:v>
                      </c:pt>
                      <c:pt idx="33">
                        <c:v>186.51234487645681</c:v>
                      </c:pt>
                      <c:pt idx="34">
                        <c:v>186.43320141873576</c:v>
                      </c:pt>
                      <c:pt idx="35">
                        <c:v>186.65235492616841</c:v>
                      </c:pt>
                      <c:pt idx="36">
                        <c:v>187.1185736162663</c:v>
                      </c:pt>
                      <c:pt idx="37">
                        <c:v>187.78218740717278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4FD8-46C6-805C-1F5BC345685D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  <c:max val="3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2903'!$L$2</c:f>
          <c:strCache>
            <c:ptCount val="1"/>
            <c:pt idx="0">
              <c:v>NGC 2903</c:v>
            </c:pt>
          </c:strCache>
        </c:strRef>
      </c:tx>
      <c:layout>
        <c:manualLayout>
          <c:xMode val="edge"/>
          <c:yMode val="edge"/>
          <c:x val="0.5236081199463315"/>
          <c:y val="0.6947382618839311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2903'!$I$7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2903'!$A$8:$A$41</c:f>
              <c:numCache>
                <c:formatCode>General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2903'!$I$8:$I$41</c:f>
              <c:numCache>
                <c:formatCode>General</c:formatCode>
                <c:ptCount val="34"/>
                <c:pt idx="0">
                  <c:v>98.4</c:v>
                </c:pt>
                <c:pt idx="1">
                  <c:v>162.31</c:v>
                </c:pt>
                <c:pt idx="2">
                  <c:v>211.66</c:v>
                </c:pt>
                <c:pt idx="3">
                  <c:v>236.8</c:v>
                </c:pt>
                <c:pt idx="4">
                  <c:v>242.5</c:v>
                </c:pt>
                <c:pt idx="5">
                  <c:v>240.26</c:v>
                </c:pt>
                <c:pt idx="6">
                  <c:v>235.43</c:v>
                </c:pt>
                <c:pt idx="7">
                  <c:v>229.65</c:v>
                </c:pt>
                <c:pt idx="8">
                  <c:v>220.27</c:v>
                </c:pt>
                <c:pt idx="9">
                  <c:v>212.82</c:v>
                </c:pt>
                <c:pt idx="10">
                  <c:v>211.31</c:v>
                </c:pt>
                <c:pt idx="11">
                  <c:v>227.75</c:v>
                </c:pt>
                <c:pt idx="12">
                  <c:v>260.74</c:v>
                </c:pt>
                <c:pt idx="13">
                  <c:v>283.49</c:v>
                </c:pt>
                <c:pt idx="14">
                  <c:v>291.60000000000002</c:v>
                </c:pt>
                <c:pt idx="15">
                  <c:v>293.05</c:v>
                </c:pt>
                <c:pt idx="16">
                  <c:v>290.73</c:v>
                </c:pt>
                <c:pt idx="17">
                  <c:v>287.06</c:v>
                </c:pt>
                <c:pt idx="18">
                  <c:v>283.01</c:v>
                </c:pt>
                <c:pt idx="19">
                  <c:v>279.06</c:v>
                </c:pt>
                <c:pt idx="20">
                  <c:v>277.02</c:v>
                </c:pt>
                <c:pt idx="21">
                  <c:v>277.38</c:v>
                </c:pt>
                <c:pt idx="22">
                  <c:v>276.77</c:v>
                </c:pt>
                <c:pt idx="23">
                  <c:v>274.64</c:v>
                </c:pt>
                <c:pt idx="24">
                  <c:v>272.58</c:v>
                </c:pt>
                <c:pt idx="25">
                  <c:v>271.02</c:v>
                </c:pt>
                <c:pt idx="26">
                  <c:v>269.62</c:v>
                </c:pt>
                <c:pt idx="27">
                  <c:v>269.08999999999997</c:v>
                </c:pt>
                <c:pt idx="28">
                  <c:v>270.17</c:v>
                </c:pt>
                <c:pt idx="29">
                  <c:v>270.02999999999997</c:v>
                </c:pt>
                <c:pt idx="30">
                  <c:v>268.5</c:v>
                </c:pt>
                <c:pt idx="31">
                  <c:v>270.27999999999997</c:v>
                </c:pt>
                <c:pt idx="32">
                  <c:v>265.3</c:v>
                </c:pt>
                <c:pt idx="33">
                  <c:v>254.71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D6-4E5C-A074-279B6EF3AE61}"/>
            </c:ext>
          </c:extLst>
        </c:ser>
        <c:ser>
          <c:idx val="1"/>
          <c:order val="1"/>
          <c:tx>
            <c:strRef>
              <c:f>'NGC 2903'!$K$7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2903'!$A$8:$A$41</c:f>
              <c:numCache>
                <c:formatCode>General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2903'!$K$8:$K$41</c:f>
              <c:numCache>
                <c:formatCode>0.0</c:formatCode>
                <c:ptCount val="34"/>
                <c:pt idx="0">
                  <c:v>139.12320983227414</c:v>
                </c:pt>
                <c:pt idx="1">
                  <c:v>169.90420091389203</c:v>
                </c:pt>
                <c:pt idx="2">
                  <c:v>189.01738991588277</c:v>
                </c:pt>
                <c:pt idx="3">
                  <c:v>202.60707225185084</c:v>
                </c:pt>
                <c:pt idx="4">
                  <c:v>213.84300369845852</c:v>
                </c:pt>
                <c:pt idx="5">
                  <c:v>222.13885791469707</c:v>
                </c:pt>
                <c:pt idx="6">
                  <c:v>229.6838502510254</c:v>
                </c:pt>
                <c:pt idx="7">
                  <c:v>236.25434190646953</c:v>
                </c:pt>
                <c:pt idx="8">
                  <c:v>241.92841286542634</c:v>
                </c:pt>
                <c:pt idx="9">
                  <c:v>247.59703578475674</c:v>
                </c:pt>
                <c:pt idx="10">
                  <c:v>252.12693960973596</c:v>
                </c:pt>
                <c:pt idx="11">
                  <c:v>256.68148334627568</c:v>
                </c:pt>
                <c:pt idx="12">
                  <c:v>260.67684393170032</c:v>
                </c:pt>
                <c:pt idx="13">
                  <c:v>264.23566604443948</c:v>
                </c:pt>
                <c:pt idx="14">
                  <c:v>267.56969185381399</c:v>
                </c:pt>
                <c:pt idx="15">
                  <c:v>270.41112140391766</c:v>
                </c:pt>
                <c:pt idx="16">
                  <c:v>272.80418929544294</c:v>
                </c:pt>
                <c:pt idx="17">
                  <c:v>274.76782679699136</c:v>
                </c:pt>
                <c:pt idx="18">
                  <c:v>276.25690818409265</c:v>
                </c:pt>
                <c:pt idx="19">
                  <c:v>277.27177602039779</c:v>
                </c:pt>
                <c:pt idx="20">
                  <c:v>277.72816101040951</c:v>
                </c:pt>
                <c:pt idx="21">
                  <c:v>277.67225929673549</c:v>
                </c:pt>
                <c:pt idx="22">
                  <c:v>277.06392125767371</c:v>
                </c:pt>
                <c:pt idx="23">
                  <c:v>275.91827479550568</c:v>
                </c:pt>
                <c:pt idx="24">
                  <c:v>274.27251199578683</c:v>
                </c:pt>
                <c:pt idx="25">
                  <c:v>272.14085481307148</c:v>
                </c:pt>
                <c:pt idx="26">
                  <c:v>269.6321576096376</c:v>
                </c:pt>
                <c:pt idx="27">
                  <c:v>266.82668817928015</c:v>
                </c:pt>
                <c:pt idx="28">
                  <c:v>263.83389911473597</c:v>
                </c:pt>
                <c:pt idx="29">
                  <c:v>260.80118761198065</c:v>
                </c:pt>
                <c:pt idx="30">
                  <c:v>257.86706182263174</c:v>
                </c:pt>
                <c:pt idx="31">
                  <c:v>255.20405267878712</c:v>
                </c:pt>
                <c:pt idx="32">
                  <c:v>252.99388572911408</c:v>
                </c:pt>
                <c:pt idx="33">
                  <c:v>251.35451241985689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D6-4E5C-A074-279B6EF3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2903'!$K$55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2903'!$A$56:$A$89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0.09</c:v>
                      </c:pt>
                      <c:pt idx="1">
                        <c:v>0.19</c:v>
                      </c:pt>
                      <c:pt idx="2">
                        <c:v>0.3</c:v>
                      </c:pt>
                      <c:pt idx="3">
                        <c:v>0.42</c:v>
                      </c:pt>
                      <c:pt idx="4">
                        <c:v>0.56000000000000005</c:v>
                      </c:pt>
                      <c:pt idx="5">
                        <c:v>0.7</c:v>
                      </c:pt>
                      <c:pt idx="6">
                        <c:v>0.86</c:v>
                      </c:pt>
                      <c:pt idx="7">
                        <c:v>1.04</c:v>
                      </c:pt>
                      <c:pt idx="8">
                        <c:v>1.23</c:v>
                      </c:pt>
                      <c:pt idx="9">
                        <c:v>1.45</c:v>
                      </c:pt>
                      <c:pt idx="10">
                        <c:v>1.68</c:v>
                      </c:pt>
                      <c:pt idx="11">
                        <c:v>1.94</c:v>
                      </c:pt>
                      <c:pt idx="12">
                        <c:v>2.23</c:v>
                      </c:pt>
                      <c:pt idx="13">
                        <c:v>2.54</c:v>
                      </c:pt>
                      <c:pt idx="14">
                        <c:v>2.89</c:v>
                      </c:pt>
                      <c:pt idx="15">
                        <c:v>3.27</c:v>
                      </c:pt>
                      <c:pt idx="16">
                        <c:v>3.69</c:v>
                      </c:pt>
                      <c:pt idx="17">
                        <c:v>4.1500000000000004</c:v>
                      </c:pt>
                      <c:pt idx="18">
                        <c:v>4.6500000000000004</c:v>
                      </c:pt>
                      <c:pt idx="19">
                        <c:v>5.21</c:v>
                      </c:pt>
                      <c:pt idx="20">
                        <c:v>5.82</c:v>
                      </c:pt>
                      <c:pt idx="21">
                        <c:v>6.49</c:v>
                      </c:pt>
                      <c:pt idx="22">
                        <c:v>7.23</c:v>
                      </c:pt>
                      <c:pt idx="23">
                        <c:v>8.0500000000000007</c:v>
                      </c:pt>
                      <c:pt idx="24">
                        <c:v>8.94</c:v>
                      </c:pt>
                      <c:pt idx="25">
                        <c:v>9.93</c:v>
                      </c:pt>
                      <c:pt idx="26">
                        <c:v>11.01</c:v>
                      </c:pt>
                      <c:pt idx="27">
                        <c:v>12.2</c:v>
                      </c:pt>
                      <c:pt idx="28">
                        <c:v>13.51</c:v>
                      </c:pt>
                      <c:pt idx="29">
                        <c:v>14.95</c:v>
                      </c:pt>
                      <c:pt idx="30">
                        <c:v>16.54</c:v>
                      </c:pt>
                      <c:pt idx="31">
                        <c:v>18.29</c:v>
                      </c:pt>
                      <c:pt idx="32">
                        <c:v>20.2</c:v>
                      </c:pt>
                      <c:pt idx="33">
                        <c:v>22.32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2903'!$K$56:$K$89</c15:sqref>
                        </c15:formulaRef>
                      </c:ext>
                    </c:extLst>
                    <c:numCache>
                      <c:formatCode>0.0</c:formatCode>
                      <c:ptCount val="34"/>
                      <c:pt idx="0">
                        <c:v>172.09912703554707</c:v>
                      </c:pt>
                      <c:pt idx="1">
                        <c:v>201.90396017525353</c:v>
                      </c:pt>
                      <c:pt idx="2">
                        <c:v>218.271451996461</c:v>
                      </c:pt>
                      <c:pt idx="3">
                        <c:v>228.91122801845216</c:v>
                      </c:pt>
                      <c:pt idx="4">
                        <c:v>237.0820382996514</c:v>
                      </c:pt>
                      <c:pt idx="5">
                        <c:v>243.07559553082794</c:v>
                      </c:pt>
                      <c:pt idx="6">
                        <c:v>248.08976628455309</c:v>
                      </c:pt>
                      <c:pt idx="7">
                        <c:v>252.68109972941176</c:v>
                      </c:pt>
                      <c:pt idx="8">
                        <c:v>256.47845687990917</c:v>
                      </c:pt>
                      <c:pt idx="9">
                        <c:v>259.97453845332154</c:v>
                      </c:pt>
                      <c:pt idx="10">
                        <c:v>263.03473345349499</c:v>
                      </c:pt>
                      <c:pt idx="11">
                        <c:v>265.95036816995685</c:v>
                      </c:pt>
                      <c:pt idx="12">
                        <c:v>268.67842533555734</c:v>
                      </c:pt>
                      <c:pt idx="13">
                        <c:v>271.05845783402907</c:v>
                      </c:pt>
                      <c:pt idx="14">
                        <c:v>273.24945076719325</c:v>
                      </c:pt>
                      <c:pt idx="15">
                        <c:v>275.17474054512337</c:v>
                      </c:pt>
                      <c:pt idx="16">
                        <c:v>276.77421089024972</c:v>
                      </c:pt>
                      <c:pt idx="17">
                        <c:v>278.0329767837257</c:v>
                      </c:pt>
                      <c:pt idx="18">
                        <c:v>278.90503090204112</c:v>
                      </c:pt>
                      <c:pt idx="19">
                        <c:v>279.37019856626625</c:v>
                      </c:pt>
                      <c:pt idx="20">
                        <c:v>279.36185128806289</c:v>
                      </c:pt>
                      <c:pt idx="21">
                        <c:v>278.86327356999476</c:v>
                      </c:pt>
                      <c:pt idx="22">
                        <c:v>277.83520414893428</c:v>
                      </c:pt>
                      <c:pt idx="23">
                        <c:v>276.25266783700221</c:v>
                      </c:pt>
                      <c:pt idx="24">
                        <c:v>274.14857597051019</c:v>
                      </c:pt>
                      <c:pt idx="25">
                        <c:v>271.48123697958601</c:v>
                      </c:pt>
                      <c:pt idx="26">
                        <c:v>268.32347090110198</c:v>
                      </c:pt>
                      <c:pt idx="27">
                        <c:v>264.6826765288663</c:v>
                      </c:pt>
                      <c:pt idx="28">
                        <c:v>260.56839692851827</c:v>
                      </c:pt>
                      <c:pt idx="29">
                        <c:v>256.1679692894574</c:v>
                      </c:pt>
                      <c:pt idx="30">
                        <c:v>251.38537090816959</c:v>
                      </c:pt>
                      <c:pt idx="31">
                        <c:v>246.39076380595074</c:v>
                      </c:pt>
                      <c:pt idx="32">
                        <c:v>241.26488183989596</c:v>
                      </c:pt>
                      <c:pt idx="33">
                        <c:v>235.96942508425505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BD6-4E5C-A074-279B6EF3AE61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2985'!$L$2</c:f>
          <c:strCache>
            <c:ptCount val="1"/>
            <c:pt idx="0">
              <c:v>NGC 2985</c:v>
            </c:pt>
          </c:strCache>
        </c:strRef>
      </c:tx>
      <c:layout>
        <c:manualLayout>
          <c:xMode val="edge"/>
          <c:yMode val="edge"/>
          <c:x val="0.53349371029040427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2985'!$I$7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2985'!$A$8:$A$40</c:f>
              <c:numCache>
                <c:formatCode>0.00</c:formatCode>
                <c:ptCount val="33"/>
                <c:pt idx="0">
                  <c:v>0.17</c:v>
                </c:pt>
                <c:pt idx="1">
                  <c:v>0.35</c:v>
                </c:pt>
                <c:pt idx="2">
                  <c:v>0.56000000000000005</c:v>
                </c:pt>
                <c:pt idx="3">
                  <c:v>0.78</c:v>
                </c:pt>
                <c:pt idx="4">
                  <c:v>1.03</c:v>
                </c:pt>
                <c:pt idx="5">
                  <c:v>1.3</c:v>
                </c:pt>
                <c:pt idx="6">
                  <c:v>1.6</c:v>
                </c:pt>
                <c:pt idx="7">
                  <c:v>1.93</c:v>
                </c:pt>
                <c:pt idx="8">
                  <c:v>2.29</c:v>
                </c:pt>
                <c:pt idx="9">
                  <c:v>2.69</c:v>
                </c:pt>
                <c:pt idx="10">
                  <c:v>3.12</c:v>
                </c:pt>
                <c:pt idx="11">
                  <c:v>3.61</c:v>
                </c:pt>
                <c:pt idx="12">
                  <c:v>4.13</c:v>
                </c:pt>
                <c:pt idx="13">
                  <c:v>4.72</c:v>
                </c:pt>
                <c:pt idx="14">
                  <c:v>5.36</c:v>
                </c:pt>
                <c:pt idx="15">
                  <c:v>6.06</c:v>
                </c:pt>
                <c:pt idx="16">
                  <c:v>6.84</c:v>
                </c:pt>
                <c:pt idx="17">
                  <c:v>7.69</c:v>
                </c:pt>
                <c:pt idx="18">
                  <c:v>8.6300000000000008</c:v>
                </c:pt>
                <c:pt idx="19">
                  <c:v>9.66</c:v>
                </c:pt>
                <c:pt idx="20">
                  <c:v>10.79</c:v>
                </c:pt>
                <c:pt idx="21">
                  <c:v>12.04</c:v>
                </c:pt>
                <c:pt idx="22">
                  <c:v>13.41</c:v>
                </c:pt>
                <c:pt idx="23">
                  <c:v>14.92</c:v>
                </c:pt>
                <c:pt idx="24">
                  <c:v>16.579999999999998</c:v>
                </c:pt>
                <c:pt idx="25">
                  <c:v>18.41</c:v>
                </c:pt>
                <c:pt idx="26">
                  <c:v>20.420000000000002</c:v>
                </c:pt>
                <c:pt idx="27">
                  <c:v>22.63</c:v>
                </c:pt>
                <c:pt idx="28">
                  <c:v>25.06</c:v>
                </c:pt>
                <c:pt idx="29">
                  <c:v>27.74</c:v>
                </c:pt>
                <c:pt idx="30">
                  <c:v>30.68</c:v>
                </c:pt>
                <c:pt idx="31">
                  <c:v>33.909999999999997</c:v>
                </c:pt>
                <c:pt idx="32">
                  <c:v>37.479999999999997</c:v>
                </c:pt>
              </c:numCache>
            </c:numRef>
          </c:xVal>
          <c:yVal>
            <c:numRef>
              <c:f>'NGC 2985'!$I$8:$I$40</c:f>
              <c:numCache>
                <c:formatCode>0.00</c:formatCode>
                <c:ptCount val="33"/>
                <c:pt idx="0">
                  <c:v>132.66999999999999</c:v>
                </c:pt>
                <c:pt idx="1">
                  <c:v>153.9</c:v>
                </c:pt>
                <c:pt idx="2">
                  <c:v>158.07</c:v>
                </c:pt>
                <c:pt idx="3">
                  <c:v>159.25</c:v>
                </c:pt>
                <c:pt idx="4">
                  <c:v>161.06</c:v>
                </c:pt>
                <c:pt idx="5">
                  <c:v>161.76</c:v>
                </c:pt>
                <c:pt idx="6">
                  <c:v>162.28</c:v>
                </c:pt>
                <c:pt idx="7">
                  <c:v>162.54</c:v>
                </c:pt>
                <c:pt idx="8">
                  <c:v>163.58000000000001</c:v>
                </c:pt>
                <c:pt idx="9">
                  <c:v>164.33</c:v>
                </c:pt>
                <c:pt idx="10">
                  <c:v>164.64</c:v>
                </c:pt>
                <c:pt idx="11">
                  <c:v>164.97</c:v>
                </c:pt>
                <c:pt idx="12">
                  <c:v>165.03</c:v>
                </c:pt>
                <c:pt idx="13">
                  <c:v>164.93</c:v>
                </c:pt>
                <c:pt idx="14">
                  <c:v>164.55</c:v>
                </c:pt>
                <c:pt idx="15">
                  <c:v>164.58</c:v>
                </c:pt>
                <c:pt idx="16">
                  <c:v>164.2</c:v>
                </c:pt>
                <c:pt idx="17">
                  <c:v>163.98</c:v>
                </c:pt>
                <c:pt idx="18">
                  <c:v>163.85</c:v>
                </c:pt>
                <c:pt idx="19">
                  <c:v>163.58000000000001</c:v>
                </c:pt>
                <c:pt idx="20">
                  <c:v>163.47999999999999</c:v>
                </c:pt>
                <c:pt idx="21">
                  <c:v>163.22999999999999</c:v>
                </c:pt>
                <c:pt idx="22">
                  <c:v>163.13999999999999</c:v>
                </c:pt>
                <c:pt idx="23">
                  <c:v>163.44</c:v>
                </c:pt>
                <c:pt idx="24">
                  <c:v>163.05000000000001</c:v>
                </c:pt>
                <c:pt idx="25">
                  <c:v>162.29</c:v>
                </c:pt>
                <c:pt idx="26">
                  <c:v>161.27000000000001</c:v>
                </c:pt>
                <c:pt idx="27">
                  <c:v>158.91</c:v>
                </c:pt>
                <c:pt idx="28">
                  <c:v>154.72</c:v>
                </c:pt>
                <c:pt idx="29">
                  <c:v>148.53</c:v>
                </c:pt>
                <c:pt idx="30">
                  <c:v>143.55000000000001</c:v>
                </c:pt>
                <c:pt idx="31">
                  <c:v>140.96</c:v>
                </c:pt>
                <c:pt idx="32">
                  <c:v>141.93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9D-4EE4-B1E0-6619077A4EC9}"/>
            </c:ext>
          </c:extLst>
        </c:ser>
        <c:ser>
          <c:idx val="1"/>
          <c:order val="1"/>
          <c:tx>
            <c:strRef>
              <c:f>'NGC 2985'!$K$7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2985'!$A$8:$A$40</c:f>
              <c:numCache>
                <c:formatCode>0.00</c:formatCode>
                <c:ptCount val="33"/>
                <c:pt idx="0">
                  <c:v>0.17</c:v>
                </c:pt>
                <c:pt idx="1">
                  <c:v>0.35</c:v>
                </c:pt>
                <c:pt idx="2">
                  <c:v>0.56000000000000005</c:v>
                </c:pt>
                <c:pt idx="3">
                  <c:v>0.78</c:v>
                </c:pt>
                <c:pt idx="4">
                  <c:v>1.03</c:v>
                </c:pt>
                <c:pt idx="5">
                  <c:v>1.3</c:v>
                </c:pt>
                <c:pt idx="6">
                  <c:v>1.6</c:v>
                </c:pt>
                <c:pt idx="7">
                  <c:v>1.93</c:v>
                </c:pt>
                <c:pt idx="8">
                  <c:v>2.29</c:v>
                </c:pt>
                <c:pt idx="9">
                  <c:v>2.69</c:v>
                </c:pt>
                <c:pt idx="10">
                  <c:v>3.12</c:v>
                </c:pt>
                <c:pt idx="11">
                  <c:v>3.61</c:v>
                </c:pt>
                <c:pt idx="12">
                  <c:v>4.13</c:v>
                </c:pt>
                <c:pt idx="13">
                  <c:v>4.72</c:v>
                </c:pt>
                <c:pt idx="14">
                  <c:v>5.36</c:v>
                </c:pt>
                <c:pt idx="15">
                  <c:v>6.06</c:v>
                </c:pt>
                <c:pt idx="16">
                  <c:v>6.84</c:v>
                </c:pt>
                <c:pt idx="17">
                  <c:v>7.69</c:v>
                </c:pt>
                <c:pt idx="18">
                  <c:v>8.6300000000000008</c:v>
                </c:pt>
                <c:pt idx="19">
                  <c:v>9.66</c:v>
                </c:pt>
                <c:pt idx="20">
                  <c:v>10.79</c:v>
                </c:pt>
                <c:pt idx="21">
                  <c:v>12.04</c:v>
                </c:pt>
                <c:pt idx="22">
                  <c:v>13.41</c:v>
                </c:pt>
                <c:pt idx="23">
                  <c:v>14.92</c:v>
                </c:pt>
                <c:pt idx="24">
                  <c:v>16.579999999999998</c:v>
                </c:pt>
                <c:pt idx="25">
                  <c:v>18.41</c:v>
                </c:pt>
                <c:pt idx="26">
                  <c:v>20.420000000000002</c:v>
                </c:pt>
                <c:pt idx="27">
                  <c:v>22.63</c:v>
                </c:pt>
                <c:pt idx="28">
                  <c:v>25.06</c:v>
                </c:pt>
                <c:pt idx="29">
                  <c:v>27.74</c:v>
                </c:pt>
                <c:pt idx="30">
                  <c:v>30.68</c:v>
                </c:pt>
                <c:pt idx="31">
                  <c:v>33.909999999999997</c:v>
                </c:pt>
                <c:pt idx="32">
                  <c:v>37.479999999999997</c:v>
                </c:pt>
              </c:numCache>
            </c:numRef>
          </c:xVal>
          <c:yVal>
            <c:numRef>
              <c:f>'NGC 2985'!$K$8:$K$40</c:f>
              <c:numCache>
                <c:formatCode>0.0</c:formatCode>
                <c:ptCount val="33"/>
                <c:pt idx="0">
                  <c:v>138.50754991893382</c:v>
                </c:pt>
                <c:pt idx="1">
                  <c:v>147.01397255108316</c:v>
                </c:pt>
                <c:pt idx="2">
                  <c:v>152.832918123556</c:v>
                </c:pt>
                <c:pt idx="3">
                  <c:v>157.27618484570877</c:v>
                </c:pt>
                <c:pt idx="4">
                  <c:v>160.9537145983661</c:v>
                </c:pt>
                <c:pt idx="5">
                  <c:v>163.60951255971719</c:v>
                </c:pt>
                <c:pt idx="6">
                  <c:v>165.2957821430158</c:v>
                </c:pt>
                <c:pt idx="7">
                  <c:v>165.98277681458808</c:v>
                </c:pt>
                <c:pt idx="8">
                  <c:v>165.72389036295755</c:v>
                </c:pt>
                <c:pt idx="9">
                  <c:v>164.60689265869308</c:v>
                </c:pt>
                <c:pt idx="10">
                  <c:v>162.79928578704323</c:v>
                </c:pt>
                <c:pt idx="11">
                  <c:v>160.38583191868219</c:v>
                </c:pt>
                <c:pt idx="12">
                  <c:v>157.70920914833727</c:v>
                </c:pt>
                <c:pt idx="13">
                  <c:v>154.80239699817665</c:v>
                </c:pt>
                <c:pt idx="14">
                  <c:v>152.00709943829929</c:v>
                </c:pt>
                <c:pt idx="15">
                  <c:v>149.49299417406422</c:v>
                </c:pt>
                <c:pt idx="16">
                  <c:v>147.40151871263168</c:v>
                </c:pt>
                <c:pt idx="17">
                  <c:v>145.9261671490797</c:v>
                </c:pt>
                <c:pt idx="18">
                  <c:v>145.14196873374428</c:v>
                </c:pt>
                <c:pt idx="19">
                  <c:v>145.13366014125842</c:v>
                </c:pt>
                <c:pt idx="20">
                  <c:v>145.92891883415854</c:v>
                </c:pt>
                <c:pt idx="21">
                  <c:v>147.52512065027815</c:v>
                </c:pt>
                <c:pt idx="22">
                  <c:v>149.90928514047911</c:v>
                </c:pt>
                <c:pt idx="23">
                  <c:v>153.06223235495531</c:v>
                </c:pt>
                <c:pt idx="24">
                  <c:v>156.950269403855</c:v>
                </c:pt>
                <c:pt idx="25">
                  <c:v>161.55367802116044</c:v>
                </c:pt>
                <c:pt idx="26">
                  <c:v>166.82948617548229</c:v>
                </c:pt>
                <c:pt idx="27">
                  <c:v>172.75771510271133</c:v>
                </c:pt>
                <c:pt idx="28">
                  <c:v>179.31824646497554</c:v>
                </c:pt>
                <c:pt idx="29">
                  <c:v>186.51702800654635</c:v>
                </c:pt>
                <c:pt idx="30">
                  <c:v>194.30481507703288</c:v>
                </c:pt>
                <c:pt idx="31">
                  <c:v>202.68459171017295</c:v>
                </c:pt>
                <c:pt idx="32">
                  <c:v>211.70639062465389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9D-4EE4-B1E0-6619077A4EC9}"/>
            </c:ext>
          </c:extLst>
        </c:ser>
        <c:ser>
          <c:idx val="2"/>
          <c:order val="2"/>
          <c:tx>
            <c:strRef>
              <c:f>'NGC 2985'!$K$54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2985'!$A$55:$A$87</c:f>
              <c:numCache>
                <c:formatCode>0.00</c:formatCode>
                <c:ptCount val="33"/>
                <c:pt idx="0">
                  <c:v>0.17</c:v>
                </c:pt>
                <c:pt idx="1">
                  <c:v>0.35</c:v>
                </c:pt>
                <c:pt idx="2">
                  <c:v>0.56000000000000005</c:v>
                </c:pt>
                <c:pt idx="3">
                  <c:v>0.78</c:v>
                </c:pt>
                <c:pt idx="4">
                  <c:v>1.03</c:v>
                </c:pt>
                <c:pt idx="5">
                  <c:v>1.3</c:v>
                </c:pt>
                <c:pt idx="6">
                  <c:v>1.6</c:v>
                </c:pt>
                <c:pt idx="7">
                  <c:v>1.93</c:v>
                </c:pt>
                <c:pt idx="8">
                  <c:v>2.29</c:v>
                </c:pt>
                <c:pt idx="9">
                  <c:v>2.69</c:v>
                </c:pt>
                <c:pt idx="10">
                  <c:v>3.12</c:v>
                </c:pt>
                <c:pt idx="11">
                  <c:v>3.61</c:v>
                </c:pt>
                <c:pt idx="12">
                  <c:v>4.13</c:v>
                </c:pt>
                <c:pt idx="13">
                  <c:v>4.72</c:v>
                </c:pt>
                <c:pt idx="14">
                  <c:v>5.36</c:v>
                </c:pt>
                <c:pt idx="15">
                  <c:v>6.06</c:v>
                </c:pt>
                <c:pt idx="16">
                  <c:v>6.84</c:v>
                </c:pt>
                <c:pt idx="17">
                  <c:v>7.69</c:v>
                </c:pt>
                <c:pt idx="18">
                  <c:v>8.6300000000000008</c:v>
                </c:pt>
                <c:pt idx="19">
                  <c:v>9.66</c:v>
                </c:pt>
                <c:pt idx="20">
                  <c:v>10.79</c:v>
                </c:pt>
                <c:pt idx="21">
                  <c:v>12.04</c:v>
                </c:pt>
                <c:pt idx="22">
                  <c:v>13.41</c:v>
                </c:pt>
                <c:pt idx="23">
                  <c:v>14.92</c:v>
                </c:pt>
                <c:pt idx="24">
                  <c:v>16.579999999999998</c:v>
                </c:pt>
                <c:pt idx="25">
                  <c:v>18.41</c:v>
                </c:pt>
                <c:pt idx="26">
                  <c:v>20.420000000000002</c:v>
                </c:pt>
                <c:pt idx="27">
                  <c:v>22.63</c:v>
                </c:pt>
                <c:pt idx="28">
                  <c:v>25.06</c:v>
                </c:pt>
                <c:pt idx="29">
                  <c:v>27.74</c:v>
                </c:pt>
                <c:pt idx="30">
                  <c:v>30.68</c:v>
                </c:pt>
                <c:pt idx="31">
                  <c:v>33.909999999999997</c:v>
                </c:pt>
                <c:pt idx="32">
                  <c:v>37.479999999999997</c:v>
                </c:pt>
              </c:numCache>
            </c:numRef>
          </c:xVal>
          <c:yVal>
            <c:numRef>
              <c:f>'NGC 2985'!$K$55:$K$87</c:f>
              <c:numCache>
                <c:formatCode>0.0</c:formatCode>
                <c:ptCount val="33"/>
                <c:pt idx="0">
                  <c:v>137.99966769501805</c:v>
                </c:pt>
                <c:pt idx="1">
                  <c:v>146.01389332541081</c:v>
                </c:pt>
                <c:pt idx="2">
                  <c:v>151.2779361019949</c:v>
                </c:pt>
                <c:pt idx="3">
                  <c:v>155.24166479317705</c:v>
                </c:pt>
                <c:pt idx="4">
                  <c:v>158.59235062839633</c:v>
                </c:pt>
                <c:pt idx="5">
                  <c:v>161.16398923334501</c:v>
                </c:pt>
                <c:pt idx="6">
                  <c:v>163.03327027331738</c:v>
                </c:pt>
                <c:pt idx="7">
                  <c:v>164.20976436397791</c:v>
                </c:pt>
                <c:pt idx="8">
                  <c:v>164.76275359935565</c:v>
                </c:pt>
                <c:pt idx="9">
                  <c:v>164.7998261824321</c:v>
                </c:pt>
                <c:pt idx="10">
                  <c:v>164.42260824813766</c:v>
                </c:pt>
                <c:pt idx="11">
                  <c:v>163.78164796027571</c:v>
                </c:pt>
                <c:pt idx="12">
                  <c:v>163.00686614784573</c:v>
                </c:pt>
                <c:pt idx="13">
                  <c:v>162.1541785320949</c:v>
                </c:pt>
                <c:pt idx="14">
                  <c:v>161.34535021055652</c:v>
                </c:pt>
                <c:pt idx="15">
                  <c:v>160.62661057025161</c:v>
                </c:pt>
                <c:pt idx="16">
                  <c:v>160.00966837092582</c:v>
                </c:pt>
                <c:pt idx="17">
                  <c:v>159.50952519235383</c:v>
                </c:pt>
                <c:pt idx="18">
                  <c:v>159.09565574860406</c:v>
                </c:pt>
                <c:pt idx="19">
                  <c:v>158.73900755199671</c:v>
                </c:pt>
                <c:pt idx="20">
                  <c:v>158.40985624807871</c:v>
                </c:pt>
                <c:pt idx="21">
                  <c:v>158.05403109811135</c:v>
                </c:pt>
                <c:pt idx="22">
                  <c:v>157.64190179758572</c:v>
                </c:pt>
                <c:pt idx="23">
                  <c:v>157.14064098698398</c:v>
                </c:pt>
                <c:pt idx="24">
                  <c:v>156.52617822206818</c:v>
                </c:pt>
                <c:pt idx="25">
                  <c:v>155.77540845923684</c:v>
                </c:pt>
                <c:pt idx="26">
                  <c:v>154.87870750696072</c:v>
                </c:pt>
                <c:pt idx="27">
                  <c:v>153.82629627666481</c:v>
                </c:pt>
                <c:pt idx="28">
                  <c:v>152.61357233948436</c:v>
                </c:pt>
                <c:pt idx="29">
                  <c:v>151.23547648221353</c:v>
                </c:pt>
                <c:pt idx="30">
                  <c:v>149.70132870314754</c:v>
                </c:pt>
                <c:pt idx="31">
                  <c:v>148.01383811425592</c:v>
                </c:pt>
                <c:pt idx="32">
                  <c:v>146.16870947591804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9D-4EE4-B1E0-6619077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2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3079'!$L$2</c:f>
          <c:strCache>
            <c:ptCount val="1"/>
            <c:pt idx="0">
              <c:v>NGC 3079</c:v>
            </c:pt>
          </c:strCache>
        </c:strRef>
      </c:tx>
      <c:layout>
        <c:manualLayout>
          <c:xMode val="edge"/>
          <c:yMode val="edge"/>
          <c:x val="0.52342020388071331"/>
          <c:y val="0.70482502187226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3079'!$I$7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3079'!$A$8:$A$40</c:f>
              <c:numCache>
                <c:formatCode>General</c:formatCode>
                <c:ptCount val="33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</c:numCache>
            </c:numRef>
          </c:xVal>
          <c:yVal>
            <c:numRef>
              <c:f>'NGC 3079'!$I$8:$I$40</c:f>
              <c:numCache>
                <c:formatCode>General</c:formatCode>
                <c:ptCount val="33"/>
                <c:pt idx="0">
                  <c:v>214.41</c:v>
                </c:pt>
                <c:pt idx="1">
                  <c:v>265.51</c:v>
                </c:pt>
                <c:pt idx="2">
                  <c:v>279.39</c:v>
                </c:pt>
                <c:pt idx="3">
                  <c:v>282.14</c:v>
                </c:pt>
                <c:pt idx="4">
                  <c:v>276.27</c:v>
                </c:pt>
                <c:pt idx="5">
                  <c:v>266.17</c:v>
                </c:pt>
                <c:pt idx="6">
                  <c:v>256.11</c:v>
                </c:pt>
                <c:pt idx="7">
                  <c:v>249.4</c:v>
                </c:pt>
                <c:pt idx="8">
                  <c:v>233.61</c:v>
                </c:pt>
                <c:pt idx="9">
                  <c:v>216.78</c:v>
                </c:pt>
                <c:pt idx="10">
                  <c:v>212.03</c:v>
                </c:pt>
                <c:pt idx="11">
                  <c:v>211.87</c:v>
                </c:pt>
                <c:pt idx="12">
                  <c:v>213.02</c:v>
                </c:pt>
                <c:pt idx="13">
                  <c:v>214.21</c:v>
                </c:pt>
                <c:pt idx="14">
                  <c:v>216.65</c:v>
                </c:pt>
                <c:pt idx="15">
                  <c:v>221.44</c:v>
                </c:pt>
                <c:pt idx="16">
                  <c:v>227.39</c:v>
                </c:pt>
                <c:pt idx="17">
                  <c:v>231.74</c:v>
                </c:pt>
                <c:pt idx="18">
                  <c:v>234.36</c:v>
                </c:pt>
                <c:pt idx="19">
                  <c:v>234.93</c:v>
                </c:pt>
                <c:pt idx="20">
                  <c:v>232.73</c:v>
                </c:pt>
                <c:pt idx="21">
                  <c:v>228.44</c:v>
                </c:pt>
                <c:pt idx="22">
                  <c:v>225.75</c:v>
                </c:pt>
                <c:pt idx="23">
                  <c:v>227.5</c:v>
                </c:pt>
                <c:pt idx="24">
                  <c:v>232.83</c:v>
                </c:pt>
                <c:pt idx="25">
                  <c:v>237.51</c:v>
                </c:pt>
                <c:pt idx="26">
                  <c:v>237.46</c:v>
                </c:pt>
                <c:pt idx="27">
                  <c:v>233.04</c:v>
                </c:pt>
                <c:pt idx="28">
                  <c:v>227.1</c:v>
                </c:pt>
                <c:pt idx="29">
                  <c:v>221.59</c:v>
                </c:pt>
                <c:pt idx="30">
                  <c:v>215.09</c:v>
                </c:pt>
                <c:pt idx="31">
                  <c:v>202.88</c:v>
                </c:pt>
                <c:pt idx="32">
                  <c:v>187.5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F-498D-9315-52FF51BA922D}"/>
            </c:ext>
          </c:extLst>
        </c:ser>
        <c:ser>
          <c:idx val="1"/>
          <c:order val="1"/>
          <c:tx>
            <c:strRef>
              <c:f>'NGC 3079'!$K$7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3079'!$A$8:$A$40</c:f>
              <c:numCache>
                <c:formatCode>General</c:formatCode>
                <c:ptCount val="33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</c:numCache>
            </c:numRef>
          </c:xVal>
          <c:yVal>
            <c:numRef>
              <c:f>'NGC 3079'!$K$8:$K$40</c:f>
              <c:numCache>
                <c:formatCode>0.0</c:formatCode>
                <c:ptCount val="33"/>
                <c:pt idx="0">
                  <c:v>248.48722953992211</c:v>
                </c:pt>
                <c:pt idx="1">
                  <c:v>261.92431377162677</c:v>
                </c:pt>
                <c:pt idx="2">
                  <c:v>263.31677402394121</c:v>
                </c:pt>
                <c:pt idx="3">
                  <c:v>260.4036651067475</c:v>
                </c:pt>
                <c:pt idx="4">
                  <c:v>256.00706272847316</c:v>
                </c:pt>
                <c:pt idx="5">
                  <c:v>251.62289331202942</c:v>
                </c:pt>
                <c:pt idx="6">
                  <c:v>247.09668851448887</c:v>
                </c:pt>
                <c:pt idx="7">
                  <c:v>242.74518723925695</c:v>
                </c:pt>
                <c:pt idx="8">
                  <c:v>238.91638103477348</c:v>
                </c:pt>
                <c:pt idx="9">
                  <c:v>235.36924662051436</c:v>
                </c:pt>
                <c:pt idx="10">
                  <c:v>232.4711096344698</c:v>
                </c:pt>
                <c:pt idx="11">
                  <c:v>229.96061918537819</c:v>
                </c:pt>
                <c:pt idx="12">
                  <c:v>227.89354930477856</c:v>
                </c:pt>
                <c:pt idx="13">
                  <c:v>226.30216235416262</c:v>
                </c:pt>
                <c:pt idx="14">
                  <c:v>225.04934703300333</c:v>
                </c:pt>
                <c:pt idx="15">
                  <c:v>224.12844415932713</c:v>
                </c:pt>
                <c:pt idx="16">
                  <c:v>223.4505504786305</c:v>
                </c:pt>
                <c:pt idx="17">
                  <c:v>222.89469182772294</c:v>
                </c:pt>
                <c:pt idx="18">
                  <c:v>222.5362905069685</c:v>
                </c:pt>
                <c:pt idx="19">
                  <c:v>222.21086282922295</c:v>
                </c:pt>
                <c:pt idx="20">
                  <c:v>221.834943223522</c:v>
                </c:pt>
                <c:pt idx="21">
                  <c:v>221.38119984585737</c:v>
                </c:pt>
                <c:pt idx="22">
                  <c:v>220.81280816050909</c:v>
                </c:pt>
                <c:pt idx="23">
                  <c:v>220.0992268675931</c:v>
                </c:pt>
                <c:pt idx="24">
                  <c:v>219.24815847676848</c:v>
                </c:pt>
                <c:pt idx="25">
                  <c:v>218.26095248427131</c:v>
                </c:pt>
                <c:pt idx="26">
                  <c:v>217.20172292860164</c:v>
                </c:pt>
                <c:pt idx="27">
                  <c:v>216.10030087077095</c:v>
                </c:pt>
                <c:pt idx="28">
                  <c:v>215.09097811741108</c:v>
                </c:pt>
                <c:pt idx="29">
                  <c:v>214.26878550962891</c:v>
                </c:pt>
                <c:pt idx="30">
                  <c:v>213.71792509051255</c:v>
                </c:pt>
                <c:pt idx="31">
                  <c:v>213.6010777003462</c:v>
                </c:pt>
                <c:pt idx="32">
                  <c:v>214.02197263448647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F-498D-9315-52FF51BA9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3079'!$K$54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3079'!$A$55:$A$87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0.09</c:v>
                      </c:pt>
                      <c:pt idx="1">
                        <c:v>0.19</c:v>
                      </c:pt>
                      <c:pt idx="2">
                        <c:v>0.3</c:v>
                      </c:pt>
                      <c:pt idx="3">
                        <c:v>0.42</c:v>
                      </c:pt>
                      <c:pt idx="4">
                        <c:v>0.56000000000000005</c:v>
                      </c:pt>
                      <c:pt idx="5">
                        <c:v>0.7</c:v>
                      </c:pt>
                      <c:pt idx="6">
                        <c:v>0.86</c:v>
                      </c:pt>
                      <c:pt idx="7">
                        <c:v>1.04</c:v>
                      </c:pt>
                      <c:pt idx="8">
                        <c:v>1.23</c:v>
                      </c:pt>
                      <c:pt idx="9">
                        <c:v>1.45</c:v>
                      </c:pt>
                      <c:pt idx="10">
                        <c:v>1.68</c:v>
                      </c:pt>
                      <c:pt idx="11">
                        <c:v>1.94</c:v>
                      </c:pt>
                      <c:pt idx="12">
                        <c:v>2.23</c:v>
                      </c:pt>
                      <c:pt idx="13">
                        <c:v>2.54</c:v>
                      </c:pt>
                      <c:pt idx="14">
                        <c:v>2.89</c:v>
                      </c:pt>
                      <c:pt idx="15">
                        <c:v>3.27</c:v>
                      </c:pt>
                      <c:pt idx="16">
                        <c:v>3.69</c:v>
                      </c:pt>
                      <c:pt idx="17">
                        <c:v>4.1500000000000004</c:v>
                      </c:pt>
                      <c:pt idx="18">
                        <c:v>4.6500000000000004</c:v>
                      </c:pt>
                      <c:pt idx="19">
                        <c:v>5.21</c:v>
                      </c:pt>
                      <c:pt idx="20">
                        <c:v>5.82</c:v>
                      </c:pt>
                      <c:pt idx="21">
                        <c:v>6.49</c:v>
                      </c:pt>
                      <c:pt idx="22">
                        <c:v>7.23</c:v>
                      </c:pt>
                      <c:pt idx="23">
                        <c:v>8.0500000000000007</c:v>
                      </c:pt>
                      <c:pt idx="24">
                        <c:v>8.94</c:v>
                      </c:pt>
                      <c:pt idx="25">
                        <c:v>9.93</c:v>
                      </c:pt>
                      <c:pt idx="26">
                        <c:v>11.01</c:v>
                      </c:pt>
                      <c:pt idx="27">
                        <c:v>12.2</c:v>
                      </c:pt>
                      <c:pt idx="28">
                        <c:v>13.51</c:v>
                      </c:pt>
                      <c:pt idx="29">
                        <c:v>14.95</c:v>
                      </c:pt>
                      <c:pt idx="30">
                        <c:v>16.54</c:v>
                      </c:pt>
                      <c:pt idx="31">
                        <c:v>18.29</c:v>
                      </c:pt>
                      <c:pt idx="32">
                        <c:v>20.2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3079'!$K$55:$K$87</c15:sqref>
                        </c15:formulaRef>
                      </c:ext>
                    </c:extLst>
                    <c:numCache>
                      <c:formatCode>0.0</c:formatCode>
                      <c:ptCount val="33"/>
                      <c:pt idx="0">
                        <c:v>278.70473841337059</c:v>
                      </c:pt>
                      <c:pt idx="1">
                        <c:v>291.569943966214</c:v>
                      </c:pt>
                      <c:pt idx="2">
                        <c:v>290.79843791625757</c:v>
                      </c:pt>
                      <c:pt idx="3">
                        <c:v>286.11773566672701</c:v>
                      </c:pt>
                      <c:pt idx="4">
                        <c:v>279.40721504775405</c:v>
                      </c:pt>
                      <c:pt idx="5">
                        <c:v>272.92984170460676</c:v>
                      </c:pt>
                      <c:pt idx="6">
                        <c:v>266.22703938256126</c:v>
                      </c:pt>
                      <c:pt idx="7">
                        <c:v>259.74095381476104</c:v>
                      </c:pt>
                      <c:pt idx="8">
                        <c:v>253.89711086779499</c:v>
                      </c:pt>
                      <c:pt idx="9">
                        <c:v>248.28733602823249</c:v>
                      </c:pt>
                      <c:pt idx="10">
                        <c:v>243.46761316501778</c:v>
                      </c:pt>
                      <c:pt idx="11">
                        <c:v>239.07681005946253</c:v>
                      </c:pt>
                      <c:pt idx="12">
                        <c:v>235.18613722254753</c:v>
                      </c:pt>
                      <c:pt idx="13">
                        <c:v>231.92997598291515</c:v>
                      </c:pt>
                      <c:pt idx="14">
                        <c:v>229.08529570359434</c:v>
                      </c:pt>
                      <c:pt idx="15">
                        <c:v>226.7270626214171</c:v>
                      </c:pt>
                      <c:pt idx="16">
                        <c:v>224.66778856238952</c:v>
                      </c:pt>
                      <c:pt idx="17">
                        <c:v>223.11447983123065</c:v>
                      </c:pt>
                      <c:pt idx="18">
                        <c:v>221.72447390571153</c:v>
                      </c:pt>
                      <c:pt idx="19">
                        <c:v>220.54967843869142</c:v>
                      </c:pt>
                      <c:pt idx="20">
                        <c:v>219.52342719354209</c:v>
                      </c:pt>
                      <c:pt idx="21">
                        <c:v>218.56520788068403</c:v>
                      </c:pt>
                      <c:pt idx="22">
                        <c:v>217.61538683206405</c:v>
                      </c:pt>
                      <c:pt idx="23">
                        <c:v>216.62555292753913</c:v>
                      </c:pt>
                      <c:pt idx="24">
                        <c:v>215.57967777126626</c:v>
                      </c:pt>
                      <c:pt idx="25">
                        <c:v>214.41705119367032</c:v>
                      </c:pt>
                      <c:pt idx="26">
                        <c:v>213.13293435594437</c:v>
                      </c:pt>
                      <c:pt idx="27">
                        <c:v>211.73758454731592</c:v>
                      </c:pt>
                      <c:pt idx="28">
                        <c:v>210.24868603378221</c:v>
                      </c:pt>
                      <c:pt idx="29">
                        <c:v>208.62926690293847</c:v>
                      </c:pt>
                      <c:pt idx="30">
                        <c:v>206.91438182058403</c:v>
                      </c:pt>
                      <c:pt idx="31">
                        <c:v>205.12179479479619</c:v>
                      </c:pt>
                      <c:pt idx="32">
                        <c:v>203.28135757040218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0AF-498D-9315-52FF51BA922D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  <c:max val="2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3198'!$L$2</c:f>
          <c:strCache>
            <c:ptCount val="1"/>
            <c:pt idx="0">
              <c:v>NGC 3198</c:v>
            </c:pt>
          </c:strCache>
        </c:strRef>
      </c:tx>
      <c:layout>
        <c:manualLayout>
          <c:xMode val="edge"/>
          <c:yMode val="edge"/>
          <c:x val="0.51646237871058898"/>
          <c:y val="0.7048250218722659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3198'!$I$7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3198'!$A$8:$A$44</c:f>
              <c:numCache>
                <c:formatCode>General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3198'!$I$8:$I$44</c:f>
              <c:numCache>
                <c:formatCode>General</c:formatCode>
                <c:ptCount val="37"/>
                <c:pt idx="0">
                  <c:v>46.03</c:v>
                </c:pt>
                <c:pt idx="1">
                  <c:v>50.89</c:v>
                </c:pt>
                <c:pt idx="2">
                  <c:v>46.65</c:v>
                </c:pt>
                <c:pt idx="3">
                  <c:v>43.76</c:v>
                </c:pt>
                <c:pt idx="4">
                  <c:v>47.36</c:v>
                </c:pt>
                <c:pt idx="5">
                  <c:v>55.13</c:v>
                </c:pt>
                <c:pt idx="6">
                  <c:v>61.24</c:v>
                </c:pt>
                <c:pt idx="7">
                  <c:v>72.010000000000005</c:v>
                </c:pt>
                <c:pt idx="8">
                  <c:v>81.67</c:v>
                </c:pt>
                <c:pt idx="9">
                  <c:v>88.92</c:v>
                </c:pt>
                <c:pt idx="10">
                  <c:v>93.61</c:v>
                </c:pt>
                <c:pt idx="11">
                  <c:v>100.57</c:v>
                </c:pt>
                <c:pt idx="12">
                  <c:v>107.43</c:v>
                </c:pt>
                <c:pt idx="13">
                  <c:v>120.02</c:v>
                </c:pt>
                <c:pt idx="14">
                  <c:v>130.25</c:v>
                </c:pt>
                <c:pt idx="15">
                  <c:v>138.38</c:v>
                </c:pt>
                <c:pt idx="16">
                  <c:v>143.38999999999999</c:v>
                </c:pt>
                <c:pt idx="17">
                  <c:v>145.96</c:v>
                </c:pt>
                <c:pt idx="18">
                  <c:v>149.36000000000001</c:v>
                </c:pt>
                <c:pt idx="19">
                  <c:v>154.27000000000001</c:v>
                </c:pt>
                <c:pt idx="20">
                  <c:v>156.29</c:v>
                </c:pt>
                <c:pt idx="21">
                  <c:v>160.05000000000001</c:v>
                </c:pt>
                <c:pt idx="22">
                  <c:v>165.64</c:v>
                </c:pt>
                <c:pt idx="23">
                  <c:v>168.87</c:v>
                </c:pt>
                <c:pt idx="24">
                  <c:v>170.2</c:v>
                </c:pt>
                <c:pt idx="25">
                  <c:v>169.83</c:v>
                </c:pt>
                <c:pt idx="26">
                  <c:v>168.31</c:v>
                </c:pt>
                <c:pt idx="27">
                  <c:v>166.44</c:v>
                </c:pt>
                <c:pt idx="28">
                  <c:v>165.26</c:v>
                </c:pt>
                <c:pt idx="29">
                  <c:v>165.31</c:v>
                </c:pt>
                <c:pt idx="30">
                  <c:v>165.76</c:v>
                </c:pt>
                <c:pt idx="31">
                  <c:v>164.66</c:v>
                </c:pt>
                <c:pt idx="32">
                  <c:v>162.21</c:v>
                </c:pt>
                <c:pt idx="33">
                  <c:v>160.75</c:v>
                </c:pt>
                <c:pt idx="34">
                  <c:v>160.13</c:v>
                </c:pt>
                <c:pt idx="35">
                  <c:v>158.87</c:v>
                </c:pt>
                <c:pt idx="36">
                  <c:v>156.11000000000001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AF-4407-974B-7E077A7178A1}"/>
            </c:ext>
          </c:extLst>
        </c:ser>
        <c:ser>
          <c:idx val="1"/>
          <c:order val="1"/>
          <c:tx>
            <c:strRef>
              <c:f>'NGC 3198'!$K$7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3198'!$A$8:$A$44</c:f>
              <c:numCache>
                <c:formatCode>General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3198'!$K$8:$K$44</c:f>
              <c:numCache>
                <c:formatCode>0.0</c:formatCode>
                <c:ptCount val="37"/>
                <c:pt idx="0">
                  <c:v>26.87530759866921</c:v>
                </c:pt>
                <c:pt idx="1">
                  <c:v>38.693626822139109</c:v>
                </c:pt>
                <c:pt idx="2">
                  <c:v>48.137443597927508</c:v>
                </c:pt>
                <c:pt idx="3">
                  <c:v>56.343497715998815</c:v>
                </c:pt>
                <c:pt idx="4">
                  <c:v>64.249238589182241</c:v>
                </c:pt>
                <c:pt idx="5">
                  <c:v>70.945241763495247</c:v>
                </c:pt>
                <c:pt idx="6">
                  <c:v>77.536905836547163</c:v>
                </c:pt>
                <c:pt idx="7">
                  <c:v>83.939930583773858</c:v>
                </c:pt>
                <c:pt idx="8">
                  <c:v>89.805408625813754</c:v>
                </c:pt>
                <c:pt idx="9">
                  <c:v>95.701474356454909</c:v>
                </c:pt>
                <c:pt idx="10">
                  <c:v>101.04856801392334</c:v>
                </c:pt>
                <c:pt idx="11">
                  <c:v>106.28753091355549</c:v>
                </c:pt>
                <c:pt idx="12">
                  <c:v>111.31755429773452</c:v>
                </c:pt>
                <c:pt idx="13">
                  <c:v>115.92771463827006</c:v>
                </c:pt>
                <c:pt idx="14">
                  <c:v>120.36341286356426</c:v>
                </c:pt>
                <c:pt idx="15">
                  <c:v>124.4340025962837</c:v>
                </c:pt>
                <c:pt idx="16">
                  <c:v>128.20956183291159</c:v>
                </c:pt>
                <c:pt idx="17">
                  <c:v>131.65129037038525</c:v>
                </c:pt>
                <c:pt idx="18">
                  <c:v>134.74532252736836</c:v>
                </c:pt>
                <c:pt idx="19">
                  <c:v>137.59114169148228</c:v>
                </c:pt>
                <c:pt idx="20">
                  <c:v>140.12618022541301</c:v>
                </c:pt>
                <c:pt idx="21">
                  <c:v>142.41028812310387</c:v>
                </c:pt>
                <c:pt idx="22">
                  <c:v>144.50070751404493</c:v>
                </c:pt>
                <c:pt idx="23">
                  <c:v>146.46054772111896</c:v>
                </c:pt>
                <c:pt idx="24">
                  <c:v>148.32428469316213</c:v>
                </c:pt>
                <c:pt idx="25">
                  <c:v>150.22370365552194</c:v>
                </c:pt>
                <c:pt idx="26">
                  <c:v>152.21463745062476</c:v>
                </c:pt>
                <c:pt idx="27">
                  <c:v>154.41349641551176</c:v>
                </c:pt>
                <c:pt idx="28">
                  <c:v>156.91476276118431</c:v>
                </c:pt>
                <c:pt idx="29">
                  <c:v>159.80450272806112</c:v>
                </c:pt>
                <c:pt idx="30">
                  <c:v>163.17608739895789</c:v>
                </c:pt>
                <c:pt idx="31">
                  <c:v>167.08551932166219</c:v>
                </c:pt>
                <c:pt idx="32">
                  <c:v>171.54327626928989</c:v>
                </c:pt>
                <c:pt idx="33">
                  <c:v>176.65785797828866</c:v>
                </c:pt>
                <c:pt idx="34">
                  <c:v>182.37834238820119</c:v>
                </c:pt>
                <c:pt idx="35">
                  <c:v>188.73415947711385</c:v>
                </c:pt>
                <c:pt idx="36">
                  <c:v>195.74416214496853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AF-4407-974B-7E077A7178A1}"/>
            </c:ext>
          </c:extLst>
        </c:ser>
        <c:ser>
          <c:idx val="2"/>
          <c:order val="2"/>
          <c:tx>
            <c:strRef>
              <c:f>'NGC 3198'!$K$58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3198'!$A$59:$A$95</c:f>
              <c:numCache>
                <c:formatCode>General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3198'!$K$59:$K$95</c:f>
              <c:numCache>
                <c:formatCode>0.0</c:formatCode>
                <c:ptCount val="37"/>
                <c:pt idx="0">
                  <c:v>36.666253163304837</c:v>
                </c:pt>
                <c:pt idx="1">
                  <c:v>48.512725926041604</c:v>
                </c:pt>
                <c:pt idx="2">
                  <c:v>57.713419592643525</c:v>
                </c:pt>
                <c:pt idx="3">
                  <c:v>65.469829382679777</c:v>
                </c:pt>
                <c:pt idx="4">
                  <c:v>72.834404642753583</c:v>
                </c:pt>
                <c:pt idx="5">
                  <c:v>79.040471109506342</c:v>
                </c:pt>
                <c:pt idx="6">
                  <c:v>85.132981486357281</c:v>
                </c:pt>
                <c:pt idx="7">
                  <c:v>91.07878144405035</c:v>
                </c:pt>
                <c:pt idx="8">
                  <c:v>96.579498851321802</c:v>
                </c:pt>
                <c:pt idx="9">
                  <c:v>102.11058510960913</c:v>
                </c:pt>
                <c:pt idx="10">
                  <c:v>107.21766724583739</c:v>
                </c:pt>
                <c:pt idx="11">
                  <c:v>112.29288513351101</c:v>
                </c:pt>
                <c:pt idx="12">
                  <c:v>117.21485030182394</c:v>
                </c:pt>
                <c:pt idx="13">
                  <c:v>121.82697058711095</c:v>
                </c:pt>
                <c:pt idx="14">
                  <c:v>126.32330435391006</c:v>
                </c:pt>
                <c:pt idx="15">
                  <c:v>130.544716722814</c:v>
                </c:pt>
                <c:pt idx="16">
                  <c:v>134.5463146409036</c:v>
                </c:pt>
                <c:pt idx="17">
                  <c:v>138.26216097186955</c:v>
                </c:pt>
                <c:pt idx="18">
                  <c:v>141.67517713260222</c:v>
                </c:pt>
                <c:pt idx="19">
                  <c:v>144.86743729642288</c:v>
                </c:pt>
                <c:pt idx="20">
                  <c:v>147.73517129860048</c:v>
                </c:pt>
                <c:pt idx="21">
                  <c:v>150.30262783096958</c:v>
                </c:pt>
                <c:pt idx="22">
                  <c:v>152.58112666125464</c:v>
                </c:pt>
                <c:pt idx="23">
                  <c:v>154.57546803975438</c:v>
                </c:pt>
                <c:pt idx="24">
                  <c:v>156.25145422766352</c:v>
                </c:pt>
                <c:pt idx="25">
                  <c:v>157.66773334839689</c:v>
                </c:pt>
                <c:pt idx="26">
                  <c:v>158.80585747872368</c:v>
                </c:pt>
                <c:pt idx="27">
                  <c:v>159.69866153058848</c:v>
                </c:pt>
                <c:pt idx="28">
                  <c:v>160.36037095352521</c:v>
                </c:pt>
                <c:pt idx="29">
                  <c:v>160.80573353368112</c:v>
                </c:pt>
                <c:pt idx="30">
                  <c:v>161.04910118242339</c:v>
                </c:pt>
                <c:pt idx="31">
                  <c:v>161.10007044967719</c:v>
                </c:pt>
                <c:pt idx="32">
                  <c:v>160.96771179481172</c:v>
                </c:pt>
                <c:pt idx="33">
                  <c:v>160.65397170854217</c:v>
                </c:pt>
                <c:pt idx="34">
                  <c:v>160.16403900263208</c:v>
                </c:pt>
                <c:pt idx="35">
                  <c:v>159.4977216206982</c:v>
                </c:pt>
                <c:pt idx="36">
                  <c:v>158.65262907587677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AF-4407-974B-7E077A717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3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3521'!$L$2</c:f>
          <c:strCache>
            <c:ptCount val="1"/>
            <c:pt idx="0">
              <c:v>NGC 3521</c:v>
            </c:pt>
          </c:strCache>
        </c:strRef>
      </c:tx>
      <c:layout>
        <c:manualLayout>
          <c:xMode val="edge"/>
          <c:yMode val="edge"/>
          <c:x val="0.52276277158117401"/>
          <c:y val="0.695325896762904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3521'!$I$7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3521'!$A$8:$A$41</c:f>
              <c:numCache>
                <c:formatCode>0.00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3521'!$I$8:$I$41</c:f>
              <c:numCache>
                <c:formatCode>0.00</c:formatCode>
                <c:ptCount val="34"/>
                <c:pt idx="0">
                  <c:v>216.78</c:v>
                </c:pt>
                <c:pt idx="1">
                  <c:v>207.11</c:v>
                </c:pt>
                <c:pt idx="2">
                  <c:v>187.96</c:v>
                </c:pt>
                <c:pt idx="3">
                  <c:v>189.08</c:v>
                </c:pt>
                <c:pt idx="4">
                  <c:v>195.03</c:v>
                </c:pt>
                <c:pt idx="5">
                  <c:v>202.69</c:v>
                </c:pt>
                <c:pt idx="6">
                  <c:v>209.78</c:v>
                </c:pt>
                <c:pt idx="7">
                  <c:v>216.9</c:v>
                </c:pt>
                <c:pt idx="8">
                  <c:v>226.51</c:v>
                </c:pt>
                <c:pt idx="9">
                  <c:v>234.79</c:v>
                </c:pt>
                <c:pt idx="10">
                  <c:v>244.29</c:v>
                </c:pt>
                <c:pt idx="11">
                  <c:v>249.16</c:v>
                </c:pt>
                <c:pt idx="12">
                  <c:v>246.62</c:v>
                </c:pt>
                <c:pt idx="13">
                  <c:v>242.67</c:v>
                </c:pt>
                <c:pt idx="14">
                  <c:v>244.84</c:v>
                </c:pt>
                <c:pt idx="15">
                  <c:v>246.89</c:v>
                </c:pt>
                <c:pt idx="16">
                  <c:v>242.7</c:v>
                </c:pt>
                <c:pt idx="17">
                  <c:v>235.44</c:v>
                </c:pt>
                <c:pt idx="18">
                  <c:v>228.97</c:v>
                </c:pt>
                <c:pt idx="19">
                  <c:v>222.98</c:v>
                </c:pt>
                <c:pt idx="20">
                  <c:v>219.09</c:v>
                </c:pt>
                <c:pt idx="21">
                  <c:v>217.18</c:v>
                </c:pt>
                <c:pt idx="22">
                  <c:v>215.96</c:v>
                </c:pt>
                <c:pt idx="23">
                  <c:v>214.35</c:v>
                </c:pt>
                <c:pt idx="24">
                  <c:v>212.63</c:v>
                </c:pt>
                <c:pt idx="25">
                  <c:v>210.99</c:v>
                </c:pt>
                <c:pt idx="26">
                  <c:v>209.54</c:v>
                </c:pt>
                <c:pt idx="27">
                  <c:v>208.66</c:v>
                </c:pt>
                <c:pt idx="28">
                  <c:v>207.39</c:v>
                </c:pt>
                <c:pt idx="29">
                  <c:v>205.88</c:v>
                </c:pt>
                <c:pt idx="30">
                  <c:v>202.11</c:v>
                </c:pt>
                <c:pt idx="31">
                  <c:v>195.67</c:v>
                </c:pt>
                <c:pt idx="32">
                  <c:v>184.91</c:v>
                </c:pt>
                <c:pt idx="33">
                  <c:v>172.13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9-4DF2-AEFF-541ABC16BD1B}"/>
            </c:ext>
          </c:extLst>
        </c:ser>
        <c:ser>
          <c:idx val="1"/>
          <c:order val="1"/>
          <c:tx>
            <c:strRef>
              <c:f>'NGC 3521'!$K$7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3521'!$A$8:$A$41</c:f>
              <c:numCache>
                <c:formatCode>0.00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3521'!$K$8:$K$41</c:f>
              <c:numCache>
                <c:formatCode>0.0</c:formatCode>
                <c:ptCount val="34"/>
                <c:pt idx="0">
                  <c:v>219.7535402030328</c:v>
                </c:pt>
                <c:pt idx="1">
                  <c:v>197.2067937886506</c:v>
                </c:pt>
                <c:pt idx="2">
                  <c:v>190.77720338213763</c:v>
                </c:pt>
                <c:pt idx="3">
                  <c:v>192.16380287751755</c:v>
                </c:pt>
                <c:pt idx="4">
                  <c:v>197.64326276768094</c:v>
                </c:pt>
                <c:pt idx="5">
                  <c:v>204.2443295983073</c:v>
                </c:pt>
                <c:pt idx="6">
                  <c:v>211.63991766146617</c:v>
                </c:pt>
                <c:pt idx="7">
                  <c:v>219.0529027990525</c:v>
                </c:pt>
                <c:pt idx="8">
                  <c:v>225.66163764180828</c:v>
                </c:pt>
                <c:pt idx="9">
                  <c:v>231.75258595825673</c:v>
                </c:pt>
                <c:pt idx="10">
                  <c:v>236.54593814679768</c:v>
                </c:pt>
                <c:pt idx="11">
                  <c:v>240.34066447164352</c:v>
                </c:pt>
                <c:pt idx="12">
                  <c:v>242.93098224766541</c:v>
                </c:pt>
                <c:pt idx="13">
                  <c:v>244.2037330714179</c:v>
                </c:pt>
                <c:pt idx="14">
                  <c:v>244.23825544599148</c:v>
                </c:pt>
                <c:pt idx="15">
                  <c:v>243.05227038937318</c:v>
                </c:pt>
                <c:pt idx="16">
                  <c:v>240.72254200897842</c:v>
                </c:pt>
                <c:pt idx="17">
                  <c:v>237.38991615696477</c:v>
                </c:pt>
                <c:pt idx="18">
                  <c:v>233.25313299874392</c:v>
                </c:pt>
                <c:pt idx="19">
                  <c:v>228.36695416318153</c:v>
                </c:pt>
                <c:pt idx="20">
                  <c:v>223.07096114705871</c:v>
                </c:pt>
                <c:pt idx="21">
                  <c:v>217.55082334754883</c:v>
                </c:pt>
                <c:pt idx="22">
                  <c:v>212.00537314018936</c:v>
                </c:pt>
                <c:pt idx="23">
                  <c:v>206.64386298195748</c:v>
                </c:pt>
                <c:pt idx="24">
                  <c:v>201.77352464187629</c:v>
                </c:pt>
                <c:pt idx="25">
                  <c:v>197.44467052195839</c:v>
                </c:pt>
                <c:pt idx="26">
                  <c:v>193.87920257755158</c:v>
                </c:pt>
                <c:pt idx="27">
                  <c:v>191.13125342109387</c:v>
                </c:pt>
                <c:pt idx="28">
                  <c:v>189.27083563522885</c:v>
                </c:pt>
                <c:pt idx="29">
                  <c:v>188.33608663801104</c:v>
                </c:pt>
                <c:pt idx="30">
                  <c:v>188.34062534397785</c:v>
                </c:pt>
                <c:pt idx="31">
                  <c:v>189.2881409786435</c:v>
                </c:pt>
                <c:pt idx="32">
                  <c:v>191.14888868063301</c:v>
                </c:pt>
                <c:pt idx="33">
                  <c:v>193.93820068774809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29-4DF2-AEFF-541ABC16BD1B}"/>
            </c:ext>
          </c:extLst>
        </c:ser>
        <c:ser>
          <c:idx val="2"/>
          <c:order val="2"/>
          <c:tx>
            <c:strRef>
              <c:f>'NGC 3521'!$K$55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3521'!$A$56:$A$89</c:f>
              <c:numCache>
                <c:formatCode>0.00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3521'!$K$56:$K$89</c:f>
              <c:numCache>
                <c:formatCode>0.0</c:formatCode>
                <c:ptCount val="34"/>
                <c:pt idx="0">
                  <c:v>212.0726953357493</c:v>
                </c:pt>
                <c:pt idx="1">
                  <c:v>227.28331794586643</c:v>
                </c:pt>
                <c:pt idx="2">
                  <c:v>232.52084526898241</c:v>
                </c:pt>
                <c:pt idx="3">
                  <c:v>234.4929814353352</c:v>
                </c:pt>
                <c:pt idx="4">
                  <c:v>235.35953517062819</c:v>
                </c:pt>
                <c:pt idx="5">
                  <c:v>235.73929105668523</c:v>
                </c:pt>
                <c:pt idx="6">
                  <c:v>235.99300529681321</c:v>
                </c:pt>
                <c:pt idx="7">
                  <c:v>236.10981712829539</c:v>
                </c:pt>
                <c:pt idx="8">
                  <c:v>236.16532262770968</c:v>
                </c:pt>
                <c:pt idx="9">
                  <c:v>236.06838397616704</c:v>
                </c:pt>
                <c:pt idx="10">
                  <c:v>235.78670793039743</c:v>
                </c:pt>
                <c:pt idx="11">
                  <c:v>235.24686396149454</c:v>
                </c:pt>
                <c:pt idx="12">
                  <c:v>234.37266462313829</c:v>
                </c:pt>
                <c:pt idx="13">
                  <c:v>233.16254564971138</c:v>
                </c:pt>
                <c:pt idx="14">
                  <c:v>231.52543184960106</c:v>
                </c:pt>
                <c:pt idx="15">
                  <c:v>229.50619030094987</c:v>
                </c:pt>
                <c:pt idx="16">
                  <c:v>227.0650634610505</c:v>
                </c:pt>
                <c:pt idx="17">
                  <c:v>224.30019436995289</c:v>
                </c:pt>
                <c:pt idx="18">
                  <c:v>221.2961140234226</c:v>
                </c:pt>
                <c:pt idx="19">
                  <c:v>218.03818873919326</c:v>
                </c:pt>
                <c:pt idx="20">
                  <c:v>214.693889396874</c:v>
                </c:pt>
                <c:pt idx="21">
                  <c:v>211.33633906037065</c:v>
                </c:pt>
                <c:pt idx="22">
                  <c:v>208.05265128100419</c:v>
                </c:pt>
                <c:pt idx="23">
                  <c:v>204.93271461387744</c:v>
                </c:pt>
                <c:pt idx="24">
                  <c:v>202.11745855316315</c:v>
                </c:pt>
                <c:pt idx="25">
                  <c:v>199.5922252595465</c:v>
                </c:pt>
                <c:pt idx="26">
                  <c:v>197.43088867786531</c:v>
                </c:pt>
                <c:pt idx="27">
                  <c:v>195.60929301293928</c:v>
                </c:pt>
                <c:pt idx="28">
                  <c:v>194.13969438601029</c:v>
                </c:pt>
                <c:pt idx="29">
                  <c:v>192.97293686782223</c:v>
                </c:pt>
                <c:pt idx="30">
                  <c:v>192.04880827163015</c:v>
                </c:pt>
                <c:pt idx="31">
                  <c:v>191.3351963691799</c:v>
                </c:pt>
                <c:pt idx="32">
                  <c:v>190.77259892649869</c:v>
                </c:pt>
                <c:pt idx="33">
                  <c:v>190.30312493061768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29-4DF2-AEFF-541ABC16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2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3628'!$L$2</c:f>
          <c:strCache>
            <c:ptCount val="1"/>
            <c:pt idx="0">
              <c:v>NGC 3628</c:v>
            </c:pt>
          </c:strCache>
        </c:strRef>
      </c:tx>
      <c:layout>
        <c:manualLayout>
          <c:xMode val="edge"/>
          <c:yMode val="edge"/>
          <c:x val="0.52425952578312518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3628'!$I$7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3628'!$A$8:$A$36</c:f>
              <c:numCache>
                <c:formatCode>General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3628'!$I$8:$I$36</c:f>
              <c:numCache>
                <c:formatCode>General</c:formatCode>
                <c:ptCount val="29"/>
                <c:pt idx="0">
                  <c:v>165.99</c:v>
                </c:pt>
                <c:pt idx="1">
                  <c:v>185.86</c:v>
                </c:pt>
                <c:pt idx="2">
                  <c:v>187.23</c:v>
                </c:pt>
                <c:pt idx="3">
                  <c:v>186.95</c:v>
                </c:pt>
                <c:pt idx="4">
                  <c:v>188.29</c:v>
                </c:pt>
                <c:pt idx="5">
                  <c:v>191.13</c:v>
                </c:pt>
                <c:pt idx="6">
                  <c:v>195.05</c:v>
                </c:pt>
                <c:pt idx="7">
                  <c:v>198.5</c:v>
                </c:pt>
                <c:pt idx="8">
                  <c:v>202.92</c:v>
                </c:pt>
                <c:pt idx="9">
                  <c:v>205.62</c:v>
                </c:pt>
                <c:pt idx="10">
                  <c:v>205.27</c:v>
                </c:pt>
                <c:pt idx="11">
                  <c:v>202.78</c:v>
                </c:pt>
                <c:pt idx="12">
                  <c:v>200.03</c:v>
                </c:pt>
                <c:pt idx="13">
                  <c:v>198.75</c:v>
                </c:pt>
                <c:pt idx="14">
                  <c:v>199.94</c:v>
                </c:pt>
                <c:pt idx="15">
                  <c:v>202.69</c:v>
                </c:pt>
                <c:pt idx="16">
                  <c:v>203.5</c:v>
                </c:pt>
                <c:pt idx="17">
                  <c:v>201.86</c:v>
                </c:pt>
                <c:pt idx="18">
                  <c:v>202.27</c:v>
                </c:pt>
                <c:pt idx="19">
                  <c:v>205.65</c:v>
                </c:pt>
                <c:pt idx="20">
                  <c:v>209.93</c:v>
                </c:pt>
                <c:pt idx="21">
                  <c:v>213.76</c:v>
                </c:pt>
                <c:pt idx="22">
                  <c:v>216.61</c:v>
                </c:pt>
                <c:pt idx="23">
                  <c:v>219.9</c:v>
                </c:pt>
                <c:pt idx="24">
                  <c:v>223.8</c:v>
                </c:pt>
                <c:pt idx="25">
                  <c:v>227.17</c:v>
                </c:pt>
                <c:pt idx="26">
                  <c:v>227.24</c:v>
                </c:pt>
                <c:pt idx="27">
                  <c:v>218.13</c:v>
                </c:pt>
                <c:pt idx="28">
                  <c:v>204.81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16-480F-A0E7-87047DFEE400}"/>
            </c:ext>
          </c:extLst>
        </c:ser>
        <c:ser>
          <c:idx val="1"/>
          <c:order val="1"/>
          <c:tx>
            <c:strRef>
              <c:f>'NGC 3628'!$K$7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3628'!$A$8:$A$36</c:f>
              <c:numCache>
                <c:formatCode>General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3628'!$K$8:$K$36</c:f>
              <c:numCache>
                <c:formatCode>0.0</c:formatCode>
                <c:ptCount val="29"/>
                <c:pt idx="0">
                  <c:v>163.0037393172168</c:v>
                </c:pt>
                <c:pt idx="1">
                  <c:v>181.34381078170955</c:v>
                </c:pt>
                <c:pt idx="2">
                  <c:v>188.71181497276658</c:v>
                </c:pt>
                <c:pt idx="3">
                  <c:v>192.43234337974593</c:v>
                </c:pt>
                <c:pt idx="4">
                  <c:v>194.33934669880225</c:v>
                </c:pt>
                <c:pt idx="5">
                  <c:v>195.2180232537674</c:v>
                </c:pt>
                <c:pt idx="6">
                  <c:v>195.70878568376168</c:v>
                </c:pt>
                <c:pt idx="7">
                  <c:v>196.07982061219718</c:v>
                </c:pt>
                <c:pt idx="8">
                  <c:v>196.29978626459106</c:v>
                </c:pt>
                <c:pt idx="9">
                  <c:v>196.68180586743782</c:v>
                </c:pt>
                <c:pt idx="10">
                  <c:v>197.13861140699055</c:v>
                </c:pt>
                <c:pt idx="11">
                  <c:v>197.77901847874941</c:v>
                </c:pt>
                <c:pt idx="12">
                  <c:v>198.61517043595617</c:v>
                </c:pt>
                <c:pt idx="13">
                  <c:v>199.58474205433242</c:v>
                </c:pt>
                <c:pt idx="14">
                  <c:v>200.7503289551924</c:v>
                </c:pt>
                <c:pt idx="15">
                  <c:v>202.02398585578263</c:v>
                </c:pt>
                <c:pt idx="16">
                  <c:v>203.39063687923337</c:v>
                </c:pt>
                <c:pt idx="17">
                  <c:v>204.80262826516696</c:v>
                </c:pt>
                <c:pt idx="18">
                  <c:v>206.20136977108592</c:v>
                </c:pt>
                <c:pt idx="19">
                  <c:v>207.58311190741836</c:v>
                </c:pt>
                <c:pt idx="20">
                  <c:v>208.86182642053865</c:v>
                </c:pt>
                <c:pt idx="21">
                  <c:v>210.01137605226302</c:v>
                </c:pt>
                <c:pt idx="22">
                  <c:v>210.96623429646607</c:v>
                </c:pt>
                <c:pt idx="23">
                  <c:v>211.80227986447073</c:v>
                </c:pt>
                <c:pt idx="24">
                  <c:v>212.40987612904371</c:v>
                </c:pt>
                <c:pt idx="25">
                  <c:v>212.83212128783552</c:v>
                </c:pt>
                <c:pt idx="26">
                  <c:v>213.09344234595312</c:v>
                </c:pt>
                <c:pt idx="27">
                  <c:v>213.23739569209783</c:v>
                </c:pt>
                <c:pt idx="28">
                  <c:v>213.32914639601378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16-480F-A0E7-87047DFEE400}"/>
            </c:ext>
          </c:extLst>
        </c:ser>
        <c:ser>
          <c:idx val="2"/>
          <c:order val="2"/>
          <c:tx>
            <c:strRef>
              <c:f>'NGC 3628'!$K$50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3628'!$A$51:$A$79</c:f>
              <c:numCache>
                <c:formatCode>General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3628'!$K$51:$K$79</c:f>
              <c:numCache>
                <c:formatCode>0.0</c:formatCode>
                <c:ptCount val="29"/>
                <c:pt idx="0">
                  <c:v>190.04741965858659</c:v>
                </c:pt>
                <c:pt idx="1">
                  <c:v>203.81784906086716</c:v>
                </c:pt>
                <c:pt idx="2">
                  <c:v>207.53112101908374</c:v>
                </c:pt>
                <c:pt idx="3">
                  <c:v>208.24157735988319</c:v>
                </c:pt>
                <c:pt idx="4">
                  <c:v>207.31501581127782</c:v>
                </c:pt>
                <c:pt idx="5">
                  <c:v>206.22006775137606</c:v>
                </c:pt>
                <c:pt idx="6">
                  <c:v>205.05366898390363</c:v>
                </c:pt>
                <c:pt idx="7">
                  <c:v>204.00414278905868</c:v>
                </c:pt>
                <c:pt idx="8">
                  <c:v>203.25703525259618</c:v>
                </c:pt>
                <c:pt idx="9">
                  <c:v>202.78531011442408</c:v>
                </c:pt>
                <c:pt idx="10">
                  <c:v>202.64810280120867</c:v>
                </c:pt>
                <c:pt idx="11">
                  <c:v>202.79349124075338</c:v>
                </c:pt>
                <c:pt idx="12">
                  <c:v>203.21779225962615</c:v>
                </c:pt>
                <c:pt idx="13">
                  <c:v>203.85960051547588</c:v>
                </c:pt>
                <c:pt idx="14">
                  <c:v>204.691997253685</c:v>
                </c:pt>
                <c:pt idx="15">
                  <c:v>205.63016775901542</c:v>
                </c:pt>
                <c:pt idx="16">
                  <c:v>206.62297149194086</c:v>
                </c:pt>
                <c:pt idx="17">
                  <c:v>207.59905837858366</c:v>
                </c:pt>
                <c:pt idx="18">
                  <c:v>208.44624896945035</c:v>
                </c:pt>
                <c:pt idx="19">
                  <c:v>209.24655132021573</c:v>
                </c:pt>
                <c:pt idx="20">
                  <c:v>209.83584674693805</c:v>
                </c:pt>
                <c:pt idx="21">
                  <c:v>210.17315481297874</c:v>
                </c:pt>
                <c:pt idx="22">
                  <c:v>210.24576673925532</c:v>
                </c:pt>
                <c:pt idx="23">
                  <c:v>210.01257240982412</c:v>
                </c:pt>
                <c:pt idx="24">
                  <c:v>209.46204225812232</c:v>
                </c:pt>
                <c:pt idx="25">
                  <c:v>208.57528579827962</c:v>
                </c:pt>
                <c:pt idx="26">
                  <c:v>207.37093502536564</c:v>
                </c:pt>
                <c:pt idx="27">
                  <c:v>205.85313337427607</c:v>
                </c:pt>
                <c:pt idx="28">
                  <c:v>204.03654082964928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16-480F-A0E7-87047DFEE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3900'!$L$2</c:f>
          <c:strCache>
            <c:ptCount val="1"/>
            <c:pt idx="0">
              <c:v>NGC 3900</c:v>
            </c:pt>
          </c:strCache>
        </c:strRef>
      </c:tx>
      <c:layout>
        <c:manualLayout>
          <c:xMode val="edge"/>
          <c:yMode val="edge"/>
          <c:x val="0.52901604847029182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3900'!$I$7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3900'!$A$8:$A$44</c:f>
              <c:numCache>
                <c:formatCode>0.00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3900'!$I$8:$I$44</c:f>
              <c:numCache>
                <c:formatCode>0.00</c:formatCode>
                <c:ptCount val="37"/>
                <c:pt idx="0">
                  <c:v>117.07</c:v>
                </c:pt>
                <c:pt idx="1">
                  <c:v>159.74</c:v>
                </c:pt>
                <c:pt idx="2">
                  <c:v>173.22</c:v>
                </c:pt>
                <c:pt idx="3">
                  <c:v>178.96</c:v>
                </c:pt>
                <c:pt idx="4">
                  <c:v>181.13</c:v>
                </c:pt>
                <c:pt idx="5">
                  <c:v>181.71</c:v>
                </c:pt>
                <c:pt idx="6">
                  <c:v>182.38</c:v>
                </c:pt>
                <c:pt idx="7">
                  <c:v>182.7</c:v>
                </c:pt>
                <c:pt idx="8">
                  <c:v>183.99</c:v>
                </c:pt>
                <c:pt idx="9">
                  <c:v>184.49</c:v>
                </c:pt>
                <c:pt idx="10">
                  <c:v>188.28</c:v>
                </c:pt>
                <c:pt idx="11">
                  <c:v>189.34</c:v>
                </c:pt>
                <c:pt idx="12">
                  <c:v>196.54</c:v>
                </c:pt>
                <c:pt idx="13">
                  <c:v>198</c:v>
                </c:pt>
                <c:pt idx="14">
                  <c:v>203.17</c:v>
                </c:pt>
                <c:pt idx="15">
                  <c:v>205.62</c:v>
                </c:pt>
                <c:pt idx="16">
                  <c:v>210.3</c:v>
                </c:pt>
                <c:pt idx="17">
                  <c:v>214.32</c:v>
                </c:pt>
                <c:pt idx="18">
                  <c:v>217.17</c:v>
                </c:pt>
                <c:pt idx="19">
                  <c:v>219.07</c:v>
                </c:pt>
                <c:pt idx="20">
                  <c:v>220.32</c:v>
                </c:pt>
                <c:pt idx="21">
                  <c:v>220.95</c:v>
                </c:pt>
                <c:pt idx="22">
                  <c:v>221.32</c:v>
                </c:pt>
                <c:pt idx="23">
                  <c:v>223.12</c:v>
                </c:pt>
                <c:pt idx="24">
                  <c:v>225.29</c:v>
                </c:pt>
                <c:pt idx="25">
                  <c:v>227.49</c:v>
                </c:pt>
                <c:pt idx="26">
                  <c:v>230.08</c:v>
                </c:pt>
                <c:pt idx="27">
                  <c:v>230.44</c:v>
                </c:pt>
                <c:pt idx="28">
                  <c:v>227.75</c:v>
                </c:pt>
                <c:pt idx="29">
                  <c:v>227.02</c:v>
                </c:pt>
                <c:pt idx="30">
                  <c:v>227.55</c:v>
                </c:pt>
                <c:pt idx="31">
                  <c:v>228.93</c:v>
                </c:pt>
                <c:pt idx="32">
                  <c:v>228.8</c:v>
                </c:pt>
                <c:pt idx="33">
                  <c:v>224.59</c:v>
                </c:pt>
                <c:pt idx="34">
                  <c:v>219.06</c:v>
                </c:pt>
                <c:pt idx="35">
                  <c:v>217.79</c:v>
                </c:pt>
                <c:pt idx="36">
                  <c:v>215.37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B5-4026-B6C0-BB96AF8A8C8B}"/>
            </c:ext>
          </c:extLst>
        </c:ser>
        <c:ser>
          <c:idx val="1"/>
          <c:order val="1"/>
          <c:tx>
            <c:strRef>
              <c:f>'NGC 3900'!$K$7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3900'!$A$8:$A$44</c:f>
              <c:numCache>
                <c:formatCode>0.00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3900'!$K$8:$K$44</c:f>
              <c:numCache>
                <c:formatCode>0.0</c:formatCode>
                <c:ptCount val="37"/>
                <c:pt idx="0">
                  <c:v>135.53280290351037</c:v>
                </c:pt>
                <c:pt idx="1">
                  <c:v>154.31154882438204</c:v>
                </c:pt>
                <c:pt idx="2">
                  <c:v>163.75032337316279</c:v>
                </c:pt>
                <c:pt idx="3">
                  <c:v>169.52349560360935</c:v>
                </c:pt>
                <c:pt idx="4">
                  <c:v>174.11724184193855</c:v>
                </c:pt>
                <c:pt idx="5">
                  <c:v>177.52386688568359</c:v>
                </c:pt>
                <c:pt idx="6">
                  <c:v>180.66130612886852</c:v>
                </c:pt>
                <c:pt idx="7">
                  <c:v>183.65438238417261</c:v>
                </c:pt>
                <c:pt idx="8">
                  <c:v>186.44997929065426</c:v>
                </c:pt>
                <c:pt idx="9">
                  <c:v>189.28237919021456</c:v>
                </c:pt>
                <c:pt idx="10">
                  <c:v>192.04699393413716</c:v>
                </c:pt>
                <c:pt idx="11">
                  <c:v>194.87029595530905</c:v>
                </c:pt>
                <c:pt idx="12">
                  <c:v>197.75207899028334</c:v>
                </c:pt>
                <c:pt idx="13">
                  <c:v>200.53327869471863</c:v>
                </c:pt>
                <c:pt idx="14">
                  <c:v>203.33386435340802</c:v>
                </c:pt>
                <c:pt idx="15">
                  <c:v>205.99446516151696</c:v>
                </c:pt>
                <c:pt idx="16">
                  <c:v>208.52401116909283</c:v>
                </c:pt>
                <c:pt idx="17">
                  <c:v>210.84281977515411</c:v>
                </c:pt>
                <c:pt idx="18">
                  <c:v>212.89527670631307</c:v>
                </c:pt>
                <c:pt idx="19">
                  <c:v>214.69708418414274</c:v>
                </c:pt>
                <c:pt idx="20">
                  <c:v>216.15333606636733</c:v>
                </c:pt>
                <c:pt idx="21">
                  <c:v>217.25437135118358</c:v>
                </c:pt>
                <c:pt idx="22">
                  <c:v>217.98914578534738</c:v>
                </c:pt>
                <c:pt idx="23">
                  <c:v>218.33288370821447</c:v>
                </c:pt>
                <c:pt idx="24">
                  <c:v>218.34846384857721</c:v>
                </c:pt>
                <c:pt idx="25">
                  <c:v>218.04575742886115</c:v>
                </c:pt>
                <c:pt idx="26">
                  <c:v>217.51016860309966</c:v>
                </c:pt>
                <c:pt idx="27">
                  <c:v>216.80957876865025</c:v>
                </c:pt>
                <c:pt idx="28">
                  <c:v>216.05390795945564</c:v>
                </c:pt>
                <c:pt idx="29">
                  <c:v>215.37790524056757</c:v>
                </c:pt>
                <c:pt idx="30">
                  <c:v>214.91643342494416</c:v>
                </c:pt>
                <c:pt idx="31">
                  <c:v>214.81693173473241</c:v>
                </c:pt>
                <c:pt idx="32">
                  <c:v>215.21429613754106</c:v>
                </c:pt>
                <c:pt idx="33">
                  <c:v>216.24526802886939</c:v>
                </c:pt>
                <c:pt idx="34">
                  <c:v>218.00248245515075</c:v>
                </c:pt>
                <c:pt idx="35">
                  <c:v>220.58075917900123</c:v>
                </c:pt>
                <c:pt idx="36">
                  <c:v>224.04962241239392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B5-4026-B6C0-BB96AF8A8C8B}"/>
            </c:ext>
          </c:extLst>
        </c:ser>
        <c:ser>
          <c:idx val="2"/>
          <c:order val="2"/>
          <c:tx>
            <c:strRef>
              <c:f>'NGC 3900'!$K$58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3900'!$A$59:$A$95</c:f>
              <c:numCache>
                <c:formatCode>0.00</c:formatCode>
                <c:ptCount val="37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</c:numCache>
            </c:numRef>
          </c:xVal>
          <c:yVal>
            <c:numRef>
              <c:f>'NGC 3900'!$K$59:$K$95</c:f>
              <c:numCache>
                <c:formatCode>0.0</c:formatCode>
                <c:ptCount val="37"/>
                <c:pt idx="0">
                  <c:v>154.98763355895855</c:v>
                </c:pt>
                <c:pt idx="1">
                  <c:v>176.00952064518563</c:v>
                </c:pt>
                <c:pt idx="2">
                  <c:v>185.80170205891699</c:v>
                </c:pt>
                <c:pt idx="3">
                  <c:v>191.21324969447076</c:v>
                </c:pt>
                <c:pt idx="4">
                  <c:v>195.06154698740693</c:v>
                </c:pt>
                <c:pt idx="5">
                  <c:v>197.52828362864412</c:v>
                </c:pt>
                <c:pt idx="6">
                  <c:v>199.42535719828058</c:v>
                </c:pt>
                <c:pt idx="7">
                  <c:v>200.97335527694753</c:v>
                </c:pt>
                <c:pt idx="8">
                  <c:v>202.30149001110365</c:v>
                </c:pt>
                <c:pt idx="9">
                  <c:v>203.6691268174805</c:v>
                </c:pt>
                <c:pt idx="10">
                  <c:v>204.98662665016747</c:v>
                </c:pt>
                <c:pt idx="11">
                  <c:v>206.36552474571695</c:v>
                </c:pt>
                <c:pt idx="12">
                  <c:v>207.86107956732624</c:v>
                </c:pt>
                <c:pt idx="13">
                  <c:v>209.40360475719737</c:v>
                </c:pt>
                <c:pt idx="14">
                  <c:v>211.06202712612159</c:v>
                </c:pt>
                <c:pt idx="15">
                  <c:v>212.75911974058334</c:v>
                </c:pt>
                <c:pt idx="16">
                  <c:v>214.49265468270025</c:v>
                </c:pt>
                <c:pt idx="17">
                  <c:v>216.21143386226672</c:v>
                </c:pt>
                <c:pt idx="18">
                  <c:v>217.85526482925022</c:v>
                </c:pt>
                <c:pt idx="19">
                  <c:v>219.42571407174597</c:v>
                </c:pt>
                <c:pt idx="20">
                  <c:v>220.82892308003576</c:v>
                </c:pt>
                <c:pt idx="21">
                  <c:v>222.02011739467068</c:v>
                </c:pt>
                <c:pt idx="22">
                  <c:v>222.94952838296425</c:v>
                </c:pt>
                <c:pt idx="23">
                  <c:v>223.56038226899935</c:v>
                </c:pt>
                <c:pt idx="24">
                  <c:v>223.75640124115156</c:v>
                </c:pt>
                <c:pt idx="25">
                  <c:v>223.59615345707752</c:v>
                </c:pt>
                <c:pt idx="26">
                  <c:v>222.92770845831734</c:v>
                </c:pt>
                <c:pt idx="27">
                  <c:v>221.78640818995814</c:v>
                </c:pt>
                <c:pt idx="28">
                  <c:v>220.12941406584378</c:v>
                </c:pt>
                <c:pt idx="29">
                  <c:v>217.94598648091653</c:v>
                </c:pt>
                <c:pt idx="30">
                  <c:v>215.22917375636544</c:v>
                </c:pt>
                <c:pt idx="31">
                  <c:v>212.01010794536097</c:v>
                </c:pt>
                <c:pt idx="32">
                  <c:v>208.35241831217581</c:v>
                </c:pt>
                <c:pt idx="33">
                  <c:v>204.24356146288545</c:v>
                </c:pt>
                <c:pt idx="34">
                  <c:v>199.79956191734826</c:v>
                </c:pt>
                <c:pt idx="35">
                  <c:v>195.05827537179889</c:v>
                </c:pt>
                <c:pt idx="36">
                  <c:v>190.0995836571696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B5-4026-B6C0-BB96AF8A8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3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3982'!$L$2</c:f>
          <c:strCache>
            <c:ptCount val="1"/>
            <c:pt idx="0">
              <c:v>NGC 3982</c:v>
            </c:pt>
          </c:strCache>
        </c:strRef>
      </c:tx>
      <c:layout>
        <c:manualLayout>
          <c:xMode val="edge"/>
          <c:yMode val="edge"/>
          <c:x val="0.51663440682896855"/>
          <c:y val="0.703742344706911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3982'!$I$7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3982'!$A$8:$A$26</c:f>
              <c:numCache>
                <c:formatCode>0.00</c:formatCode>
                <c:ptCount val="19"/>
                <c:pt idx="0">
                  <c:v>0.24</c:v>
                </c:pt>
                <c:pt idx="1">
                  <c:v>0.5</c:v>
                </c:pt>
                <c:pt idx="2">
                  <c:v>0.78</c:v>
                </c:pt>
                <c:pt idx="3">
                  <c:v>1.1000000000000001</c:v>
                </c:pt>
                <c:pt idx="4">
                  <c:v>1.45</c:v>
                </c:pt>
                <c:pt idx="5">
                  <c:v>1.83</c:v>
                </c:pt>
                <c:pt idx="6">
                  <c:v>2.25</c:v>
                </c:pt>
                <c:pt idx="7">
                  <c:v>2.71</c:v>
                </c:pt>
                <c:pt idx="8">
                  <c:v>3.21</c:v>
                </c:pt>
                <c:pt idx="9">
                  <c:v>3.77</c:v>
                </c:pt>
                <c:pt idx="10">
                  <c:v>4.3899999999999997</c:v>
                </c:pt>
                <c:pt idx="11">
                  <c:v>5.0599999999999996</c:v>
                </c:pt>
                <c:pt idx="12">
                  <c:v>5.81</c:v>
                </c:pt>
                <c:pt idx="13">
                  <c:v>6.62</c:v>
                </c:pt>
                <c:pt idx="14">
                  <c:v>7.52</c:v>
                </c:pt>
                <c:pt idx="15">
                  <c:v>8.51</c:v>
                </c:pt>
                <c:pt idx="16">
                  <c:v>9.6</c:v>
                </c:pt>
                <c:pt idx="17">
                  <c:v>10.8</c:v>
                </c:pt>
                <c:pt idx="18">
                  <c:v>12.11</c:v>
                </c:pt>
              </c:numCache>
            </c:numRef>
          </c:xVal>
          <c:yVal>
            <c:numRef>
              <c:f>'NGC 3982'!$I$8:$I$26</c:f>
              <c:numCache>
                <c:formatCode>0.00</c:formatCode>
                <c:ptCount val="19"/>
                <c:pt idx="0">
                  <c:v>73.89</c:v>
                </c:pt>
                <c:pt idx="1">
                  <c:v>109</c:v>
                </c:pt>
                <c:pt idx="2">
                  <c:v>114.76</c:v>
                </c:pt>
                <c:pt idx="3">
                  <c:v>128.37</c:v>
                </c:pt>
                <c:pt idx="4">
                  <c:v>137.25</c:v>
                </c:pt>
                <c:pt idx="5">
                  <c:v>143.55000000000001</c:v>
                </c:pt>
                <c:pt idx="6">
                  <c:v>149.77000000000001</c:v>
                </c:pt>
                <c:pt idx="7">
                  <c:v>152.99</c:v>
                </c:pt>
                <c:pt idx="8">
                  <c:v>155.83000000000001</c:v>
                </c:pt>
                <c:pt idx="9">
                  <c:v>157.22</c:v>
                </c:pt>
                <c:pt idx="10">
                  <c:v>158.4</c:v>
                </c:pt>
                <c:pt idx="11">
                  <c:v>157.77000000000001</c:v>
                </c:pt>
                <c:pt idx="12">
                  <c:v>153.25</c:v>
                </c:pt>
                <c:pt idx="13">
                  <c:v>149.84</c:v>
                </c:pt>
                <c:pt idx="14">
                  <c:v>148.72999999999999</c:v>
                </c:pt>
                <c:pt idx="15">
                  <c:v>150.29</c:v>
                </c:pt>
                <c:pt idx="16">
                  <c:v>152.5</c:v>
                </c:pt>
                <c:pt idx="17">
                  <c:v>153.83000000000001</c:v>
                </c:pt>
                <c:pt idx="18">
                  <c:v>156.47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D8-4173-AC02-9DC5F48694AF}"/>
            </c:ext>
          </c:extLst>
        </c:ser>
        <c:ser>
          <c:idx val="1"/>
          <c:order val="1"/>
          <c:tx>
            <c:strRef>
              <c:f>'NGC 3982'!$K$7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3982'!$A$8:$A$26</c:f>
              <c:numCache>
                <c:formatCode>0.00</c:formatCode>
                <c:ptCount val="19"/>
                <c:pt idx="0">
                  <c:v>0.24</c:v>
                </c:pt>
                <c:pt idx="1">
                  <c:v>0.5</c:v>
                </c:pt>
                <c:pt idx="2">
                  <c:v>0.78</c:v>
                </c:pt>
                <c:pt idx="3">
                  <c:v>1.1000000000000001</c:v>
                </c:pt>
                <c:pt idx="4">
                  <c:v>1.45</c:v>
                </c:pt>
                <c:pt idx="5">
                  <c:v>1.83</c:v>
                </c:pt>
                <c:pt idx="6">
                  <c:v>2.25</c:v>
                </c:pt>
                <c:pt idx="7">
                  <c:v>2.71</c:v>
                </c:pt>
                <c:pt idx="8">
                  <c:v>3.21</c:v>
                </c:pt>
                <c:pt idx="9">
                  <c:v>3.77</c:v>
                </c:pt>
                <c:pt idx="10">
                  <c:v>4.3899999999999997</c:v>
                </c:pt>
                <c:pt idx="11">
                  <c:v>5.0599999999999996</c:v>
                </c:pt>
                <c:pt idx="12">
                  <c:v>5.81</c:v>
                </c:pt>
                <c:pt idx="13">
                  <c:v>6.62</c:v>
                </c:pt>
                <c:pt idx="14">
                  <c:v>7.52</c:v>
                </c:pt>
                <c:pt idx="15">
                  <c:v>8.51</c:v>
                </c:pt>
                <c:pt idx="16">
                  <c:v>9.6</c:v>
                </c:pt>
                <c:pt idx="17">
                  <c:v>10.8</c:v>
                </c:pt>
                <c:pt idx="18">
                  <c:v>12.11</c:v>
                </c:pt>
              </c:numCache>
            </c:numRef>
          </c:xVal>
          <c:yVal>
            <c:numRef>
              <c:f>'NGC 3982'!$K$8:$K$26</c:f>
              <c:numCache>
                <c:formatCode>0.0</c:formatCode>
                <c:ptCount val="19"/>
                <c:pt idx="0">
                  <c:v>76.49098040526917</c:v>
                </c:pt>
                <c:pt idx="1">
                  <c:v>100.34222554991696</c:v>
                </c:pt>
                <c:pt idx="2">
                  <c:v>116.58555955629654</c:v>
                </c:pt>
                <c:pt idx="3">
                  <c:v>129.00810683709523</c:v>
                </c:pt>
                <c:pt idx="4">
                  <c:v>138.04991184851184</c:v>
                </c:pt>
                <c:pt idx="5">
                  <c:v>144.40950784716782</c:v>
                </c:pt>
                <c:pt idx="6">
                  <c:v>148.68315690718549</c:v>
                </c:pt>
                <c:pt idx="7">
                  <c:v>151.18628116153903</c:v>
                </c:pt>
                <c:pt idx="8">
                  <c:v>152.25904303744625</c:v>
                </c:pt>
                <c:pt idx="9">
                  <c:v>152.23224130269318</c:v>
                </c:pt>
                <c:pt idx="10">
                  <c:v>151.38618437435929</c:v>
                </c:pt>
                <c:pt idx="11">
                  <c:v>150.06655539469367</c:v>
                </c:pt>
                <c:pt idx="12">
                  <c:v>148.53352981506544</c:v>
                </c:pt>
                <c:pt idx="13">
                  <c:v>147.11720598056334</c:v>
                </c:pt>
                <c:pt idx="14">
                  <c:v>146.02428143004886</c:v>
                </c:pt>
                <c:pt idx="15">
                  <c:v>145.46651582228782</c:v>
                </c:pt>
                <c:pt idx="16">
                  <c:v>145.58919296769096</c:v>
                </c:pt>
                <c:pt idx="17">
                  <c:v>146.48549308449566</c:v>
                </c:pt>
                <c:pt idx="18">
                  <c:v>148.18402804876635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D8-4173-AC02-9DC5F48694AF}"/>
            </c:ext>
          </c:extLst>
        </c:ser>
        <c:ser>
          <c:idx val="2"/>
          <c:order val="2"/>
          <c:tx>
            <c:strRef>
              <c:f>'NGC 3982'!$K$40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3982'!$A$41:$A$59</c:f>
              <c:numCache>
                <c:formatCode>0.00</c:formatCode>
                <c:ptCount val="19"/>
                <c:pt idx="0">
                  <c:v>0.24</c:v>
                </c:pt>
                <c:pt idx="1">
                  <c:v>0.5</c:v>
                </c:pt>
                <c:pt idx="2">
                  <c:v>0.78</c:v>
                </c:pt>
                <c:pt idx="3">
                  <c:v>1.1000000000000001</c:v>
                </c:pt>
                <c:pt idx="4">
                  <c:v>1.45</c:v>
                </c:pt>
                <c:pt idx="5">
                  <c:v>1.83</c:v>
                </c:pt>
                <c:pt idx="6">
                  <c:v>2.25</c:v>
                </c:pt>
                <c:pt idx="7">
                  <c:v>2.71</c:v>
                </c:pt>
                <c:pt idx="8">
                  <c:v>3.21</c:v>
                </c:pt>
                <c:pt idx="9">
                  <c:v>3.77</c:v>
                </c:pt>
                <c:pt idx="10">
                  <c:v>4.3899999999999997</c:v>
                </c:pt>
                <c:pt idx="11">
                  <c:v>5.0599999999999996</c:v>
                </c:pt>
                <c:pt idx="12">
                  <c:v>5.81</c:v>
                </c:pt>
                <c:pt idx="13">
                  <c:v>6.62</c:v>
                </c:pt>
                <c:pt idx="14">
                  <c:v>7.52</c:v>
                </c:pt>
                <c:pt idx="15">
                  <c:v>8.51</c:v>
                </c:pt>
                <c:pt idx="16">
                  <c:v>9.6</c:v>
                </c:pt>
                <c:pt idx="17">
                  <c:v>10.8</c:v>
                </c:pt>
                <c:pt idx="18">
                  <c:v>12.11</c:v>
                </c:pt>
              </c:numCache>
            </c:numRef>
          </c:xVal>
          <c:yVal>
            <c:numRef>
              <c:f>'NGC 3982'!$K$41:$K$59</c:f>
              <c:numCache>
                <c:formatCode>0.0</c:formatCode>
                <c:ptCount val="19"/>
                <c:pt idx="0">
                  <c:v>89.000413823425077</c:v>
                </c:pt>
                <c:pt idx="1">
                  <c:v>105.73071384475965</c:v>
                </c:pt>
                <c:pt idx="2">
                  <c:v>117.43430908813481</c:v>
                </c:pt>
                <c:pt idx="3">
                  <c:v>126.42477996081374</c:v>
                </c:pt>
                <c:pt idx="4">
                  <c:v>132.89094058616413</c:v>
                </c:pt>
                <c:pt idx="5">
                  <c:v>137.36686524530791</c:v>
                </c:pt>
                <c:pt idx="6">
                  <c:v>140.36544357908767</c:v>
                </c:pt>
                <c:pt idx="7">
                  <c:v>142.22036362376392</c:v>
                </c:pt>
                <c:pt idx="8">
                  <c:v>143.26876529994541</c:v>
                </c:pt>
                <c:pt idx="9">
                  <c:v>143.84500704629698</c:v>
                </c:pt>
                <c:pt idx="10">
                  <c:v>144.19243295496025</c:v>
                </c:pt>
                <c:pt idx="11">
                  <c:v>144.52446833678513</c:v>
                </c:pt>
                <c:pt idx="12">
                  <c:v>145.02127557573021</c:v>
                </c:pt>
                <c:pt idx="13">
                  <c:v>145.76787965137191</c:v>
                </c:pt>
                <c:pt idx="14">
                  <c:v>146.82927504907647</c:v>
                </c:pt>
                <c:pt idx="15">
                  <c:v>148.19963009419217</c:v>
                </c:pt>
                <c:pt idx="16">
                  <c:v>149.84617690213526</c:v>
                </c:pt>
                <c:pt idx="17">
                  <c:v>151.71583794332386</c:v>
                </c:pt>
                <c:pt idx="18">
                  <c:v>153.72240019721932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D8-4173-AC02-9DC5F4869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4258'!$L$2</c:f>
          <c:strCache>
            <c:ptCount val="1"/>
            <c:pt idx="0">
              <c:v>NGC 4258</c:v>
            </c:pt>
          </c:strCache>
        </c:strRef>
      </c:tx>
      <c:layout>
        <c:manualLayout>
          <c:xMode val="edge"/>
          <c:yMode val="edge"/>
          <c:x val="0.52407763618025272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4258'!$I$7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4258'!$A$8:$A$43</c:f>
              <c:numCache>
                <c:formatCode>General</c:formatCode>
                <c:ptCount val="3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</c:numCache>
            </c:numRef>
          </c:xVal>
          <c:yVal>
            <c:numRef>
              <c:f>'NGC 4258'!$I$8:$I$43</c:f>
              <c:numCache>
                <c:formatCode>General</c:formatCode>
                <c:ptCount val="36"/>
                <c:pt idx="0">
                  <c:v>215.65</c:v>
                </c:pt>
                <c:pt idx="1">
                  <c:v>223.1</c:v>
                </c:pt>
                <c:pt idx="2">
                  <c:v>212.2</c:v>
                </c:pt>
                <c:pt idx="3">
                  <c:v>207.71</c:v>
                </c:pt>
                <c:pt idx="4">
                  <c:v>210.49</c:v>
                </c:pt>
                <c:pt idx="5">
                  <c:v>219.35</c:v>
                </c:pt>
                <c:pt idx="6">
                  <c:v>228.35</c:v>
                </c:pt>
                <c:pt idx="7">
                  <c:v>232.23</c:v>
                </c:pt>
                <c:pt idx="8">
                  <c:v>232.71</c:v>
                </c:pt>
                <c:pt idx="9">
                  <c:v>230.74</c:v>
                </c:pt>
                <c:pt idx="10">
                  <c:v>227.39</c:v>
                </c:pt>
                <c:pt idx="11">
                  <c:v>223.14</c:v>
                </c:pt>
                <c:pt idx="12">
                  <c:v>218.5</c:v>
                </c:pt>
                <c:pt idx="13">
                  <c:v>213.33</c:v>
                </c:pt>
                <c:pt idx="14">
                  <c:v>208.13</c:v>
                </c:pt>
                <c:pt idx="15">
                  <c:v>202.75</c:v>
                </c:pt>
                <c:pt idx="16">
                  <c:v>197.98</c:v>
                </c:pt>
                <c:pt idx="17">
                  <c:v>193.87</c:v>
                </c:pt>
                <c:pt idx="18">
                  <c:v>190.64</c:v>
                </c:pt>
                <c:pt idx="19">
                  <c:v>187.97</c:v>
                </c:pt>
                <c:pt idx="20">
                  <c:v>185.51</c:v>
                </c:pt>
                <c:pt idx="21">
                  <c:v>183.64</c:v>
                </c:pt>
                <c:pt idx="22">
                  <c:v>182.19</c:v>
                </c:pt>
                <c:pt idx="23">
                  <c:v>180.99</c:v>
                </c:pt>
                <c:pt idx="24">
                  <c:v>180.31</c:v>
                </c:pt>
                <c:pt idx="25">
                  <c:v>180.93</c:v>
                </c:pt>
                <c:pt idx="26">
                  <c:v>183.72</c:v>
                </c:pt>
                <c:pt idx="27">
                  <c:v>188.64</c:v>
                </c:pt>
                <c:pt idx="28">
                  <c:v>195.18</c:v>
                </c:pt>
                <c:pt idx="29">
                  <c:v>202.24</c:v>
                </c:pt>
                <c:pt idx="30">
                  <c:v>208.57</c:v>
                </c:pt>
                <c:pt idx="31">
                  <c:v>211.17</c:v>
                </c:pt>
                <c:pt idx="32">
                  <c:v>208.53</c:v>
                </c:pt>
                <c:pt idx="33">
                  <c:v>203.15</c:v>
                </c:pt>
                <c:pt idx="34">
                  <c:v>198.21</c:v>
                </c:pt>
                <c:pt idx="35">
                  <c:v>195.37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87-495D-B279-4D9D2C20359B}"/>
            </c:ext>
          </c:extLst>
        </c:ser>
        <c:ser>
          <c:idx val="1"/>
          <c:order val="1"/>
          <c:tx>
            <c:strRef>
              <c:f>'NGC 4258'!$K$7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4258'!$A$8:$A$43</c:f>
              <c:numCache>
                <c:formatCode>General</c:formatCode>
                <c:ptCount val="3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</c:numCache>
            </c:numRef>
          </c:xVal>
          <c:yVal>
            <c:numRef>
              <c:f>'NGC 4258'!$K$8:$K$43</c:f>
              <c:numCache>
                <c:formatCode>0.0</c:formatCode>
                <c:ptCount val="36"/>
                <c:pt idx="0">
                  <c:v>190.87703040810712</c:v>
                </c:pt>
                <c:pt idx="1">
                  <c:v>215.18159684274931</c:v>
                </c:pt>
                <c:pt idx="2">
                  <c:v>224.88114186139234</c:v>
                </c:pt>
                <c:pt idx="3">
                  <c:v>228.81866494830794</c:v>
                </c:pt>
                <c:pt idx="4">
                  <c:v>230.34094110930593</c:v>
                </c:pt>
                <c:pt idx="5">
                  <c:v>230.10454223724008</c:v>
                </c:pt>
                <c:pt idx="6">
                  <c:v>228.47143836462303</c:v>
                </c:pt>
                <c:pt idx="7">
                  <c:v>226.15923244655605</c:v>
                </c:pt>
                <c:pt idx="8">
                  <c:v>223.45195601690128</c:v>
                </c:pt>
                <c:pt idx="9">
                  <c:v>220.16667561702485</c:v>
                </c:pt>
                <c:pt idx="10">
                  <c:v>216.9040619199013</c:v>
                </c:pt>
                <c:pt idx="11">
                  <c:v>213.47802797290586</c:v>
                </c:pt>
                <c:pt idx="12">
                  <c:v>209.89343377529934</c:v>
                </c:pt>
                <c:pt idx="13">
                  <c:v>206.44748737859265</c:v>
                </c:pt>
                <c:pt idx="14">
                  <c:v>202.98901483608651</c:v>
                </c:pt>
                <c:pt idx="15">
                  <c:v>199.69543189561253</c:v>
                </c:pt>
                <c:pt idx="16">
                  <c:v>196.55015210222354</c:v>
                </c:pt>
                <c:pt idx="17">
                  <c:v>193.59469839164495</c:v>
                </c:pt>
                <c:pt idx="18">
                  <c:v>190.89699808472673</c:v>
                </c:pt>
                <c:pt idx="19">
                  <c:v>188.40336005369599</c:v>
                </c:pt>
                <c:pt idx="20">
                  <c:v>186.20728665136897</c:v>
                </c:pt>
                <c:pt idx="21">
                  <c:v>184.30897496996866</c:v>
                </c:pt>
                <c:pt idx="22">
                  <c:v>182.71640982229343</c:v>
                </c:pt>
                <c:pt idx="23">
                  <c:v>181.45607474940357</c:v>
                </c:pt>
                <c:pt idx="24">
                  <c:v>180.53764239683935</c:v>
                </c:pt>
                <c:pt idx="25">
                  <c:v>179.98863853126016</c:v>
                </c:pt>
                <c:pt idx="26">
                  <c:v>179.89770563304992</c:v>
                </c:pt>
                <c:pt idx="27">
                  <c:v>180.23528225481715</c:v>
                </c:pt>
                <c:pt idx="28">
                  <c:v>180.98499688186428</c:v>
                </c:pt>
                <c:pt idx="29">
                  <c:v>182.23589389769867</c:v>
                </c:pt>
                <c:pt idx="30">
                  <c:v>184.01425117295048</c:v>
                </c:pt>
                <c:pt idx="31">
                  <c:v>186.35033366782142</c:v>
                </c:pt>
                <c:pt idx="32">
                  <c:v>189.25607282644594</c:v>
                </c:pt>
                <c:pt idx="33">
                  <c:v>192.81807207095369</c:v>
                </c:pt>
                <c:pt idx="34">
                  <c:v>197.02115622733783</c:v>
                </c:pt>
                <c:pt idx="35">
                  <c:v>201.8971463649462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87-495D-B279-4D9D2C203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4258'!$K$57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4258'!$A$58:$A$93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0.09</c:v>
                      </c:pt>
                      <c:pt idx="1">
                        <c:v>0.19</c:v>
                      </c:pt>
                      <c:pt idx="2">
                        <c:v>0.3</c:v>
                      </c:pt>
                      <c:pt idx="3">
                        <c:v>0.42</c:v>
                      </c:pt>
                      <c:pt idx="4">
                        <c:v>0.56000000000000005</c:v>
                      </c:pt>
                      <c:pt idx="5">
                        <c:v>0.7</c:v>
                      </c:pt>
                      <c:pt idx="6">
                        <c:v>0.86</c:v>
                      </c:pt>
                      <c:pt idx="7">
                        <c:v>1.04</c:v>
                      </c:pt>
                      <c:pt idx="8">
                        <c:v>1.23</c:v>
                      </c:pt>
                      <c:pt idx="9">
                        <c:v>1.45</c:v>
                      </c:pt>
                      <c:pt idx="10">
                        <c:v>1.68</c:v>
                      </c:pt>
                      <c:pt idx="11">
                        <c:v>1.94</c:v>
                      </c:pt>
                      <c:pt idx="12">
                        <c:v>2.23</c:v>
                      </c:pt>
                      <c:pt idx="13">
                        <c:v>2.54</c:v>
                      </c:pt>
                      <c:pt idx="14">
                        <c:v>2.89</c:v>
                      </c:pt>
                      <c:pt idx="15">
                        <c:v>3.27</c:v>
                      </c:pt>
                      <c:pt idx="16">
                        <c:v>3.69</c:v>
                      </c:pt>
                      <c:pt idx="17">
                        <c:v>4.1500000000000004</c:v>
                      </c:pt>
                      <c:pt idx="18">
                        <c:v>4.6500000000000004</c:v>
                      </c:pt>
                      <c:pt idx="19">
                        <c:v>5.21</c:v>
                      </c:pt>
                      <c:pt idx="20">
                        <c:v>5.82</c:v>
                      </c:pt>
                      <c:pt idx="21">
                        <c:v>6.49</c:v>
                      </c:pt>
                      <c:pt idx="22">
                        <c:v>7.23</c:v>
                      </c:pt>
                      <c:pt idx="23">
                        <c:v>8.0500000000000007</c:v>
                      </c:pt>
                      <c:pt idx="24">
                        <c:v>8.94</c:v>
                      </c:pt>
                      <c:pt idx="25">
                        <c:v>9.93</c:v>
                      </c:pt>
                      <c:pt idx="26">
                        <c:v>11.01</c:v>
                      </c:pt>
                      <c:pt idx="27">
                        <c:v>12.2</c:v>
                      </c:pt>
                      <c:pt idx="28">
                        <c:v>13.51</c:v>
                      </c:pt>
                      <c:pt idx="29">
                        <c:v>14.95</c:v>
                      </c:pt>
                      <c:pt idx="30">
                        <c:v>16.54</c:v>
                      </c:pt>
                      <c:pt idx="31">
                        <c:v>18.29</c:v>
                      </c:pt>
                      <c:pt idx="32">
                        <c:v>20.2</c:v>
                      </c:pt>
                      <c:pt idx="33">
                        <c:v>22.32</c:v>
                      </c:pt>
                      <c:pt idx="34">
                        <c:v>24.64</c:v>
                      </c:pt>
                      <c:pt idx="35">
                        <c:v>27.19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4258'!$K$58:$K$93</c15:sqref>
                        </c15:formulaRef>
                      </c:ext>
                    </c:extLst>
                    <c:numCache>
                      <c:formatCode>0.0</c:formatCode>
                      <c:ptCount val="36"/>
                      <c:pt idx="0">
                        <c:v>238.74237448451996</c:v>
                      </c:pt>
                      <c:pt idx="1">
                        <c:v>245.80437748520529</c:v>
                      </c:pt>
                      <c:pt idx="2">
                        <c:v>244.03730711391847</c:v>
                      </c:pt>
                      <c:pt idx="3">
                        <c:v>240.54489865996868</c:v>
                      </c:pt>
                      <c:pt idx="4">
                        <c:v>236.230688168668</c:v>
                      </c:pt>
                      <c:pt idx="5">
                        <c:v>232.24685165123097</c:v>
                      </c:pt>
                      <c:pt idx="6">
                        <c:v>228.13000234858521</c:v>
                      </c:pt>
                      <c:pt idx="7">
                        <c:v>223.97540962392915</c:v>
                      </c:pt>
                      <c:pt idx="8">
                        <c:v>220.00176712465242</c:v>
                      </c:pt>
                      <c:pt idx="9">
                        <c:v>215.83205871989514</c:v>
                      </c:pt>
                      <c:pt idx="10">
                        <c:v>211.88769100734527</c:v>
                      </c:pt>
                      <c:pt idx="11">
                        <c:v>207.88455095420636</c:v>
                      </c:pt>
                      <c:pt idx="12">
                        <c:v>203.9414335902614</c:v>
                      </c:pt>
                      <c:pt idx="13">
                        <c:v>200.22697210400074</c:v>
                      </c:pt>
                      <c:pt idx="14">
                        <c:v>196.80048470702931</c:v>
                      </c:pt>
                      <c:pt idx="15">
                        <c:v>193.75087217732943</c:v>
                      </c:pt>
                      <c:pt idx="16">
                        <c:v>191.10493033111814</c:v>
                      </c:pt>
                      <c:pt idx="17">
                        <c:v>188.97804488341382</c:v>
                      </c:pt>
                      <c:pt idx="18">
                        <c:v>187.40478484209194</c:v>
                      </c:pt>
                      <c:pt idx="19">
                        <c:v>186.35291618868172</c:v>
                      </c:pt>
                      <c:pt idx="20">
                        <c:v>185.84618589626572</c:v>
                      </c:pt>
                      <c:pt idx="21">
                        <c:v>185.84431605055065</c:v>
                      </c:pt>
                      <c:pt idx="22">
                        <c:v>186.28748454986334</c:v>
                      </c:pt>
                      <c:pt idx="23">
                        <c:v>187.12269938174182</c:v>
                      </c:pt>
                      <c:pt idx="24">
                        <c:v>188.29143117509011</c:v>
                      </c:pt>
                      <c:pt idx="25">
                        <c:v>189.72188312554835</c:v>
                      </c:pt>
                      <c:pt idx="26">
                        <c:v>191.31798308200356</c:v>
                      </c:pt>
                      <c:pt idx="27">
                        <c:v>193.03919238862616</c:v>
                      </c:pt>
                      <c:pt idx="28">
                        <c:v>194.81659810135426</c:v>
                      </c:pt>
                      <c:pt idx="29">
                        <c:v>196.59086992190856</c:v>
                      </c:pt>
                      <c:pt idx="30">
                        <c:v>198.31739903510373</c:v>
                      </c:pt>
                      <c:pt idx="31">
                        <c:v>199.94206363436533</c:v>
                      </c:pt>
                      <c:pt idx="32">
                        <c:v>201.41301650622475</c:v>
                      </c:pt>
                      <c:pt idx="33">
                        <c:v>202.71818643774844</c:v>
                      </c:pt>
                      <c:pt idx="34">
                        <c:v>203.80715291984018</c:v>
                      </c:pt>
                      <c:pt idx="35">
                        <c:v>204.66144982595304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0887-495D-B279-4D9D2C20359B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4303'!$L$2</c:f>
          <c:strCache>
            <c:ptCount val="1"/>
            <c:pt idx="0">
              <c:v>NGC 4303</c:v>
            </c:pt>
          </c:strCache>
        </c:strRef>
      </c:tx>
      <c:layout>
        <c:manualLayout>
          <c:xMode val="edge"/>
          <c:yMode val="edge"/>
          <c:x val="0.52149064008156543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4303'!$I$7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4303'!$A$8:$A$42</c:f>
              <c:numCache>
                <c:formatCode>0.00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4303'!$I$8:$I$42</c:f>
              <c:numCache>
                <c:formatCode>0.00</c:formatCode>
                <c:ptCount val="35"/>
                <c:pt idx="0">
                  <c:v>70.650000000000006</c:v>
                </c:pt>
                <c:pt idx="1">
                  <c:v>111.7</c:v>
                </c:pt>
                <c:pt idx="2">
                  <c:v>138.80000000000001</c:v>
                </c:pt>
                <c:pt idx="3">
                  <c:v>129.97999999999999</c:v>
                </c:pt>
                <c:pt idx="4">
                  <c:v>104.31</c:v>
                </c:pt>
                <c:pt idx="5">
                  <c:v>92.31</c:v>
                </c:pt>
                <c:pt idx="6">
                  <c:v>83.16</c:v>
                </c:pt>
                <c:pt idx="7">
                  <c:v>69.58</c:v>
                </c:pt>
                <c:pt idx="8">
                  <c:v>70.66</c:v>
                </c:pt>
                <c:pt idx="9">
                  <c:v>95.12</c:v>
                </c:pt>
                <c:pt idx="10">
                  <c:v>117.16</c:v>
                </c:pt>
                <c:pt idx="11">
                  <c:v>136.72999999999999</c:v>
                </c:pt>
                <c:pt idx="12">
                  <c:v>135.56</c:v>
                </c:pt>
                <c:pt idx="13">
                  <c:v>127.3</c:v>
                </c:pt>
                <c:pt idx="14">
                  <c:v>133.11000000000001</c:v>
                </c:pt>
                <c:pt idx="15">
                  <c:v>146.38</c:v>
                </c:pt>
                <c:pt idx="16">
                  <c:v>152.31</c:v>
                </c:pt>
                <c:pt idx="17">
                  <c:v>152.12</c:v>
                </c:pt>
                <c:pt idx="18">
                  <c:v>150.21</c:v>
                </c:pt>
                <c:pt idx="19">
                  <c:v>147.06</c:v>
                </c:pt>
                <c:pt idx="20">
                  <c:v>144.25</c:v>
                </c:pt>
                <c:pt idx="21">
                  <c:v>143.19</c:v>
                </c:pt>
                <c:pt idx="22">
                  <c:v>144.16</c:v>
                </c:pt>
                <c:pt idx="23">
                  <c:v>146.01</c:v>
                </c:pt>
                <c:pt idx="24">
                  <c:v>146.32</c:v>
                </c:pt>
                <c:pt idx="25">
                  <c:v>145.16999999999999</c:v>
                </c:pt>
                <c:pt idx="26">
                  <c:v>143.91999999999999</c:v>
                </c:pt>
                <c:pt idx="27">
                  <c:v>143.16999999999999</c:v>
                </c:pt>
                <c:pt idx="28">
                  <c:v>142.51</c:v>
                </c:pt>
                <c:pt idx="29">
                  <c:v>142.13</c:v>
                </c:pt>
                <c:pt idx="30">
                  <c:v>142.22</c:v>
                </c:pt>
                <c:pt idx="31">
                  <c:v>142.66</c:v>
                </c:pt>
                <c:pt idx="32">
                  <c:v>143.47</c:v>
                </c:pt>
                <c:pt idx="33">
                  <c:v>145.19999999999999</c:v>
                </c:pt>
                <c:pt idx="34">
                  <c:v>146.83000000000001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21-4A0F-94F9-E4FD8F167331}"/>
            </c:ext>
          </c:extLst>
        </c:ser>
        <c:ser>
          <c:idx val="1"/>
          <c:order val="1"/>
          <c:tx>
            <c:strRef>
              <c:f>'NGC 4303'!$K$7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4303'!$A$8:$A$42</c:f>
              <c:numCache>
                <c:formatCode>0.00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4303'!$K$8:$K$42</c:f>
              <c:numCache>
                <c:formatCode>0.0</c:formatCode>
                <c:ptCount val="35"/>
                <c:pt idx="0">
                  <c:v>98.105967539121977</c:v>
                </c:pt>
                <c:pt idx="1">
                  <c:v>98.978500237474236</c:v>
                </c:pt>
                <c:pt idx="2">
                  <c:v>98.936169997038007</c:v>
                </c:pt>
                <c:pt idx="3">
                  <c:v>99.577811898101174</c:v>
                </c:pt>
                <c:pt idx="4">
                  <c:v>101.05641219481001</c:v>
                </c:pt>
                <c:pt idx="5">
                  <c:v>102.96170895677301</c:v>
                </c:pt>
                <c:pt idx="6">
                  <c:v>105.3483883629924</c:v>
                </c:pt>
                <c:pt idx="7">
                  <c:v>108.05846347353121</c:v>
                </c:pt>
                <c:pt idx="8">
                  <c:v>110.79003464427018</c:v>
                </c:pt>
                <c:pt idx="9">
                  <c:v>113.66899730982473</c:v>
                </c:pt>
                <c:pt idx="10">
                  <c:v>116.36523347926571</c:v>
                </c:pt>
                <c:pt idx="11">
                  <c:v>118.99023653165906</c:v>
                </c:pt>
                <c:pt idx="12">
                  <c:v>121.44074452825652</c:v>
                </c:pt>
                <c:pt idx="13">
                  <c:v>123.58064325218271</c:v>
                </c:pt>
                <c:pt idx="14">
                  <c:v>125.50281254821253</c:v>
                </c:pt>
                <c:pt idx="15">
                  <c:v>127.11483249453866</c:v>
                </c:pt>
                <c:pt idx="16">
                  <c:v>128.45532515715345</c:v>
                </c:pt>
                <c:pt idx="17">
                  <c:v>129.5344351453667</c:v>
                </c:pt>
                <c:pt idx="18">
                  <c:v>130.39042497302981</c:v>
                </c:pt>
                <c:pt idx="19">
                  <c:v>131.11181223107525</c:v>
                </c:pt>
                <c:pt idx="20">
                  <c:v>131.74078643414308</c:v>
                </c:pt>
                <c:pt idx="21">
                  <c:v>132.37332052469085</c:v>
                </c:pt>
                <c:pt idx="22">
                  <c:v>133.10762814734278</c:v>
                </c:pt>
                <c:pt idx="23">
                  <c:v>134.04801948844508</c:v>
                </c:pt>
                <c:pt idx="24">
                  <c:v>135.26794396360208</c:v>
                </c:pt>
                <c:pt idx="25">
                  <c:v>136.88675492277352</c:v>
                </c:pt>
                <c:pt idx="26">
                  <c:v>138.94858607546348</c:v>
                </c:pt>
                <c:pt idx="27">
                  <c:v>141.52789000862461</c:v>
                </c:pt>
                <c:pt idx="28">
                  <c:v>144.66403760322783</c:v>
                </c:pt>
                <c:pt idx="29">
                  <c:v>148.37607990697313</c:v>
                </c:pt>
                <c:pt idx="30">
                  <c:v>152.6927382514171</c:v>
                </c:pt>
                <c:pt idx="31">
                  <c:v>157.60318512144769</c:v>
                </c:pt>
                <c:pt idx="32">
                  <c:v>163.05616726999267</c:v>
                </c:pt>
                <c:pt idx="33">
                  <c:v>169.1366327991135</c:v>
                </c:pt>
                <c:pt idx="34">
                  <c:v>175.75329072883457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21-4A0F-94F9-E4FD8F167331}"/>
            </c:ext>
          </c:extLst>
        </c:ser>
        <c:ser>
          <c:idx val="2"/>
          <c:order val="2"/>
          <c:tx>
            <c:strRef>
              <c:f>'NGC 4303'!$K$56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4303'!$A$57:$A$91</c:f>
              <c:numCache>
                <c:formatCode>0.00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4303'!$K$57:$K$91</c:f>
              <c:numCache>
                <c:formatCode>0.0</c:formatCode>
                <c:ptCount val="35"/>
                <c:pt idx="0">
                  <c:v>103.36957205914017</c:v>
                </c:pt>
                <c:pt idx="1">
                  <c:v>104.74120078118008</c:v>
                </c:pt>
                <c:pt idx="2">
                  <c:v>104.23735959271089</c:v>
                </c:pt>
                <c:pt idx="3">
                  <c:v>104.01472079942556</c:v>
                </c:pt>
                <c:pt idx="4">
                  <c:v>104.48053259834724</c:v>
                </c:pt>
                <c:pt idx="5">
                  <c:v>105.49487696401189</c:v>
                </c:pt>
                <c:pt idx="6">
                  <c:v>107.07573506621196</c:v>
                </c:pt>
                <c:pt idx="7">
                  <c:v>109.12794810293714</c:v>
                </c:pt>
                <c:pt idx="8">
                  <c:v>111.41346530868003</c:v>
                </c:pt>
                <c:pt idx="9">
                  <c:v>114.04867073596941</c:v>
                </c:pt>
                <c:pt idx="10">
                  <c:v>116.6779248727011</c:v>
                </c:pt>
                <c:pt idx="11">
                  <c:v>119.44803825022133</c:v>
                </c:pt>
                <c:pt idx="12">
                  <c:v>122.24409191783531</c:v>
                </c:pt>
                <c:pt idx="13">
                  <c:v>124.89634357425938</c:v>
                </c:pt>
                <c:pt idx="14">
                  <c:v>127.50094040981976</c:v>
                </c:pt>
                <c:pt idx="15">
                  <c:v>129.91446274253684</c:v>
                </c:pt>
                <c:pt idx="16">
                  <c:v>132.15227948174646</c:v>
                </c:pt>
                <c:pt idx="17">
                  <c:v>134.17605559602808</c:v>
                </c:pt>
                <c:pt idx="18">
                  <c:v>135.96693159064495</c:v>
                </c:pt>
                <c:pt idx="19">
                  <c:v>137.56896352827039</c:v>
                </c:pt>
                <c:pt idx="20">
                  <c:v>138.94486111006847</c:v>
                </c:pt>
                <c:pt idx="21">
                  <c:v>140.12517035487608</c:v>
                </c:pt>
                <c:pt idx="22">
                  <c:v>141.12063755787113</c:v>
                </c:pt>
                <c:pt idx="23">
                  <c:v>141.95556732128864</c:v>
                </c:pt>
                <c:pt idx="24">
                  <c:v>142.63102291688097</c:v>
                </c:pt>
                <c:pt idx="25">
                  <c:v>143.18194495722074</c:v>
                </c:pt>
                <c:pt idx="26">
                  <c:v>143.60796863716479</c:v>
                </c:pt>
                <c:pt idx="27">
                  <c:v>143.92415782103683</c:v>
                </c:pt>
                <c:pt idx="28">
                  <c:v>144.13224521837972</c:v>
                </c:pt>
                <c:pt idx="29">
                  <c:v>144.22975810618439</c:v>
                </c:pt>
                <c:pt idx="30">
                  <c:v>144.2105657677557</c:v>
                </c:pt>
                <c:pt idx="31">
                  <c:v>144.06540235603259</c:v>
                </c:pt>
                <c:pt idx="32">
                  <c:v>143.78727494788549</c:v>
                </c:pt>
                <c:pt idx="33">
                  <c:v>143.3620148708616</c:v>
                </c:pt>
                <c:pt idx="34">
                  <c:v>142.78726248044094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21-4A0F-94F9-E4FD8F167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2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4321'!$L$2</c:f>
          <c:strCache>
            <c:ptCount val="1"/>
            <c:pt idx="0">
              <c:v>NGC 4321</c:v>
            </c:pt>
          </c:strCache>
        </c:strRef>
      </c:tx>
      <c:layout>
        <c:manualLayout>
          <c:xMode val="edge"/>
          <c:yMode val="edge"/>
          <c:x val="0.52183305273757541"/>
          <c:y val="0.704585156022163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4321'!$I$7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4321'!$A$8:$A$42</c:f>
              <c:numCache>
                <c:formatCode>General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4321'!$I$8:$I$42</c:f>
              <c:numCache>
                <c:formatCode>General</c:formatCode>
                <c:ptCount val="35"/>
                <c:pt idx="0">
                  <c:v>135.84</c:v>
                </c:pt>
                <c:pt idx="1">
                  <c:v>188</c:v>
                </c:pt>
                <c:pt idx="2">
                  <c:v>211.89</c:v>
                </c:pt>
                <c:pt idx="3">
                  <c:v>220.42</c:v>
                </c:pt>
                <c:pt idx="4">
                  <c:v>222.29</c:v>
                </c:pt>
                <c:pt idx="5">
                  <c:v>221.44</c:v>
                </c:pt>
                <c:pt idx="6">
                  <c:v>219.57</c:v>
                </c:pt>
                <c:pt idx="7">
                  <c:v>217.39</c:v>
                </c:pt>
                <c:pt idx="8">
                  <c:v>213.98</c:v>
                </c:pt>
                <c:pt idx="9">
                  <c:v>212.6</c:v>
                </c:pt>
                <c:pt idx="10">
                  <c:v>213.67</c:v>
                </c:pt>
                <c:pt idx="11">
                  <c:v>216.36</c:v>
                </c:pt>
                <c:pt idx="12">
                  <c:v>219.72</c:v>
                </c:pt>
                <c:pt idx="13">
                  <c:v>221.74</c:v>
                </c:pt>
                <c:pt idx="14">
                  <c:v>223.38</c:v>
                </c:pt>
                <c:pt idx="15">
                  <c:v>225.71</c:v>
                </c:pt>
                <c:pt idx="16">
                  <c:v>229.67</c:v>
                </c:pt>
                <c:pt idx="17">
                  <c:v>234.95</c:v>
                </c:pt>
                <c:pt idx="18">
                  <c:v>239.89</c:v>
                </c:pt>
                <c:pt idx="19">
                  <c:v>243.27</c:v>
                </c:pt>
                <c:pt idx="20">
                  <c:v>244.95</c:v>
                </c:pt>
                <c:pt idx="21">
                  <c:v>246.07</c:v>
                </c:pt>
                <c:pt idx="22">
                  <c:v>250.72</c:v>
                </c:pt>
                <c:pt idx="23">
                  <c:v>259.70999999999998</c:v>
                </c:pt>
                <c:pt idx="24">
                  <c:v>267.58</c:v>
                </c:pt>
                <c:pt idx="25">
                  <c:v>270.88</c:v>
                </c:pt>
                <c:pt idx="26">
                  <c:v>269.94</c:v>
                </c:pt>
                <c:pt idx="27">
                  <c:v>267.74</c:v>
                </c:pt>
                <c:pt idx="28">
                  <c:v>266.63</c:v>
                </c:pt>
                <c:pt idx="29">
                  <c:v>268.39</c:v>
                </c:pt>
                <c:pt idx="30">
                  <c:v>269.64</c:v>
                </c:pt>
                <c:pt idx="31">
                  <c:v>269.02999999999997</c:v>
                </c:pt>
                <c:pt idx="32">
                  <c:v>267.83</c:v>
                </c:pt>
                <c:pt idx="33">
                  <c:v>256.95999999999998</c:v>
                </c:pt>
                <c:pt idx="34">
                  <c:v>244.88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D6-417E-80EE-DD8859F42217}"/>
            </c:ext>
          </c:extLst>
        </c:ser>
        <c:ser>
          <c:idx val="1"/>
          <c:order val="1"/>
          <c:tx>
            <c:strRef>
              <c:f>'NGC 4321'!$K$7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4321'!$A$8:$A$42</c:f>
              <c:numCache>
                <c:formatCode>General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4321'!$K$8:$K$42</c:f>
              <c:numCache>
                <c:formatCode>0.0</c:formatCode>
                <c:ptCount val="35"/>
                <c:pt idx="0">
                  <c:v>165.30807896053204</c:v>
                </c:pt>
                <c:pt idx="1">
                  <c:v>188.07913451203413</c:v>
                </c:pt>
                <c:pt idx="2">
                  <c:v>198.67313047005413</c:v>
                </c:pt>
                <c:pt idx="3">
                  <c:v>204.56824736919393</c:v>
                </c:pt>
                <c:pt idx="4">
                  <c:v>208.79769801756581</c:v>
                </c:pt>
                <c:pt idx="5">
                  <c:v>211.52578691574931</c:v>
                </c:pt>
                <c:pt idx="6">
                  <c:v>213.60575365016882</c:v>
                </c:pt>
                <c:pt idx="7">
                  <c:v>215.30102014457154</c:v>
                </c:pt>
                <c:pt idx="8">
                  <c:v>216.78097489702299</c:v>
                </c:pt>
                <c:pt idx="9">
                  <c:v>218.33171178600975</c:v>
                </c:pt>
                <c:pt idx="10">
                  <c:v>219.92452933097121</c:v>
                </c:pt>
                <c:pt idx="11">
                  <c:v>221.67051515056073</c:v>
                </c:pt>
                <c:pt idx="12">
                  <c:v>223.62787976671569</c:v>
                </c:pt>
                <c:pt idx="13">
                  <c:v>225.67635725151942</c:v>
                </c:pt>
                <c:pt idx="14">
                  <c:v>227.97824909984286</c:v>
                </c:pt>
                <c:pt idx="15">
                  <c:v>230.4204827182208</c:v>
                </c:pt>
                <c:pt idx="16">
                  <c:v>233.00412158229088</c:v>
                </c:pt>
                <c:pt idx="17">
                  <c:v>235.69270790524521</c:v>
                </c:pt>
                <c:pt idx="18">
                  <c:v>238.40892855767294</c:v>
                </c:pt>
                <c:pt idx="19">
                  <c:v>241.18396451851345</c:v>
                </c:pt>
                <c:pt idx="20">
                  <c:v>243.88963130603383</c:v>
                </c:pt>
                <c:pt idx="21">
                  <c:v>246.48944972309619</c:v>
                </c:pt>
                <c:pt idx="22">
                  <c:v>248.94084470753316</c:v>
                </c:pt>
                <c:pt idx="23">
                  <c:v>251.19003354880161</c:v>
                </c:pt>
                <c:pt idx="24">
                  <c:v>253.11994866753895</c:v>
                </c:pt>
                <c:pt idx="25">
                  <c:v>254.79077598200826</c:v>
                </c:pt>
                <c:pt idx="26">
                  <c:v>256.1135624346411</c:v>
                </c:pt>
                <c:pt idx="27">
                  <c:v>257.10474295794023</c:v>
                </c:pt>
                <c:pt idx="28">
                  <c:v>257.74174583663887</c:v>
                </c:pt>
                <c:pt idx="29">
                  <c:v>258.06887020875888</c:v>
                </c:pt>
                <c:pt idx="30">
                  <c:v>258.14372258546666</c:v>
                </c:pt>
                <c:pt idx="31">
                  <c:v>258.04346569965656</c:v>
                </c:pt>
                <c:pt idx="32">
                  <c:v>257.87625077397013</c:v>
                </c:pt>
                <c:pt idx="33">
                  <c:v>257.76873414904173</c:v>
                </c:pt>
                <c:pt idx="34">
                  <c:v>257.86666278929965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D6-417E-80EE-DD8859F42217}"/>
            </c:ext>
          </c:extLst>
        </c:ser>
        <c:ser>
          <c:idx val="2"/>
          <c:order val="2"/>
          <c:tx>
            <c:strRef>
              <c:f>'NGC 4321'!$K$56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4321'!$A$57:$A$91</c:f>
              <c:numCache>
                <c:formatCode>General</c:formatCode>
                <c:ptCount val="35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</c:numCache>
            </c:numRef>
          </c:xVal>
          <c:yVal>
            <c:numRef>
              <c:f>'NGC 4321'!$K$57:$K$91</c:f>
              <c:numCache>
                <c:formatCode>0.0</c:formatCode>
                <c:ptCount val="35"/>
                <c:pt idx="0">
                  <c:v>191.89821048477035</c:v>
                </c:pt>
                <c:pt idx="1">
                  <c:v>213.80399500379599</c:v>
                </c:pt>
                <c:pt idx="2">
                  <c:v>222.77990862212991</c:v>
                </c:pt>
                <c:pt idx="3">
                  <c:v>227.43841770482899</c:v>
                </c:pt>
                <c:pt idx="4">
                  <c:v>229.9446214977944</c:v>
                </c:pt>
                <c:pt idx="5">
                  <c:v>231.20153447121743</c:v>
                </c:pt>
                <c:pt idx="6">
                  <c:v>231.98937052335202</c:v>
                </c:pt>
                <c:pt idx="7">
                  <c:v>232.62218943027474</c:v>
                </c:pt>
                <c:pt idx="8">
                  <c:v>233.09829878151626</c:v>
                </c:pt>
                <c:pt idx="9">
                  <c:v>233.73987542349511</c:v>
                </c:pt>
                <c:pt idx="10">
                  <c:v>234.42598947506897</c:v>
                </c:pt>
                <c:pt idx="11">
                  <c:v>235.34472981595553</c:v>
                </c:pt>
                <c:pt idx="12">
                  <c:v>236.49263562364328</c:v>
                </c:pt>
                <c:pt idx="13">
                  <c:v>237.79712184169961</c:v>
                </c:pt>
                <c:pt idx="14">
                  <c:v>239.33667641887106</c:v>
                </c:pt>
                <c:pt idx="15">
                  <c:v>241.01657029943618</c:v>
                </c:pt>
                <c:pt idx="16">
                  <c:v>242.83885056431234</c:v>
                </c:pt>
                <c:pt idx="17">
                  <c:v>244.73538462042427</c:v>
                </c:pt>
                <c:pt idx="18">
                  <c:v>246.64994569738013</c:v>
                </c:pt>
                <c:pt idx="19">
                  <c:v>248.58113473982277</c:v>
                </c:pt>
                <c:pt idx="20">
                  <c:v>250.41822615185822</c:v>
                </c:pt>
                <c:pt idx="21">
                  <c:v>252.11633800653485</c:v>
                </c:pt>
                <c:pt idx="22">
                  <c:v>253.57869139550033</c:v>
                </c:pt>
                <c:pt idx="23">
                  <c:v>254.86385269826337</c:v>
                </c:pt>
                <c:pt idx="24">
                  <c:v>255.77009117962456</c:v>
                </c:pt>
                <c:pt idx="25">
                  <c:v>256.31007203874208</c:v>
                </c:pt>
                <c:pt idx="26">
                  <c:v>256.41461375150971</c:v>
                </c:pt>
                <c:pt idx="27">
                  <c:v>256.03475392287913</c:v>
                </c:pt>
                <c:pt idx="28">
                  <c:v>255.12908967408313</c:v>
                </c:pt>
                <c:pt idx="29">
                  <c:v>253.66998587802686</c:v>
                </c:pt>
                <c:pt idx="30">
                  <c:v>251.63156508031614</c:v>
                </c:pt>
                <c:pt idx="31">
                  <c:v>249.01301840617344</c:v>
                </c:pt>
                <c:pt idx="32">
                  <c:v>245.84586513605277</c:v>
                </c:pt>
                <c:pt idx="33">
                  <c:v>242.09887823976894</c:v>
                </c:pt>
                <c:pt idx="34">
                  <c:v>237.88127571227022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D6-417E-80EE-DD8859F42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4527'!$L$2</c:f>
          <c:strCache>
            <c:ptCount val="1"/>
            <c:pt idx="0">
              <c:v>NGC 4527</c:v>
            </c:pt>
          </c:strCache>
        </c:strRef>
      </c:tx>
      <c:layout>
        <c:manualLayout>
          <c:xMode val="edge"/>
          <c:yMode val="edge"/>
          <c:x val="0.52282908009730211"/>
          <c:y val="0.694444484626678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4527'!$I$7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4527'!$A$8:$A$35</c:f>
              <c:numCache>
                <c:formatCode>General</c:formatCode>
                <c:ptCount val="2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</c:numCache>
            </c:numRef>
          </c:xVal>
          <c:yVal>
            <c:numRef>
              <c:f>'NGC 4527'!$I$8:$I$35</c:f>
              <c:numCache>
                <c:formatCode>General</c:formatCode>
                <c:ptCount val="28"/>
                <c:pt idx="0">
                  <c:v>166.17</c:v>
                </c:pt>
                <c:pt idx="1">
                  <c:v>235.07</c:v>
                </c:pt>
                <c:pt idx="2">
                  <c:v>250.2</c:v>
                </c:pt>
                <c:pt idx="3">
                  <c:v>244.15</c:v>
                </c:pt>
                <c:pt idx="4">
                  <c:v>224.01</c:v>
                </c:pt>
                <c:pt idx="5">
                  <c:v>196.62</c:v>
                </c:pt>
                <c:pt idx="6">
                  <c:v>175.6</c:v>
                </c:pt>
                <c:pt idx="7">
                  <c:v>164.58</c:v>
                </c:pt>
                <c:pt idx="8">
                  <c:v>159.28</c:v>
                </c:pt>
                <c:pt idx="9">
                  <c:v>157.21</c:v>
                </c:pt>
                <c:pt idx="10">
                  <c:v>158.04</c:v>
                </c:pt>
                <c:pt idx="11">
                  <c:v>163.89</c:v>
                </c:pt>
                <c:pt idx="12">
                  <c:v>173</c:v>
                </c:pt>
                <c:pt idx="13">
                  <c:v>179.74</c:v>
                </c:pt>
                <c:pt idx="14">
                  <c:v>188.13</c:v>
                </c:pt>
                <c:pt idx="15">
                  <c:v>195.83</c:v>
                </c:pt>
                <c:pt idx="16">
                  <c:v>201.06</c:v>
                </c:pt>
                <c:pt idx="17">
                  <c:v>201.76</c:v>
                </c:pt>
                <c:pt idx="18">
                  <c:v>198.52</c:v>
                </c:pt>
                <c:pt idx="19">
                  <c:v>193.98</c:v>
                </c:pt>
                <c:pt idx="20">
                  <c:v>189.94</c:v>
                </c:pt>
                <c:pt idx="21">
                  <c:v>188.34</c:v>
                </c:pt>
                <c:pt idx="22">
                  <c:v>192.56</c:v>
                </c:pt>
                <c:pt idx="23">
                  <c:v>198.19</c:v>
                </c:pt>
                <c:pt idx="24">
                  <c:v>197.93</c:v>
                </c:pt>
                <c:pt idx="25">
                  <c:v>192.66</c:v>
                </c:pt>
                <c:pt idx="26">
                  <c:v>186.34</c:v>
                </c:pt>
                <c:pt idx="27">
                  <c:v>186.21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5E-403E-A5FC-72E72942AAEC}"/>
            </c:ext>
          </c:extLst>
        </c:ser>
        <c:ser>
          <c:idx val="1"/>
          <c:order val="1"/>
          <c:tx>
            <c:strRef>
              <c:f>'NGC 4527'!$K$7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4527'!$A$8:$A$35</c:f>
              <c:numCache>
                <c:formatCode>General</c:formatCode>
                <c:ptCount val="2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</c:numCache>
            </c:numRef>
          </c:xVal>
          <c:yVal>
            <c:numRef>
              <c:f>'NGC 4527'!$K$8:$K$35</c:f>
              <c:numCache>
                <c:formatCode>0.0</c:formatCode>
                <c:ptCount val="28"/>
                <c:pt idx="0">
                  <c:v>215.02277854703823</c:v>
                </c:pt>
                <c:pt idx="1">
                  <c:v>217.23658476229079</c:v>
                </c:pt>
                <c:pt idx="2">
                  <c:v>212.34170223925389</c:v>
                </c:pt>
                <c:pt idx="3">
                  <c:v>206.24963859911114</c:v>
                </c:pt>
                <c:pt idx="4">
                  <c:v>199.96322694803675</c:v>
                </c:pt>
                <c:pt idx="5">
                  <c:v>194.83486723703859</c:v>
                </c:pt>
                <c:pt idx="6">
                  <c:v>190.24213125211773</c:v>
                </c:pt>
                <c:pt idx="7">
                  <c:v>186.36155538328185</c:v>
                </c:pt>
                <c:pt idx="8">
                  <c:v>183.40905809818628</c:v>
                </c:pt>
                <c:pt idx="9">
                  <c:v>181.0899295731777</c:v>
                </c:pt>
                <c:pt idx="10">
                  <c:v>179.57597804939661</c:v>
                </c:pt>
                <c:pt idx="11">
                  <c:v>178.65692079497114</c:v>
                </c:pt>
                <c:pt idx="12">
                  <c:v>178.30636084699282</c:v>
                </c:pt>
                <c:pt idx="13">
                  <c:v>178.39198248966832</c:v>
                </c:pt>
                <c:pt idx="14">
                  <c:v>178.95767275718364</c:v>
                </c:pt>
                <c:pt idx="15">
                  <c:v>179.82735401695172</c:v>
                </c:pt>
                <c:pt idx="16">
                  <c:v>180.91786722835988</c:v>
                </c:pt>
                <c:pt idx="17">
                  <c:v>182.13945824642107</c:v>
                </c:pt>
                <c:pt idx="18">
                  <c:v>183.40921991043044</c:v>
                </c:pt>
                <c:pt idx="19">
                  <c:v>184.69867729143922</c:v>
                </c:pt>
                <c:pt idx="20">
                  <c:v>185.91517912231188</c:v>
                </c:pt>
                <c:pt idx="21">
                  <c:v>187.01985427722147</c:v>
                </c:pt>
                <c:pt idx="22">
                  <c:v>187.98133790234849</c:v>
                </c:pt>
                <c:pt idx="23">
                  <c:v>188.80940872892879</c:v>
                </c:pt>
                <c:pt idx="24">
                  <c:v>189.50159416781773</c:v>
                </c:pt>
                <c:pt idx="25">
                  <c:v>190.06689507649168</c:v>
                </c:pt>
                <c:pt idx="26">
                  <c:v>190.57069944126596</c:v>
                </c:pt>
                <c:pt idx="27">
                  <c:v>191.07797419000954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5E-403E-A5FC-72E72942AAEC}"/>
            </c:ext>
          </c:extLst>
        </c:ser>
        <c:ser>
          <c:idx val="2"/>
          <c:order val="2"/>
          <c:tx>
            <c:strRef>
              <c:f>'NGC 4527'!$K$49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4527'!$A$50:$A$77</c:f>
              <c:numCache>
                <c:formatCode>General</c:formatCode>
                <c:ptCount val="2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</c:numCache>
            </c:numRef>
          </c:xVal>
          <c:yVal>
            <c:numRef>
              <c:f>'NGC 4527'!$K$50:$K$77</c:f>
              <c:numCache>
                <c:formatCode>0.0</c:formatCode>
                <c:ptCount val="28"/>
                <c:pt idx="0">
                  <c:v>224.5204877260945</c:v>
                </c:pt>
                <c:pt idx="1">
                  <c:v>225.16572607353552</c:v>
                </c:pt>
                <c:pt idx="2">
                  <c:v>218.96221394281716</c:v>
                </c:pt>
                <c:pt idx="3">
                  <c:v>211.85493640305367</c:v>
                </c:pt>
                <c:pt idx="4">
                  <c:v>204.73932556524147</c:v>
                </c:pt>
                <c:pt idx="5">
                  <c:v>199.03852966799798</c:v>
                </c:pt>
                <c:pt idx="6">
                  <c:v>193.94502419651354</c:v>
                </c:pt>
                <c:pt idx="7">
                  <c:v>189.64013385213659</c:v>
                </c:pt>
                <c:pt idx="8">
                  <c:v>186.34843944340221</c:v>
                </c:pt>
                <c:pt idx="9">
                  <c:v>183.68748996768755</c:v>
                </c:pt>
                <c:pt idx="10">
                  <c:v>181.86529295681689</c:v>
                </c:pt>
                <c:pt idx="11">
                  <c:v>180.61925673954272</c:v>
                </c:pt>
                <c:pt idx="12">
                  <c:v>179.85619791455744</c:v>
                </c:pt>
                <c:pt idx="13">
                  <c:v>179.67852765830145</c:v>
                </c:pt>
                <c:pt idx="14">
                  <c:v>179.85367780765191</c:v>
                </c:pt>
                <c:pt idx="15">
                  <c:v>180.29940847574082</c:v>
                </c:pt>
                <c:pt idx="16">
                  <c:v>180.95564844342587</c:v>
                </c:pt>
                <c:pt idx="17">
                  <c:v>181.73960626249161</c:v>
                </c:pt>
                <c:pt idx="18">
                  <c:v>182.58483535666673</c:v>
                </c:pt>
                <c:pt idx="19">
                  <c:v>183.46233969278492</c:v>
                </c:pt>
                <c:pt idx="20">
                  <c:v>184.29885525271328</c:v>
                </c:pt>
                <c:pt idx="21">
                  <c:v>185.0533325358692</c:v>
                </c:pt>
                <c:pt idx="22">
                  <c:v>185.72250641268099</c:v>
                </c:pt>
                <c:pt idx="23">
                  <c:v>186.30200692298919</c:v>
                </c:pt>
                <c:pt idx="24">
                  <c:v>186.73400572376386</c:v>
                </c:pt>
                <c:pt idx="25">
                  <c:v>187.0472060646664</c:v>
                </c:pt>
                <c:pt idx="26">
                  <c:v>187.22869672983867</c:v>
                </c:pt>
                <c:pt idx="27">
                  <c:v>187.28467192268795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75E-403E-A5FC-72E72942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4565'!$L$2</c:f>
          <c:strCache>
            <c:ptCount val="1"/>
            <c:pt idx="0">
              <c:v>NGC 4565</c:v>
            </c:pt>
          </c:strCache>
        </c:strRef>
      </c:tx>
      <c:layout>
        <c:manualLayout>
          <c:xMode val="edge"/>
          <c:yMode val="edge"/>
          <c:x val="0.52279016459365479"/>
          <c:y val="0.703716097987751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4565'!$I$7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4565'!$A$8:$A$45</c:f>
              <c:numCache>
                <c:formatCode>General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4565'!$I$8:$I$45</c:f>
              <c:numCache>
                <c:formatCode>General</c:formatCode>
                <c:ptCount val="38"/>
                <c:pt idx="0">
                  <c:v>72.13</c:v>
                </c:pt>
                <c:pt idx="1">
                  <c:v>125.49</c:v>
                </c:pt>
                <c:pt idx="2">
                  <c:v>163.49</c:v>
                </c:pt>
                <c:pt idx="3">
                  <c:v>193.37</c:v>
                </c:pt>
                <c:pt idx="4">
                  <c:v>212.88</c:v>
                </c:pt>
                <c:pt idx="5">
                  <c:v>227.21</c:v>
                </c:pt>
                <c:pt idx="6">
                  <c:v>236.83</c:v>
                </c:pt>
                <c:pt idx="7">
                  <c:v>242.42</c:v>
                </c:pt>
                <c:pt idx="8">
                  <c:v>245.12</c:v>
                </c:pt>
                <c:pt idx="9">
                  <c:v>245.57</c:v>
                </c:pt>
                <c:pt idx="10">
                  <c:v>244.51</c:v>
                </c:pt>
                <c:pt idx="11">
                  <c:v>242</c:v>
                </c:pt>
                <c:pt idx="12">
                  <c:v>238.92</c:v>
                </c:pt>
                <c:pt idx="13">
                  <c:v>235.96</c:v>
                </c:pt>
                <c:pt idx="14">
                  <c:v>233.94</c:v>
                </c:pt>
                <c:pt idx="15">
                  <c:v>232.94</c:v>
                </c:pt>
                <c:pt idx="16">
                  <c:v>233.98</c:v>
                </c:pt>
                <c:pt idx="17">
                  <c:v>236.39</c:v>
                </c:pt>
                <c:pt idx="18">
                  <c:v>240.5</c:v>
                </c:pt>
                <c:pt idx="19">
                  <c:v>244.88</c:v>
                </c:pt>
                <c:pt idx="20">
                  <c:v>247.07</c:v>
                </c:pt>
                <c:pt idx="21">
                  <c:v>247.47</c:v>
                </c:pt>
                <c:pt idx="22">
                  <c:v>246.81</c:v>
                </c:pt>
                <c:pt idx="23">
                  <c:v>246.73</c:v>
                </c:pt>
                <c:pt idx="24">
                  <c:v>248.77</c:v>
                </c:pt>
                <c:pt idx="25">
                  <c:v>251.27</c:v>
                </c:pt>
                <c:pt idx="26">
                  <c:v>253.62</c:v>
                </c:pt>
                <c:pt idx="27">
                  <c:v>256.52</c:v>
                </c:pt>
                <c:pt idx="28">
                  <c:v>258.68</c:v>
                </c:pt>
                <c:pt idx="29">
                  <c:v>259.73</c:v>
                </c:pt>
                <c:pt idx="30">
                  <c:v>260.35000000000002</c:v>
                </c:pt>
                <c:pt idx="31">
                  <c:v>259.41000000000003</c:v>
                </c:pt>
                <c:pt idx="32">
                  <c:v>256.99</c:v>
                </c:pt>
                <c:pt idx="33">
                  <c:v>253.26</c:v>
                </c:pt>
                <c:pt idx="34">
                  <c:v>247.54</c:v>
                </c:pt>
                <c:pt idx="35">
                  <c:v>239.9</c:v>
                </c:pt>
                <c:pt idx="36">
                  <c:v>230.62</c:v>
                </c:pt>
                <c:pt idx="37">
                  <c:v>224.06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7B-4E75-8639-068183680FEF}"/>
            </c:ext>
          </c:extLst>
        </c:ser>
        <c:ser>
          <c:idx val="1"/>
          <c:order val="1"/>
          <c:tx>
            <c:strRef>
              <c:f>'NGC 4565'!$K$7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4565'!$A$8:$A$45</c:f>
              <c:numCache>
                <c:formatCode>General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4565'!$K$8:$K$45</c:f>
              <c:numCache>
                <c:formatCode>0.0</c:formatCode>
                <c:ptCount val="38"/>
                <c:pt idx="0">
                  <c:v>131.18771940074134</c:v>
                </c:pt>
                <c:pt idx="1">
                  <c:v>154.09832007466665</c:v>
                </c:pt>
                <c:pt idx="2">
                  <c:v>167.90615857573979</c:v>
                </c:pt>
                <c:pt idx="3">
                  <c:v>178.18122486353789</c:v>
                </c:pt>
                <c:pt idx="4">
                  <c:v>187.51494285377765</c:v>
                </c:pt>
                <c:pt idx="5">
                  <c:v>195.12421406181002</c:v>
                </c:pt>
                <c:pt idx="6">
                  <c:v>202.42109098041732</c:v>
                </c:pt>
                <c:pt idx="7">
                  <c:v>209.41907739410919</c:v>
                </c:pt>
                <c:pt idx="8">
                  <c:v>215.80921839666306</c:v>
                </c:pt>
                <c:pt idx="9">
                  <c:v>222.22270034137586</c:v>
                </c:pt>
                <c:pt idx="10">
                  <c:v>228.02573536414724</c:v>
                </c:pt>
                <c:pt idx="11">
                  <c:v>233.59934303354837</c:v>
                </c:pt>
                <c:pt idx="12">
                  <c:v>238.85344259242436</c:v>
                </c:pt>
                <c:pt idx="13">
                  <c:v>243.4992731332373</c:v>
                </c:pt>
                <c:pt idx="14">
                  <c:v>247.72833924134414</c:v>
                </c:pt>
                <c:pt idx="15">
                  <c:v>251.30638262595755</c:v>
                </c:pt>
                <c:pt idx="16">
                  <c:v>254.24966060306409</c:v>
                </c:pt>
                <c:pt idx="17">
                  <c:v>256.46858392767064</c:v>
                </c:pt>
                <c:pt idx="18">
                  <c:v>257.92610029590037</c:v>
                </c:pt>
                <c:pt idx="19">
                  <c:v>258.62819127255767</c:v>
                </c:pt>
                <c:pt idx="20">
                  <c:v>258.53324618337632</c:v>
                </c:pt>
                <c:pt idx="21">
                  <c:v>257.66904386635525</c:v>
                </c:pt>
                <c:pt idx="22">
                  <c:v>256.06663456322678</c:v>
                </c:pt>
                <c:pt idx="23">
                  <c:v>253.77865757680254</c:v>
                </c:pt>
                <c:pt idx="24">
                  <c:v>250.94033404474155</c:v>
                </c:pt>
                <c:pt idx="25">
                  <c:v>247.65979643424961</c:v>
                </c:pt>
                <c:pt idx="26">
                  <c:v>244.1122696776186</c:v>
                </c:pt>
                <c:pt idx="27">
                  <c:v>240.46614134770206</c:v>
                </c:pt>
                <c:pt idx="28">
                  <c:v>236.90422766060061</c:v>
                </c:pt>
                <c:pt idx="29">
                  <c:v>233.61935026945588</c:v>
                </c:pt>
                <c:pt idx="30">
                  <c:v>230.7950076240472</c:v>
                </c:pt>
                <c:pt idx="31">
                  <c:v>228.61175075850667</c:v>
                </c:pt>
                <c:pt idx="32">
                  <c:v>227.2208434715009</c:v>
                </c:pt>
                <c:pt idx="33">
                  <c:v>226.7095895808605</c:v>
                </c:pt>
                <c:pt idx="34">
                  <c:v>227.16938966705484</c:v>
                </c:pt>
                <c:pt idx="35">
                  <c:v>228.63553718618599</c:v>
                </c:pt>
                <c:pt idx="36">
                  <c:v>231.14397989298337</c:v>
                </c:pt>
                <c:pt idx="37">
                  <c:v>234.69613274731049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7B-4E75-8639-068183680FEF}"/>
            </c:ext>
          </c:extLst>
        </c:ser>
        <c:ser>
          <c:idx val="2"/>
          <c:order val="2"/>
          <c:tx>
            <c:strRef>
              <c:f>'NGC 4565'!$K$59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4565'!$A$60:$A$97</c:f>
              <c:numCache>
                <c:formatCode>General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4565'!$K$60:$K$97</c:f>
              <c:numCache>
                <c:formatCode>0.0</c:formatCode>
                <c:ptCount val="38"/>
                <c:pt idx="0">
                  <c:v>161.77034817663372</c:v>
                </c:pt>
                <c:pt idx="1">
                  <c:v>191.18741469823917</c:v>
                </c:pt>
                <c:pt idx="2">
                  <c:v>207.02882622021764</c:v>
                </c:pt>
                <c:pt idx="3">
                  <c:v>217.02099799928467</c:v>
                </c:pt>
                <c:pt idx="4">
                  <c:v>224.42687980166073</c:v>
                </c:pt>
                <c:pt idx="5">
                  <c:v>229.1142512651565</c:v>
                </c:pt>
                <c:pt idx="6">
                  <c:v>233.18527016073722</c:v>
                </c:pt>
                <c:pt idx="7">
                  <c:v>236.21954820115107</c:v>
                </c:pt>
                <c:pt idx="8">
                  <c:v>238.87730116853152</c:v>
                </c:pt>
                <c:pt idx="9">
                  <c:v>240.80974429228931</c:v>
                </c:pt>
                <c:pt idx="10">
                  <c:v>242.42843112540356</c:v>
                </c:pt>
                <c:pt idx="11">
                  <c:v>243.89964919917267</c:v>
                </c:pt>
                <c:pt idx="12">
                  <c:v>245.18291364640811</c:v>
                </c:pt>
                <c:pt idx="13">
                  <c:v>246.27227379901254</c:v>
                </c:pt>
                <c:pt idx="14">
                  <c:v>247.26438278482729</c:v>
                </c:pt>
                <c:pt idx="15">
                  <c:v>248.15305948740678</c:v>
                </c:pt>
                <c:pt idx="16">
                  <c:v>248.9536516414928</c:v>
                </c:pt>
                <c:pt idx="17">
                  <c:v>249.61853228500195</c:v>
                </c:pt>
                <c:pt idx="18">
                  <c:v>250.19494197737504</c:v>
                </c:pt>
                <c:pt idx="19">
                  <c:v>250.66621616689869</c:v>
                </c:pt>
                <c:pt idx="20">
                  <c:v>250.99430929652243</c:v>
                </c:pt>
                <c:pt idx="21">
                  <c:v>251.17390367738253</c:v>
                </c:pt>
                <c:pt idx="22">
                  <c:v>251.19848492901502</c:v>
                </c:pt>
                <c:pt idx="23">
                  <c:v>251.04775527828221</c:v>
                </c:pt>
                <c:pt idx="24">
                  <c:v>250.7198788099806</c:v>
                </c:pt>
                <c:pt idx="25">
                  <c:v>250.20158096619795</c:v>
                </c:pt>
                <c:pt idx="26">
                  <c:v>249.50577620353459</c:v>
                </c:pt>
                <c:pt idx="27">
                  <c:v>248.63208437278178</c:v>
                </c:pt>
                <c:pt idx="28">
                  <c:v>247.59244562914708</c:v>
                </c:pt>
                <c:pt idx="29">
                  <c:v>246.40664673585781</c:v>
                </c:pt>
                <c:pt idx="30">
                  <c:v>245.03855979065403</c:v>
                </c:pt>
                <c:pt idx="31">
                  <c:v>243.64559322711327</c:v>
                </c:pt>
                <c:pt idx="32">
                  <c:v>242.0977213074913</c:v>
                </c:pt>
                <c:pt idx="33">
                  <c:v>240.48017690331739</c:v>
                </c:pt>
                <c:pt idx="34">
                  <c:v>238.79123321590208</c:v>
                </c:pt>
                <c:pt idx="35">
                  <c:v>237.01153667120681</c:v>
                </c:pt>
                <c:pt idx="36">
                  <c:v>235.14191257012229</c:v>
                </c:pt>
                <c:pt idx="37">
                  <c:v>233.17978525327499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7B-4E75-8639-068183680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4569'!$L$2</c:f>
          <c:strCache>
            <c:ptCount val="1"/>
            <c:pt idx="0">
              <c:v>NGC 4569</c:v>
            </c:pt>
          </c:strCache>
        </c:strRef>
      </c:tx>
      <c:layout>
        <c:manualLayout>
          <c:xMode val="edge"/>
          <c:yMode val="edge"/>
          <c:x val="0.53671806649168863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4569'!$I$7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4569'!$A$8:$A$36</c:f>
              <c:numCache>
                <c:formatCode>0.00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4569'!$I$8:$I$36</c:f>
              <c:numCache>
                <c:formatCode>0.00</c:formatCode>
                <c:ptCount val="29"/>
                <c:pt idx="0">
                  <c:v>40.85</c:v>
                </c:pt>
                <c:pt idx="1">
                  <c:v>61.48</c:v>
                </c:pt>
                <c:pt idx="2">
                  <c:v>97.07</c:v>
                </c:pt>
                <c:pt idx="3">
                  <c:v>127.62</c:v>
                </c:pt>
                <c:pt idx="4">
                  <c:v>143.99</c:v>
                </c:pt>
                <c:pt idx="5">
                  <c:v>148.30000000000001</c:v>
                </c:pt>
                <c:pt idx="6">
                  <c:v>148.66</c:v>
                </c:pt>
                <c:pt idx="7">
                  <c:v>148.01</c:v>
                </c:pt>
                <c:pt idx="8">
                  <c:v>136.71</c:v>
                </c:pt>
                <c:pt idx="9">
                  <c:v>110.84</c:v>
                </c:pt>
                <c:pt idx="10">
                  <c:v>106.32</c:v>
                </c:pt>
                <c:pt idx="11">
                  <c:v>109.08</c:v>
                </c:pt>
                <c:pt idx="12">
                  <c:v>111.54</c:v>
                </c:pt>
                <c:pt idx="13">
                  <c:v>116.91</c:v>
                </c:pt>
                <c:pt idx="14">
                  <c:v>131.69999999999999</c:v>
                </c:pt>
                <c:pt idx="15">
                  <c:v>146.99</c:v>
                </c:pt>
                <c:pt idx="16">
                  <c:v>161.30000000000001</c:v>
                </c:pt>
                <c:pt idx="17">
                  <c:v>177.16</c:v>
                </c:pt>
                <c:pt idx="18">
                  <c:v>187.62</c:v>
                </c:pt>
                <c:pt idx="19">
                  <c:v>190.54</c:v>
                </c:pt>
                <c:pt idx="20">
                  <c:v>192.56</c:v>
                </c:pt>
                <c:pt idx="21">
                  <c:v>195.69</c:v>
                </c:pt>
                <c:pt idx="22">
                  <c:v>200.29</c:v>
                </c:pt>
                <c:pt idx="23">
                  <c:v>205.44</c:v>
                </c:pt>
                <c:pt idx="24">
                  <c:v>212.04</c:v>
                </c:pt>
                <c:pt idx="25">
                  <c:v>221.67</c:v>
                </c:pt>
                <c:pt idx="26">
                  <c:v>235.15</c:v>
                </c:pt>
                <c:pt idx="27">
                  <c:v>247.81</c:v>
                </c:pt>
                <c:pt idx="28">
                  <c:v>255.49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6D-4D29-8AA9-5B575CBB540A}"/>
            </c:ext>
          </c:extLst>
        </c:ser>
        <c:ser>
          <c:idx val="1"/>
          <c:order val="1"/>
          <c:tx>
            <c:strRef>
              <c:f>'NGC 4569'!$K$7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4569'!$A$8:$A$36</c:f>
              <c:numCache>
                <c:formatCode>0.00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4569'!$K$8:$K$36</c:f>
              <c:numCache>
                <c:formatCode>0.0</c:formatCode>
                <c:ptCount val="29"/>
                <c:pt idx="0">
                  <c:v>75.713283035823352</c:v>
                </c:pt>
                <c:pt idx="1">
                  <c:v>90.237381161997845</c:v>
                </c:pt>
                <c:pt idx="2">
                  <c:v>98.698270148267568</c:v>
                </c:pt>
                <c:pt idx="3">
                  <c:v>104.61955547456439</c:v>
                </c:pt>
                <c:pt idx="4">
                  <c:v>109.67950289570084</c:v>
                </c:pt>
                <c:pt idx="5">
                  <c:v>113.4508824606732</c:v>
                </c:pt>
                <c:pt idx="6">
                  <c:v>117.32198656284757</c:v>
                </c:pt>
                <c:pt idx="7">
                  <c:v>120.84121771235404</c:v>
                </c:pt>
                <c:pt idx="8">
                  <c:v>124.306014412984</c:v>
                </c:pt>
                <c:pt idx="9">
                  <c:v>128.01002629971566</c:v>
                </c:pt>
                <c:pt idx="10">
                  <c:v>131.54371818114834</c:v>
                </c:pt>
                <c:pt idx="11">
                  <c:v>135.37546675951788</c:v>
                </c:pt>
                <c:pt idx="12">
                  <c:v>139.47782919262764</c:v>
                </c:pt>
                <c:pt idx="13">
                  <c:v>143.70419771409678</c:v>
                </c:pt>
                <c:pt idx="14">
                  <c:v>148.32049043498012</c:v>
                </c:pt>
                <c:pt idx="15">
                  <c:v>153.14328756747872</c:v>
                </c:pt>
                <c:pt idx="16">
                  <c:v>158.30937972028596</c:v>
                </c:pt>
                <c:pt idx="17">
                  <c:v>163.77017151517668</c:v>
                </c:pt>
                <c:pt idx="18">
                  <c:v>169.49384253955137</c:v>
                </c:pt>
                <c:pt idx="19">
                  <c:v>175.65074999395529</c:v>
                </c:pt>
                <c:pt idx="20">
                  <c:v>182.07488188365457</c:v>
                </c:pt>
                <c:pt idx="21">
                  <c:v>188.81541207700073</c:v>
                </c:pt>
                <c:pt idx="22">
                  <c:v>195.90585652399022</c:v>
                </c:pt>
                <c:pt idx="23">
                  <c:v>203.35612775131474</c:v>
                </c:pt>
                <c:pt idx="24">
                  <c:v>211.00099965493885</c:v>
                </c:pt>
                <c:pt idx="25">
                  <c:v>219.01043949932696</c:v>
                </c:pt>
                <c:pt idx="26">
                  <c:v>227.20985096490787</c:v>
                </c:pt>
                <c:pt idx="27">
                  <c:v>235.6565710471298</c:v>
                </c:pt>
                <c:pt idx="28">
                  <c:v>244.31599788804795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6D-4D29-8AA9-5B575CBB540A}"/>
            </c:ext>
          </c:extLst>
        </c:ser>
        <c:ser>
          <c:idx val="2"/>
          <c:order val="2"/>
          <c:tx>
            <c:strRef>
              <c:f>'NGC 4569'!$K$50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4569'!$A$51:$A$79</c:f>
              <c:numCache>
                <c:formatCode>0.00</c:formatCode>
                <c:ptCount val="2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</c:numCache>
            </c:numRef>
          </c:xVal>
          <c:yVal>
            <c:numRef>
              <c:f>'NGC 4569'!$K$51:$K$79</c:f>
              <c:numCache>
                <c:formatCode>0.0</c:formatCode>
                <c:ptCount val="29"/>
                <c:pt idx="0">
                  <c:v>93.828882724871292</c:v>
                </c:pt>
                <c:pt idx="1">
                  <c:v>107.27757373133747</c:v>
                </c:pt>
                <c:pt idx="2">
                  <c:v>114.67147400022095</c:v>
                </c:pt>
                <c:pt idx="3">
                  <c:v>120.09364740296679</c:v>
                </c:pt>
                <c:pt idx="4">
                  <c:v>124.80284660442821</c:v>
                </c:pt>
                <c:pt idx="5">
                  <c:v>128.74875663348834</c:v>
                </c:pt>
                <c:pt idx="6">
                  <c:v>132.74950031581054</c:v>
                </c:pt>
                <c:pt idx="7">
                  <c:v>136.90472248831622</c:v>
                </c:pt>
                <c:pt idx="8">
                  <c:v>141.04583922337474</c:v>
                </c:pt>
                <c:pt idx="9">
                  <c:v>145.55525301571237</c:v>
                </c:pt>
                <c:pt idx="10">
                  <c:v>150.04650083223913</c:v>
                </c:pt>
                <c:pt idx="11">
                  <c:v>154.85398515438908</c:v>
                </c:pt>
                <c:pt idx="12">
                  <c:v>159.92186776057483</c:v>
                </c:pt>
                <c:pt idx="13">
                  <c:v>165.0225157563105</c:v>
                </c:pt>
                <c:pt idx="14">
                  <c:v>170.42370157574678</c:v>
                </c:pt>
                <c:pt idx="15">
                  <c:v>175.88524001686451</c:v>
                </c:pt>
                <c:pt idx="16">
                  <c:v>181.47665532747868</c:v>
                </c:pt>
                <c:pt idx="17">
                  <c:v>187.11227639116507</c:v>
                </c:pt>
                <c:pt idx="18">
                  <c:v>192.7131928055544</c:v>
                </c:pt>
                <c:pt idx="19">
                  <c:v>198.4062512712886</c:v>
                </c:pt>
                <c:pt idx="20">
                  <c:v>203.98683089294147</c:v>
                </c:pt>
                <c:pt idx="21">
                  <c:v>209.45709417502982</c:v>
                </c:pt>
                <c:pt idx="22">
                  <c:v>214.78721113501732</c:v>
                </c:pt>
                <c:pt idx="23">
                  <c:v>219.95226151691418</c:v>
                </c:pt>
                <c:pt idx="24">
                  <c:v>224.78263491485433</c:v>
                </c:pt>
                <c:pt idx="25">
                  <c:v>229.34432566533729</c:v>
                </c:pt>
                <c:pt idx="26">
                  <c:v>233.47991729836215</c:v>
                </c:pt>
                <c:pt idx="27">
                  <c:v>237.17625222802596</c:v>
                </c:pt>
                <c:pt idx="28">
                  <c:v>240.36895064219075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6D-4D29-8AA9-5B575CBB5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4736'!$L$2</c:f>
          <c:strCache>
            <c:ptCount val="1"/>
            <c:pt idx="0">
              <c:v>NGC 4736</c:v>
            </c:pt>
          </c:strCache>
        </c:strRef>
      </c:tx>
      <c:layout>
        <c:manualLayout>
          <c:xMode val="edge"/>
          <c:yMode val="edge"/>
          <c:x val="0.53037802905083753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4736'!$I$7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4736'!$A$8:$A$33</c:f>
              <c:numCache>
                <c:formatCode>0.00</c:formatCode>
                <c:ptCount val="2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</c:numCache>
            </c:numRef>
          </c:xVal>
          <c:yVal>
            <c:numRef>
              <c:f>'NGC 4736'!$I$8:$I$33</c:f>
              <c:numCache>
                <c:formatCode>General</c:formatCode>
                <c:ptCount val="26"/>
                <c:pt idx="0">
                  <c:v>122</c:v>
                </c:pt>
                <c:pt idx="1">
                  <c:v>172.71</c:v>
                </c:pt>
                <c:pt idx="2">
                  <c:v>188.97</c:v>
                </c:pt>
                <c:pt idx="3">
                  <c:v>192.81</c:v>
                </c:pt>
                <c:pt idx="4">
                  <c:v>192.82</c:v>
                </c:pt>
                <c:pt idx="5">
                  <c:v>191.34</c:v>
                </c:pt>
                <c:pt idx="6">
                  <c:v>189.59</c:v>
                </c:pt>
                <c:pt idx="7">
                  <c:v>187.96</c:v>
                </c:pt>
                <c:pt idx="8">
                  <c:v>185.71</c:v>
                </c:pt>
                <c:pt idx="9">
                  <c:v>183.65</c:v>
                </c:pt>
                <c:pt idx="10">
                  <c:v>181.8</c:v>
                </c:pt>
                <c:pt idx="11">
                  <c:v>180.18</c:v>
                </c:pt>
                <c:pt idx="12">
                  <c:v>178.51</c:v>
                </c:pt>
                <c:pt idx="13">
                  <c:v>176.47</c:v>
                </c:pt>
                <c:pt idx="14">
                  <c:v>174.57</c:v>
                </c:pt>
                <c:pt idx="15">
                  <c:v>173.98</c:v>
                </c:pt>
                <c:pt idx="16">
                  <c:v>175.04</c:v>
                </c:pt>
                <c:pt idx="17">
                  <c:v>177.59</c:v>
                </c:pt>
                <c:pt idx="18">
                  <c:v>180.49</c:v>
                </c:pt>
                <c:pt idx="19">
                  <c:v>182.17</c:v>
                </c:pt>
                <c:pt idx="20">
                  <c:v>180.87</c:v>
                </c:pt>
                <c:pt idx="21">
                  <c:v>174.89</c:v>
                </c:pt>
                <c:pt idx="22">
                  <c:v>163.87</c:v>
                </c:pt>
                <c:pt idx="23">
                  <c:v>151.30000000000001</c:v>
                </c:pt>
                <c:pt idx="24">
                  <c:v>140.02000000000001</c:v>
                </c:pt>
                <c:pt idx="25">
                  <c:v>132.41999999999999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F-4525-86D2-AF765593C467}"/>
            </c:ext>
          </c:extLst>
        </c:ser>
        <c:ser>
          <c:idx val="1"/>
          <c:order val="1"/>
          <c:tx>
            <c:strRef>
              <c:f>'NGC 4736'!$K$7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4736'!$A$8:$A$33</c:f>
              <c:numCache>
                <c:formatCode>0.00</c:formatCode>
                <c:ptCount val="2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</c:numCache>
            </c:numRef>
          </c:xVal>
          <c:yVal>
            <c:numRef>
              <c:f>'NGC 4736'!$K$8:$K$33</c:f>
              <c:numCache>
                <c:formatCode>0.0</c:formatCode>
                <c:ptCount val="26"/>
                <c:pt idx="0">
                  <c:v>146.08018656962372</c:v>
                </c:pt>
                <c:pt idx="1">
                  <c:v>167.18369855572135</c:v>
                </c:pt>
                <c:pt idx="2">
                  <c:v>177.09762322868835</c:v>
                </c:pt>
                <c:pt idx="3">
                  <c:v>182.55755174524555</c:v>
                </c:pt>
                <c:pt idx="4">
                  <c:v>186.18302788315106</c:v>
                </c:pt>
                <c:pt idx="5">
                  <c:v>187.69360581498506</c:v>
                </c:pt>
                <c:pt idx="6">
                  <c:v>188.48510478331542</c:v>
                </c:pt>
                <c:pt idx="7">
                  <c:v>188.56566334305813</c:v>
                </c:pt>
                <c:pt idx="8">
                  <c:v>188.06782503970095</c:v>
                </c:pt>
                <c:pt idx="9">
                  <c:v>187.05035459686903</c:v>
                </c:pt>
                <c:pt idx="10">
                  <c:v>185.69191643532676</c:v>
                </c:pt>
                <c:pt idx="11">
                  <c:v>183.86452658059892</c:v>
                </c:pt>
                <c:pt idx="12">
                  <c:v>181.74181282562847</c:v>
                </c:pt>
                <c:pt idx="13">
                  <c:v>179.38587778758031</c:v>
                </c:pt>
                <c:pt idx="14">
                  <c:v>176.76787365924991</c:v>
                </c:pt>
                <c:pt idx="15">
                  <c:v>174.02790279346547</c:v>
                </c:pt>
                <c:pt idx="16">
                  <c:v>171.18573641161086</c:v>
                </c:pt>
                <c:pt idx="17">
                  <c:v>168.34275782866249</c:v>
                </c:pt>
                <c:pt idx="18">
                  <c:v>165.59010300362033</c:v>
                </c:pt>
                <c:pt idx="19">
                  <c:v>162.93852835990455</c:v>
                </c:pt>
                <c:pt idx="20">
                  <c:v>160.55095000657292</c:v>
                </c:pt>
                <c:pt idx="21">
                  <c:v>158.47896393013838</c:v>
                </c:pt>
                <c:pt idx="22">
                  <c:v>156.79782465433993</c:v>
                </c:pt>
                <c:pt idx="23">
                  <c:v>155.57819879509231</c:v>
                </c:pt>
                <c:pt idx="24">
                  <c:v>154.89664645498834</c:v>
                </c:pt>
                <c:pt idx="25">
                  <c:v>154.74294020776915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3F-4525-86D2-AF765593C467}"/>
            </c:ext>
          </c:extLst>
        </c:ser>
        <c:ser>
          <c:idx val="2"/>
          <c:order val="2"/>
          <c:tx>
            <c:strRef>
              <c:f>'NGC 4736'!$K$47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4736'!$A$48:$A$73</c:f>
              <c:numCache>
                <c:formatCode>0.00</c:formatCode>
                <c:ptCount val="2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</c:numCache>
            </c:numRef>
          </c:xVal>
          <c:yVal>
            <c:numRef>
              <c:f>'NGC 4736'!$K$48:$K$73</c:f>
              <c:numCache>
                <c:formatCode>0.0</c:formatCode>
                <c:ptCount val="26"/>
                <c:pt idx="0">
                  <c:v>167.4000745311709</c:v>
                </c:pt>
                <c:pt idx="1">
                  <c:v>182.03357008800339</c:v>
                </c:pt>
                <c:pt idx="2">
                  <c:v>187.86616660688981</c:v>
                </c:pt>
                <c:pt idx="3">
                  <c:v>190.63280626408368</c:v>
                </c:pt>
                <c:pt idx="4">
                  <c:v>191.86506191986217</c:v>
                </c:pt>
                <c:pt idx="5">
                  <c:v>192.16374039409541</c:v>
                </c:pt>
                <c:pt idx="6">
                  <c:v>191.93057548030055</c:v>
                </c:pt>
                <c:pt idx="7">
                  <c:v>191.20178776196124</c:v>
                </c:pt>
                <c:pt idx="8">
                  <c:v>190.10165064790837</c:v>
                </c:pt>
                <c:pt idx="9">
                  <c:v>188.52173330270196</c:v>
                </c:pt>
                <c:pt idx="10">
                  <c:v>186.6896439321107</c:v>
                </c:pt>
                <c:pt idx="11">
                  <c:v>184.49591379717396</c:v>
                </c:pt>
                <c:pt idx="12">
                  <c:v>182.00085332555878</c:v>
                </c:pt>
                <c:pt idx="13">
                  <c:v>179.37119945584868</c:v>
                </c:pt>
                <c:pt idx="14">
                  <c:v>176.52465463443409</c:v>
                </c:pt>
                <c:pt idx="15">
                  <c:v>173.64480099242698</c:v>
                </c:pt>
                <c:pt idx="16">
                  <c:v>170.74672070179543</c:v>
                </c:pt>
                <c:pt idx="17">
                  <c:v>167.90686518679095</c:v>
                </c:pt>
                <c:pt idx="18">
                  <c:v>165.19030211692495</c:v>
                </c:pt>
                <c:pt idx="19">
                  <c:v>162.60358238779258</c:v>
                </c:pt>
                <c:pt idx="20">
                  <c:v>160.20805281031289</c:v>
                </c:pt>
                <c:pt idx="21">
                  <c:v>157.96219317604229</c:v>
                </c:pt>
                <c:pt idx="22">
                  <c:v>155.85717292368153</c:v>
                </c:pt>
                <c:pt idx="23">
                  <c:v>153.87512014006117</c:v>
                </c:pt>
                <c:pt idx="24">
                  <c:v>152.02610622217364</c:v>
                </c:pt>
                <c:pt idx="25">
                  <c:v>150.23310627387801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3F-4525-86D2-AF765593C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1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4945'!$L$2</c:f>
          <c:strCache>
            <c:ptCount val="1"/>
            <c:pt idx="0">
              <c:v>NGC 4945</c:v>
            </c:pt>
          </c:strCache>
        </c:strRef>
      </c:tx>
      <c:layout>
        <c:manualLayout>
          <c:xMode val="edge"/>
          <c:yMode val="edge"/>
          <c:x val="0.52359223199909277"/>
          <c:y val="0.70370370370370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4945'!$I$7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4945'!$A$8:$A$39</c:f>
              <c:numCache>
                <c:formatCode>0.00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4945'!$I$8:$I$39</c:f>
              <c:numCache>
                <c:formatCode>0.00</c:formatCode>
                <c:ptCount val="32"/>
                <c:pt idx="0">
                  <c:v>187.72</c:v>
                </c:pt>
                <c:pt idx="1">
                  <c:v>214.37</c:v>
                </c:pt>
                <c:pt idx="2">
                  <c:v>218.31</c:v>
                </c:pt>
                <c:pt idx="3">
                  <c:v>218.67</c:v>
                </c:pt>
                <c:pt idx="4">
                  <c:v>217.42</c:v>
                </c:pt>
                <c:pt idx="5">
                  <c:v>214.02</c:v>
                </c:pt>
                <c:pt idx="6">
                  <c:v>208.86</c:v>
                </c:pt>
                <c:pt idx="7">
                  <c:v>203.68</c:v>
                </c:pt>
                <c:pt idx="8">
                  <c:v>194.58</c:v>
                </c:pt>
                <c:pt idx="9">
                  <c:v>183.69</c:v>
                </c:pt>
                <c:pt idx="10">
                  <c:v>174.09</c:v>
                </c:pt>
                <c:pt idx="11">
                  <c:v>166.67</c:v>
                </c:pt>
                <c:pt idx="12">
                  <c:v>162.72999999999999</c:v>
                </c:pt>
                <c:pt idx="13">
                  <c:v>162.94999999999999</c:v>
                </c:pt>
                <c:pt idx="14">
                  <c:v>165.69</c:v>
                </c:pt>
                <c:pt idx="15">
                  <c:v>168.94</c:v>
                </c:pt>
                <c:pt idx="16">
                  <c:v>171.99</c:v>
                </c:pt>
                <c:pt idx="17">
                  <c:v>174.68</c:v>
                </c:pt>
                <c:pt idx="18">
                  <c:v>176.11</c:v>
                </c:pt>
                <c:pt idx="19">
                  <c:v>175.67</c:v>
                </c:pt>
                <c:pt idx="20">
                  <c:v>174.84</c:v>
                </c:pt>
                <c:pt idx="21">
                  <c:v>176.99</c:v>
                </c:pt>
                <c:pt idx="22">
                  <c:v>183.48</c:v>
                </c:pt>
                <c:pt idx="23">
                  <c:v>188.93</c:v>
                </c:pt>
                <c:pt idx="24">
                  <c:v>187.73</c:v>
                </c:pt>
                <c:pt idx="25">
                  <c:v>182.96</c:v>
                </c:pt>
                <c:pt idx="26">
                  <c:v>181.14</c:v>
                </c:pt>
                <c:pt idx="27">
                  <c:v>180.42</c:v>
                </c:pt>
                <c:pt idx="28">
                  <c:v>175.56</c:v>
                </c:pt>
                <c:pt idx="29">
                  <c:v>169.23</c:v>
                </c:pt>
                <c:pt idx="30">
                  <c:v>167.92</c:v>
                </c:pt>
                <c:pt idx="31">
                  <c:v>171.77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A9-4EAD-A056-8AC63FBE34D8}"/>
            </c:ext>
          </c:extLst>
        </c:ser>
        <c:ser>
          <c:idx val="1"/>
          <c:order val="1"/>
          <c:tx>
            <c:strRef>
              <c:f>'NGC 4945'!$K$7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4945'!$A$8:$A$39</c:f>
              <c:numCache>
                <c:formatCode>0.00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4945'!$K$8:$K$39</c:f>
              <c:numCache>
                <c:formatCode>0.0</c:formatCode>
                <c:ptCount val="32"/>
                <c:pt idx="0">
                  <c:v>203.05517047702097</c:v>
                </c:pt>
                <c:pt idx="1">
                  <c:v>213.78369302365434</c:v>
                </c:pt>
                <c:pt idx="2">
                  <c:v>214.59221828268088</c:v>
                </c:pt>
                <c:pt idx="3">
                  <c:v>211.64128446254028</c:v>
                </c:pt>
                <c:pt idx="4">
                  <c:v>207.42643644392422</c:v>
                </c:pt>
                <c:pt idx="5">
                  <c:v>203.19380180227807</c:v>
                </c:pt>
                <c:pt idx="6">
                  <c:v>198.72787743184131</c:v>
                </c:pt>
                <c:pt idx="7">
                  <c:v>194.3393528268189</c:v>
                </c:pt>
                <c:pt idx="8">
                  <c:v>190.33448462437357</c:v>
                </c:pt>
                <c:pt idx="9">
                  <c:v>186.47943537414756</c:v>
                </c:pt>
                <c:pt idx="10">
                  <c:v>183.16955545693921</c:v>
                </c:pt>
                <c:pt idx="11">
                  <c:v>180.14683368790259</c:v>
                </c:pt>
                <c:pt idx="12">
                  <c:v>177.46793063633223</c:v>
                </c:pt>
                <c:pt idx="13">
                  <c:v>175.23652178926127</c:v>
                </c:pt>
                <c:pt idx="14">
                  <c:v>173.30580274647355</c:v>
                </c:pt>
                <c:pt idx="15">
                  <c:v>171.73645762486873</c:v>
                </c:pt>
                <c:pt idx="16">
                  <c:v>170.46363827510601</c:v>
                </c:pt>
                <c:pt idx="17">
                  <c:v>169.4064752124109</c:v>
                </c:pt>
                <c:pt idx="18">
                  <c:v>168.68879090811095</c:v>
                </c:pt>
                <c:pt idx="19">
                  <c:v>168.15838831653937</c:v>
                </c:pt>
                <c:pt idx="20">
                  <c:v>167.77798633339881</c:v>
                </c:pt>
                <c:pt idx="21">
                  <c:v>167.57194026495634</c:v>
                </c:pt>
                <c:pt idx="22">
                  <c:v>167.51983507822351</c:v>
                </c:pt>
                <c:pt idx="23">
                  <c:v>167.62364595433399</c:v>
                </c:pt>
                <c:pt idx="24">
                  <c:v>167.89451982808853</c:v>
                </c:pt>
                <c:pt idx="25">
                  <c:v>168.36102920164538</c:v>
                </c:pt>
                <c:pt idx="26">
                  <c:v>169.06360490861721</c:v>
                </c:pt>
                <c:pt idx="27">
                  <c:v>170.04051968918318</c:v>
                </c:pt>
                <c:pt idx="28">
                  <c:v>171.38570075131315</c:v>
                </c:pt>
                <c:pt idx="29">
                  <c:v>173.16186786750521</c:v>
                </c:pt>
                <c:pt idx="30">
                  <c:v>175.4096539843994</c:v>
                </c:pt>
                <c:pt idx="31">
                  <c:v>178.22043338486029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A9-4EAD-A056-8AC63FBE34D8}"/>
            </c:ext>
          </c:extLst>
        </c:ser>
        <c:ser>
          <c:idx val="2"/>
          <c:order val="2"/>
          <c:tx>
            <c:strRef>
              <c:f>'NGC 4945'!$K$53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4945'!$A$54:$A$85</c:f>
              <c:numCache>
                <c:formatCode>0.00</c:formatCode>
                <c:ptCount val="32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</c:numCache>
            </c:numRef>
          </c:xVal>
          <c:yVal>
            <c:numRef>
              <c:f>'NGC 4945'!$K$54:$K$85</c:f>
              <c:numCache>
                <c:formatCode>0.0</c:formatCode>
                <c:ptCount val="32"/>
                <c:pt idx="0">
                  <c:v>218.11103209159762</c:v>
                </c:pt>
                <c:pt idx="1">
                  <c:v>224.63933654578526</c:v>
                </c:pt>
                <c:pt idx="2">
                  <c:v>223.14395306597157</c:v>
                </c:pt>
                <c:pt idx="3">
                  <c:v>219.0483707132596</c:v>
                </c:pt>
                <c:pt idx="4">
                  <c:v>213.3248959431061</c:v>
                </c:pt>
                <c:pt idx="5">
                  <c:v>207.50166297940069</c:v>
                </c:pt>
                <c:pt idx="6">
                  <c:v>201.24314353051631</c:v>
                </c:pt>
                <c:pt idx="7">
                  <c:v>194.99396531179462</c:v>
                </c:pt>
                <c:pt idx="8">
                  <c:v>189.41963965406728</c:v>
                </c:pt>
                <c:pt idx="9">
                  <c:v>184.21770480739383</c:v>
                </c:pt>
                <c:pt idx="10">
                  <c:v>180.03155349302904</c:v>
                </c:pt>
                <c:pt idx="11">
                  <c:v>176.49293069355889</c:v>
                </c:pt>
                <c:pt idx="12">
                  <c:v>173.84278446562178</c:v>
                </c:pt>
                <c:pt idx="13">
                  <c:v>172.01411677550394</c:v>
                </c:pt>
                <c:pt idx="14">
                  <c:v>170.82185599626661</c:v>
                </c:pt>
                <c:pt idx="15">
                  <c:v>170.24108509109325</c:v>
                </c:pt>
                <c:pt idx="16">
                  <c:v>170.15903457399511</c:v>
                </c:pt>
                <c:pt idx="17">
                  <c:v>170.4833816015788</c:v>
                </c:pt>
                <c:pt idx="18">
                  <c:v>171.11477690681639</c:v>
                </c:pt>
                <c:pt idx="19">
                  <c:v>171.9853967306959</c:v>
                </c:pt>
                <c:pt idx="20">
                  <c:v>172.98948494538683</c:v>
                </c:pt>
                <c:pt idx="21">
                  <c:v>174.08899434877551</c:v>
                </c:pt>
                <c:pt idx="22">
                  <c:v>175.23202194438869</c:v>
                </c:pt>
                <c:pt idx="23">
                  <c:v>176.33145454733261</c:v>
                </c:pt>
                <c:pt idx="24">
                  <c:v>177.34805116367122</c:v>
                </c:pt>
                <c:pt idx="25">
                  <c:v>178.25330817721618</c:v>
                </c:pt>
                <c:pt idx="26">
                  <c:v>179.0008275375815</c:v>
                </c:pt>
                <c:pt idx="27">
                  <c:v>179.5661944218192</c:v>
                </c:pt>
                <c:pt idx="28">
                  <c:v>179.92882163688131</c:v>
                </c:pt>
                <c:pt idx="29">
                  <c:v>180.07088356471812</c:v>
                </c:pt>
                <c:pt idx="30">
                  <c:v>179.9795708265936</c:v>
                </c:pt>
                <c:pt idx="31">
                  <c:v>179.64612867836505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A9-4EAD-A056-8AC63FBE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5033'!$L$2</c:f>
          <c:strCache>
            <c:ptCount val="1"/>
            <c:pt idx="0">
              <c:v>NGC 5033</c:v>
            </c:pt>
          </c:strCache>
        </c:strRef>
      </c:tx>
      <c:layout>
        <c:manualLayout>
          <c:xMode val="edge"/>
          <c:yMode val="edge"/>
          <c:x val="0.52359223199909277"/>
          <c:y val="0.703716097987751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5033'!$I$7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5033'!$A$8:$A$45</c:f>
              <c:numCache>
                <c:formatCode>0.00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5033'!$I$8:$I$45</c:f>
              <c:numCache>
                <c:formatCode>0.00</c:formatCode>
                <c:ptCount val="38"/>
                <c:pt idx="0">
                  <c:v>251.82</c:v>
                </c:pt>
                <c:pt idx="1">
                  <c:v>270.60000000000002</c:v>
                </c:pt>
                <c:pt idx="2">
                  <c:v>257.14999999999998</c:v>
                </c:pt>
                <c:pt idx="3">
                  <c:v>249.9</c:v>
                </c:pt>
                <c:pt idx="4">
                  <c:v>246.46</c:v>
                </c:pt>
                <c:pt idx="5">
                  <c:v>242.89</c:v>
                </c:pt>
                <c:pt idx="6">
                  <c:v>239.36</c:v>
                </c:pt>
                <c:pt idx="7">
                  <c:v>236.88</c:v>
                </c:pt>
                <c:pt idx="8">
                  <c:v>235.82</c:v>
                </c:pt>
                <c:pt idx="9">
                  <c:v>236.95</c:v>
                </c:pt>
                <c:pt idx="10">
                  <c:v>240.57</c:v>
                </c:pt>
                <c:pt idx="11">
                  <c:v>245.33</c:v>
                </c:pt>
                <c:pt idx="12">
                  <c:v>249.69</c:v>
                </c:pt>
                <c:pt idx="13">
                  <c:v>253.38</c:v>
                </c:pt>
                <c:pt idx="14">
                  <c:v>257.31</c:v>
                </c:pt>
                <c:pt idx="15">
                  <c:v>258.36</c:v>
                </c:pt>
                <c:pt idx="16">
                  <c:v>256.83999999999997</c:v>
                </c:pt>
                <c:pt idx="17">
                  <c:v>255.04</c:v>
                </c:pt>
                <c:pt idx="18">
                  <c:v>252.83</c:v>
                </c:pt>
                <c:pt idx="19">
                  <c:v>250.62</c:v>
                </c:pt>
                <c:pt idx="20">
                  <c:v>248.36</c:v>
                </c:pt>
                <c:pt idx="21">
                  <c:v>247.03</c:v>
                </c:pt>
                <c:pt idx="22">
                  <c:v>247.35</c:v>
                </c:pt>
                <c:pt idx="23">
                  <c:v>249.4</c:v>
                </c:pt>
                <c:pt idx="24">
                  <c:v>252.14</c:v>
                </c:pt>
                <c:pt idx="25">
                  <c:v>254.93</c:v>
                </c:pt>
                <c:pt idx="26">
                  <c:v>258.08</c:v>
                </c:pt>
                <c:pt idx="27">
                  <c:v>261.08</c:v>
                </c:pt>
                <c:pt idx="28">
                  <c:v>264.10000000000002</c:v>
                </c:pt>
                <c:pt idx="29">
                  <c:v>266.83999999999997</c:v>
                </c:pt>
                <c:pt idx="30">
                  <c:v>269.02999999999997</c:v>
                </c:pt>
                <c:pt idx="31">
                  <c:v>271.18</c:v>
                </c:pt>
                <c:pt idx="32">
                  <c:v>272.79000000000002</c:v>
                </c:pt>
                <c:pt idx="33">
                  <c:v>273.61</c:v>
                </c:pt>
                <c:pt idx="34">
                  <c:v>272.77999999999997</c:v>
                </c:pt>
                <c:pt idx="35">
                  <c:v>266.61</c:v>
                </c:pt>
                <c:pt idx="36">
                  <c:v>255.09</c:v>
                </c:pt>
                <c:pt idx="37">
                  <c:v>248.56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0D-4E0E-82B9-89265851630D}"/>
            </c:ext>
          </c:extLst>
        </c:ser>
        <c:ser>
          <c:idx val="1"/>
          <c:order val="1"/>
          <c:tx>
            <c:strRef>
              <c:f>'NGC 5033'!$K$7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5033'!$A$8:$A$45</c:f>
              <c:numCache>
                <c:formatCode>0.00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5033'!$K$8:$K$45</c:f>
              <c:numCache>
                <c:formatCode>0.0</c:formatCode>
                <c:ptCount val="38"/>
                <c:pt idx="0">
                  <c:v>247.6242861722838</c:v>
                </c:pt>
                <c:pt idx="1">
                  <c:v>259.41034132699997</c:v>
                </c:pt>
                <c:pt idx="2">
                  <c:v>259.35768064848907</c:v>
                </c:pt>
                <c:pt idx="3">
                  <c:v>256.47993771405379</c:v>
                </c:pt>
                <c:pt idx="4">
                  <c:v>252.5311235938608</c:v>
                </c:pt>
                <c:pt idx="5">
                  <c:v>248.95415663194356</c:v>
                </c:pt>
                <c:pt idx="6">
                  <c:v>245.5749016398521</c:v>
                </c:pt>
                <c:pt idx="7">
                  <c:v>242.73339611463115</c:v>
                </c:pt>
                <c:pt idx="8">
                  <c:v>240.63627817172099</c:v>
                </c:pt>
                <c:pt idx="9">
                  <c:v>239.12820625977989</c:v>
                </c:pt>
                <c:pt idx="10">
                  <c:v>238.3814921360061</c:v>
                </c:pt>
                <c:pt idx="11">
                  <c:v>238.25218498837299</c:v>
                </c:pt>
                <c:pt idx="12">
                  <c:v>238.73139247142359</c:v>
                </c:pt>
                <c:pt idx="13">
                  <c:v>239.7242731187464</c:v>
                </c:pt>
                <c:pt idx="14">
                  <c:v>241.19435895141802</c:v>
                </c:pt>
                <c:pt idx="15">
                  <c:v>242.98596138049743</c:v>
                </c:pt>
                <c:pt idx="16">
                  <c:v>245.02402594595537</c:v>
                </c:pt>
                <c:pt idx="17">
                  <c:v>247.25343629228476</c:v>
                </c:pt>
                <c:pt idx="18">
                  <c:v>249.51407141084925</c:v>
                </c:pt>
                <c:pt idx="19">
                  <c:v>251.75433109218378</c:v>
                </c:pt>
                <c:pt idx="20">
                  <c:v>253.8166458746353</c:v>
                </c:pt>
                <c:pt idx="21">
                  <c:v>255.63753853974157</c:v>
                </c:pt>
                <c:pt idx="22">
                  <c:v>257.15038133902351</c:v>
                </c:pt>
                <c:pt idx="23">
                  <c:v>258.29151271521505</c:v>
                </c:pt>
                <c:pt idx="24">
                  <c:v>258.99589369582577</c:v>
                </c:pt>
                <c:pt idx="25">
                  <c:v>259.24866674902427</c:v>
                </c:pt>
                <c:pt idx="26">
                  <c:v>259.04258981381588</c:v>
                </c:pt>
                <c:pt idx="27">
                  <c:v>258.43239988146081</c:v>
                </c:pt>
                <c:pt idx="28">
                  <c:v>257.45346684003999</c:v>
                </c:pt>
                <c:pt idx="29">
                  <c:v>256.18672936710095</c:v>
                </c:pt>
                <c:pt idx="30">
                  <c:v>254.75529427614049</c:v>
                </c:pt>
                <c:pt idx="31">
                  <c:v>253.29705300820822</c:v>
                </c:pt>
                <c:pt idx="32">
                  <c:v>251.98673392748265</c:v>
                </c:pt>
                <c:pt idx="33">
                  <c:v>250.97242604843379</c:v>
                </c:pt>
                <c:pt idx="34">
                  <c:v>250.44400215252259</c:v>
                </c:pt>
                <c:pt idx="35">
                  <c:v>250.55857326298604</c:v>
                </c:pt>
                <c:pt idx="36">
                  <c:v>251.46138739070361</c:v>
                </c:pt>
                <c:pt idx="37">
                  <c:v>253.27014082871179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0D-4E0E-82B9-89265851630D}"/>
            </c:ext>
          </c:extLst>
        </c:ser>
        <c:ser>
          <c:idx val="2"/>
          <c:order val="2"/>
          <c:tx>
            <c:strRef>
              <c:f>'NGC 5033'!$K$59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5033'!$A$60:$A$97</c:f>
              <c:numCache>
                <c:formatCode>0.00</c:formatCode>
                <c:ptCount val="3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</c:numCache>
            </c:numRef>
          </c:xVal>
          <c:yVal>
            <c:numRef>
              <c:f>'NGC 5033'!$K$60:$K$97</c:f>
              <c:numCache>
                <c:formatCode>0.0</c:formatCode>
                <c:ptCount val="38"/>
                <c:pt idx="0">
                  <c:v>258.7025579664043</c:v>
                </c:pt>
                <c:pt idx="1">
                  <c:v>280.5281535930722</c:v>
                </c:pt>
                <c:pt idx="2">
                  <c:v>286.37605246555142</c:v>
                </c:pt>
                <c:pt idx="3">
                  <c:v>286.82094286232149</c:v>
                </c:pt>
                <c:pt idx="4">
                  <c:v>284.30988316654469</c:v>
                </c:pt>
                <c:pt idx="5">
                  <c:v>281.13851743531092</c:v>
                </c:pt>
                <c:pt idx="6">
                  <c:v>277.25674969255846</c:v>
                </c:pt>
                <c:pt idx="7">
                  <c:v>273.14512876683307</c:v>
                </c:pt>
                <c:pt idx="8">
                  <c:v>269.12573702506455</c:v>
                </c:pt>
                <c:pt idx="9">
                  <c:v>265.15069833655565</c:v>
                </c:pt>
                <c:pt idx="10">
                  <c:v>261.63387182479312</c:v>
                </c:pt>
                <c:pt idx="11">
                  <c:v>258.38271324824967</c:v>
                </c:pt>
                <c:pt idx="12">
                  <c:v>255.52111112524969</c:v>
                </c:pt>
                <c:pt idx="13">
                  <c:v>253.17590179424437</c:v>
                </c:pt>
                <c:pt idx="14">
                  <c:v>251.22683392634028</c:v>
                </c:pt>
                <c:pt idx="15">
                  <c:v>249.75112193723496</c:v>
                </c:pt>
                <c:pt idx="16">
                  <c:v>248.70239985817841</c:v>
                </c:pt>
                <c:pt idx="17">
                  <c:v>248.06159256869887</c:v>
                </c:pt>
                <c:pt idx="18">
                  <c:v>247.78066270092702</c:v>
                </c:pt>
                <c:pt idx="19">
                  <c:v>247.80714812362555</c:v>
                </c:pt>
                <c:pt idx="20">
                  <c:v>248.02374168356414</c:v>
                </c:pt>
                <c:pt idx="21">
                  <c:v>248.54200228788531</c:v>
                </c:pt>
                <c:pt idx="22">
                  <c:v>249.18595055765962</c:v>
                </c:pt>
                <c:pt idx="23">
                  <c:v>249.86958330971424</c:v>
                </c:pt>
                <c:pt idx="24">
                  <c:v>250.57274141307821</c:v>
                </c:pt>
                <c:pt idx="25">
                  <c:v>251.24591031656931</c:v>
                </c:pt>
                <c:pt idx="26">
                  <c:v>251.82803540161476</c:v>
                </c:pt>
                <c:pt idx="27">
                  <c:v>252.29182172332662</c:v>
                </c:pt>
                <c:pt idx="28">
                  <c:v>252.61374170272168</c:v>
                </c:pt>
                <c:pt idx="29">
                  <c:v>252.77622636774322</c:v>
                </c:pt>
                <c:pt idx="30">
                  <c:v>252.77300564701699</c:v>
                </c:pt>
                <c:pt idx="31">
                  <c:v>252.63534896377021</c:v>
                </c:pt>
                <c:pt idx="32">
                  <c:v>252.39804942118687</c:v>
                </c:pt>
                <c:pt idx="33">
                  <c:v>252.04866378318485</c:v>
                </c:pt>
                <c:pt idx="34">
                  <c:v>251.63520516224418</c:v>
                </c:pt>
                <c:pt idx="35">
                  <c:v>251.18521348997959</c:v>
                </c:pt>
                <c:pt idx="36">
                  <c:v>250.71497900416711</c:v>
                </c:pt>
                <c:pt idx="37">
                  <c:v>250.23682873569786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0D-4E0E-82B9-892658516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3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5055'!$L$2</c:f>
          <c:strCache>
            <c:ptCount val="1"/>
            <c:pt idx="0">
              <c:v>NGC 5055</c:v>
            </c:pt>
          </c:strCache>
        </c:strRef>
      </c:tx>
      <c:layout>
        <c:manualLayout>
          <c:xMode val="edge"/>
          <c:yMode val="edge"/>
          <c:x val="0.52425021215888168"/>
          <c:y val="0.694469962088072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5055'!$I$7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5055'!$A$8:$A$46</c:f>
              <c:numCache>
                <c:formatCode>0.00</c:formatCode>
                <c:ptCount val="3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  <c:pt idx="38">
                  <c:v>36.5</c:v>
                </c:pt>
              </c:numCache>
            </c:numRef>
          </c:xVal>
          <c:yVal>
            <c:numRef>
              <c:f>'NGC 5055'!$I$8:$I$46</c:f>
              <c:numCache>
                <c:formatCode>0.00</c:formatCode>
                <c:ptCount val="39"/>
                <c:pt idx="0">
                  <c:v>82.93</c:v>
                </c:pt>
                <c:pt idx="1">
                  <c:v>125.42</c:v>
                </c:pt>
                <c:pt idx="2">
                  <c:v>147.94</c:v>
                </c:pt>
                <c:pt idx="3">
                  <c:v>164.83</c:v>
                </c:pt>
                <c:pt idx="4">
                  <c:v>175.49</c:v>
                </c:pt>
                <c:pt idx="5">
                  <c:v>184.15</c:v>
                </c:pt>
                <c:pt idx="6">
                  <c:v>190.89</c:v>
                </c:pt>
                <c:pt idx="7">
                  <c:v>194.24</c:v>
                </c:pt>
                <c:pt idx="8">
                  <c:v>197.77</c:v>
                </c:pt>
                <c:pt idx="9">
                  <c:v>200.31</c:v>
                </c:pt>
                <c:pt idx="10">
                  <c:v>202.17</c:v>
                </c:pt>
                <c:pt idx="11">
                  <c:v>203.89</c:v>
                </c:pt>
                <c:pt idx="12">
                  <c:v>205.23</c:v>
                </c:pt>
                <c:pt idx="13">
                  <c:v>206.24</c:v>
                </c:pt>
                <c:pt idx="14">
                  <c:v>206.97</c:v>
                </c:pt>
                <c:pt idx="15">
                  <c:v>207.49</c:v>
                </c:pt>
                <c:pt idx="16">
                  <c:v>208.36</c:v>
                </c:pt>
                <c:pt idx="17">
                  <c:v>209.19</c:v>
                </c:pt>
                <c:pt idx="18">
                  <c:v>209.93</c:v>
                </c:pt>
                <c:pt idx="19">
                  <c:v>210.87</c:v>
                </c:pt>
                <c:pt idx="20">
                  <c:v>212.07</c:v>
                </c:pt>
                <c:pt idx="21">
                  <c:v>213.2</c:v>
                </c:pt>
                <c:pt idx="22">
                  <c:v>214.27</c:v>
                </c:pt>
                <c:pt idx="23">
                  <c:v>214.83</c:v>
                </c:pt>
                <c:pt idx="24">
                  <c:v>214.52</c:v>
                </c:pt>
                <c:pt idx="25">
                  <c:v>213.72</c:v>
                </c:pt>
                <c:pt idx="26">
                  <c:v>212.7</c:v>
                </c:pt>
                <c:pt idx="27">
                  <c:v>210.9</c:v>
                </c:pt>
                <c:pt idx="28">
                  <c:v>208.25</c:v>
                </c:pt>
                <c:pt idx="29">
                  <c:v>204.15</c:v>
                </c:pt>
                <c:pt idx="30">
                  <c:v>197.98</c:v>
                </c:pt>
                <c:pt idx="31">
                  <c:v>190.38</c:v>
                </c:pt>
                <c:pt idx="32">
                  <c:v>184.73</c:v>
                </c:pt>
                <c:pt idx="33">
                  <c:v>183.76</c:v>
                </c:pt>
                <c:pt idx="34">
                  <c:v>184.22</c:v>
                </c:pt>
                <c:pt idx="35">
                  <c:v>181.96</c:v>
                </c:pt>
                <c:pt idx="36">
                  <c:v>179.66</c:v>
                </c:pt>
                <c:pt idx="37">
                  <c:v>179.05</c:v>
                </c:pt>
                <c:pt idx="38">
                  <c:v>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B3-4066-AB91-58CA6832F472}"/>
            </c:ext>
          </c:extLst>
        </c:ser>
        <c:ser>
          <c:idx val="1"/>
          <c:order val="1"/>
          <c:tx>
            <c:strRef>
              <c:f>'NGC 5055'!$K$7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5055'!$A$8:$A$46</c:f>
              <c:numCache>
                <c:formatCode>0.00</c:formatCode>
                <c:ptCount val="3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  <c:pt idx="38">
                  <c:v>36.5</c:v>
                </c:pt>
              </c:numCache>
            </c:numRef>
          </c:xVal>
          <c:yVal>
            <c:numRef>
              <c:f>'NGC 5055'!$K$8:$K$46</c:f>
              <c:numCache>
                <c:formatCode>0.0</c:formatCode>
                <c:ptCount val="39"/>
                <c:pt idx="0">
                  <c:v>105.83836318413611</c:v>
                </c:pt>
                <c:pt idx="1">
                  <c:v>128.86127378213646</c:v>
                </c:pt>
                <c:pt idx="2">
                  <c:v>143.82734960941119</c:v>
                </c:pt>
                <c:pt idx="3">
                  <c:v>155.41747906638776</c:v>
                </c:pt>
                <c:pt idx="4">
                  <c:v>165.53130535622594</c:v>
                </c:pt>
                <c:pt idx="5">
                  <c:v>173.72516513766823</c:v>
                </c:pt>
                <c:pt idx="6">
                  <c:v>181.23430478015067</c:v>
                </c:pt>
                <c:pt idx="7">
                  <c:v>188.02290922456191</c:v>
                </c:pt>
                <c:pt idx="8">
                  <c:v>193.82913272696368</c:v>
                </c:pt>
                <c:pt idx="9">
                  <c:v>199.18355731091319</c:v>
                </c:pt>
                <c:pt idx="10">
                  <c:v>203.54351030521593</c:v>
                </c:pt>
                <c:pt idx="11">
                  <c:v>207.27736669605045</c:v>
                </c:pt>
                <c:pt idx="12">
                  <c:v>210.26643094640556</c:v>
                </c:pt>
                <c:pt idx="13">
                  <c:v>212.35616688111946</c:v>
                </c:pt>
                <c:pt idx="14">
                  <c:v>213.70578403498075</c:v>
                </c:pt>
                <c:pt idx="15">
                  <c:v>214.21050719918651</c:v>
                </c:pt>
                <c:pt idx="16">
                  <c:v>213.93464361466033</c:v>
                </c:pt>
                <c:pt idx="17">
                  <c:v>212.91510838745745</c:v>
                </c:pt>
                <c:pt idx="18">
                  <c:v>211.23951157594689</c:v>
                </c:pt>
                <c:pt idx="19">
                  <c:v>208.9349947594238</c:v>
                </c:pt>
                <c:pt idx="20">
                  <c:v>206.17792368585248</c:v>
                </c:pt>
                <c:pt idx="21">
                  <c:v>203.084197334979</c:v>
                </c:pt>
                <c:pt idx="22">
                  <c:v>199.79045200325615</c:v>
                </c:pt>
                <c:pt idx="23">
                  <c:v>196.45434894938501</c:v>
                </c:pt>
                <c:pt idx="24">
                  <c:v>193.31302900489922</c:v>
                </c:pt>
                <c:pt idx="25">
                  <c:v>190.45503250903241</c:v>
                </c:pt>
                <c:pt idx="26">
                  <c:v>188.08829774218373</c:v>
                </c:pt>
                <c:pt idx="27">
                  <c:v>186.29519296372834</c:v>
                </c:pt>
                <c:pt idx="28">
                  <c:v>185.23186583662866</c:v>
                </c:pt>
                <c:pt idx="29">
                  <c:v>184.92378112124661</c:v>
                </c:pt>
                <c:pt idx="30">
                  <c:v>185.44639538412812</c:v>
                </c:pt>
                <c:pt idx="31">
                  <c:v>186.82436305878201</c:v>
                </c:pt>
                <c:pt idx="32">
                  <c:v>189.04267141686361</c:v>
                </c:pt>
                <c:pt idx="33">
                  <c:v>192.13662092224484</c:v>
                </c:pt>
                <c:pt idx="34">
                  <c:v>196.05640341913238</c:v>
                </c:pt>
                <c:pt idx="35">
                  <c:v>200.79851433589295</c:v>
                </c:pt>
                <c:pt idx="36">
                  <c:v>206.36021965677648</c:v>
                </c:pt>
                <c:pt idx="37">
                  <c:v>212.71527135519119</c:v>
                </c:pt>
                <c:pt idx="38">
                  <c:v>219.86941788996654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B3-4066-AB91-58CA6832F472}"/>
            </c:ext>
          </c:extLst>
        </c:ser>
        <c:ser>
          <c:idx val="2"/>
          <c:order val="2"/>
          <c:tx>
            <c:strRef>
              <c:f>'NGC 5055'!$K$60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5055'!$A$61:$A$99</c:f>
              <c:numCache>
                <c:formatCode>0.00</c:formatCode>
                <c:ptCount val="3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  <c:pt idx="38">
                  <c:v>36.5</c:v>
                </c:pt>
              </c:numCache>
            </c:numRef>
          </c:xVal>
          <c:yVal>
            <c:numRef>
              <c:f>'NGC 5055'!$K$61:$K$99</c:f>
              <c:numCache>
                <c:formatCode>0.0</c:formatCode>
                <c:ptCount val="39"/>
                <c:pt idx="0">
                  <c:v>136.90076595400674</c:v>
                </c:pt>
                <c:pt idx="1">
                  <c:v>163.53058170296325</c:v>
                </c:pt>
                <c:pt idx="2">
                  <c:v>178.81846381371633</c:v>
                </c:pt>
                <c:pt idx="3">
                  <c:v>189.22716218448164</c:v>
                </c:pt>
                <c:pt idx="4">
                  <c:v>197.62522885005885</c:v>
                </c:pt>
                <c:pt idx="5">
                  <c:v>203.43011696805104</c:v>
                </c:pt>
                <c:pt idx="6">
                  <c:v>208.82443735330284</c:v>
                </c:pt>
                <c:pt idx="7">
                  <c:v>213.12038872465811</c:v>
                </c:pt>
                <c:pt idx="8">
                  <c:v>216.83569987388256</c:v>
                </c:pt>
                <c:pt idx="9">
                  <c:v>220.05015219941416</c:v>
                </c:pt>
                <c:pt idx="10">
                  <c:v>222.52056346480444</c:v>
                </c:pt>
                <c:pt idx="11">
                  <c:v>224.64405407290982</c:v>
                </c:pt>
                <c:pt idx="12">
                  <c:v>226.33148409235352</c:v>
                </c:pt>
                <c:pt idx="13">
                  <c:v>227.53041883403566</c:v>
                </c:pt>
                <c:pt idx="14">
                  <c:v>228.32693120427905</c:v>
                </c:pt>
                <c:pt idx="15">
                  <c:v>228.68760102227958</c:v>
                </c:pt>
                <c:pt idx="16">
                  <c:v>228.59736152637484</c:v>
                </c:pt>
                <c:pt idx="17">
                  <c:v>228.14758941139061</c:v>
                </c:pt>
                <c:pt idx="18">
                  <c:v>227.30636060696827</c:v>
                </c:pt>
                <c:pt idx="19">
                  <c:v>226.11402880385421</c:v>
                </c:pt>
                <c:pt idx="20">
                  <c:v>224.62315098254354</c:v>
                </c:pt>
                <c:pt idx="21">
                  <c:v>222.86352253265463</c:v>
                </c:pt>
                <c:pt idx="22">
                  <c:v>220.8542303082024</c:v>
                </c:pt>
                <c:pt idx="23">
                  <c:v>218.63613506768985</c:v>
                </c:pt>
                <c:pt idx="24">
                  <c:v>216.28679545312238</c:v>
                </c:pt>
                <c:pt idx="25">
                  <c:v>213.77992037760831</c:v>
                </c:pt>
                <c:pt idx="26">
                  <c:v>211.19042698329034</c:v>
                </c:pt>
                <c:pt idx="27">
                  <c:v>208.50806237295333</c:v>
                </c:pt>
                <c:pt idx="28">
                  <c:v>205.74683198694646</c:v>
                </c:pt>
                <c:pt idx="29">
                  <c:v>202.90853659580173</c:v>
                </c:pt>
                <c:pt idx="30">
                  <c:v>199.97018766302966</c:v>
                </c:pt>
                <c:pt idx="31">
                  <c:v>197.00735069895842</c:v>
                </c:pt>
                <c:pt idx="32">
                  <c:v>193.97576250907025</c:v>
                </c:pt>
                <c:pt idx="33">
                  <c:v>190.8381585373607</c:v>
                </c:pt>
                <c:pt idx="34">
                  <c:v>187.64876143028548</c:v>
                </c:pt>
                <c:pt idx="35">
                  <c:v>184.38644798200295</c:v>
                </c:pt>
                <c:pt idx="36">
                  <c:v>181.04445481634787</c:v>
                </c:pt>
                <c:pt idx="37">
                  <c:v>177.63451012723317</c:v>
                </c:pt>
                <c:pt idx="38">
                  <c:v>174.15113789541209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B3-4066-AB91-58CA6832F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5236'!$L$2</c:f>
          <c:strCache>
            <c:ptCount val="1"/>
            <c:pt idx="0">
              <c:v>NGC 5236</c:v>
            </c:pt>
          </c:strCache>
        </c:strRef>
      </c:tx>
      <c:layout>
        <c:manualLayout>
          <c:xMode val="edge"/>
          <c:yMode val="edge"/>
          <c:x val="0.52293479969955337"/>
          <c:y val="0.703703703703703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5236'!$I$7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5236'!$A$8:$A$46</c:f>
              <c:numCache>
                <c:formatCode>0.00</c:formatCode>
                <c:ptCount val="3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  <c:pt idx="38">
                  <c:v>36.5</c:v>
                </c:pt>
              </c:numCache>
            </c:numRef>
          </c:xVal>
          <c:yVal>
            <c:numRef>
              <c:f>'NGC 5236'!$I$8:$I$46</c:f>
              <c:numCache>
                <c:formatCode>0.00</c:formatCode>
                <c:ptCount val="39"/>
                <c:pt idx="0">
                  <c:v>193.21</c:v>
                </c:pt>
                <c:pt idx="1">
                  <c:v>231.45</c:v>
                </c:pt>
                <c:pt idx="2">
                  <c:v>221.92</c:v>
                </c:pt>
                <c:pt idx="3">
                  <c:v>205.77</c:v>
                </c:pt>
                <c:pt idx="4">
                  <c:v>187.63</c:v>
                </c:pt>
                <c:pt idx="5">
                  <c:v>170.91</c:v>
                </c:pt>
                <c:pt idx="6">
                  <c:v>153.41</c:v>
                </c:pt>
                <c:pt idx="7">
                  <c:v>140.15</c:v>
                </c:pt>
                <c:pt idx="8">
                  <c:v>129.4</c:v>
                </c:pt>
                <c:pt idx="9">
                  <c:v>124.95</c:v>
                </c:pt>
                <c:pt idx="10">
                  <c:v>135.07</c:v>
                </c:pt>
                <c:pt idx="11">
                  <c:v>147.16</c:v>
                </c:pt>
                <c:pt idx="12">
                  <c:v>157.27000000000001</c:v>
                </c:pt>
                <c:pt idx="13">
                  <c:v>166.76</c:v>
                </c:pt>
                <c:pt idx="14">
                  <c:v>174.56</c:v>
                </c:pt>
                <c:pt idx="15">
                  <c:v>180.32</c:v>
                </c:pt>
                <c:pt idx="16">
                  <c:v>183.92</c:v>
                </c:pt>
                <c:pt idx="17">
                  <c:v>186.44</c:v>
                </c:pt>
                <c:pt idx="18">
                  <c:v>188.25</c:v>
                </c:pt>
                <c:pt idx="19">
                  <c:v>189.21</c:v>
                </c:pt>
                <c:pt idx="20">
                  <c:v>189.76</c:v>
                </c:pt>
                <c:pt idx="21">
                  <c:v>190.01</c:v>
                </c:pt>
                <c:pt idx="22">
                  <c:v>189.69</c:v>
                </c:pt>
                <c:pt idx="23">
                  <c:v>189.33</c:v>
                </c:pt>
                <c:pt idx="24">
                  <c:v>188.94</c:v>
                </c:pt>
                <c:pt idx="25">
                  <c:v>188.23</c:v>
                </c:pt>
                <c:pt idx="26">
                  <c:v>187.44</c:v>
                </c:pt>
                <c:pt idx="27">
                  <c:v>186.56</c:v>
                </c:pt>
                <c:pt idx="28">
                  <c:v>185.37</c:v>
                </c:pt>
                <c:pt idx="29">
                  <c:v>184</c:v>
                </c:pt>
                <c:pt idx="30">
                  <c:v>182.53</c:v>
                </c:pt>
                <c:pt idx="31">
                  <c:v>180.47</c:v>
                </c:pt>
                <c:pt idx="32">
                  <c:v>177.77</c:v>
                </c:pt>
                <c:pt idx="33">
                  <c:v>174.73</c:v>
                </c:pt>
                <c:pt idx="34">
                  <c:v>171.42</c:v>
                </c:pt>
                <c:pt idx="35">
                  <c:v>167.45</c:v>
                </c:pt>
                <c:pt idx="36">
                  <c:v>162.9</c:v>
                </c:pt>
                <c:pt idx="37">
                  <c:v>157.36000000000001</c:v>
                </c:pt>
                <c:pt idx="38">
                  <c:v>151.46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C-4542-A621-7BDCF6D35530}"/>
            </c:ext>
          </c:extLst>
        </c:ser>
        <c:ser>
          <c:idx val="1"/>
          <c:order val="1"/>
          <c:tx>
            <c:strRef>
              <c:f>'NGC 5236'!$K$7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5236'!$A$8:$A$46</c:f>
              <c:numCache>
                <c:formatCode>0.00</c:formatCode>
                <c:ptCount val="3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  <c:pt idx="38">
                  <c:v>36.5</c:v>
                </c:pt>
              </c:numCache>
            </c:numRef>
          </c:xVal>
          <c:yVal>
            <c:numRef>
              <c:f>'NGC 5236'!$K$8:$K$46</c:f>
              <c:numCache>
                <c:formatCode>0.0</c:formatCode>
                <c:ptCount val="39"/>
                <c:pt idx="0">
                  <c:v>225.82496598890009</c:v>
                </c:pt>
                <c:pt idx="1">
                  <c:v>207.97671860137407</c:v>
                </c:pt>
                <c:pt idx="2">
                  <c:v>192.81820301447144</c:v>
                </c:pt>
                <c:pt idx="3">
                  <c:v>181.44198176195331</c:v>
                </c:pt>
                <c:pt idx="4">
                  <c:v>172.70928191146197</c:v>
                </c:pt>
                <c:pt idx="5">
                  <c:v>167.1245102975351</c:v>
                </c:pt>
                <c:pt idx="6">
                  <c:v>163.163991854762</c:v>
                </c:pt>
                <c:pt idx="7">
                  <c:v>160.7979764047852</c:v>
                </c:pt>
                <c:pt idx="8">
                  <c:v>159.72883685320525</c:v>
                </c:pt>
                <c:pt idx="9">
                  <c:v>159.58737978040742</c:v>
                </c:pt>
                <c:pt idx="10">
                  <c:v>160.13845877450368</c:v>
                </c:pt>
                <c:pt idx="11">
                  <c:v>161.19527366932314</c:v>
                </c:pt>
                <c:pt idx="12">
                  <c:v>162.59189789633771</c:v>
                </c:pt>
                <c:pt idx="13">
                  <c:v>164.10215270791448</c:v>
                </c:pt>
                <c:pt idx="14">
                  <c:v>165.67459275634127</c:v>
                </c:pt>
                <c:pt idx="15">
                  <c:v>167.17946135523263</c:v>
                </c:pt>
                <c:pt idx="16">
                  <c:v>168.50003792795343</c:v>
                </c:pt>
                <c:pt idx="17">
                  <c:v>169.59720593441787</c:v>
                </c:pt>
                <c:pt idx="18">
                  <c:v>170.41307827682587</c:v>
                </c:pt>
                <c:pt idx="19">
                  <c:v>170.95735418820385</c:v>
                </c:pt>
                <c:pt idx="20">
                  <c:v>171.21355791165726</c:v>
                </c:pt>
                <c:pt idx="21">
                  <c:v>171.21876729458535</c:v>
                </c:pt>
                <c:pt idx="22">
                  <c:v>171.02645889520602</c:v>
                </c:pt>
                <c:pt idx="23">
                  <c:v>170.70979759299104</c:v>
                </c:pt>
                <c:pt idx="24">
                  <c:v>170.37165193466765</c:v>
                </c:pt>
                <c:pt idx="25">
                  <c:v>170.11534944491586</c:v>
                </c:pt>
                <c:pt idx="26">
                  <c:v>170.06555346745225</c:v>
                </c:pt>
                <c:pt idx="27">
                  <c:v>170.34144837419024</c:v>
                </c:pt>
                <c:pt idx="28">
                  <c:v>171.05883200517113</c:v>
                </c:pt>
                <c:pt idx="29">
                  <c:v>172.31812353811546</c:v>
                </c:pt>
                <c:pt idx="30">
                  <c:v>174.21084521135339</c:v>
                </c:pt>
                <c:pt idx="31">
                  <c:v>176.795800404136</c:v>
                </c:pt>
                <c:pt idx="32">
                  <c:v>180.08382739494098</c:v>
                </c:pt>
                <c:pt idx="33">
                  <c:v>184.15184220533908</c:v>
                </c:pt>
                <c:pt idx="34">
                  <c:v>188.9512266050688</c:v>
                </c:pt>
                <c:pt idx="35">
                  <c:v>194.49294694612263</c:v>
                </c:pt>
                <c:pt idx="36">
                  <c:v>200.78211701856316</c:v>
                </c:pt>
                <c:pt idx="37">
                  <c:v>207.7948425352721</c:v>
                </c:pt>
                <c:pt idx="38">
                  <c:v>215.54699167046763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C-4542-A621-7BDCF6D35530}"/>
            </c:ext>
          </c:extLst>
        </c:ser>
        <c:ser>
          <c:idx val="2"/>
          <c:order val="2"/>
          <c:tx>
            <c:strRef>
              <c:f>'NGC 5236'!$K$60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5236'!$A$61:$A$99</c:f>
              <c:numCache>
                <c:formatCode>0.00</c:formatCode>
                <c:ptCount val="39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  <c:pt idx="36">
                  <c:v>30</c:v>
                </c:pt>
                <c:pt idx="37">
                  <c:v>33.090000000000003</c:v>
                </c:pt>
                <c:pt idx="38">
                  <c:v>36.5</c:v>
                </c:pt>
              </c:numCache>
            </c:numRef>
          </c:xVal>
          <c:yVal>
            <c:numRef>
              <c:f>'NGC 5236'!$K$61:$K$99</c:f>
              <c:numCache>
                <c:formatCode>0.0</c:formatCode>
                <c:ptCount val="39"/>
                <c:pt idx="0">
                  <c:v>231.20093399618173</c:v>
                </c:pt>
                <c:pt idx="1">
                  <c:v>215.3232044477931</c:v>
                </c:pt>
                <c:pt idx="2">
                  <c:v>200.32205213733266</c:v>
                </c:pt>
                <c:pt idx="3">
                  <c:v>188.46516076339609</c:v>
                </c:pt>
                <c:pt idx="4">
                  <c:v>178.83350790397384</c:v>
                </c:pt>
                <c:pt idx="5">
                  <c:v>172.28875500967354</c:v>
                </c:pt>
                <c:pt idx="6">
                  <c:v>167.33943753553416</c:v>
                </c:pt>
                <c:pt idx="7">
                  <c:v>163.85736867420343</c:v>
                </c:pt>
                <c:pt idx="8">
                  <c:v>161.94016047817991</c:v>
                </c:pt>
                <c:pt idx="9">
                  <c:v>161.05448258795022</c:v>
                </c:pt>
                <c:pt idx="10">
                  <c:v>161.09586561767483</c:v>
                </c:pt>
                <c:pt idx="11">
                  <c:v>161.83995896734567</c:v>
                </c:pt>
                <c:pt idx="12">
                  <c:v>163.15828973366382</c:v>
                </c:pt>
                <c:pt idx="13">
                  <c:v>164.83622244957738</c:v>
                </c:pt>
                <c:pt idx="14">
                  <c:v>166.82556867773081</c:v>
                </c:pt>
                <c:pt idx="15">
                  <c:v>168.92318331306848</c:v>
                </c:pt>
                <c:pt idx="16">
                  <c:v>171.11041464407964</c:v>
                </c:pt>
                <c:pt idx="17">
                  <c:v>173.22936956052811</c:v>
                </c:pt>
                <c:pt idx="18">
                  <c:v>175.21371990732578</c:v>
                </c:pt>
                <c:pt idx="19">
                  <c:v>177.05336050837951</c:v>
                </c:pt>
                <c:pt idx="20">
                  <c:v>178.64913192672998</c:v>
                </c:pt>
                <c:pt idx="21">
                  <c:v>179.97521972548481</c:v>
                </c:pt>
                <c:pt idx="22">
                  <c:v>181.0150671594883</c:v>
                </c:pt>
                <c:pt idx="23">
                  <c:v>181.75106217403001</c:v>
                </c:pt>
                <c:pt idx="24">
                  <c:v>182.16560551967268</c:v>
                </c:pt>
                <c:pt idx="25">
                  <c:v>182.27344456653989</c:v>
                </c:pt>
                <c:pt idx="26">
                  <c:v>182.08173284014748</c:v>
                </c:pt>
                <c:pt idx="27">
                  <c:v>181.60721055075973</c:v>
                </c:pt>
                <c:pt idx="28">
                  <c:v>180.8689497040836</c:v>
                </c:pt>
                <c:pt idx="29">
                  <c:v>179.8888682478439</c:v>
                </c:pt>
                <c:pt idx="30">
                  <c:v>178.68185158283057</c:v>
                </c:pt>
                <c:pt idx="31">
                  <c:v>177.26993395728465</c:v>
                </c:pt>
                <c:pt idx="32">
                  <c:v>175.6829629929544</c:v>
                </c:pt>
                <c:pt idx="33">
                  <c:v>173.90758020489244</c:v>
                </c:pt>
                <c:pt idx="34">
                  <c:v>171.97927112602727</c:v>
                </c:pt>
                <c:pt idx="35">
                  <c:v>169.89974516464594</c:v>
                </c:pt>
                <c:pt idx="36">
                  <c:v>167.67166138506451</c:v>
                </c:pt>
                <c:pt idx="37">
                  <c:v>165.30731311524568</c:v>
                </c:pt>
                <c:pt idx="38">
                  <c:v>162.80605849690906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C-4542-A621-7BDCF6D35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5457'!$L$2</c:f>
          <c:strCache>
            <c:ptCount val="1"/>
            <c:pt idx="0">
              <c:v>NGC 5457</c:v>
            </c:pt>
          </c:strCache>
        </c:strRef>
      </c:tx>
      <c:layout>
        <c:manualLayout>
          <c:xMode val="edge"/>
          <c:yMode val="edge"/>
          <c:x val="0.53055005716921699"/>
          <c:y val="0.694444444444444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8987121449113"/>
          <c:y val="4.1018518518518517E-2"/>
          <c:w val="0.7891318770842658"/>
          <c:h val="0.81904418197725282"/>
        </c:manualLayout>
      </c:layout>
      <c:scatterChart>
        <c:scatterStyle val="lineMarker"/>
        <c:varyColors val="0"/>
        <c:ser>
          <c:idx val="0"/>
          <c:order val="0"/>
          <c:tx>
            <c:strRef>
              <c:f>'NGC 5457'!$I$7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5457'!$A$8:$A$35</c:f>
              <c:numCache>
                <c:formatCode>0.00</c:formatCode>
                <c:ptCount val="2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</c:numCache>
            </c:numRef>
          </c:xVal>
          <c:yVal>
            <c:numRef>
              <c:f>'NGC 5457'!$I$8:$I$35</c:f>
              <c:numCache>
                <c:formatCode>0.00</c:formatCode>
                <c:ptCount val="28"/>
                <c:pt idx="0">
                  <c:v>54.94</c:v>
                </c:pt>
                <c:pt idx="1">
                  <c:v>104.12</c:v>
                </c:pt>
                <c:pt idx="2">
                  <c:v>141.80000000000001</c:v>
                </c:pt>
                <c:pt idx="3">
                  <c:v>164.79</c:v>
                </c:pt>
                <c:pt idx="4">
                  <c:v>177.72</c:v>
                </c:pt>
                <c:pt idx="5">
                  <c:v>185.22</c:v>
                </c:pt>
                <c:pt idx="6">
                  <c:v>189.42</c:v>
                </c:pt>
                <c:pt idx="7">
                  <c:v>191.52</c:v>
                </c:pt>
                <c:pt idx="8">
                  <c:v>193.03</c:v>
                </c:pt>
                <c:pt idx="9">
                  <c:v>193.47</c:v>
                </c:pt>
                <c:pt idx="10">
                  <c:v>193.5</c:v>
                </c:pt>
                <c:pt idx="11">
                  <c:v>193.62</c:v>
                </c:pt>
                <c:pt idx="12">
                  <c:v>194.07</c:v>
                </c:pt>
                <c:pt idx="13">
                  <c:v>194.64</c:v>
                </c:pt>
                <c:pt idx="14">
                  <c:v>195.59</c:v>
                </c:pt>
                <c:pt idx="15">
                  <c:v>196.7</c:v>
                </c:pt>
                <c:pt idx="16">
                  <c:v>198.6</c:v>
                </c:pt>
                <c:pt idx="17">
                  <c:v>202.53</c:v>
                </c:pt>
                <c:pt idx="18">
                  <c:v>207.77</c:v>
                </c:pt>
                <c:pt idx="19">
                  <c:v>214.09</c:v>
                </c:pt>
                <c:pt idx="20">
                  <c:v>219.75</c:v>
                </c:pt>
                <c:pt idx="21">
                  <c:v>224.71</c:v>
                </c:pt>
                <c:pt idx="22">
                  <c:v>230.95</c:v>
                </c:pt>
                <c:pt idx="23">
                  <c:v>235.63</c:v>
                </c:pt>
                <c:pt idx="24">
                  <c:v>233.61</c:v>
                </c:pt>
                <c:pt idx="25">
                  <c:v>224.23</c:v>
                </c:pt>
                <c:pt idx="26">
                  <c:v>211.16</c:v>
                </c:pt>
                <c:pt idx="27">
                  <c:v>200.75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41-42D0-967D-89E90EE82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scatterChart>
        <c:scatterStyle val="smoothMarker"/>
        <c:varyColors val="0"/>
        <c:ser>
          <c:idx val="1"/>
          <c:order val="1"/>
          <c:tx>
            <c:strRef>
              <c:f>'NGC 5457'!$K$7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'NGC 5457'!$A$8:$A$35</c:f>
              <c:numCache>
                <c:formatCode>0.00</c:formatCode>
                <c:ptCount val="28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</c:numCache>
            </c:numRef>
          </c:xVal>
          <c:yVal>
            <c:numRef>
              <c:f>'NGC 5457'!$K$8:$K$35</c:f>
              <c:numCache>
                <c:formatCode>0.0</c:formatCode>
                <c:ptCount val="28"/>
                <c:pt idx="0">
                  <c:v>102.31062603859962</c:v>
                </c:pt>
                <c:pt idx="1">
                  <c:v>122.63914093637646</c:v>
                </c:pt>
                <c:pt idx="2">
                  <c:v>135.48802966122093</c:v>
                </c:pt>
                <c:pt idx="3">
                  <c:v>145.43059131244118</c:v>
                </c:pt>
                <c:pt idx="4">
                  <c:v>154.10043763635278</c:v>
                </c:pt>
                <c:pt idx="5">
                  <c:v>161.26383555506726</c:v>
                </c:pt>
                <c:pt idx="6">
                  <c:v>168.17697345642821</c:v>
                </c:pt>
                <c:pt idx="7">
                  <c:v>174.69501367943278</c:v>
                </c:pt>
                <c:pt idx="8">
                  <c:v>180.53523394277377</c:v>
                </c:pt>
                <c:pt idx="9">
                  <c:v>186.33045179766285</c:v>
                </c:pt>
                <c:pt idx="10">
                  <c:v>191.47879837476731</c:v>
                </c:pt>
                <c:pt idx="11">
                  <c:v>196.36178627011392</c:v>
                </c:pt>
                <c:pt idx="12">
                  <c:v>200.89321463951532</c:v>
                </c:pt>
                <c:pt idx="13">
                  <c:v>204.85312801113363</c:v>
                </c:pt>
                <c:pt idx="14">
                  <c:v>208.39712273531734</c:v>
                </c:pt>
                <c:pt idx="15">
                  <c:v>211.35022754521523</c:v>
                </c:pt>
                <c:pt idx="16">
                  <c:v>213.7363102938013</c:v>
                </c:pt>
                <c:pt idx="17">
                  <c:v>215.50295049234293</c:v>
                </c:pt>
                <c:pt idx="18">
                  <c:v>216.6341681642981</c:v>
                </c:pt>
                <c:pt idx="19">
                  <c:v>217.15452774864971</c:v>
                </c:pt>
                <c:pt idx="20">
                  <c:v>217.05889079387393</c:v>
                </c:pt>
                <c:pt idx="21">
                  <c:v>216.39523292758284</c:v>
                </c:pt>
                <c:pt idx="22">
                  <c:v>215.2170816374668</c:v>
                </c:pt>
                <c:pt idx="23">
                  <c:v>213.60242593949729</c:v>
                </c:pt>
                <c:pt idx="24">
                  <c:v>211.698470040567</c:v>
                </c:pt>
                <c:pt idx="25">
                  <c:v>209.59378986163483</c:v>
                </c:pt>
                <c:pt idx="26">
                  <c:v>207.46686843188093</c:v>
                </c:pt>
                <c:pt idx="27">
                  <c:v>205.48503236410988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41-42D0-967D-89E90EE82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'NGC 5457'!$K$49</c15:sqref>
                        </c15:formulaRef>
                      </c:ext>
                    </c:extLst>
                    <c:strCache>
                      <c:ptCount val="1"/>
                      <c:pt idx="0">
                        <c:v>Model Velocity
(km)</c:v>
                      </c:pt>
                    </c:strCache>
                  </c:strRef>
                </c:tx>
                <c:spPr>
                  <a:ln w="19050" cap="rnd">
                    <a:solidFill>
                      <a:schemeClr val="tx2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'NGC 5457'!$A$50:$A$77</c15:sqref>
                        </c15:formulaRef>
                      </c:ext>
                    </c:extLst>
                    <c:numCache>
                      <c:formatCode>0.00</c:formatCode>
                      <c:ptCount val="28"/>
                      <c:pt idx="0">
                        <c:v>0.09</c:v>
                      </c:pt>
                      <c:pt idx="1">
                        <c:v>0.19</c:v>
                      </c:pt>
                      <c:pt idx="2">
                        <c:v>0.3</c:v>
                      </c:pt>
                      <c:pt idx="3">
                        <c:v>0.42</c:v>
                      </c:pt>
                      <c:pt idx="4">
                        <c:v>0.56000000000000005</c:v>
                      </c:pt>
                      <c:pt idx="5">
                        <c:v>0.7</c:v>
                      </c:pt>
                      <c:pt idx="6">
                        <c:v>0.86</c:v>
                      </c:pt>
                      <c:pt idx="7">
                        <c:v>1.04</c:v>
                      </c:pt>
                      <c:pt idx="8">
                        <c:v>1.23</c:v>
                      </c:pt>
                      <c:pt idx="9">
                        <c:v>1.45</c:v>
                      </c:pt>
                      <c:pt idx="10">
                        <c:v>1.68</c:v>
                      </c:pt>
                      <c:pt idx="11">
                        <c:v>1.94</c:v>
                      </c:pt>
                      <c:pt idx="12">
                        <c:v>2.23</c:v>
                      </c:pt>
                      <c:pt idx="13">
                        <c:v>2.54</c:v>
                      </c:pt>
                      <c:pt idx="14">
                        <c:v>2.89</c:v>
                      </c:pt>
                      <c:pt idx="15">
                        <c:v>3.27</c:v>
                      </c:pt>
                      <c:pt idx="16">
                        <c:v>3.69</c:v>
                      </c:pt>
                      <c:pt idx="17">
                        <c:v>4.1500000000000004</c:v>
                      </c:pt>
                      <c:pt idx="18">
                        <c:v>4.6500000000000004</c:v>
                      </c:pt>
                      <c:pt idx="19">
                        <c:v>5.21</c:v>
                      </c:pt>
                      <c:pt idx="20">
                        <c:v>5.82</c:v>
                      </c:pt>
                      <c:pt idx="21">
                        <c:v>6.49</c:v>
                      </c:pt>
                      <c:pt idx="22">
                        <c:v>7.23</c:v>
                      </c:pt>
                      <c:pt idx="23">
                        <c:v>8.0500000000000007</c:v>
                      </c:pt>
                      <c:pt idx="24">
                        <c:v>8.94</c:v>
                      </c:pt>
                      <c:pt idx="25">
                        <c:v>9.93</c:v>
                      </c:pt>
                      <c:pt idx="26">
                        <c:v>11.01</c:v>
                      </c:pt>
                      <c:pt idx="27">
                        <c:v>12.2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'NGC 5457'!$K$50:$K$77</c15:sqref>
                        </c15:formulaRef>
                      </c:ext>
                    </c:extLst>
                    <c:numCache>
                      <c:formatCode>0.0</c:formatCode>
                      <c:ptCount val="28"/>
                      <c:pt idx="0">
                        <c:v>121.1585936067749</c:v>
                      </c:pt>
                      <c:pt idx="1">
                        <c:v>144.17394849010623</c:v>
                      </c:pt>
                      <c:pt idx="2">
                        <c:v>157.6509453021564</c:v>
                      </c:pt>
                      <c:pt idx="3">
                        <c:v>166.92316349989486</c:v>
                      </c:pt>
                      <c:pt idx="4">
                        <c:v>174.65851094577471</c:v>
                      </c:pt>
                      <c:pt idx="5">
                        <c:v>180.14951324532535</c:v>
                      </c:pt>
                      <c:pt idx="6">
                        <c:v>185.42220643029461</c:v>
                      </c:pt>
                      <c:pt idx="7">
                        <c:v>189.96442402054501</c:v>
                      </c:pt>
                      <c:pt idx="8">
                        <c:v>193.88116148963312</c:v>
                      </c:pt>
                      <c:pt idx="9">
                        <c:v>197.66626714256296</c:v>
                      </c:pt>
                      <c:pt idx="10">
                        <c:v>200.92670505836116</c:v>
                      </c:pt>
                      <c:pt idx="11">
                        <c:v>203.92843094453184</c:v>
                      </c:pt>
                      <c:pt idx="12">
                        <c:v>206.62682294579241</c:v>
                      </c:pt>
                      <c:pt idx="13">
                        <c:v>208.9378539880052</c:v>
                      </c:pt>
                      <c:pt idx="14">
                        <c:v>210.98828045297057</c:v>
                      </c:pt>
                      <c:pt idx="15">
                        <c:v>212.69284430521441</c:v>
                      </c:pt>
                      <c:pt idx="16">
                        <c:v>214.03526006047198</c:v>
                      </c:pt>
                      <c:pt idx="17">
                        <c:v>215.02463718014627</c:v>
                      </c:pt>
                      <c:pt idx="18">
                        <c:v>215.62564149699841</c:v>
                      </c:pt>
                      <c:pt idx="19">
                        <c:v>215.86787855089563</c:v>
                      </c:pt>
                      <c:pt idx="20">
                        <c:v>215.73936279403915</c:v>
                      </c:pt>
                      <c:pt idx="21">
                        <c:v>215.25220437802679</c:v>
                      </c:pt>
                      <c:pt idx="22">
                        <c:v>214.42720000718148</c:v>
                      </c:pt>
                      <c:pt idx="23">
                        <c:v>213.27619717032175</c:v>
                      </c:pt>
                      <c:pt idx="24">
                        <c:v>211.85520323287975</c:v>
                      </c:pt>
                      <c:pt idx="25">
                        <c:v>210.16469992504614</c:v>
                      </c:pt>
                      <c:pt idx="26">
                        <c:v>208.26709206834155</c:v>
                      </c:pt>
                      <c:pt idx="27">
                        <c:v>206.17820226976178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3D41-42D0-967D-89E90EE82C25}"/>
                  </c:ext>
                </c:extLst>
              </c15:ser>
            </c15:filteredScatterSeries>
          </c:ext>
        </c:extLst>
      </c:scatterChart>
      <c:valAx>
        <c:axId val="-1746466704"/>
        <c:scaling>
          <c:orientation val="minMax"/>
          <c:max val="1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5907'!$L$2</c:f>
          <c:strCache>
            <c:ptCount val="1"/>
            <c:pt idx="0">
              <c:v>NGC 5907</c:v>
            </c:pt>
          </c:strCache>
        </c:strRef>
      </c:tx>
      <c:layout>
        <c:manualLayout>
          <c:xMode val="edge"/>
          <c:yMode val="edge"/>
          <c:x val="0.52885967106463261"/>
          <c:y val="0.703556460929403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lineMarker"/>
        <c:varyColors val="0"/>
        <c:ser>
          <c:idx val="0"/>
          <c:order val="0"/>
          <c:tx>
            <c:strRef>
              <c:f>'NGC 5907'!$I$7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5907'!$A$8:$A$43</c:f>
              <c:numCache>
                <c:formatCode>0.00</c:formatCode>
                <c:ptCount val="3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</c:numCache>
            </c:numRef>
          </c:xVal>
          <c:yVal>
            <c:numRef>
              <c:f>'NGC 5907'!$I$8:$I$43</c:f>
              <c:numCache>
                <c:formatCode>0.00</c:formatCode>
                <c:ptCount val="36"/>
                <c:pt idx="0">
                  <c:v>122.27</c:v>
                </c:pt>
                <c:pt idx="1">
                  <c:v>162.94999999999999</c:v>
                </c:pt>
                <c:pt idx="2">
                  <c:v>179.95</c:v>
                </c:pt>
                <c:pt idx="3">
                  <c:v>187.8</c:v>
                </c:pt>
                <c:pt idx="4">
                  <c:v>192.86</c:v>
                </c:pt>
                <c:pt idx="5">
                  <c:v>195.56</c:v>
                </c:pt>
                <c:pt idx="6">
                  <c:v>197.16</c:v>
                </c:pt>
                <c:pt idx="7">
                  <c:v>198.05</c:v>
                </c:pt>
                <c:pt idx="8">
                  <c:v>199.01</c:v>
                </c:pt>
                <c:pt idx="9">
                  <c:v>200.45</c:v>
                </c:pt>
                <c:pt idx="10">
                  <c:v>202.34</c:v>
                </c:pt>
                <c:pt idx="11">
                  <c:v>205.08</c:v>
                </c:pt>
                <c:pt idx="12">
                  <c:v>209</c:v>
                </c:pt>
                <c:pt idx="13">
                  <c:v>214.27</c:v>
                </c:pt>
                <c:pt idx="14">
                  <c:v>218.34</c:v>
                </c:pt>
                <c:pt idx="15">
                  <c:v>221.13</c:v>
                </c:pt>
                <c:pt idx="16">
                  <c:v>223.05</c:v>
                </c:pt>
                <c:pt idx="17">
                  <c:v>225.01</c:v>
                </c:pt>
                <c:pt idx="18">
                  <c:v>227.75</c:v>
                </c:pt>
                <c:pt idx="19">
                  <c:v>231.47</c:v>
                </c:pt>
                <c:pt idx="20">
                  <c:v>236.35</c:v>
                </c:pt>
                <c:pt idx="21">
                  <c:v>241.94</c:v>
                </c:pt>
                <c:pt idx="22">
                  <c:v>247.41</c:v>
                </c:pt>
                <c:pt idx="23">
                  <c:v>251.78</c:v>
                </c:pt>
                <c:pt idx="24">
                  <c:v>254.66</c:v>
                </c:pt>
                <c:pt idx="25">
                  <c:v>256.64</c:v>
                </c:pt>
                <c:pt idx="26">
                  <c:v>259.2</c:v>
                </c:pt>
                <c:pt idx="27">
                  <c:v>262.76</c:v>
                </c:pt>
                <c:pt idx="28">
                  <c:v>265.97000000000003</c:v>
                </c:pt>
                <c:pt idx="29">
                  <c:v>265.86</c:v>
                </c:pt>
                <c:pt idx="30">
                  <c:v>260.45999999999998</c:v>
                </c:pt>
                <c:pt idx="31">
                  <c:v>253.58</c:v>
                </c:pt>
                <c:pt idx="32">
                  <c:v>246.21</c:v>
                </c:pt>
                <c:pt idx="33">
                  <c:v>237.17</c:v>
                </c:pt>
                <c:pt idx="34">
                  <c:v>228.29</c:v>
                </c:pt>
                <c:pt idx="35">
                  <c:v>222.85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7-42FA-B08A-895CB8D00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scatterChart>
        <c:scatterStyle val="smoothMarker"/>
        <c:varyColors val="0"/>
        <c:ser>
          <c:idx val="1"/>
          <c:order val="1"/>
          <c:tx>
            <c:strRef>
              <c:f>'NGC 5907'!$K$7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5907'!$A$8:$A$43</c:f>
              <c:numCache>
                <c:formatCode>0.00</c:formatCode>
                <c:ptCount val="3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</c:numCache>
            </c:numRef>
          </c:xVal>
          <c:yVal>
            <c:numRef>
              <c:f>'NGC 5907'!$K$8:$K$43</c:f>
              <c:numCache>
                <c:formatCode>0.0</c:formatCode>
                <c:ptCount val="36"/>
                <c:pt idx="0">
                  <c:v>141.07260573183831</c:v>
                </c:pt>
                <c:pt idx="1">
                  <c:v>161.86008009390602</c:v>
                </c:pt>
                <c:pt idx="2">
                  <c:v>172.4326788712213</c:v>
                </c:pt>
                <c:pt idx="3">
                  <c:v>179.10805775005352</c:v>
                </c:pt>
                <c:pt idx="4">
                  <c:v>184.54652731359155</c:v>
                </c:pt>
                <c:pt idx="5">
                  <c:v>188.60924481662869</c:v>
                </c:pt>
                <c:pt idx="6">
                  <c:v>192.24689142805482</c:v>
                </c:pt>
                <c:pt idx="7">
                  <c:v>195.66177241615353</c:v>
                </c:pt>
                <c:pt idx="8">
                  <c:v>198.82911552055918</c:v>
                </c:pt>
                <c:pt idx="9">
                  <c:v>202.15492701121434</c:v>
                </c:pt>
                <c:pt idx="10">
                  <c:v>205.38776531911282</c:v>
                </c:pt>
                <c:pt idx="11">
                  <c:v>208.75851958524831</c:v>
                </c:pt>
                <c:pt idx="12">
                  <c:v>212.24377403188677</c:v>
                </c:pt>
                <c:pt idx="13">
                  <c:v>215.65388933029186</c:v>
                </c:pt>
                <c:pt idx="14">
                  <c:v>219.18197844340239</c:v>
                </c:pt>
                <c:pt idx="15">
                  <c:v>222.64363411417949</c:v>
                </c:pt>
                <c:pt idx="16">
                  <c:v>226.04270042722595</c:v>
                </c:pt>
                <c:pt idx="17">
                  <c:v>229.31333431057612</c:v>
                </c:pt>
                <c:pt idx="18">
                  <c:v>232.37053426972909</c:v>
                </c:pt>
                <c:pt idx="19">
                  <c:v>235.24681380578755</c:v>
                </c:pt>
                <c:pt idx="20">
                  <c:v>237.80606976450605</c:v>
                </c:pt>
                <c:pt idx="21">
                  <c:v>240.02233722948094</c:v>
                </c:pt>
                <c:pt idx="22">
                  <c:v>241.86236482584522</c:v>
                </c:pt>
                <c:pt idx="23">
                  <c:v>243.28880995549051</c:v>
                </c:pt>
                <c:pt idx="24">
                  <c:v>244.24074727602482</c:v>
                </c:pt>
                <c:pt idx="25">
                  <c:v>244.77697815580814</c:v>
                </c:pt>
                <c:pt idx="26">
                  <c:v>244.88860474554085</c:v>
                </c:pt>
                <c:pt idx="27">
                  <c:v>244.62999761420036</c:v>
                </c:pt>
                <c:pt idx="28">
                  <c:v>244.0471068216174</c:v>
                </c:pt>
                <c:pt idx="29">
                  <c:v>243.24849330318006</c:v>
                </c:pt>
                <c:pt idx="30">
                  <c:v>242.35003515382328</c:v>
                </c:pt>
                <c:pt idx="31">
                  <c:v>241.49346911672271</c:v>
                </c:pt>
                <c:pt idx="32">
                  <c:v>240.83930138469964</c:v>
                </c:pt>
                <c:pt idx="33">
                  <c:v>240.53991966164099</c:v>
                </c:pt>
                <c:pt idx="34">
                  <c:v>240.75953115623497</c:v>
                </c:pt>
                <c:pt idx="35">
                  <c:v>241.63924190970104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E7-42FA-B08A-895CB8D0033B}"/>
            </c:ext>
          </c:extLst>
        </c:ser>
        <c:ser>
          <c:idx val="2"/>
          <c:order val="2"/>
          <c:tx>
            <c:strRef>
              <c:f>'NGC 5907'!$K$57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5907'!$A$58:$A$93</c:f>
              <c:numCache>
                <c:formatCode>0.00</c:formatCode>
                <c:ptCount val="36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  <c:pt idx="34">
                  <c:v>24.64</c:v>
                </c:pt>
                <c:pt idx="35">
                  <c:v>27.19</c:v>
                </c:pt>
              </c:numCache>
            </c:numRef>
          </c:xVal>
          <c:yVal>
            <c:numRef>
              <c:f>'NGC 5907'!$K$58:$K$93</c:f>
              <c:numCache>
                <c:formatCode>0.0</c:formatCode>
                <c:ptCount val="36"/>
                <c:pt idx="0">
                  <c:v>169.24121724492252</c:v>
                </c:pt>
                <c:pt idx="1">
                  <c:v>191.80487109066061</c:v>
                </c:pt>
                <c:pt idx="2">
                  <c:v>202.31144874545365</c:v>
                </c:pt>
                <c:pt idx="3">
                  <c:v>208.07175743033</c:v>
                </c:pt>
                <c:pt idx="4">
                  <c:v>212.13883546342203</c:v>
                </c:pt>
                <c:pt idx="5">
                  <c:v>214.74582146088932</c:v>
                </c:pt>
                <c:pt idx="6">
                  <c:v>216.79748764121592</c:v>
                </c:pt>
                <c:pt idx="7">
                  <c:v>218.51454959336877</c:v>
                </c:pt>
                <c:pt idx="8">
                  <c:v>220.00778489366644</c:v>
                </c:pt>
                <c:pt idx="9">
                  <c:v>221.54205300269501</c:v>
                </c:pt>
                <c:pt idx="10">
                  <c:v>222.94231654976801</c:v>
                </c:pt>
                <c:pt idx="11">
                  <c:v>224.50197683440982</c:v>
                </c:pt>
                <c:pt idx="12">
                  <c:v>226.14851438369155</c:v>
                </c:pt>
                <c:pt idx="13">
                  <c:v>227.827366842321</c:v>
                </c:pt>
                <c:pt idx="14">
                  <c:v>229.63824854605031</c:v>
                </c:pt>
                <c:pt idx="15">
                  <c:v>231.4755600514261</c:v>
                </c:pt>
                <c:pt idx="16">
                  <c:v>233.36276953186183</c:v>
                </c:pt>
                <c:pt idx="17">
                  <c:v>235.22788584582531</c:v>
                </c:pt>
                <c:pt idx="18">
                  <c:v>237.02272995925236</c:v>
                </c:pt>
                <c:pt idx="19">
                  <c:v>238.75036949067112</c:v>
                </c:pt>
                <c:pt idx="20">
                  <c:v>240.31286637785084</c:v>
                </c:pt>
                <c:pt idx="21">
                  <c:v>241.67091930599366</c:v>
                </c:pt>
                <c:pt idx="22">
                  <c:v>242.7765312825735</c:v>
                </c:pt>
                <c:pt idx="23">
                  <c:v>243.56729873801081</c:v>
                </c:pt>
                <c:pt idx="24">
                  <c:v>243.95775061056074</c:v>
                </c:pt>
                <c:pt idx="25">
                  <c:v>243.9852075231598</c:v>
                </c:pt>
                <c:pt idx="26">
                  <c:v>243.54050731142121</c:v>
                </c:pt>
                <c:pt idx="27">
                  <c:v>242.58959266765373</c:v>
                </c:pt>
                <c:pt idx="28">
                  <c:v>241.12119014279369</c:v>
                </c:pt>
                <c:pt idx="29">
                  <c:v>239.11306029855623</c:v>
                </c:pt>
                <c:pt idx="30">
                  <c:v>236.5485473452857</c:v>
                </c:pt>
                <c:pt idx="31">
                  <c:v>233.44300240045922</c:v>
                </c:pt>
                <c:pt idx="32">
                  <c:v>229.85157202470151</c:v>
                </c:pt>
                <c:pt idx="33">
                  <c:v>225.75120549033426</c:v>
                </c:pt>
                <c:pt idx="34">
                  <c:v>221.24190616387332</c:v>
                </c:pt>
                <c:pt idx="35">
                  <c:v>216.37000940045871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E7-42FA-B08A-895CB8D00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  <c:max val="35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6946'!$L$2</c:f>
          <c:strCache>
            <c:ptCount val="1"/>
            <c:pt idx="0">
              <c:v>NGC 6946</c:v>
            </c:pt>
          </c:strCache>
        </c:strRef>
      </c:tx>
      <c:layout>
        <c:manualLayout>
          <c:xMode val="edge"/>
          <c:yMode val="edge"/>
          <c:x val="0.50852690288713909"/>
          <c:y val="0.70365558471857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6946'!$I$7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6946'!$A$8:$A$38</c:f>
              <c:numCache>
                <c:formatCode>0.00</c:formatCode>
                <c:ptCount val="31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</c:numCache>
            </c:numRef>
          </c:xVal>
          <c:yVal>
            <c:numRef>
              <c:f>'NGC 6946'!$I$8:$I$38</c:f>
              <c:numCache>
                <c:formatCode>0.00</c:formatCode>
                <c:ptCount val="31"/>
                <c:pt idx="0">
                  <c:v>201.68</c:v>
                </c:pt>
                <c:pt idx="1">
                  <c:v>232.77</c:v>
                </c:pt>
                <c:pt idx="2">
                  <c:v>230.6</c:v>
                </c:pt>
                <c:pt idx="3">
                  <c:v>221.22</c:v>
                </c:pt>
                <c:pt idx="4">
                  <c:v>208.89</c:v>
                </c:pt>
                <c:pt idx="5">
                  <c:v>197.11</c:v>
                </c:pt>
                <c:pt idx="6">
                  <c:v>189.74</c:v>
                </c:pt>
                <c:pt idx="7">
                  <c:v>185.79</c:v>
                </c:pt>
                <c:pt idx="8">
                  <c:v>182.6</c:v>
                </c:pt>
                <c:pt idx="9">
                  <c:v>180.59</c:v>
                </c:pt>
                <c:pt idx="10">
                  <c:v>179.86</c:v>
                </c:pt>
                <c:pt idx="11">
                  <c:v>180.13</c:v>
                </c:pt>
                <c:pt idx="12">
                  <c:v>180.52</c:v>
                </c:pt>
                <c:pt idx="13">
                  <c:v>181.33</c:v>
                </c:pt>
                <c:pt idx="14">
                  <c:v>183.09</c:v>
                </c:pt>
                <c:pt idx="15">
                  <c:v>187.84</c:v>
                </c:pt>
                <c:pt idx="16">
                  <c:v>196.41</c:v>
                </c:pt>
                <c:pt idx="17">
                  <c:v>203.97</c:v>
                </c:pt>
                <c:pt idx="18">
                  <c:v>206.6</c:v>
                </c:pt>
                <c:pt idx="19">
                  <c:v>210.05</c:v>
                </c:pt>
                <c:pt idx="20">
                  <c:v>218.64</c:v>
                </c:pt>
                <c:pt idx="21">
                  <c:v>228.82</c:v>
                </c:pt>
                <c:pt idx="22">
                  <c:v>231.98</c:v>
                </c:pt>
                <c:pt idx="23">
                  <c:v>228.83</c:v>
                </c:pt>
                <c:pt idx="24">
                  <c:v>222.73</c:v>
                </c:pt>
                <c:pt idx="25">
                  <c:v>216.86</c:v>
                </c:pt>
                <c:pt idx="26">
                  <c:v>213.28</c:v>
                </c:pt>
                <c:pt idx="27">
                  <c:v>211.43</c:v>
                </c:pt>
                <c:pt idx="28">
                  <c:v>211.87</c:v>
                </c:pt>
                <c:pt idx="29">
                  <c:v>206.72</c:v>
                </c:pt>
                <c:pt idx="30">
                  <c:v>204.54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9E-40C2-BD20-68788BBA937F}"/>
            </c:ext>
          </c:extLst>
        </c:ser>
        <c:ser>
          <c:idx val="1"/>
          <c:order val="1"/>
          <c:tx>
            <c:strRef>
              <c:f>'NGC 6946'!$K$7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6946'!$A$8:$A$38</c:f>
              <c:numCache>
                <c:formatCode>0.00</c:formatCode>
                <c:ptCount val="31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</c:numCache>
            </c:numRef>
          </c:xVal>
          <c:yVal>
            <c:numRef>
              <c:f>'NGC 6946'!$K$8:$K$38</c:f>
              <c:numCache>
                <c:formatCode>0.0</c:formatCode>
                <c:ptCount val="31"/>
                <c:pt idx="0">
                  <c:v>223.44661358733305</c:v>
                </c:pt>
                <c:pt idx="1">
                  <c:v>221.95187102912408</c:v>
                </c:pt>
                <c:pt idx="2">
                  <c:v>214.80116417985656</c:v>
                </c:pt>
                <c:pt idx="3">
                  <c:v>207.55932533175209</c:v>
                </c:pt>
                <c:pt idx="4">
                  <c:v>200.85457491787824</c:v>
                </c:pt>
                <c:pt idx="5">
                  <c:v>195.87961496390108</c:v>
                </c:pt>
                <c:pt idx="6">
                  <c:v>191.85703555278232</c:v>
                </c:pt>
                <c:pt idx="7">
                  <c:v>188.89420845235637</c:v>
                </c:pt>
                <c:pt idx="8">
                  <c:v>187.06879816619013</c:v>
                </c:pt>
                <c:pt idx="9">
                  <c:v>186.12189107242571</c:v>
                </c:pt>
                <c:pt idx="10">
                  <c:v>186.03763854604648</c:v>
                </c:pt>
                <c:pt idx="11">
                  <c:v>186.59710291987915</c:v>
                </c:pt>
                <c:pt idx="12">
                  <c:v>187.87653392021147</c:v>
                </c:pt>
                <c:pt idx="13">
                  <c:v>189.57433042732811</c:v>
                </c:pt>
                <c:pt idx="14">
                  <c:v>191.66317794636939</c:v>
                </c:pt>
                <c:pt idx="15">
                  <c:v>193.9616948970708</c:v>
                </c:pt>
                <c:pt idx="16">
                  <c:v>196.40250149419575</c:v>
                </c:pt>
                <c:pt idx="17">
                  <c:v>198.86293826366219</c:v>
                </c:pt>
                <c:pt idx="18">
                  <c:v>201.2340915645637</c:v>
                </c:pt>
                <c:pt idx="19">
                  <c:v>203.49573103445289</c:v>
                </c:pt>
                <c:pt idx="20">
                  <c:v>205.50499832842146</c:v>
                </c:pt>
                <c:pt idx="21">
                  <c:v>207.25322299969611</c:v>
                </c:pt>
                <c:pt idx="22">
                  <c:v>208.70714607595843</c:v>
                </c:pt>
                <c:pt idx="23">
                  <c:v>209.81444708171145</c:v>
                </c:pt>
                <c:pt idx="24">
                  <c:v>210.58348355557243</c:v>
                </c:pt>
                <c:pt idx="25">
                  <c:v>211.04532505005309</c:v>
                </c:pt>
                <c:pt idx="26">
                  <c:v>211.24442325003633</c:v>
                </c:pt>
                <c:pt idx="27">
                  <c:v>211.25322870521603</c:v>
                </c:pt>
                <c:pt idx="28">
                  <c:v>211.16940157872315</c:v>
                </c:pt>
                <c:pt idx="29">
                  <c:v>211.10952719797183</c:v>
                </c:pt>
                <c:pt idx="30">
                  <c:v>211.20546797612877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9E-40C2-BD20-68788BBA937F}"/>
            </c:ext>
          </c:extLst>
        </c:ser>
        <c:ser>
          <c:idx val="2"/>
          <c:order val="2"/>
          <c:tx>
            <c:strRef>
              <c:f>'NGC 6946'!$K$52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6946'!$A$53:$A$93</c:f>
              <c:numCache>
                <c:formatCode>0.00</c:formatCode>
                <c:ptCount val="41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</c:numCache>
            </c:numRef>
          </c:xVal>
          <c:yVal>
            <c:numRef>
              <c:f>'NGC 6946'!$K$53:$K$93</c:f>
              <c:numCache>
                <c:formatCode>0.0</c:formatCode>
                <c:ptCount val="41"/>
                <c:pt idx="0">
                  <c:v>237.98523080438659</c:v>
                </c:pt>
                <c:pt idx="1">
                  <c:v>236.21294316221713</c:v>
                </c:pt>
                <c:pt idx="2">
                  <c:v>228.24724992621955</c:v>
                </c:pt>
                <c:pt idx="3">
                  <c:v>220.07590868346702</c:v>
                </c:pt>
                <c:pt idx="4">
                  <c:v>212.3717586845581</c:v>
                </c:pt>
                <c:pt idx="5">
                  <c:v>206.484250273562</c:v>
                </c:pt>
                <c:pt idx="6">
                  <c:v>201.51597856673141</c:v>
                </c:pt>
                <c:pt idx="7">
                  <c:v>197.60192895406553</c:v>
                </c:pt>
                <c:pt idx="8">
                  <c:v>194.88214197639098</c:v>
                </c:pt>
                <c:pt idx="9">
                  <c:v>193.01543228891609</c:v>
                </c:pt>
                <c:pt idx="10">
                  <c:v>192.08424316713817</c:v>
                </c:pt>
                <c:pt idx="11">
                  <c:v>191.80054200720093</c:v>
                </c:pt>
                <c:pt idx="12">
                  <c:v>192.27345634685753</c:v>
                </c:pt>
                <c:pt idx="13">
                  <c:v>193.2216920773788</c:v>
                </c:pt>
                <c:pt idx="14">
                  <c:v>194.57943848817285</c:v>
                </c:pt>
                <c:pt idx="15">
                  <c:v>196.19869600546011</c:v>
                </c:pt>
                <c:pt idx="16">
                  <c:v>198.00104371926642</c:v>
                </c:pt>
                <c:pt idx="17">
                  <c:v>199.87047075985416</c:v>
                </c:pt>
                <c:pt idx="18">
                  <c:v>201.70082525703549</c:v>
                </c:pt>
                <c:pt idx="19">
                  <c:v>203.45375537440017</c:v>
                </c:pt>
                <c:pt idx="20">
                  <c:v>204.9944980556844</c:v>
                </c:pt>
                <c:pt idx="21">
                  <c:v>206.3027538057467</c:v>
                </c:pt>
                <c:pt idx="22">
                  <c:v>207.33551934919925</c:v>
                </c:pt>
                <c:pt idx="23">
                  <c:v>208.00994657649798</c:v>
                </c:pt>
                <c:pt idx="24">
                  <c:v>208.32247434164623</c:v>
                </c:pt>
                <c:pt idx="25">
                  <c:v>208.25335939528514</c:v>
                </c:pt>
                <c:pt idx="26">
                  <c:v>207.80786008021312</c:v>
                </c:pt>
                <c:pt idx="27">
                  <c:v>206.98926053606121</c:v>
                </c:pt>
                <c:pt idx="28">
                  <c:v>205.82111757329966</c:v>
                </c:pt>
                <c:pt idx="29">
                  <c:v>204.33341863990097</c:v>
                </c:pt>
                <c:pt idx="30">
                  <c:v>202.55208978524615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9E-40C2-BD20-68788BBA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'NGC 7013'!$L$2</c:f>
          <c:strCache>
            <c:ptCount val="1"/>
            <c:pt idx="0">
              <c:v>NGC 7013</c:v>
            </c:pt>
          </c:strCache>
        </c:strRef>
      </c:tx>
      <c:layout>
        <c:manualLayout>
          <c:xMode val="edge"/>
          <c:yMode val="edge"/>
          <c:x val="0.53000112506949759"/>
          <c:y val="0.703605049433363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84887039745539"/>
          <c:y val="4.0800564496887799E-2"/>
          <c:w val="0.78979004892413862"/>
          <c:h val="0.820005700084195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'NGC 7013'!$I$7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'NGC 7013'!$A$8:$A$41</c:f>
              <c:numCache>
                <c:formatCode>0.00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7013'!$I$8:$I$41</c:f>
              <c:numCache>
                <c:formatCode>0.00</c:formatCode>
                <c:ptCount val="34"/>
                <c:pt idx="0">
                  <c:v>133.68</c:v>
                </c:pt>
                <c:pt idx="1">
                  <c:v>119.38</c:v>
                </c:pt>
                <c:pt idx="2">
                  <c:v>111.54</c:v>
                </c:pt>
                <c:pt idx="3">
                  <c:v>126.68</c:v>
                </c:pt>
                <c:pt idx="4">
                  <c:v>150.75</c:v>
                </c:pt>
                <c:pt idx="5">
                  <c:v>167.99</c:v>
                </c:pt>
                <c:pt idx="6">
                  <c:v>180.78</c:v>
                </c:pt>
                <c:pt idx="7">
                  <c:v>187</c:v>
                </c:pt>
                <c:pt idx="8">
                  <c:v>190.11</c:v>
                </c:pt>
                <c:pt idx="9">
                  <c:v>189.93</c:v>
                </c:pt>
                <c:pt idx="10">
                  <c:v>186.38</c:v>
                </c:pt>
                <c:pt idx="11">
                  <c:v>181.65</c:v>
                </c:pt>
                <c:pt idx="12">
                  <c:v>176.42</c:v>
                </c:pt>
                <c:pt idx="13">
                  <c:v>171.61</c:v>
                </c:pt>
                <c:pt idx="14">
                  <c:v>166.53</c:v>
                </c:pt>
                <c:pt idx="15">
                  <c:v>162.21</c:v>
                </c:pt>
                <c:pt idx="16">
                  <c:v>159.34</c:v>
                </c:pt>
                <c:pt idx="17">
                  <c:v>158.94999999999999</c:v>
                </c:pt>
                <c:pt idx="18">
                  <c:v>161.08000000000001</c:v>
                </c:pt>
                <c:pt idx="19">
                  <c:v>163.75</c:v>
                </c:pt>
                <c:pt idx="20">
                  <c:v>166.24</c:v>
                </c:pt>
                <c:pt idx="21">
                  <c:v>168.92</c:v>
                </c:pt>
                <c:pt idx="22">
                  <c:v>171.08</c:v>
                </c:pt>
                <c:pt idx="23">
                  <c:v>170.51</c:v>
                </c:pt>
                <c:pt idx="24">
                  <c:v>166.42</c:v>
                </c:pt>
                <c:pt idx="25">
                  <c:v>164.01</c:v>
                </c:pt>
                <c:pt idx="26">
                  <c:v>163.16999999999999</c:v>
                </c:pt>
                <c:pt idx="27">
                  <c:v>162.46</c:v>
                </c:pt>
                <c:pt idx="28">
                  <c:v>159.47999999999999</c:v>
                </c:pt>
                <c:pt idx="29">
                  <c:v>155.84</c:v>
                </c:pt>
                <c:pt idx="30">
                  <c:v>155.06</c:v>
                </c:pt>
                <c:pt idx="31">
                  <c:v>157.03</c:v>
                </c:pt>
                <c:pt idx="32">
                  <c:v>161.41999999999999</c:v>
                </c:pt>
                <c:pt idx="33">
                  <c:v>167.02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6-410D-8AC8-68F5B1B20B4A}"/>
            </c:ext>
          </c:extLst>
        </c:ser>
        <c:ser>
          <c:idx val="1"/>
          <c:order val="1"/>
          <c:tx>
            <c:strRef>
              <c:f>'NGC 7013'!$K$7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'NGC 7013'!$A$8:$A$41</c:f>
              <c:numCache>
                <c:formatCode>0.00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7013'!$K$8:$K$41</c:f>
              <c:numCache>
                <c:formatCode>0.0</c:formatCode>
                <c:ptCount val="34"/>
                <c:pt idx="0">
                  <c:v>103.08547430756886</c:v>
                </c:pt>
                <c:pt idx="1">
                  <c:v>124.9101895917058</c:v>
                </c:pt>
                <c:pt idx="2">
                  <c:v>138.78878612087155</c:v>
                </c:pt>
                <c:pt idx="3">
                  <c:v>149.06555890700625</c:v>
                </c:pt>
                <c:pt idx="4">
                  <c:v>157.76743766191129</c:v>
                </c:pt>
                <c:pt idx="5">
                  <c:v>163.93909504913938</c:v>
                </c:pt>
                <c:pt idx="6">
                  <c:v>169.14045971039047</c:v>
                </c:pt>
                <c:pt idx="7">
                  <c:v>173.23948375368207</c:v>
                </c:pt>
                <c:pt idx="8">
                  <c:v>176.08934809159754</c:v>
                </c:pt>
                <c:pt idx="9">
                  <c:v>178.01331915296538</c:v>
                </c:pt>
                <c:pt idx="10">
                  <c:v>178.88101166433233</c:v>
                </c:pt>
                <c:pt idx="11">
                  <c:v>178.82644947820879</c:v>
                </c:pt>
                <c:pt idx="12">
                  <c:v>177.92542396202074</c:v>
                </c:pt>
                <c:pt idx="13">
                  <c:v>176.29601930543782</c:v>
                </c:pt>
                <c:pt idx="14">
                  <c:v>173.98997461744551</c:v>
                </c:pt>
                <c:pt idx="15">
                  <c:v>171.21533184308774</c:v>
                </c:pt>
                <c:pt idx="16">
                  <c:v>168.0813578435808</c:v>
                </c:pt>
                <c:pt idx="17">
                  <c:v>164.77870066875073</c:v>
                </c:pt>
                <c:pt idx="18">
                  <c:v>161.4946569546639</c:v>
                </c:pt>
                <c:pt idx="19">
                  <c:v>158.29400726395187</c:v>
                </c:pt>
                <c:pt idx="20">
                  <c:v>155.41621317031922</c:v>
                </c:pt>
                <c:pt idx="21">
                  <c:v>152.95661440357267</c:v>
                </c:pt>
                <c:pt idx="22">
                  <c:v>151.00968553047565</c:v>
                </c:pt>
                <c:pt idx="23">
                  <c:v>149.65756317820768</c:v>
                </c:pt>
                <c:pt idx="24">
                  <c:v>148.97387488348483</c:v>
                </c:pt>
                <c:pt idx="25">
                  <c:v>148.95619810591145</c:v>
                </c:pt>
                <c:pt idx="26">
                  <c:v>149.66465735554738</c:v>
                </c:pt>
                <c:pt idx="27">
                  <c:v>151.06439834084645</c:v>
                </c:pt>
                <c:pt idx="28">
                  <c:v>153.17389694509052</c:v>
                </c:pt>
                <c:pt idx="29">
                  <c:v>155.96994227595462</c:v>
                </c:pt>
                <c:pt idx="30">
                  <c:v>159.4520835925521</c:v>
                </c:pt>
                <c:pt idx="31">
                  <c:v>163.60659258831004</c:v>
                </c:pt>
                <c:pt idx="32">
                  <c:v>168.37786379038977</c:v>
                </c:pt>
                <c:pt idx="33">
                  <c:v>173.83465775755124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6-410D-8AC8-68F5B1B20B4A}"/>
            </c:ext>
          </c:extLst>
        </c:ser>
        <c:ser>
          <c:idx val="2"/>
          <c:order val="2"/>
          <c:tx>
            <c:strRef>
              <c:f>'NGC 7013'!$K$55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'NGC 7013'!$A$56:$A$89</c:f>
              <c:numCache>
                <c:formatCode>0.00</c:formatCode>
                <c:ptCount val="34"/>
                <c:pt idx="0">
                  <c:v>0.09</c:v>
                </c:pt>
                <c:pt idx="1">
                  <c:v>0.19</c:v>
                </c:pt>
                <c:pt idx="2">
                  <c:v>0.3</c:v>
                </c:pt>
                <c:pt idx="3">
                  <c:v>0.42</c:v>
                </c:pt>
                <c:pt idx="4">
                  <c:v>0.56000000000000005</c:v>
                </c:pt>
                <c:pt idx="5">
                  <c:v>0.7</c:v>
                </c:pt>
                <c:pt idx="6">
                  <c:v>0.86</c:v>
                </c:pt>
                <c:pt idx="7">
                  <c:v>1.04</c:v>
                </c:pt>
                <c:pt idx="8">
                  <c:v>1.23</c:v>
                </c:pt>
                <c:pt idx="9">
                  <c:v>1.45</c:v>
                </c:pt>
                <c:pt idx="10">
                  <c:v>1.68</c:v>
                </c:pt>
                <c:pt idx="11">
                  <c:v>1.94</c:v>
                </c:pt>
                <c:pt idx="12">
                  <c:v>2.23</c:v>
                </c:pt>
                <c:pt idx="13">
                  <c:v>2.54</c:v>
                </c:pt>
                <c:pt idx="14">
                  <c:v>2.89</c:v>
                </c:pt>
                <c:pt idx="15">
                  <c:v>3.27</c:v>
                </c:pt>
                <c:pt idx="16">
                  <c:v>3.69</c:v>
                </c:pt>
                <c:pt idx="17">
                  <c:v>4.1500000000000004</c:v>
                </c:pt>
                <c:pt idx="18">
                  <c:v>4.6500000000000004</c:v>
                </c:pt>
                <c:pt idx="19">
                  <c:v>5.21</c:v>
                </c:pt>
                <c:pt idx="20">
                  <c:v>5.82</c:v>
                </c:pt>
                <c:pt idx="21">
                  <c:v>6.49</c:v>
                </c:pt>
                <c:pt idx="22">
                  <c:v>7.23</c:v>
                </c:pt>
                <c:pt idx="23">
                  <c:v>8.0500000000000007</c:v>
                </c:pt>
                <c:pt idx="24">
                  <c:v>8.94</c:v>
                </c:pt>
                <c:pt idx="25">
                  <c:v>9.93</c:v>
                </c:pt>
                <c:pt idx="26">
                  <c:v>11.01</c:v>
                </c:pt>
                <c:pt idx="27">
                  <c:v>12.2</c:v>
                </c:pt>
                <c:pt idx="28">
                  <c:v>13.51</c:v>
                </c:pt>
                <c:pt idx="29">
                  <c:v>14.95</c:v>
                </c:pt>
                <c:pt idx="30">
                  <c:v>16.54</c:v>
                </c:pt>
                <c:pt idx="31">
                  <c:v>18.29</c:v>
                </c:pt>
                <c:pt idx="32">
                  <c:v>20.2</c:v>
                </c:pt>
                <c:pt idx="33">
                  <c:v>22.32</c:v>
                </c:pt>
              </c:numCache>
            </c:numRef>
          </c:xVal>
          <c:yVal>
            <c:numRef>
              <c:f>'NGC 7013'!$K$56:$K$89</c:f>
              <c:numCache>
                <c:formatCode>0.0</c:formatCode>
                <c:ptCount val="34"/>
                <c:pt idx="0">
                  <c:v>133.43687757437453</c:v>
                </c:pt>
                <c:pt idx="1">
                  <c:v>148.63408849465893</c:v>
                </c:pt>
                <c:pt idx="2">
                  <c:v>156.66699887734407</c:v>
                </c:pt>
                <c:pt idx="3">
                  <c:v>161.93794802304407</c:v>
                </c:pt>
                <c:pt idx="4">
                  <c:v>165.81142926748967</c:v>
                </c:pt>
                <c:pt idx="5">
                  <c:v>168.33423255685997</c:v>
                </c:pt>
                <c:pt idx="6">
                  <c:v>170.17791445127659</c:v>
                </c:pt>
                <c:pt idx="7">
                  <c:v>171.32586511806673</c:v>
                </c:pt>
                <c:pt idx="8">
                  <c:v>171.80990969282152</c:v>
                </c:pt>
                <c:pt idx="9">
                  <c:v>171.71787893916854</c:v>
                </c:pt>
                <c:pt idx="10">
                  <c:v>171.16119589107552</c:v>
                </c:pt>
                <c:pt idx="11">
                  <c:v>170.19468049526532</c:v>
                </c:pt>
                <c:pt idx="12">
                  <c:v>168.91153412953821</c:v>
                </c:pt>
                <c:pt idx="13">
                  <c:v>167.48056096785868</c:v>
                </c:pt>
                <c:pt idx="14">
                  <c:v>165.93386259253717</c:v>
                </c:pt>
                <c:pt idx="15">
                  <c:v>164.43948426167151</c:v>
                </c:pt>
                <c:pt idx="16">
                  <c:v>163.06096770093041</c:v>
                </c:pt>
                <c:pt idx="17">
                  <c:v>161.87544898421393</c:v>
                </c:pt>
                <c:pt idx="18">
                  <c:v>160.93170734218404</c:v>
                </c:pt>
                <c:pt idx="19">
                  <c:v>160.25658737077168</c:v>
                </c:pt>
                <c:pt idx="20">
                  <c:v>159.85080972410694</c:v>
                </c:pt>
                <c:pt idx="21">
                  <c:v>159.6728361130676</c:v>
                </c:pt>
                <c:pt idx="22">
                  <c:v>159.69487295568575</c:v>
                </c:pt>
                <c:pt idx="23">
                  <c:v>159.87892829716421</c:v>
                </c:pt>
                <c:pt idx="24">
                  <c:v>160.17044549316594</c:v>
                </c:pt>
                <c:pt idx="25">
                  <c:v>160.5271072290555</c:v>
                </c:pt>
                <c:pt idx="26">
                  <c:v>160.89725578474807</c:v>
                </c:pt>
                <c:pt idx="27">
                  <c:v>161.24494631253771</c:v>
                </c:pt>
                <c:pt idx="28">
                  <c:v>161.52492304053578</c:v>
                </c:pt>
                <c:pt idx="29">
                  <c:v>161.71959651476431</c:v>
                </c:pt>
                <c:pt idx="30">
                  <c:v>161.79977983458198</c:v>
                </c:pt>
                <c:pt idx="31">
                  <c:v>161.72921645366608</c:v>
                </c:pt>
                <c:pt idx="32">
                  <c:v>161.50450386438192</c:v>
                </c:pt>
                <c:pt idx="33">
                  <c:v>161.10329888981514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6-410D-8AC8-68F5B1B20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25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  <c:majorUnit val="10"/>
      </c:valAx>
      <c:valAx>
        <c:axId val="-1746466160"/>
        <c:scaling>
          <c:orientation val="minMax"/>
          <c:max val="30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'UGC 03993'!$L$2</c:f>
          <c:strCache>
            <c:ptCount val="1"/>
            <c:pt idx="0">
              <c:v>UGC 03993</c:v>
            </c:pt>
          </c:strCache>
        </c:strRef>
      </c:tx>
      <c:layout>
        <c:manualLayout>
          <c:xMode val="edge"/>
          <c:yMode val="edge"/>
          <c:x val="0.48869641294838151"/>
          <c:y val="0.703393117526975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0181539807524"/>
          <c:y val="4.1018518518518517E-2"/>
          <c:w val="0.78953740157480312"/>
          <c:h val="0.819044181977252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'UGC 03993'!$I$7</c:f>
              <c:strCache>
                <c:ptCount val="1"/>
                <c:pt idx="0">
                  <c:v>Observed Velocity
(km)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'UGC 03993'!$A$8:$A$37</c:f>
              <c:numCache>
                <c:formatCode>0.00</c:formatCode>
                <c:ptCount val="30"/>
                <c:pt idx="0">
                  <c:v>0.3</c:v>
                </c:pt>
                <c:pt idx="1">
                  <c:v>0.64</c:v>
                </c:pt>
                <c:pt idx="2">
                  <c:v>1</c:v>
                </c:pt>
                <c:pt idx="3">
                  <c:v>1.41</c:v>
                </c:pt>
                <c:pt idx="4">
                  <c:v>1.85</c:v>
                </c:pt>
                <c:pt idx="5">
                  <c:v>2.34</c:v>
                </c:pt>
                <c:pt idx="6">
                  <c:v>2.87</c:v>
                </c:pt>
                <c:pt idx="7">
                  <c:v>3.47</c:v>
                </c:pt>
                <c:pt idx="8">
                  <c:v>4.1100000000000003</c:v>
                </c:pt>
                <c:pt idx="9">
                  <c:v>4.83</c:v>
                </c:pt>
                <c:pt idx="10">
                  <c:v>5.62</c:v>
                </c:pt>
                <c:pt idx="11">
                  <c:v>6.48</c:v>
                </c:pt>
                <c:pt idx="12">
                  <c:v>7.43</c:v>
                </c:pt>
                <c:pt idx="13">
                  <c:v>8.48</c:v>
                </c:pt>
                <c:pt idx="14">
                  <c:v>9.6300000000000008</c:v>
                </c:pt>
                <c:pt idx="15">
                  <c:v>10.89</c:v>
                </c:pt>
                <c:pt idx="16">
                  <c:v>12.29</c:v>
                </c:pt>
                <c:pt idx="17">
                  <c:v>13.82</c:v>
                </c:pt>
                <c:pt idx="18">
                  <c:v>15.5</c:v>
                </c:pt>
                <c:pt idx="19">
                  <c:v>17.36</c:v>
                </c:pt>
                <c:pt idx="20">
                  <c:v>19.39</c:v>
                </c:pt>
                <c:pt idx="21">
                  <c:v>21.64</c:v>
                </c:pt>
                <c:pt idx="22">
                  <c:v>24.1</c:v>
                </c:pt>
                <c:pt idx="23">
                  <c:v>26.82</c:v>
                </c:pt>
                <c:pt idx="24">
                  <c:v>29.8</c:v>
                </c:pt>
                <c:pt idx="25">
                  <c:v>33.090000000000003</c:v>
                </c:pt>
                <c:pt idx="26">
                  <c:v>36.700000000000003</c:v>
                </c:pt>
                <c:pt idx="27">
                  <c:v>40.67</c:v>
                </c:pt>
                <c:pt idx="28">
                  <c:v>45.04</c:v>
                </c:pt>
                <c:pt idx="29">
                  <c:v>49.85</c:v>
                </c:pt>
              </c:numCache>
            </c:numRef>
          </c:xVal>
          <c:yVal>
            <c:numRef>
              <c:f>'UGC 03993'!$I$8:$I$37</c:f>
              <c:numCache>
                <c:formatCode>0.00</c:formatCode>
                <c:ptCount val="30"/>
                <c:pt idx="0">
                  <c:v>231.34</c:v>
                </c:pt>
                <c:pt idx="1">
                  <c:v>272.02999999999997</c:v>
                </c:pt>
                <c:pt idx="2">
                  <c:v>279.52999999999997</c:v>
                </c:pt>
                <c:pt idx="3">
                  <c:v>282.76</c:v>
                </c:pt>
                <c:pt idx="4">
                  <c:v>283</c:v>
                </c:pt>
                <c:pt idx="5">
                  <c:v>283.66000000000003</c:v>
                </c:pt>
                <c:pt idx="6">
                  <c:v>285.82</c:v>
                </c:pt>
                <c:pt idx="7">
                  <c:v>287.76</c:v>
                </c:pt>
                <c:pt idx="8">
                  <c:v>289.75</c:v>
                </c:pt>
                <c:pt idx="9">
                  <c:v>290.26</c:v>
                </c:pt>
                <c:pt idx="10">
                  <c:v>290.67</c:v>
                </c:pt>
                <c:pt idx="11">
                  <c:v>290.81</c:v>
                </c:pt>
                <c:pt idx="12">
                  <c:v>291.67</c:v>
                </c:pt>
                <c:pt idx="13">
                  <c:v>292.2</c:v>
                </c:pt>
                <c:pt idx="14">
                  <c:v>292.17</c:v>
                </c:pt>
                <c:pt idx="15">
                  <c:v>291.2</c:v>
                </c:pt>
                <c:pt idx="16">
                  <c:v>289.29000000000002</c:v>
                </c:pt>
                <c:pt idx="17">
                  <c:v>287.05</c:v>
                </c:pt>
                <c:pt idx="18">
                  <c:v>281.43</c:v>
                </c:pt>
                <c:pt idx="19">
                  <c:v>275.38</c:v>
                </c:pt>
                <c:pt idx="20">
                  <c:v>267.79000000000002</c:v>
                </c:pt>
                <c:pt idx="21">
                  <c:v>259.70999999999998</c:v>
                </c:pt>
                <c:pt idx="22">
                  <c:v>251.27</c:v>
                </c:pt>
                <c:pt idx="23">
                  <c:v>245.82</c:v>
                </c:pt>
                <c:pt idx="24">
                  <c:v>241.29</c:v>
                </c:pt>
                <c:pt idx="25">
                  <c:v>239.09</c:v>
                </c:pt>
                <c:pt idx="26">
                  <c:v>242.62</c:v>
                </c:pt>
                <c:pt idx="27">
                  <c:v>249.72</c:v>
                </c:pt>
                <c:pt idx="28">
                  <c:v>255.44</c:v>
                </c:pt>
                <c:pt idx="29">
                  <c:v>260.25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1-4081-AA77-61A948C4FEBC}"/>
            </c:ext>
          </c:extLst>
        </c:ser>
        <c:ser>
          <c:idx val="1"/>
          <c:order val="1"/>
          <c:tx>
            <c:strRef>
              <c:f>'UGC 03993'!$K$7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'UGC 03993'!$A$8:$A$37</c:f>
              <c:numCache>
                <c:formatCode>0.00</c:formatCode>
                <c:ptCount val="30"/>
                <c:pt idx="0">
                  <c:v>0.3</c:v>
                </c:pt>
                <c:pt idx="1">
                  <c:v>0.64</c:v>
                </c:pt>
                <c:pt idx="2">
                  <c:v>1</c:v>
                </c:pt>
                <c:pt idx="3">
                  <c:v>1.41</c:v>
                </c:pt>
                <c:pt idx="4">
                  <c:v>1.85</c:v>
                </c:pt>
                <c:pt idx="5">
                  <c:v>2.34</c:v>
                </c:pt>
                <c:pt idx="6">
                  <c:v>2.87</c:v>
                </c:pt>
                <c:pt idx="7">
                  <c:v>3.47</c:v>
                </c:pt>
                <c:pt idx="8">
                  <c:v>4.1100000000000003</c:v>
                </c:pt>
                <c:pt idx="9">
                  <c:v>4.83</c:v>
                </c:pt>
                <c:pt idx="10">
                  <c:v>5.62</c:v>
                </c:pt>
                <c:pt idx="11">
                  <c:v>6.48</c:v>
                </c:pt>
                <c:pt idx="12">
                  <c:v>7.43</c:v>
                </c:pt>
                <c:pt idx="13">
                  <c:v>8.48</c:v>
                </c:pt>
                <c:pt idx="14">
                  <c:v>9.6300000000000008</c:v>
                </c:pt>
                <c:pt idx="15">
                  <c:v>10.89</c:v>
                </c:pt>
                <c:pt idx="16">
                  <c:v>12.29</c:v>
                </c:pt>
                <c:pt idx="17">
                  <c:v>13.82</c:v>
                </c:pt>
                <c:pt idx="18">
                  <c:v>15.5</c:v>
                </c:pt>
                <c:pt idx="19">
                  <c:v>17.36</c:v>
                </c:pt>
                <c:pt idx="20">
                  <c:v>19.39</c:v>
                </c:pt>
                <c:pt idx="21">
                  <c:v>21.64</c:v>
                </c:pt>
                <c:pt idx="22">
                  <c:v>24.1</c:v>
                </c:pt>
                <c:pt idx="23">
                  <c:v>26.82</c:v>
                </c:pt>
                <c:pt idx="24">
                  <c:v>29.8</c:v>
                </c:pt>
                <c:pt idx="25">
                  <c:v>33.090000000000003</c:v>
                </c:pt>
                <c:pt idx="26">
                  <c:v>36.700000000000003</c:v>
                </c:pt>
                <c:pt idx="27">
                  <c:v>40.67</c:v>
                </c:pt>
                <c:pt idx="28">
                  <c:v>45.04</c:v>
                </c:pt>
                <c:pt idx="29">
                  <c:v>49.85</c:v>
                </c:pt>
              </c:numCache>
            </c:numRef>
          </c:xVal>
          <c:yVal>
            <c:numRef>
              <c:f>'UGC 03993'!$K$8:$K$37</c:f>
              <c:numCache>
                <c:formatCode>0.0</c:formatCode>
                <c:ptCount val="30"/>
                <c:pt idx="0">
                  <c:v>243.94110462699814</c:v>
                </c:pt>
                <c:pt idx="1">
                  <c:v>261.07502170857646</c:v>
                </c:pt>
                <c:pt idx="2">
                  <c:v>269.70575048040388</c:v>
                </c:pt>
                <c:pt idx="3">
                  <c:v>276.37835612513891</c:v>
                </c:pt>
                <c:pt idx="4">
                  <c:v>281.81047146532893</c:v>
                </c:pt>
                <c:pt idx="5">
                  <c:v>286.42517348101489</c:v>
                </c:pt>
                <c:pt idx="6">
                  <c:v>290.0657713910021</c:v>
                </c:pt>
                <c:pt idx="7">
                  <c:v>292.76133007758091</c:v>
                </c:pt>
                <c:pt idx="8">
                  <c:v>294.26979592930132</c:v>
                </c:pt>
                <c:pt idx="9">
                  <c:v>294.6320517960018</c:v>
                </c:pt>
                <c:pt idx="10">
                  <c:v>293.78204785637291</c:v>
                </c:pt>
                <c:pt idx="11">
                  <c:v>291.78812440098</c:v>
                </c:pt>
                <c:pt idx="12">
                  <c:v>288.71649152000066</c:v>
                </c:pt>
                <c:pt idx="13">
                  <c:v>284.656674517684</c:v>
                </c:pt>
                <c:pt idx="14">
                  <c:v>279.92240498086198</c:v>
                </c:pt>
                <c:pt idx="15">
                  <c:v>274.69838763400634</c:v>
                </c:pt>
                <c:pt idx="16">
                  <c:v>269.16625380923784</c:v>
                </c:pt>
                <c:pt idx="17">
                  <c:v>263.69953302149963</c:v>
                </c:pt>
                <c:pt idx="18">
                  <c:v>258.55208103889197</c:v>
                </c:pt>
                <c:pt idx="19">
                  <c:v>253.95135954924478</c:v>
                </c:pt>
                <c:pt idx="20">
                  <c:v>250.19244919925615</c:v>
                </c:pt>
                <c:pt idx="21">
                  <c:v>247.39980618013479</c:v>
                </c:pt>
                <c:pt idx="22">
                  <c:v>245.74327787502534</c:v>
                </c:pt>
                <c:pt idx="23">
                  <c:v>245.30821338571641</c:v>
                </c:pt>
                <c:pt idx="24">
                  <c:v>246.14961295221124</c:v>
                </c:pt>
                <c:pt idx="25">
                  <c:v>248.25123170354112</c:v>
                </c:pt>
                <c:pt idx="26">
                  <c:v>251.61139479089564</c:v>
                </c:pt>
                <c:pt idx="27">
                  <c:v>256.19622913767682</c:v>
                </c:pt>
                <c:pt idx="28">
                  <c:v>261.97891953584002</c:v>
                </c:pt>
                <c:pt idx="29">
                  <c:v>268.91772913569423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1-4081-AA77-61A948C4FEBC}"/>
            </c:ext>
          </c:extLst>
        </c:ser>
        <c:ser>
          <c:idx val="2"/>
          <c:order val="2"/>
          <c:tx>
            <c:strRef>
              <c:f>'UGC 03993'!$K$51</c:f>
              <c:strCache>
                <c:ptCount val="1"/>
                <c:pt idx="0">
                  <c:v>Model Velocity
(km)</c:v>
                </c:pt>
              </c:strCache>
            </c:strRef>
          </c:tx>
          <c:spPr>
            <a:ln w="19050" cap="rnd" cmpd="sng">
              <a:solidFill>
                <a:schemeClr val="tx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'UGC 03993'!$A$52:$A$81</c:f>
              <c:numCache>
                <c:formatCode>0.00</c:formatCode>
                <c:ptCount val="30"/>
                <c:pt idx="0">
                  <c:v>0.3</c:v>
                </c:pt>
                <c:pt idx="1">
                  <c:v>0.64</c:v>
                </c:pt>
                <c:pt idx="2">
                  <c:v>1</c:v>
                </c:pt>
                <c:pt idx="3">
                  <c:v>1.41</c:v>
                </c:pt>
                <c:pt idx="4">
                  <c:v>1.85</c:v>
                </c:pt>
                <c:pt idx="5">
                  <c:v>2.34</c:v>
                </c:pt>
                <c:pt idx="6">
                  <c:v>2.87</c:v>
                </c:pt>
                <c:pt idx="7">
                  <c:v>3.47</c:v>
                </c:pt>
                <c:pt idx="8">
                  <c:v>4.1100000000000003</c:v>
                </c:pt>
                <c:pt idx="9">
                  <c:v>4.83</c:v>
                </c:pt>
                <c:pt idx="10">
                  <c:v>5.62</c:v>
                </c:pt>
                <c:pt idx="11">
                  <c:v>6.48</c:v>
                </c:pt>
                <c:pt idx="12">
                  <c:v>7.43</c:v>
                </c:pt>
                <c:pt idx="13">
                  <c:v>8.48</c:v>
                </c:pt>
                <c:pt idx="14">
                  <c:v>9.6300000000000008</c:v>
                </c:pt>
                <c:pt idx="15">
                  <c:v>10.89</c:v>
                </c:pt>
                <c:pt idx="16">
                  <c:v>12.29</c:v>
                </c:pt>
                <c:pt idx="17">
                  <c:v>13.82</c:v>
                </c:pt>
                <c:pt idx="18">
                  <c:v>15.5</c:v>
                </c:pt>
                <c:pt idx="19">
                  <c:v>17.36</c:v>
                </c:pt>
                <c:pt idx="20">
                  <c:v>19.39</c:v>
                </c:pt>
                <c:pt idx="21">
                  <c:v>21.64</c:v>
                </c:pt>
                <c:pt idx="22">
                  <c:v>24.1</c:v>
                </c:pt>
                <c:pt idx="23">
                  <c:v>26.82</c:v>
                </c:pt>
                <c:pt idx="24">
                  <c:v>29.8</c:v>
                </c:pt>
                <c:pt idx="25">
                  <c:v>33.090000000000003</c:v>
                </c:pt>
                <c:pt idx="26">
                  <c:v>36.700000000000003</c:v>
                </c:pt>
                <c:pt idx="27">
                  <c:v>40.67</c:v>
                </c:pt>
                <c:pt idx="28">
                  <c:v>45.04</c:v>
                </c:pt>
                <c:pt idx="29">
                  <c:v>49.85</c:v>
                </c:pt>
              </c:numCache>
            </c:numRef>
          </c:xVal>
          <c:yVal>
            <c:numRef>
              <c:f>'UGC 03993'!$K$52:$K$81</c:f>
              <c:numCache>
                <c:formatCode>0.0</c:formatCode>
                <c:ptCount val="30"/>
                <c:pt idx="0">
                  <c:v>259.41266630720139</c:v>
                </c:pt>
                <c:pt idx="1">
                  <c:v>288.72608326101118</c:v>
                </c:pt>
                <c:pt idx="2">
                  <c:v>299.72241984824336</c:v>
                </c:pt>
                <c:pt idx="3">
                  <c:v>305.02298318644756</c:v>
                </c:pt>
                <c:pt idx="4">
                  <c:v>306.94365073211958</c:v>
                </c:pt>
                <c:pt idx="5">
                  <c:v>307.02547059661924</c:v>
                </c:pt>
                <c:pt idx="6">
                  <c:v>306.03382279620541</c:v>
                </c:pt>
                <c:pt idx="7">
                  <c:v>304.33415614624397</c:v>
                </c:pt>
                <c:pt idx="8">
                  <c:v>301.94503769313854</c:v>
                </c:pt>
                <c:pt idx="9">
                  <c:v>299.21451881288607</c:v>
                </c:pt>
                <c:pt idx="10">
                  <c:v>296.10411675207558</c:v>
                </c:pt>
                <c:pt idx="11">
                  <c:v>292.73851734015375</c:v>
                </c:pt>
                <c:pt idx="12">
                  <c:v>289.12488836553189</c:v>
                </c:pt>
                <c:pt idx="13">
                  <c:v>285.27924709197401</c:v>
                </c:pt>
                <c:pt idx="14">
                  <c:v>281.31536216630309</c:v>
                </c:pt>
                <c:pt idx="15">
                  <c:v>277.25924755111168</c:v>
                </c:pt>
                <c:pt idx="16">
                  <c:v>273.1172786064119</c:v>
                </c:pt>
                <c:pt idx="17">
                  <c:v>269.04775207094303</c:v>
                </c:pt>
                <c:pt idx="18">
                  <c:v>265.10844456622192</c:v>
                </c:pt>
                <c:pt idx="19">
                  <c:v>261.36666285756928</c:v>
                </c:pt>
                <c:pt idx="20">
                  <c:v>257.96497977255297</c:v>
                </c:pt>
                <c:pt idx="21">
                  <c:v>254.94596850556169</c:v>
                </c:pt>
                <c:pt idx="22">
                  <c:v>252.35086968915172</c:v>
                </c:pt>
                <c:pt idx="23">
                  <c:v>250.42016717024077</c:v>
                </c:pt>
                <c:pt idx="24">
                  <c:v>249.04146216989045</c:v>
                </c:pt>
                <c:pt idx="25">
                  <c:v>248.25530959465098</c:v>
                </c:pt>
                <c:pt idx="26">
                  <c:v>248.08522303947484</c:v>
                </c:pt>
                <c:pt idx="27">
                  <c:v>248.48797114862535</c:v>
                </c:pt>
                <c:pt idx="28">
                  <c:v>249.41944649721168</c:v>
                </c:pt>
                <c:pt idx="29">
                  <c:v>250.82552990850738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91-4081-AA77-61A948C4F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6466704"/>
        <c:axId val="-1746466160"/>
      </c:scatterChart>
      <c:valAx>
        <c:axId val="-1746466704"/>
        <c:scaling>
          <c:orientation val="minMax"/>
          <c:max val="50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160"/>
        <c:crosses val="autoZero"/>
        <c:crossBetween val="midCat"/>
      </c:valAx>
      <c:valAx>
        <c:axId val="-1746466160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4646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13</xdr:row>
      <xdr:rowOff>38099</xdr:rowOff>
    </xdr:from>
    <xdr:to>
      <xdr:col>17</xdr:col>
      <xdr:colOff>657225</xdr:colOff>
      <xdr:row>29</xdr:row>
      <xdr:rowOff>78330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8</xdr:col>
      <xdr:colOff>164854</xdr:colOff>
      <xdr:row>23</xdr:row>
      <xdr:rowOff>14654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F922BD3-2FC3-5489-3238-14D085C6EF6C}"/>
            </a:ext>
          </a:extLst>
        </xdr:cNvPr>
        <xdr:cNvGrpSpPr/>
      </xdr:nvGrpSpPr>
      <xdr:grpSpPr>
        <a:xfrm>
          <a:off x="1" y="1"/>
          <a:ext cx="5029930" cy="4396153"/>
          <a:chOff x="1" y="1"/>
          <a:chExt cx="5029930" cy="4113324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FE218162-D194-4F29-8C6C-32AEF1D32F1B}"/>
              </a:ext>
            </a:extLst>
          </xdr:cNvPr>
          <xdr:cNvGraphicFramePr>
            <a:graphicFrameLocks/>
          </xdr:cNvGraphicFramePr>
        </xdr:nvGraphicFramePr>
        <xdr:xfrm>
          <a:off x="731" y="2673661"/>
          <a:ext cx="5029200" cy="1439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D49482B8-C9B4-490F-96F2-6DA21F12E4C2}"/>
              </a:ext>
            </a:extLst>
          </xdr:cNvPr>
          <xdr:cNvGraphicFramePr>
            <a:graphicFrameLocks/>
          </xdr:cNvGraphicFramePr>
        </xdr:nvGraphicFramePr>
        <xdr:xfrm>
          <a:off x="1" y="1"/>
          <a:ext cx="5029200" cy="26668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238124</xdr:rowOff>
    </xdr:from>
    <xdr:to>
      <xdr:col>17</xdr:col>
      <xdr:colOff>0</xdr:colOff>
      <xdr:row>18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39CE2-E71A-40F7-BCF3-D432751BC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0</xdr:rowOff>
    </xdr:from>
    <xdr:to>
      <xdr:col>13</xdr:col>
      <xdr:colOff>190500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D7720-3941-4168-9024-EAD938051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20955</xdr:colOff>
      <xdr:row>2</xdr:row>
      <xdr:rowOff>121920</xdr:rowOff>
    </xdr:from>
    <xdr:to>
      <xdr:col>24</xdr:col>
      <xdr:colOff>173355</xdr:colOff>
      <xdr:row>19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7618</xdr:colOff>
      <xdr:row>1</xdr:row>
      <xdr:rowOff>11428</xdr:rowOff>
    </xdr:from>
    <xdr:to>
      <xdr:col>15</xdr:col>
      <xdr:colOff>131443</xdr:colOff>
      <xdr:row>6</xdr:row>
      <xdr:rowOff>144778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6E87F-D07C-4055-B90E-BAB359230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28574</xdr:colOff>
      <xdr:row>1</xdr:row>
      <xdr:rowOff>9523</xdr:rowOff>
    </xdr:from>
    <xdr:to>
      <xdr:col>16</xdr:col>
      <xdr:colOff>150201</xdr:colOff>
      <xdr:row>6</xdr:row>
      <xdr:rowOff>135546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114F0-673A-4BF0-A10E-A43CD049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</xdr:row>
      <xdr:rowOff>9523</xdr:rowOff>
    </xdr:from>
    <xdr:to>
      <xdr:col>15</xdr:col>
      <xdr:colOff>140676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3531C-950A-43B9-9312-AECE5A78D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</xdr:row>
      <xdr:rowOff>9523</xdr:rowOff>
    </xdr:from>
    <xdr:to>
      <xdr:col>15</xdr:col>
      <xdr:colOff>126023</xdr:colOff>
      <xdr:row>6</xdr:row>
      <xdr:rowOff>142873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CEABA9-637D-40A7-A764-6562C0F36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9523</xdr:colOff>
      <xdr:row>1</xdr:row>
      <xdr:rowOff>9523</xdr:rowOff>
    </xdr:from>
    <xdr:to>
      <xdr:col>15</xdr:col>
      <xdr:colOff>133348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29017-C29D-4559-BA96-A4F3FB4D2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19048</xdr:colOff>
      <xdr:row>1</xdr:row>
      <xdr:rowOff>9523</xdr:rowOff>
    </xdr:from>
    <xdr:to>
      <xdr:col>15</xdr:col>
      <xdr:colOff>137158</xdr:colOff>
      <xdr:row>6</xdr:row>
      <xdr:rowOff>135546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7F749-16FA-4B3B-BD2C-F552D672A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9524</xdr:colOff>
      <xdr:row>1</xdr:row>
      <xdr:rowOff>9524</xdr:rowOff>
    </xdr:from>
    <xdr:to>
      <xdr:col>15</xdr:col>
      <xdr:colOff>127634</xdr:colOff>
      <xdr:row>6</xdr:row>
      <xdr:rowOff>135547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D8668-4076-41C6-8E93-F43B6848C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</xdr:row>
      <xdr:rowOff>9523</xdr:rowOff>
    </xdr:from>
    <xdr:to>
      <xdr:col>15</xdr:col>
      <xdr:colOff>142874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C7DF3-C28E-4212-9CAE-4A354130C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</xdr:row>
      <xdr:rowOff>19049</xdr:rowOff>
    </xdr:from>
    <xdr:to>
      <xdr:col>15</xdr:col>
      <xdr:colOff>127635</xdr:colOff>
      <xdr:row>6</xdr:row>
      <xdr:rowOff>145072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275D8-09D6-4D88-B85F-DFAC5D962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</xdr:row>
      <xdr:rowOff>9524</xdr:rowOff>
    </xdr:from>
    <xdr:to>
      <xdr:col>15</xdr:col>
      <xdr:colOff>137160</xdr:colOff>
      <xdr:row>6</xdr:row>
      <xdr:rowOff>135547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B6195-5585-4BC1-97B6-20CB3464C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</xdr:row>
      <xdr:rowOff>9523</xdr:rowOff>
    </xdr:from>
    <xdr:to>
      <xdr:col>15</xdr:col>
      <xdr:colOff>142874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D34B2-07B2-4E39-914C-7EA344D27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</xdr:row>
      <xdr:rowOff>9524</xdr:rowOff>
    </xdr:from>
    <xdr:to>
      <xdr:col>15</xdr:col>
      <xdr:colOff>137160</xdr:colOff>
      <xdr:row>6</xdr:row>
      <xdr:rowOff>135547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9465A-9C41-4CA8-A8E9-DA0AB675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26669</xdr:colOff>
      <xdr:row>1</xdr:row>
      <xdr:rowOff>19049</xdr:rowOff>
    </xdr:from>
    <xdr:to>
      <xdr:col>15</xdr:col>
      <xdr:colOff>150494</xdr:colOff>
      <xdr:row>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51938-0998-402A-93B7-50D5210A7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</xdr:row>
      <xdr:rowOff>19049</xdr:rowOff>
    </xdr:from>
    <xdr:to>
      <xdr:col>15</xdr:col>
      <xdr:colOff>137160</xdr:colOff>
      <xdr:row>6</xdr:row>
      <xdr:rowOff>145072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79214-232F-461D-9432-4CE0C5CF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</xdr:row>
      <xdr:rowOff>28574</xdr:rowOff>
    </xdr:from>
    <xdr:to>
      <xdr:col>15</xdr:col>
      <xdr:colOff>146685</xdr:colOff>
      <xdr:row>6</xdr:row>
      <xdr:rowOff>175531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B0BF6E-65AA-450E-A2F1-744945D75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28574</xdr:colOff>
      <xdr:row>1</xdr:row>
      <xdr:rowOff>47623</xdr:rowOff>
    </xdr:from>
    <xdr:to>
      <xdr:col>15</xdr:col>
      <xdr:colOff>152399</xdr:colOff>
      <xdr:row>6</xdr:row>
      <xdr:rowOff>180973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83C81-DE07-4DDC-AA5D-728298F15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</xdr:row>
      <xdr:rowOff>9524</xdr:rowOff>
    </xdr:from>
    <xdr:to>
      <xdr:col>15</xdr:col>
      <xdr:colOff>137160</xdr:colOff>
      <xdr:row>6</xdr:row>
      <xdr:rowOff>135547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A6343-D3A5-480C-94E0-C940F0E0C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</xdr:row>
      <xdr:rowOff>7620</xdr:rowOff>
    </xdr:from>
    <xdr:to>
      <xdr:col>15</xdr:col>
      <xdr:colOff>125730</xdr:colOff>
      <xdr:row>6</xdr:row>
      <xdr:rowOff>133643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FD181-8D95-4EF5-BED4-793C2540B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</xdr:row>
      <xdr:rowOff>7620</xdr:rowOff>
    </xdr:from>
    <xdr:to>
      <xdr:col>15</xdr:col>
      <xdr:colOff>125730</xdr:colOff>
      <xdr:row>6</xdr:row>
      <xdr:rowOff>133643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73FC4-9E32-444B-90BB-28F8F37E7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</xdr:row>
      <xdr:rowOff>9523</xdr:rowOff>
    </xdr:from>
    <xdr:to>
      <xdr:col>15</xdr:col>
      <xdr:colOff>142874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1C5DF-8542-4C60-BCAC-DA316F25F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</xdr:row>
      <xdr:rowOff>7620</xdr:rowOff>
    </xdr:from>
    <xdr:to>
      <xdr:col>15</xdr:col>
      <xdr:colOff>125730</xdr:colOff>
      <xdr:row>6</xdr:row>
      <xdr:rowOff>133643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87170-9358-428B-A8D2-0DFE5BA53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28574</xdr:colOff>
      <xdr:row>1</xdr:row>
      <xdr:rowOff>9523</xdr:rowOff>
    </xdr:from>
    <xdr:to>
      <xdr:col>15</xdr:col>
      <xdr:colOff>152399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15B5E-1276-4580-B82B-81A9298A8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</xdr:row>
      <xdr:rowOff>7620</xdr:rowOff>
    </xdr:from>
    <xdr:to>
      <xdr:col>15</xdr:col>
      <xdr:colOff>125730</xdr:colOff>
      <xdr:row>6</xdr:row>
      <xdr:rowOff>133643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051EC-12CB-4AE6-88CB-10D5301C9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695324</xdr:colOff>
      <xdr:row>1</xdr:row>
      <xdr:rowOff>9523</xdr:rowOff>
    </xdr:from>
    <xdr:to>
      <xdr:col>15</xdr:col>
      <xdr:colOff>123824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6CC05-EE87-41A8-A86C-F3380ABF6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</xdr:row>
      <xdr:rowOff>9524</xdr:rowOff>
    </xdr:from>
    <xdr:to>
      <xdr:col>15</xdr:col>
      <xdr:colOff>127635</xdr:colOff>
      <xdr:row>6</xdr:row>
      <xdr:rowOff>135547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79016-77DA-4D38-98F7-C424E659A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</xdr:row>
      <xdr:rowOff>9523</xdr:rowOff>
    </xdr:from>
    <xdr:to>
      <xdr:col>15</xdr:col>
      <xdr:colOff>142874</xdr:colOff>
      <xdr:row>6</xdr:row>
      <xdr:rowOff>142873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966D2-64FD-4EAB-85DF-89F144478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7619</xdr:colOff>
      <xdr:row>0</xdr:row>
      <xdr:rowOff>238124</xdr:rowOff>
    </xdr:from>
    <xdr:to>
      <xdr:col>15</xdr:col>
      <xdr:colOff>131444</xdr:colOff>
      <xdr:row>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A362D-CC32-4B71-865D-84D197EEC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0</xdr:row>
      <xdr:rowOff>241788</xdr:rowOff>
    </xdr:from>
    <xdr:to>
      <xdr:col>15</xdr:col>
      <xdr:colOff>125730</xdr:colOff>
      <xdr:row>6</xdr:row>
      <xdr:rowOff>126023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50635-4167-4D4E-B073-3670227DC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7619</xdr:colOff>
      <xdr:row>1</xdr:row>
      <xdr:rowOff>7620</xdr:rowOff>
    </xdr:from>
    <xdr:to>
      <xdr:col>15</xdr:col>
      <xdr:colOff>137794</xdr:colOff>
      <xdr:row>6</xdr:row>
      <xdr:rowOff>148907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D2074-9AD3-40EF-92A5-7F934A6C8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</xdr:row>
      <xdr:rowOff>7620</xdr:rowOff>
    </xdr:from>
    <xdr:to>
      <xdr:col>15</xdr:col>
      <xdr:colOff>125730</xdr:colOff>
      <xdr:row>6</xdr:row>
      <xdr:rowOff>133643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A74DE-19C2-4A93-816F-3006A20A1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0</xdr:row>
      <xdr:rowOff>249114</xdr:rowOff>
    </xdr:from>
    <xdr:to>
      <xdr:col>15</xdr:col>
      <xdr:colOff>137160</xdr:colOff>
      <xdr:row>6</xdr:row>
      <xdr:rowOff>126022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C5BA5-4F9B-4959-991E-80E54FB9B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26669</xdr:colOff>
      <xdr:row>1</xdr:row>
      <xdr:rowOff>7619</xdr:rowOff>
    </xdr:from>
    <xdr:to>
      <xdr:col>15</xdr:col>
      <xdr:colOff>150494</xdr:colOff>
      <xdr:row>6</xdr:row>
      <xdr:rowOff>140969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D6573-9130-43CB-AB41-3FA51037F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</xdr:row>
      <xdr:rowOff>19050</xdr:rowOff>
    </xdr:from>
    <xdr:to>
      <xdr:col>15</xdr:col>
      <xdr:colOff>125730</xdr:colOff>
      <xdr:row>6</xdr:row>
      <xdr:rowOff>145073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96946-0466-4434-B15C-C55CBB5EC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9524</xdr:rowOff>
    </xdr:from>
    <xdr:to>
      <xdr:col>15</xdr:col>
      <xdr:colOff>118110</xdr:colOff>
      <xdr:row>6</xdr:row>
      <xdr:rowOff>135547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B88F7-925F-405B-B1E4-8E6EC2497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</xdr:row>
      <xdr:rowOff>19049</xdr:rowOff>
    </xdr:from>
    <xdr:to>
      <xdr:col>15</xdr:col>
      <xdr:colOff>137160</xdr:colOff>
      <xdr:row>6</xdr:row>
      <xdr:rowOff>145072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93D31-F5D7-4D0C-B47F-83C6B4EB0D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9523</xdr:colOff>
      <xdr:row>1</xdr:row>
      <xdr:rowOff>9525</xdr:rowOff>
    </xdr:from>
    <xdr:to>
      <xdr:col>15</xdr:col>
      <xdr:colOff>133348</xdr:colOff>
      <xdr:row>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15046-F8B0-42EA-A7AF-A11E805D4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7619</xdr:colOff>
      <xdr:row>0</xdr:row>
      <xdr:rowOff>238124</xdr:rowOff>
    </xdr:from>
    <xdr:to>
      <xdr:col>15</xdr:col>
      <xdr:colOff>131444</xdr:colOff>
      <xdr:row>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ABCED-4BE0-4AF7-9DB7-C66C6B368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</xdr:row>
      <xdr:rowOff>9525</xdr:rowOff>
    </xdr:from>
    <xdr:to>
      <xdr:col>15</xdr:col>
      <xdr:colOff>142874</xdr:colOff>
      <xdr:row>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E45F0-FC3C-4DD0-AD01-05505AEF6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</xdr:row>
      <xdr:rowOff>19050</xdr:rowOff>
    </xdr:from>
    <xdr:to>
      <xdr:col>15</xdr:col>
      <xdr:colOff>140676</xdr:colOff>
      <xdr:row>6</xdr:row>
      <xdr:rowOff>145073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0C488-1270-42BE-BC9A-B61D957CA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41"/>
  <sheetViews>
    <sheetView tabSelected="1" zoomScaleNormal="100" workbookViewId="0"/>
  </sheetViews>
  <sheetFormatPr defaultRowHeight="15" x14ac:dyDescent="0.25"/>
  <cols>
    <col min="1" max="1" width="35.7109375" customWidth="1"/>
    <col min="2" max="2" width="14.7109375" style="1" customWidth="1"/>
    <col min="3" max="3" width="14.7109375" style="6" customWidth="1"/>
    <col min="4" max="4" width="8.85546875" style="1" hidden="1" customWidth="1"/>
    <col min="5" max="5" width="11.7109375" customWidth="1"/>
    <col min="6" max="6" width="11.140625" customWidth="1"/>
    <col min="7" max="7" width="9.140625" customWidth="1"/>
    <col min="8" max="8" width="8.85546875" style="2"/>
    <col min="9" max="9" width="10.28515625" customWidth="1"/>
    <col min="11" max="13" width="12" bestFit="1" customWidth="1"/>
  </cols>
  <sheetData>
    <row r="1" spans="1:12" s="45" customFormat="1" x14ac:dyDescent="0.25">
      <c r="A1" s="45" t="s">
        <v>637</v>
      </c>
      <c r="B1" s="15">
        <v>1000</v>
      </c>
      <c r="C1" s="17"/>
      <c r="D1" s="15"/>
      <c r="H1" s="16"/>
    </row>
    <row r="2" spans="1:12" s="14" customFormat="1" x14ac:dyDescent="0.25">
      <c r="A2" s="14" t="s">
        <v>633</v>
      </c>
      <c r="B2" s="15">
        <v>3.08567758E+16</v>
      </c>
      <c r="C2" s="17"/>
      <c r="D2" s="15"/>
      <c r="H2" s="16"/>
    </row>
    <row r="3" spans="1:12" s="14" customFormat="1" x14ac:dyDescent="0.25">
      <c r="A3" s="14" t="s">
        <v>634</v>
      </c>
      <c r="B3" s="15">
        <f>1000*pc</f>
        <v>3.08567758E+19</v>
      </c>
      <c r="C3" s="17"/>
      <c r="D3" s="15"/>
      <c r="H3" s="16"/>
    </row>
    <row r="4" spans="1:12" x14ac:dyDescent="0.25">
      <c r="A4" t="s">
        <v>635</v>
      </c>
      <c r="B4" s="1">
        <f>1000*kpc</f>
        <v>3.0856775799999998E+22</v>
      </c>
      <c r="K4" s="14"/>
      <c r="L4" s="14"/>
    </row>
    <row r="5" spans="1:12" s="45" customFormat="1" x14ac:dyDescent="0.25">
      <c r="A5" s="45" t="s">
        <v>636</v>
      </c>
      <c r="B5" s="15">
        <f>1000*Mpc</f>
        <v>3.0856775799999996E+25</v>
      </c>
      <c r="C5" s="17"/>
      <c r="D5" s="15"/>
      <c r="H5" s="16"/>
    </row>
    <row r="6" spans="1:12" x14ac:dyDescent="0.25">
      <c r="A6" t="s">
        <v>0</v>
      </c>
      <c r="B6" s="1">
        <v>31556900</v>
      </c>
    </row>
    <row r="7" spans="1:12" s="45" customFormat="1" x14ac:dyDescent="0.25">
      <c r="A7" s="45" t="s">
        <v>627</v>
      </c>
      <c r="B7" s="15">
        <f>1000*SecondsPerYear</f>
        <v>31556900000</v>
      </c>
      <c r="C7" s="17"/>
      <c r="D7" s="15"/>
      <c r="H7" s="16"/>
    </row>
    <row r="8" spans="1:12" s="45" customFormat="1" x14ac:dyDescent="0.25">
      <c r="A8" s="45" t="s">
        <v>629</v>
      </c>
      <c r="B8" s="15">
        <f>1000*kyr</f>
        <v>31556900000000</v>
      </c>
      <c r="C8" s="17"/>
      <c r="D8" s="15"/>
      <c r="H8" s="16"/>
    </row>
    <row r="9" spans="1:12" s="45" customFormat="1" x14ac:dyDescent="0.25">
      <c r="A9" s="45" t="s">
        <v>628</v>
      </c>
      <c r="B9" s="15">
        <f>1000*Myr</f>
        <v>3.15569E+16</v>
      </c>
      <c r="C9" s="17"/>
      <c r="D9" s="15"/>
      <c r="H9" s="16"/>
    </row>
    <row r="10" spans="1:12" x14ac:dyDescent="0.25">
      <c r="A10" t="s">
        <v>643</v>
      </c>
      <c r="B10" s="1">
        <v>299792458</v>
      </c>
    </row>
    <row r="11" spans="1:12" s="45" customFormat="1" ht="18" x14ac:dyDescent="0.35">
      <c r="A11" s="45" t="s">
        <v>669</v>
      </c>
      <c r="B11" s="15">
        <v>266362000</v>
      </c>
      <c r="C11" s="17"/>
      <c r="D11" s="15"/>
      <c r="H11" s="16"/>
    </row>
    <row r="12" spans="1:12" s="45" customFormat="1" x14ac:dyDescent="0.25">
      <c r="A12" s="45" t="s">
        <v>668</v>
      </c>
      <c r="B12" s="15">
        <f>SecondsPerYear*VelocityOfLight</f>
        <v>9460520617860200</v>
      </c>
      <c r="C12" s="17"/>
      <c r="D12" s="15"/>
      <c r="H12" s="16"/>
    </row>
    <row r="13" spans="1:12" x14ac:dyDescent="0.25">
      <c r="A13" t="s">
        <v>561</v>
      </c>
      <c r="B13" s="16">
        <v>2.7254999999999998</v>
      </c>
    </row>
    <row r="14" spans="1:12" ht="17.25" x14ac:dyDescent="0.25">
      <c r="A14" s="11" t="s">
        <v>638</v>
      </c>
      <c r="B14" s="13">
        <v>6.6740800000000003E-11</v>
      </c>
    </row>
    <row r="15" spans="1:12" ht="17.25" x14ac:dyDescent="0.25">
      <c r="A15" t="s">
        <v>610</v>
      </c>
      <c r="B15" s="1">
        <v>1.3806485199999999E-23</v>
      </c>
    </row>
    <row r="16" spans="1:12" s="45" customFormat="1" ht="17.25" x14ac:dyDescent="0.25">
      <c r="A16" s="45" t="s">
        <v>641</v>
      </c>
      <c r="B16" s="15">
        <v>6.6260701499999998E-34</v>
      </c>
      <c r="C16" s="17"/>
      <c r="D16" s="15"/>
      <c r="H16" s="16"/>
    </row>
    <row r="17" spans="1:12" s="45" customFormat="1" ht="17.25" x14ac:dyDescent="0.25">
      <c r="A17" s="45" t="s">
        <v>642</v>
      </c>
      <c r="B17" s="15">
        <f>PlanckConstant/(2*PI())</f>
        <v>1.0545718176461565E-34</v>
      </c>
      <c r="C17" s="17"/>
      <c r="D17" s="15"/>
      <c r="H17" s="16"/>
    </row>
    <row r="18" spans="1:12" s="45" customFormat="1" x14ac:dyDescent="0.25">
      <c r="A18" s="45" t="s">
        <v>653</v>
      </c>
      <c r="B18" s="15">
        <f>2*PI()^5*BoltzmannConstant^4/(15*PlanckConstant^3*VelocityOfLight^2)</f>
        <v>5.6703665336804306E-8</v>
      </c>
      <c r="C18" s="17"/>
      <c r="D18" s="15"/>
      <c r="H18" s="16"/>
    </row>
    <row r="19" spans="1:12" s="45" customFormat="1" x14ac:dyDescent="0.25">
      <c r="A19" s="45" t="s">
        <v>654</v>
      </c>
      <c r="B19" s="15">
        <f>4*StefanBoltzmannConstant/VelocityOfLight</f>
        <v>7.5657227289959786E-16</v>
      </c>
      <c r="C19" s="15"/>
      <c r="D19" s="15"/>
      <c r="H19" s="16"/>
    </row>
    <row r="20" spans="1:12" x14ac:dyDescent="0.25">
      <c r="A20" t="s">
        <v>625</v>
      </c>
      <c r="B20" s="2">
        <v>67.400000000000006</v>
      </c>
    </row>
    <row r="21" spans="1:12" s="45" customFormat="1" x14ac:dyDescent="0.25">
      <c r="A21" s="45" t="s">
        <v>608</v>
      </c>
      <c r="B21">
        <v>73.239999999999995</v>
      </c>
      <c r="C21" s="17"/>
      <c r="D21" s="15"/>
      <c r="H21" s="16"/>
    </row>
    <row r="22" spans="1:12" s="45" customFormat="1" ht="18" x14ac:dyDescent="0.35">
      <c r="A22" s="45" t="s">
        <v>632</v>
      </c>
      <c r="B22" s="16">
        <f>1/Age/km*Mpc</f>
        <v>54.241973478178487</v>
      </c>
      <c r="C22" s="16"/>
      <c r="D22" s="15"/>
      <c r="F22" s="15"/>
      <c r="H22" s="16"/>
    </row>
    <row r="23" spans="1:12" s="45" customFormat="1" x14ac:dyDescent="0.25">
      <c r="A23" s="45" t="s">
        <v>626</v>
      </c>
      <c r="B23" s="45">
        <v>1.0410999999999999</v>
      </c>
      <c r="C23" s="17"/>
      <c r="D23" s="15"/>
      <c r="H23" s="16"/>
    </row>
    <row r="24" spans="1:12" s="45" customFormat="1" x14ac:dyDescent="0.25">
      <c r="A24" s="45" t="s">
        <v>656</v>
      </c>
      <c r="B24" s="45">
        <v>1090</v>
      </c>
      <c r="C24" s="17"/>
      <c r="D24" s="15"/>
      <c r="H24" s="16"/>
    </row>
    <row r="25" spans="1:12" s="45" customFormat="1" x14ac:dyDescent="0.25">
      <c r="A25" s="45" t="s">
        <v>663</v>
      </c>
      <c r="B25" s="15">
        <v>4.352012079E+17</v>
      </c>
      <c r="C25" s="19">
        <f>B25/Gyr</f>
        <v>13.791</v>
      </c>
      <c r="D25" s="15"/>
      <c r="H25" s="16"/>
    </row>
    <row r="26" spans="1:12" ht="17.25" x14ac:dyDescent="0.25">
      <c r="A26" t="s">
        <v>640</v>
      </c>
      <c r="B26" s="15">
        <v>3.6466161335543597E-11</v>
      </c>
      <c r="F26" s="15"/>
      <c r="K26" s="14"/>
      <c r="L26" s="14"/>
    </row>
    <row r="27" spans="1:12" x14ac:dyDescent="0.25">
      <c r="A27" s="45" t="s">
        <v>706</v>
      </c>
      <c r="B27" s="15">
        <f>VelocityOfLight-(UniverseAcceleration*Age)</f>
        <v>279047855.75815541</v>
      </c>
      <c r="C27" s="19"/>
      <c r="F27" s="15"/>
    </row>
    <row r="28" spans="1:12" s="45" customFormat="1" x14ac:dyDescent="0.25">
      <c r="A28" t="s">
        <v>664</v>
      </c>
      <c r="B28" s="15">
        <v>5.6887266117656397E+17</v>
      </c>
      <c r="C28" s="19">
        <f>Age/Gyr</f>
        <v>18.026886708661625</v>
      </c>
      <c r="D28" s="15"/>
      <c r="F28" s="15"/>
      <c r="H28" s="16"/>
    </row>
    <row r="29" spans="1:12" s="45" customFormat="1" ht="17.25" x14ac:dyDescent="0.25">
      <c r="A29" s="45" t="s">
        <v>665</v>
      </c>
      <c r="B29" s="15">
        <f>UniverseAcceleration/2</f>
        <v>1.8233080667771799E-11</v>
      </c>
      <c r="C29" s="15"/>
      <c r="D29" s="15"/>
      <c r="E29" s="15"/>
      <c r="F29" s="15"/>
      <c r="H29" s="16"/>
    </row>
    <row r="30" spans="1:12" s="45" customFormat="1" x14ac:dyDescent="0.25">
      <c r="A30" s="45" t="s">
        <v>667</v>
      </c>
      <c r="B30" s="15">
        <f>UniverseAcceleration/2*Age^2+InitialTangentVelocity*Age</f>
        <v>1.6464321484193956E+26</v>
      </c>
      <c r="C30" s="16">
        <f>B30/Mpc</f>
        <v>5335.7232106518259</v>
      </c>
      <c r="D30" s="15"/>
      <c r="E30" s="15"/>
      <c r="F30" s="15"/>
      <c r="H30" s="16"/>
    </row>
    <row r="31" spans="1:12" s="45" customFormat="1" ht="17.25" x14ac:dyDescent="0.25">
      <c r="A31" s="45" t="s">
        <v>675</v>
      </c>
      <c r="B31" s="15">
        <f>3*(HubbleConstant*1000/Mpc)^2/(8*PI()*GravitationalConstant)</f>
        <v>5.5266232656503775E-27</v>
      </c>
      <c r="C31" s="15">
        <f>3/(8*GravitationalConstant*PI()*Age^2)</f>
        <v>5.5266232656503768E-27</v>
      </c>
      <c r="D31" s="15"/>
      <c r="E31" s="15"/>
      <c r="F31" s="15"/>
      <c r="H31" s="16"/>
    </row>
    <row r="32" spans="1:12" s="45" customFormat="1" x14ac:dyDescent="0.25">
      <c r="A32" s="45" t="s">
        <v>674</v>
      </c>
      <c r="B32" s="15">
        <f>UniverseSize^3*CriticalDensity</f>
        <v>2.4665582360012901E+52</v>
      </c>
      <c r="C32" s="15"/>
      <c r="D32" s="15"/>
      <c r="E32" s="15"/>
      <c r="F32" s="15"/>
      <c r="H32" s="16"/>
    </row>
    <row r="33" spans="1:8" s="45" customFormat="1" x14ac:dyDescent="0.25">
      <c r="A33" t="s">
        <v>639</v>
      </c>
      <c r="B33" s="15">
        <v>1.9890999999999999E+30</v>
      </c>
      <c r="C33" s="15"/>
      <c r="D33" s="15"/>
      <c r="F33" s="15"/>
      <c r="H33" s="16"/>
    </row>
    <row r="34" spans="1:8" x14ac:dyDescent="0.25">
      <c r="A34" t="s">
        <v>18</v>
      </c>
      <c r="B34" s="15">
        <f>3.846E+26</f>
        <v>3.8459999999999999E+26</v>
      </c>
      <c r="C34" s="43"/>
    </row>
    <row r="35" spans="1:8" x14ac:dyDescent="0.25">
      <c r="A35" t="s">
        <v>31</v>
      </c>
      <c r="B35" s="1">
        <f>9.10938356E-31</f>
        <v>9.1093835599999998E-31</v>
      </c>
    </row>
    <row r="36" spans="1:8" x14ac:dyDescent="0.25">
      <c r="A36" s="45" t="s">
        <v>655</v>
      </c>
      <c r="B36" s="15">
        <v>1.6726219E-27</v>
      </c>
    </row>
    <row r="37" spans="1:8" s="45" customFormat="1" x14ac:dyDescent="0.25">
      <c r="A37" t="s">
        <v>630</v>
      </c>
      <c r="B37" s="1">
        <f>1.6735575E-27</f>
        <v>1.6735574999999999E-27</v>
      </c>
      <c r="C37" s="6"/>
      <c r="D37" s="15"/>
      <c r="H37" s="16"/>
    </row>
    <row r="38" spans="1:8" x14ac:dyDescent="0.25">
      <c r="A38" s="45" t="s">
        <v>631</v>
      </c>
      <c r="B38" s="15">
        <v>6.6464730999999995E-27</v>
      </c>
      <c r="C38" s="17"/>
    </row>
    <row r="39" spans="1:8" s="45" customFormat="1" x14ac:dyDescent="0.25">
      <c r="A39" t="s">
        <v>650</v>
      </c>
      <c r="B39" s="65">
        <v>0.75</v>
      </c>
      <c r="C39" s="6"/>
      <c r="D39" s="15"/>
      <c r="H39" s="16"/>
    </row>
    <row r="40" spans="1:8" x14ac:dyDescent="0.25">
      <c r="A40" t="s">
        <v>651</v>
      </c>
      <c r="B40" s="65">
        <v>0.249</v>
      </c>
      <c r="C40" s="17"/>
    </row>
    <row r="41" spans="1:8" x14ac:dyDescent="0.25">
      <c r="A41" t="s">
        <v>652</v>
      </c>
      <c r="B41" s="12">
        <v>1.2020599999999999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V488"/>
  <sheetViews>
    <sheetView topLeftCell="A442" zoomScaleNormal="100" workbookViewId="0">
      <selection activeCell="B482" sqref="B482"/>
    </sheetView>
  </sheetViews>
  <sheetFormatPr defaultRowHeight="15" x14ac:dyDescent="0.25"/>
  <cols>
    <col min="1" max="1" width="15.7109375" customWidth="1"/>
    <col min="2" max="11" width="10.7109375" style="16" customWidth="1"/>
    <col min="12" max="12" width="12" style="16" customWidth="1"/>
    <col min="13" max="13" width="10.7109375" style="2" customWidth="1"/>
    <col min="14" max="14" width="10.7109375" style="15" customWidth="1"/>
    <col min="15" max="15" width="10.7109375" style="16" customWidth="1"/>
    <col min="16" max="16" width="10.7109375" style="2" customWidth="1"/>
    <col min="17" max="17" width="12.7109375" style="16" customWidth="1"/>
    <col min="18" max="18" width="10.7109375" style="19" customWidth="1"/>
    <col min="19" max="19" width="10.7109375" style="16" customWidth="1"/>
    <col min="20" max="20" width="10.5703125" style="16" bestFit="1" customWidth="1"/>
    <col min="21" max="21" width="12.85546875" style="15" customWidth="1"/>
  </cols>
  <sheetData>
    <row r="1" spans="1:22" s="35" customFormat="1" x14ac:dyDescent="0.25">
      <c r="A1" s="35" t="s">
        <v>38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5"/>
      <c r="O1" s="16"/>
      <c r="P1" s="16"/>
      <c r="Q1" s="16"/>
      <c r="R1" s="19"/>
      <c r="S1" s="16"/>
      <c r="T1" s="16"/>
      <c r="U1" s="15"/>
    </row>
    <row r="2" spans="1:22" s="35" customFormat="1" ht="17.25" x14ac:dyDescent="0.25">
      <c r="A2" s="35" t="s">
        <v>39</v>
      </c>
      <c r="B2" s="16">
        <v>0.14699999999999999</v>
      </c>
      <c r="C2" s="16"/>
      <c r="D2" s="37" t="s">
        <v>612</v>
      </c>
      <c r="E2" s="26">
        <f>$Q$484</f>
        <v>0.84061974128160855</v>
      </c>
      <c r="F2" s="16"/>
      <c r="G2" s="16"/>
      <c r="H2" s="16"/>
      <c r="I2" s="16"/>
      <c r="J2" s="15"/>
      <c r="K2" s="16"/>
      <c r="L2" s="15"/>
      <c r="N2" s="15"/>
      <c r="O2" s="16"/>
      <c r="P2" s="16"/>
      <c r="Q2" s="16"/>
      <c r="R2" s="19"/>
      <c r="S2" s="16"/>
      <c r="T2" s="16"/>
      <c r="U2" s="15"/>
    </row>
    <row r="3" spans="1:22" s="35" customFormat="1" ht="17.25" x14ac:dyDescent="0.25">
      <c r="A3" s="35" t="s">
        <v>40</v>
      </c>
      <c r="B3" s="16">
        <v>3.13</v>
      </c>
      <c r="C3" s="16"/>
      <c r="D3" s="37" t="s">
        <v>673</v>
      </c>
      <c r="E3" s="26">
        <f>$T$483</f>
        <v>2.3085535705988023</v>
      </c>
      <c r="F3" s="16"/>
      <c r="G3" s="16"/>
      <c r="H3" s="16"/>
      <c r="I3" s="16"/>
      <c r="J3" s="15"/>
      <c r="K3" s="16"/>
      <c r="L3" s="15"/>
      <c r="N3" s="15"/>
      <c r="O3" s="16"/>
      <c r="P3" s="16"/>
      <c r="Q3" s="16"/>
      <c r="R3" s="19"/>
      <c r="S3" s="16"/>
      <c r="T3" s="16"/>
      <c r="U3" s="15"/>
    </row>
    <row r="4" spans="1:22" s="35" customFormat="1" ht="18" x14ac:dyDescent="0.35">
      <c r="A4" s="35" t="s">
        <v>41</v>
      </c>
      <c r="B4" s="16">
        <v>-19.34</v>
      </c>
      <c r="C4" s="16"/>
      <c r="D4" s="16"/>
      <c r="E4" s="16"/>
      <c r="F4" s="16"/>
      <c r="G4" s="16"/>
      <c r="H4" s="16"/>
      <c r="I4" s="16"/>
      <c r="J4" s="15"/>
      <c r="K4" s="16"/>
      <c r="L4" s="15"/>
      <c r="M4" s="16"/>
      <c r="N4" s="15"/>
      <c r="O4" s="16"/>
      <c r="P4" s="15"/>
      <c r="Q4" s="16"/>
      <c r="R4" s="19"/>
      <c r="S4" s="16"/>
      <c r="T4" s="16"/>
      <c r="U4" s="15"/>
    </row>
    <row r="5" spans="1:22" s="35" customFormat="1" x14ac:dyDescent="0.25">
      <c r="B5" s="16"/>
      <c r="C5" s="16"/>
      <c r="D5" s="16"/>
      <c r="E5" s="16"/>
      <c r="F5" s="16"/>
      <c r="G5" s="16"/>
      <c r="H5" s="16"/>
      <c r="I5" s="16"/>
      <c r="J5" s="16"/>
      <c r="K5" s="16"/>
      <c r="L5" s="15"/>
      <c r="M5" s="16"/>
      <c r="N5" s="15"/>
      <c r="O5" s="16"/>
      <c r="P5" s="16"/>
      <c r="Q5" s="16"/>
      <c r="R5" s="19"/>
      <c r="S5" s="16"/>
      <c r="T5" s="16"/>
      <c r="U5" s="15"/>
    </row>
    <row r="6" spans="1:22" s="3" customFormat="1" ht="60" customHeight="1" x14ac:dyDescent="0.25">
      <c r="A6" s="23" t="s">
        <v>1</v>
      </c>
      <c r="B6" s="27" t="s">
        <v>2</v>
      </c>
      <c r="C6" s="27" t="s">
        <v>507</v>
      </c>
      <c r="D6" s="27" t="s">
        <v>35</v>
      </c>
      <c r="E6" s="27" t="s">
        <v>503</v>
      </c>
      <c r="F6" s="27" t="s">
        <v>36</v>
      </c>
      <c r="G6" s="27" t="s">
        <v>504</v>
      </c>
      <c r="H6" s="27" t="s">
        <v>37</v>
      </c>
      <c r="I6" s="27" t="s">
        <v>505</v>
      </c>
      <c r="J6" s="27" t="s">
        <v>506</v>
      </c>
      <c r="K6" s="27" t="s">
        <v>42</v>
      </c>
      <c r="L6" s="27" t="s">
        <v>508</v>
      </c>
      <c r="M6" s="23" t="s">
        <v>560</v>
      </c>
      <c r="N6" s="28" t="s">
        <v>644</v>
      </c>
      <c r="O6" s="28" t="s">
        <v>613</v>
      </c>
      <c r="P6" s="27" t="s">
        <v>611</v>
      </c>
      <c r="Q6" s="27" t="s">
        <v>703</v>
      </c>
      <c r="R6" s="66" t="s">
        <v>676</v>
      </c>
      <c r="S6" s="27" t="s">
        <v>672</v>
      </c>
      <c r="T6" s="27" t="s">
        <v>704</v>
      </c>
      <c r="U6" s="28"/>
    </row>
    <row r="7" spans="1:22" ht="15" customHeight="1" x14ac:dyDescent="0.25">
      <c r="A7" s="35" t="s">
        <v>43</v>
      </c>
      <c r="B7" s="16">
        <v>0.01</v>
      </c>
      <c r="C7" s="8">
        <v>0</v>
      </c>
      <c r="D7" s="8">
        <v>14.183</v>
      </c>
      <c r="E7" s="8">
        <v>4.2000000000000003E-2</v>
      </c>
      <c r="F7" s="8">
        <v>0.97299999999999998</v>
      </c>
      <c r="G7" s="8">
        <v>2.5999999999999999E-2</v>
      </c>
      <c r="H7" s="8">
        <v>3.5000000000000003E-2</v>
      </c>
      <c r="I7" s="8">
        <v>2.5000000000000001E-2</v>
      </c>
      <c r="J7" s="8">
        <v>0.12</v>
      </c>
      <c r="K7" s="39">
        <f t="shared" ref="K7:K70" si="0">PeakMagnitudeError+StretchError+ColorError+ScatterError</f>
        <v>0.21299999999999999</v>
      </c>
      <c r="L7" s="39">
        <f t="shared" ref="L7:L70" si="1">PeakMagnitude+α*(Stretch-1)-β*Color-Mb</f>
        <v>33.409481</v>
      </c>
      <c r="M7" s="30">
        <f t="shared" ref="M7:M70" si="2">10^((ObservedDistanceModuli-25)/5)</f>
        <v>48.072443757165757</v>
      </c>
      <c r="N7" s="30">
        <f>(RedShift*Age*(2*InitialTangentVelocity-UniverseAcceleration*Age))/(2+RedShift)*(1+RedShift)</f>
        <v>1.5360258660414711E+24</v>
      </c>
      <c r="O7" s="36">
        <f t="shared" ref="O7:O70" si="3">N7/Mpc</f>
        <v>49.779208171239695</v>
      </c>
      <c r="P7" s="36">
        <f t="shared" ref="P7:P70" si="4">(LOG10(T2LuminousDistance)*5+25)</f>
        <v>33.485239920423112</v>
      </c>
      <c r="Q7" s="36">
        <f>(ObservedDistanceModuli-T2DistanceModuli)^2/TotalError^2</f>
        <v>0.12650519129086987</v>
      </c>
      <c r="R7" s="19">
        <v>41.103659422180243</v>
      </c>
      <c r="S7" s="36">
        <f t="shared" ref="S7:S70" si="5">(LOG10(ΛCDMLuminousDistance)*5+25)</f>
        <v>33.069402442240715</v>
      </c>
      <c r="T7" s="36">
        <f>(ObservedDistanceModuli-ΛCDMDistanceModuli)^2/TotalError^2</f>
        <v>2.5491729032518857</v>
      </c>
      <c r="U7" s="30"/>
      <c r="V7" s="15"/>
    </row>
    <row r="8" spans="1:22" ht="15" customHeight="1" x14ac:dyDescent="0.25">
      <c r="A8" s="35" t="s">
        <v>44</v>
      </c>
      <c r="B8" s="16">
        <v>0.01</v>
      </c>
      <c r="C8" s="8">
        <v>0</v>
      </c>
      <c r="D8" s="8">
        <v>14.13</v>
      </c>
      <c r="E8" s="8">
        <v>0.03</v>
      </c>
      <c r="F8" s="8">
        <v>0.98699999999999999</v>
      </c>
      <c r="G8" s="8">
        <v>8.9999999999999993E-3</v>
      </c>
      <c r="H8" s="8">
        <v>5.6000000000000001E-2</v>
      </c>
      <c r="I8" s="8">
        <v>1.7999999999999999E-2</v>
      </c>
      <c r="J8" s="8">
        <v>0.12</v>
      </c>
      <c r="K8" s="39">
        <f t="shared" si="0"/>
        <v>0.17699999999999999</v>
      </c>
      <c r="L8" s="39">
        <f t="shared" si="1"/>
        <v>33.292808999999998</v>
      </c>
      <c r="M8" s="30">
        <f t="shared" si="2"/>
        <v>45.557701005203917</v>
      </c>
      <c r="N8" s="30">
        <f>(RedShift*Age*(2*InitialTangentVelocity-UniverseAcceleration*Age))/(2+RedShift)*(1+RedShift)</f>
        <v>1.5360258660414711E+24</v>
      </c>
      <c r="O8" s="36">
        <f t="shared" si="3"/>
        <v>49.779208171239695</v>
      </c>
      <c r="P8" s="36">
        <f t="shared" si="4"/>
        <v>33.485239920423112</v>
      </c>
      <c r="Q8" s="36">
        <f t="shared" ref="Q8:Q70" si="6">(ObservedDistanceModuli-T2DistanceModuli)^2/TotalError^2</f>
        <v>1.1819610946690504</v>
      </c>
      <c r="R8" s="19">
        <v>41.103659422180243</v>
      </c>
      <c r="S8" s="36">
        <f t="shared" si="5"/>
        <v>33.069402442240715</v>
      </c>
      <c r="T8" s="36">
        <f t="shared" ref="T8:T70" si="7">(ObservedDistanceModuli-ΛCDMDistanceModuli)^2/TotalError^2</f>
        <v>1.5931083038032445</v>
      </c>
      <c r="U8" s="30"/>
    </row>
    <row r="9" spans="1:22" ht="15" customHeight="1" x14ac:dyDescent="0.25">
      <c r="A9" s="35" t="s">
        <v>45</v>
      </c>
      <c r="B9" s="16">
        <v>1.0999999999999999E-2</v>
      </c>
      <c r="C9" s="8">
        <v>0</v>
      </c>
      <c r="D9" s="8">
        <v>14.317</v>
      </c>
      <c r="E9" s="8">
        <v>3.5999999999999997E-2</v>
      </c>
      <c r="F9" s="8">
        <v>0.98299999999999998</v>
      </c>
      <c r="G9" s="8">
        <v>2.3E-2</v>
      </c>
      <c r="H9" s="8">
        <v>5.6000000000000001E-2</v>
      </c>
      <c r="I9" s="8">
        <v>2.5000000000000001E-2</v>
      </c>
      <c r="J9" s="8">
        <v>0.12</v>
      </c>
      <c r="K9" s="39">
        <f t="shared" si="0"/>
        <v>0.20399999999999999</v>
      </c>
      <c r="L9" s="39">
        <f t="shared" si="1"/>
        <v>33.479220999999995</v>
      </c>
      <c r="M9" s="30">
        <f t="shared" si="2"/>
        <v>49.641420450258337</v>
      </c>
      <c r="N9" s="30">
        <f>(RedShift*Age*(2*InitialTangentVelocity-UniverseAcceleration*Age))/(2+RedShift)*(1+RedShift)</f>
        <v>1.6904603270653413E+24</v>
      </c>
      <c r="O9" s="36">
        <f t="shared" si="3"/>
        <v>54.784088202285261</v>
      </c>
      <c r="P9" s="36">
        <f t="shared" si="4"/>
        <v>33.69327218937476</v>
      </c>
      <c r="Q9" s="36">
        <f t="shared" si="6"/>
        <v>1.1009686580341989</v>
      </c>
      <c r="R9" s="19">
        <v>45.248603556527648</v>
      </c>
      <c r="S9" s="36">
        <f t="shared" si="5"/>
        <v>33.278025903667157</v>
      </c>
      <c r="T9" s="36">
        <f t="shared" si="7"/>
        <v>0.97268999395377509</v>
      </c>
      <c r="U9" s="30"/>
    </row>
    <row r="10" spans="1:22" ht="15" customHeight="1" x14ac:dyDescent="0.25">
      <c r="A10" s="35" t="s">
        <v>46</v>
      </c>
      <c r="B10" s="16">
        <v>1.0999999999999999E-2</v>
      </c>
      <c r="C10" s="8">
        <v>1E-3</v>
      </c>
      <c r="D10" s="8">
        <v>14.347</v>
      </c>
      <c r="E10" s="8">
        <v>2.1000000000000001E-2</v>
      </c>
      <c r="F10" s="8">
        <v>0.81399999999999995</v>
      </c>
      <c r="G10" s="8">
        <v>8.0000000000000002E-3</v>
      </c>
      <c r="H10" s="8">
        <v>-4.4999999999999998E-2</v>
      </c>
      <c r="I10" s="8">
        <v>1.9E-2</v>
      </c>
      <c r="J10" s="8">
        <v>0.12</v>
      </c>
      <c r="K10" s="39">
        <f t="shared" si="0"/>
        <v>0.16799999999999998</v>
      </c>
      <c r="L10" s="39">
        <f t="shared" si="1"/>
        <v>33.800508000000001</v>
      </c>
      <c r="M10" s="30">
        <f t="shared" si="2"/>
        <v>57.557457302629494</v>
      </c>
      <c r="N10" s="30">
        <f>(RedShift*Age*(2*InitialTangentVelocity-UniverseAcceleration*Age))/(2+RedShift)*(1+RedShift)</f>
        <v>1.6904603270653413E+24</v>
      </c>
      <c r="O10" s="36">
        <f t="shared" si="3"/>
        <v>54.784088202285261</v>
      </c>
      <c r="P10" s="36">
        <f t="shared" si="4"/>
        <v>33.69327218937476</v>
      </c>
      <c r="Q10" s="36">
        <f t="shared" si="6"/>
        <v>0.40743760914301769</v>
      </c>
      <c r="R10" s="19">
        <v>45.248603556527648</v>
      </c>
      <c r="S10" s="36">
        <f t="shared" si="5"/>
        <v>33.278025903667157</v>
      </c>
      <c r="T10" s="36">
        <f t="shared" si="7"/>
        <v>9.6721776143836227</v>
      </c>
      <c r="U10" s="30"/>
    </row>
    <row r="11" spans="1:22" ht="15" customHeight="1" x14ac:dyDescent="0.25">
      <c r="A11" s="35" t="s">
        <v>47</v>
      </c>
      <c r="B11" s="16">
        <v>1.0999999999999999E-2</v>
      </c>
      <c r="C11" s="8">
        <v>0</v>
      </c>
      <c r="D11" s="8">
        <v>14.597</v>
      </c>
      <c r="E11" s="8">
        <v>0.03</v>
      </c>
      <c r="F11" s="8">
        <v>0.97299999999999998</v>
      </c>
      <c r="G11" s="8">
        <v>2.9000000000000001E-2</v>
      </c>
      <c r="H11" s="8">
        <v>0.113</v>
      </c>
      <c r="I11" s="8">
        <v>2.4E-2</v>
      </c>
      <c r="J11" s="8">
        <v>0.12</v>
      </c>
      <c r="K11" s="39">
        <f t="shared" si="0"/>
        <v>0.20299999999999999</v>
      </c>
      <c r="L11" s="39">
        <f t="shared" si="1"/>
        <v>33.579340999999999</v>
      </c>
      <c r="M11" s="30">
        <f t="shared" si="2"/>
        <v>51.983821172009236</v>
      </c>
      <c r="N11" s="30">
        <f>(RedShift*Age*(2*InitialTangentVelocity-UniverseAcceleration*Age))/(2+RedShift)*(1+RedShift)</f>
        <v>1.6904603270653413E+24</v>
      </c>
      <c r="O11" s="36">
        <f t="shared" si="3"/>
        <v>54.784088202285261</v>
      </c>
      <c r="P11" s="36">
        <f t="shared" si="4"/>
        <v>33.69327218937476</v>
      </c>
      <c r="Q11" s="36">
        <f t="shared" si="6"/>
        <v>0.31498740353678811</v>
      </c>
      <c r="R11" s="19">
        <v>45.248603556527648</v>
      </c>
      <c r="S11" s="36">
        <f t="shared" si="5"/>
        <v>33.278025903667157</v>
      </c>
      <c r="T11" s="36">
        <f t="shared" si="7"/>
        <v>2.2031786085095573</v>
      </c>
      <c r="U11" s="30"/>
    </row>
    <row r="12" spans="1:22" ht="15" customHeight="1" x14ac:dyDescent="0.25">
      <c r="A12" s="35" t="s">
        <v>48</v>
      </c>
      <c r="B12" s="16">
        <v>1.2E-2</v>
      </c>
      <c r="C12" s="8">
        <v>1E-3</v>
      </c>
      <c r="D12" s="8">
        <v>14.843</v>
      </c>
      <c r="E12" s="8">
        <v>2.5999999999999999E-2</v>
      </c>
      <c r="F12" s="8">
        <v>0.871</v>
      </c>
      <c r="G12" s="8">
        <v>1.2999999999999999E-2</v>
      </c>
      <c r="H12" s="8">
        <v>-7.2999999999999995E-2</v>
      </c>
      <c r="I12" s="8">
        <v>0.02</v>
      </c>
      <c r="J12" s="8">
        <v>0.12</v>
      </c>
      <c r="K12" s="39">
        <f t="shared" si="0"/>
        <v>0.17899999999999999</v>
      </c>
      <c r="L12" s="39">
        <f t="shared" si="1"/>
        <v>34.392527000000001</v>
      </c>
      <c r="M12" s="30">
        <f t="shared" si="2"/>
        <v>75.59714599990032</v>
      </c>
      <c r="N12" s="30">
        <f>(RedShift*Age*(2*InitialTangentVelocity-UniverseAcceleration*Age))/(2+RedShift)*(1+RedShift)</f>
        <v>1.8450451358968623E+24</v>
      </c>
      <c r="O12" s="36">
        <f t="shared" si="3"/>
        <v>59.793840673945667</v>
      </c>
      <c r="P12" s="36">
        <f t="shared" si="4"/>
        <v>33.88328224944992</v>
      </c>
      <c r="Q12" s="36">
        <f t="shared" si="6"/>
        <v>8.0936991967421328</v>
      </c>
      <c r="R12" s="19">
        <v>49.399807969154111</v>
      </c>
      <c r="S12" s="36">
        <f t="shared" si="5"/>
        <v>33.468626303515116</v>
      </c>
      <c r="T12" s="36">
        <f t="shared" si="7"/>
        <v>26.640632220132222</v>
      </c>
      <c r="U12" s="30"/>
    </row>
    <row r="13" spans="1:22" ht="15" customHeight="1" x14ac:dyDescent="0.25">
      <c r="A13" s="35" t="s">
        <v>49</v>
      </c>
      <c r="B13" s="16">
        <v>1.2999999999999999E-2</v>
      </c>
      <c r="C13" s="8">
        <v>0</v>
      </c>
      <c r="D13" s="8">
        <v>14.904</v>
      </c>
      <c r="E13" s="8">
        <v>2.5000000000000001E-2</v>
      </c>
      <c r="F13" s="8">
        <v>0.90300000000000002</v>
      </c>
      <c r="G13" s="8">
        <v>2.4E-2</v>
      </c>
      <c r="H13" s="8">
        <v>8.7999999999999995E-2</v>
      </c>
      <c r="I13" s="8">
        <v>0.02</v>
      </c>
      <c r="J13" s="8">
        <v>0.12</v>
      </c>
      <c r="K13" s="39">
        <f t="shared" si="0"/>
        <v>0.189</v>
      </c>
      <c r="L13" s="39">
        <f t="shared" si="1"/>
        <v>33.954301000000001</v>
      </c>
      <c r="M13" s="30">
        <f t="shared" si="2"/>
        <v>61.781749181261212</v>
      </c>
      <c r="N13" s="30">
        <f>(RedShift*Age*(2*InitialTangentVelocity-UniverseAcceleration*Age))/(2+RedShift)*(1+RedShift)</f>
        <v>1.9997800684707448E+24</v>
      </c>
      <c r="O13" s="36">
        <f t="shared" si="3"/>
        <v>64.808458324759414</v>
      </c>
      <c r="P13" s="36">
        <f t="shared" si="4"/>
        <v>34.058158452504657</v>
      </c>
      <c r="Q13" s="36">
        <f t="shared" si="6"/>
        <v>0.30196160355972101</v>
      </c>
      <c r="R13" s="19">
        <v>53.557265996914317</v>
      </c>
      <c r="S13" s="36">
        <f t="shared" si="5"/>
        <v>33.644091994728285</v>
      </c>
      <c r="T13" s="36">
        <f t="shared" si="7"/>
        <v>2.6939230971044332</v>
      </c>
      <c r="U13" s="30"/>
    </row>
    <row r="14" spans="1:22" ht="15" customHeight="1" x14ac:dyDescent="0.25">
      <c r="A14" s="35" t="s">
        <v>50</v>
      </c>
      <c r="B14" s="16">
        <v>1.4E-2</v>
      </c>
      <c r="C14" s="8">
        <v>0</v>
      </c>
      <c r="D14" s="8">
        <v>15.118</v>
      </c>
      <c r="E14" s="8">
        <v>4.1000000000000002E-2</v>
      </c>
      <c r="F14" s="8">
        <v>0.81899999999999995</v>
      </c>
      <c r="G14" s="8">
        <v>1.7000000000000001E-2</v>
      </c>
      <c r="H14" s="8">
        <v>3.5999999999999997E-2</v>
      </c>
      <c r="I14" s="8">
        <v>2.1999999999999999E-2</v>
      </c>
      <c r="J14" s="8">
        <v>0.12</v>
      </c>
      <c r="K14" s="39">
        <f t="shared" si="0"/>
        <v>0.2</v>
      </c>
      <c r="L14" s="39">
        <f t="shared" si="1"/>
        <v>34.318713000000002</v>
      </c>
      <c r="M14" s="30">
        <f t="shared" si="2"/>
        <v>73.070587641155655</v>
      </c>
      <c r="N14" s="30">
        <f>(RedShift*Age*(2*InitialTangentVelocity-UniverseAcceleration*Age))/(2+RedShift)*(1+RedShift)</f>
        <v>2.1546649011667187E+24</v>
      </c>
      <c r="O14" s="36">
        <f t="shared" si="3"/>
        <v>69.827933907687097</v>
      </c>
      <c r="P14" s="36">
        <f t="shared" si="4"/>
        <v>34.220145960902123</v>
      </c>
      <c r="Q14" s="36">
        <f t="shared" si="6"/>
        <v>0.24288652991307347</v>
      </c>
      <c r="R14" s="19">
        <v>57.720970977752756</v>
      </c>
      <c r="S14" s="36">
        <f t="shared" si="5"/>
        <v>33.806668140757075</v>
      </c>
      <c r="T14" s="36">
        <f t="shared" si="7"/>
        <v>6.5547484469277215</v>
      </c>
      <c r="U14" s="30"/>
    </row>
    <row r="15" spans="1:22" ht="15" customHeight="1" x14ac:dyDescent="0.25">
      <c r="A15" s="35" t="s">
        <v>51</v>
      </c>
      <c r="B15" s="16">
        <v>1.4999999999999999E-2</v>
      </c>
      <c r="C15" s="8">
        <v>0</v>
      </c>
      <c r="D15" s="8">
        <v>14.685</v>
      </c>
      <c r="E15" s="8">
        <v>2.4E-2</v>
      </c>
      <c r="F15" s="8">
        <v>1.077</v>
      </c>
      <c r="G15" s="8">
        <v>2.8000000000000001E-2</v>
      </c>
      <c r="H15" s="8">
        <v>-2E-3</v>
      </c>
      <c r="I15" s="8">
        <v>2.1999999999999999E-2</v>
      </c>
      <c r="J15" s="8">
        <v>0.12</v>
      </c>
      <c r="K15" s="39">
        <f t="shared" si="0"/>
        <v>0.19400000000000001</v>
      </c>
      <c r="L15" s="39">
        <f t="shared" si="1"/>
        <v>34.042579000000003</v>
      </c>
      <c r="M15" s="30">
        <f t="shared" si="2"/>
        <v>64.345147387447213</v>
      </c>
      <c r="N15" s="30">
        <f>(RedShift*Age*(2*InitialTangentVelocity-UniverseAcceleration*Age))/(2+RedShift)*(1+RedShift)</f>
        <v>2.3096994108084213E+24</v>
      </c>
      <c r="O15" s="36">
        <f t="shared" si="3"/>
        <v>74.852260190075384</v>
      </c>
      <c r="P15" s="36">
        <f t="shared" si="4"/>
        <v>34.371024592751262</v>
      </c>
      <c r="Q15" s="36">
        <f t="shared" si="6"/>
        <v>2.866311706815956</v>
      </c>
      <c r="R15" s="19">
        <v>61.890916250731067</v>
      </c>
      <c r="S15" s="36">
        <f t="shared" si="5"/>
        <v>33.958134560797326</v>
      </c>
      <c r="T15" s="36">
        <f t="shared" si="7"/>
        <v>0.18946921331317523</v>
      </c>
      <c r="U15" s="30"/>
    </row>
    <row r="16" spans="1:22" ht="15" customHeight="1" x14ac:dyDescent="0.25">
      <c r="A16" s="35" t="s">
        <v>52</v>
      </c>
      <c r="B16" s="16">
        <v>1.4E-2</v>
      </c>
      <c r="C16" s="8">
        <v>1E-3</v>
      </c>
      <c r="D16" s="8">
        <v>15.646000000000001</v>
      </c>
      <c r="E16" s="8">
        <v>2.5000000000000001E-2</v>
      </c>
      <c r="F16" s="8">
        <v>0.86699999999999999</v>
      </c>
      <c r="G16" s="8">
        <v>2.1000000000000001E-2</v>
      </c>
      <c r="H16" s="8">
        <v>0.23599999999999999</v>
      </c>
      <c r="I16" s="8">
        <v>0.02</v>
      </c>
      <c r="J16" s="8">
        <v>0.12</v>
      </c>
      <c r="K16" s="39">
        <f t="shared" si="0"/>
        <v>0.186</v>
      </c>
      <c r="L16" s="39">
        <f t="shared" si="1"/>
        <v>34.227769000000002</v>
      </c>
      <c r="M16" s="30">
        <f t="shared" si="2"/>
        <v>70.07349838926153</v>
      </c>
      <c r="N16" s="30">
        <f>(RedShift*Age*(2*InitialTangentVelocity-UniverseAcceleration*Age))/(2+RedShift)*(1+RedShift)</f>
        <v>2.1546649011667187E+24</v>
      </c>
      <c r="O16" s="36">
        <f t="shared" si="3"/>
        <v>69.827933907687097</v>
      </c>
      <c r="P16" s="36">
        <f t="shared" si="4"/>
        <v>34.220145960902123</v>
      </c>
      <c r="Q16" s="36">
        <f t="shared" si="6"/>
        <v>1.6796949094634254E-3</v>
      </c>
      <c r="R16" s="19">
        <v>57.720970977752756</v>
      </c>
      <c r="S16" s="36">
        <f t="shared" si="5"/>
        <v>33.806668140757075</v>
      </c>
      <c r="T16" s="36">
        <f t="shared" si="7"/>
        <v>5.1256195414247632</v>
      </c>
      <c r="U16" s="30"/>
    </row>
    <row r="17" spans="1:21" ht="15" customHeight="1" x14ac:dyDescent="0.25">
      <c r="A17" s="35" t="s">
        <v>53</v>
      </c>
      <c r="B17" s="16">
        <v>1.4E-2</v>
      </c>
      <c r="C17" s="8">
        <v>0</v>
      </c>
      <c r="D17" s="8">
        <v>14.702999999999999</v>
      </c>
      <c r="E17" s="8">
        <v>3.7999999999999999E-2</v>
      </c>
      <c r="F17" s="8">
        <v>0.86699999999999999</v>
      </c>
      <c r="G17" s="8">
        <v>0.02</v>
      </c>
      <c r="H17" s="8">
        <v>-5.6000000000000001E-2</v>
      </c>
      <c r="I17" s="8">
        <v>2.4E-2</v>
      </c>
      <c r="J17" s="8">
        <v>0.12</v>
      </c>
      <c r="K17" s="39">
        <f t="shared" si="0"/>
        <v>0.20199999999999999</v>
      </c>
      <c r="L17" s="39">
        <f t="shared" si="1"/>
        <v>34.198729</v>
      </c>
      <c r="M17" s="30">
        <f t="shared" si="2"/>
        <v>69.142614888634384</v>
      </c>
      <c r="N17" s="30">
        <f>(RedShift*Age*(2*InitialTangentVelocity-UniverseAcceleration*Age))/(2+RedShift)*(1+RedShift)</f>
        <v>2.1546649011667187E+24</v>
      </c>
      <c r="O17" s="36">
        <f t="shared" si="3"/>
        <v>69.827933907687097</v>
      </c>
      <c r="P17" s="36">
        <f t="shared" si="4"/>
        <v>34.220145960902123</v>
      </c>
      <c r="Q17" s="36">
        <f t="shared" si="6"/>
        <v>1.1241207094477254E-2</v>
      </c>
      <c r="R17" s="19">
        <v>57.720970977752756</v>
      </c>
      <c r="S17" s="36">
        <f t="shared" si="5"/>
        <v>33.806668140757075</v>
      </c>
      <c r="T17" s="36">
        <f t="shared" si="7"/>
        <v>3.7670747316513191</v>
      </c>
      <c r="U17" s="30"/>
    </row>
    <row r="18" spans="1:21" ht="15" customHeight="1" x14ac:dyDescent="0.25">
      <c r="A18" s="35" t="s">
        <v>54</v>
      </c>
      <c r="B18" s="16">
        <v>1.4999999999999999E-2</v>
      </c>
      <c r="C18" s="8">
        <v>0</v>
      </c>
      <c r="D18" s="8">
        <v>15.09</v>
      </c>
      <c r="E18" s="8">
        <v>3.6999999999999998E-2</v>
      </c>
      <c r="F18" s="8">
        <v>0.78700000000000003</v>
      </c>
      <c r="G18" s="8">
        <v>1.7999999999999999E-2</v>
      </c>
      <c r="H18" s="8">
        <v>-2.3E-2</v>
      </c>
      <c r="I18" s="8">
        <v>2.1000000000000001E-2</v>
      </c>
      <c r="J18" s="8">
        <v>0.12</v>
      </c>
      <c r="K18" s="39">
        <f t="shared" si="0"/>
        <v>0.19600000000000001</v>
      </c>
      <c r="L18" s="39">
        <f t="shared" si="1"/>
        <v>34.470678999999997</v>
      </c>
      <c r="M18" s="30">
        <f t="shared" si="2"/>
        <v>78.36746525124002</v>
      </c>
      <c r="N18" s="30">
        <f>(RedShift*Age*(2*InitialTangentVelocity-UniverseAcceleration*Age))/(2+RedShift)*(1+RedShift)</f>
        <v>2.3096994108084213E+24</v>
      </c>
      <c r="O18" s="36">
        <f t="shared" si="3"/>
        <v>74.852260190075384</v>
      </c>
      <c r="P18" s="36">
        <f t="shared" si="4"/>
        <v>34.371024592751262</v>
      </c>
      <c r="Q18" s="36">
        <f t="shared" si="6"/>
        <v>0.25851210131447283</v>
      </c>
      <c r="R18" s="19">
        <v>61.890916250731067</v>
      </c>
      <c r="S18" s="36">
        <f t="shared" si="5"/>
        <v>33.958134560797326</v>
      </c>
      <c r="T18" s="36">
        <f t="shared" si="7"/>
        <v>6.8383434547475073</v>
      </c>
      <c r="U18" s="30"/>
    </row>
    <row r="19" spans="1:21" ht="15" customHeight="1" x14ac:dyDescent="0.25">
      <c r="A19" s="35" t="s">
        <v>55</v>
      </c>
      <c r="B19" s="16">
        <v>1.4E-2</v>
      </c>
      <c r="C19" s="8">
        <v>0</v>
      </c>
      <c r="D19" s="8">
        <v>14.409000000000001</v>
      </c>
      <c r="E19" s="8">
        <v>3.6999999999999998E-2</v>
      </c>
      <c r="F19" s="8">
        <v>1.103</v>
      </c>
      <c r="G19" s="8">
        <v>7.0000000000000001E-3</v>
      </c>
      <c r="H19" s="8">
        <v>7.4999999999999997E-2</v>
      </c>
      <c r="I19" s="8">
        <v>1.9E-2</v>
      </c>
      <c r="J19" s="8">
        <v>0.12</v>
      </c>
      <c r="K19" s="39">
        <f t="shared" si="0"/>
        <v>0.183</v>
      </c>
      <c r="L19" s="39">
        <f t="shared" si="1"/>
        <v>33.529391000000004</v>
      </c>
      <c r="M19" s="30">
        <f t="shared" si="2"/>
        <v>50.801694675579675</v>
      </c>
      <c r="N19" s="30">
        <f>(RedShift*Age*(2*InitialTangentVelocity-UniverseAcceleration*Age))/(2+RedShift)*(1+RedShift)</f>
        <v>2.1546649011667187E+24</v>
      </c>
      <c r="O19" s="36">
        <f t="shared" si="3"/>
        <v>69.827933907687097</v>
      </c>
      <c r="P19" s="36">
        <f t="shared" si="4"/>
        <v>34.220145960902123</v>
      </c>
      <c r="Q19" s="36">
        <f t="shared" si="6"/>
        <v>14.247735555283459</v>
      </c>
      <c r="R19" s="19">
        <v>57.720970977752756</v>
      </c>
      <c r="S19" s="36">
        <f t="shared" si="5"/>
        <v>33.806668140757075</v>
      </c>
      <c r="T19" s="36">
        <f t="shared" si="7"/>
        <v>2.2957571974802731</v>
      </c>
      <c r="U19" s="30"/>
    </row>
    <row r="20" spans="1:21" ht="15" customHeight="1" x14ac:dyDescent="0.25">
      <c r="A20" s="35" t="s">
        <v>56</v>
      </c>
      <c r="B20" s="16">
        <v>1.6E-2</v>
      </c>
      <c r="C20" s="8">
        <v>0</v>
      </c>
      <c r="D20" s="8">
        <v>14.728</v>
      </c>
      <c r="E20" s="8">
        <v>2.1999999999999999E-2</v>
      </c>
      <c r="F20" s="8">
        <v>1.1200000000000001</v>
      </c>
      <c r="G20" s="8">
        <v>7.0000000000000001E-3</v>
      </c>
      <c r="H20" s="8">
        <v>-5.1999999999999998E-2</v>
      </c>
      <c r="I20" s="8">
        <v>1.7999999999999999E-2</v>
      </c>
      <c r="J20" s="8">
        <v>0.12</v>
      </c>
      <c r="K20" s="39">
        <f t="shared" si="0"/>
        <v>0.16699999999999998</v>
      </c>
      <c r="L20" s="39">
        <f t="shared" si="1"/>
        <v>34.248400000000004</v>
      </c>
      <c r="M20" s="30">
        <f t="shared" si="2"/>
        <v>70.742434278278921</v>
      </c>
      <c r="N20" s="30">
        <f>(RedShift*Age*(2*InitialTangentVelocity-UniverseAcceleration*Age))/(2+RedShift)*(1+RedShift)</f>
        <v>2.4648833746623055E+24</v>
      </c>
      <c r="O20" s="36">
        <f t="shared" si="3"/>
        <v>79.881429953621591</v>
      </c>
      <c r="P20" s="36">
        <f t="shared" si="4"/>
        <v>34.512229152764029</v>
      </c>
      <c r="Q20" s="36">
        <f t="shared" si="6"/>
        <v>2.4958163379175722</v>
      </c>
      <c r="R20" s="19">
        <v>66.067095156055515</v>
      </c>
      <c r="S20" s="36">
        <f t="shared" si="5"/>
        <v>34.099926060647491</v>
      </c>
      <c r="T20" s="36">
        <f t="shared" si="7"/>
        <v>0.79043747236737671</v>
      </c>
      <c r="U20" s="30"/>
    </row>
    <row r="21" spans="1:21" x14ac:dyDescent="0.25">
      <c r="A21" s="35" t="s">
        <v>57</v>
      </c>
      <c r="B21" s="16">
        <v>1.4E-2</v>
      </c>
      <c r="C21" s="8">
        <v>0</v>
      </c>
      <c r="D21" s="8">
        <v>14.499000000000001</v>
      </c>
      <c r="E21" s="8">
        <v>2.5999999999999999E-2</v>
      </c>
      <c r="F21" s="8">
        <v>0.95899999999999996</v>
      </c>
      <c r="G21" s="8">
        <v>1.7999999999999999E-2</v>
      </c>
      <c r="H21" s="8">
        <v>-8.6999999999999994E-2</v>
      </c>
      <c r="I21" s="8">
        <v>2.3E-2</v>
      </c>
      <c r="J21" s="8">
        <v>0.12</v>
      </c>
      <c r="K21" s="39">
        <f t="shared" si="0"/>
        <v>0.187</v>
      </c>
      <c r="L21" s="39">
        <f t="shared" si="1"/>
        <v>34.105283</v>
      </c>
      <c r="M21" s="30">
        <f t="shared" si="2"/>
        <v>66.230281356335922</v>
      </c>
      <c r="N21" s="30">
        <f>(RedShift*Age*(2*InitialTangentVelocity-UniverseAcceleration*Age))/(2+RedShift)*(1+RedShift)</f>
        <v>2.1546649011667187E+24</v>
      </c>
      <c r="O21" s="36">
        <f t="shared" si="3"/>
        <v>69.827933907687097</v>
      </c>
      <c r="P21" s="36">
        <f t="shared" si="4"/>
        <v>34.220145960902123</v>
      </c>
      <c r="Q21" s="36">
        <f t="shared" si="6"/>
        <v>0.37729130907954439</v>
      </c>
      <c r="R21" s="19">
        <v>57.720970977752756</v>
      </c>
      <c r="S21" s="36">
        <f t="shared" si="5"/>
        <v>33.806668140757075</v>
      </c>
      <c r="T21" s="36">
        <f t="shared" si="7"/>
        <v>2.5499966873708604</v>
      </c>
      <c r="U21" s="30"/>
    </row>
    <row r="22" spans="1:21" x14ac:dyDescent="0.25">
      <c r="A22" s="35" t="s">
        <v>58</v>
      </c>
      <c r="B22" s="16">
        <v>1.4E-2</v>
      </c>
      <c r="C22" s="8">
        <v>0</v>
      </c>
      <c r="D22" s="8">
        <v>15.317</v>
      </c>
      <c r="E22" s="8">
        <v>2.9000000000000001E-2</v>
      </c>
      <c r="F22" s="8">
        <v>0.89900000000000002</v>
      </c>
      <c r="G22" s="8">
        <v>0.01</v>
      </c>
      <c r="H22" s="8">
        <v>0.18</v>
      </c>
      <c r="I22" s="8">
        <v>2.1999999999999999E-2</v>
      </c>
      <c r="J22" s="8">
        <v>0.12</v>
      </c>
      <c r="K22" s="39">
        <f t="shared" si="0"/>
        <v>0.18099999999999999</v>
      </c>
      <c r="L22" s="39">
        <f t="shared" si="1"/>
        <v>34.078752999999999</v>
      </c>
      <c r="M22" s="30">
        <f t="shared" si="2"/>
        <v>65.426034752892662</v>
      </c>
      <c r="N22" s="30">
        <f>(RedShift*Age*(2*InitialTangentVelocity-UniverseAcceleration*Age))/(2+RedShift)*(1+RedShift)</f>
        <v>2.1546649011667187E+24</v>
      </c>
      <c r="O22" s="36">
        <f t="shared" si="3"/>
        <v>69.827933907687097</v>
      </c>
      <c r="P22" s="36">
        <f t="shared" si="4"/>
        <v>34.220145960902123</v>
      </c>
      <c r="Q22" s="36">
        <f t="shared" si="6"/>
        <v>0.61023684846828607</v>
      </c>
      <c r="R22" s="19">
        <v>57.720970977752756</v>
      </c>
      <c r="S22" s="36">
        <f t="shared" si="5"/>
        <v>33.806668140757075</v>
      </c>
      <c r="T22" s="36">
        <f t="shared" si="7"/>
        <v>2.25970424068989</v>
      </c>
      <c r="U22" s="30"/>
    </row>
    <row r="23" spans="1:21" x14ac:dyDescent="0.25">
      <c r="A23" s="35" t="s">
        <v>59</v>
      </c>
      <c r="B23" s="16">
        <v>1.4999999999999999E-2</v>
      </c>
      <c r="C23" s="8">
        <v>0</v>
      </c>
      <c r="D23" s="8">
        <v>14.842000000000001</v>
      </c>
      <c r="E23" s="8">
        <v>3.9E-2</v>
      </c>
      <c r="F23" s="8">
        <v>0.83799999999999997</v>
      </c>
      <c r="G23" s="8">
        <v>0.01</v>
      </c>
      <c r="H23" s="8">
        <v>-0.08</v>
      </c>
      <c r="I23" s="8">
        <v>2.1000000000000001E-2</v>
      </c>
      <c r="J23" s="8">
        <v>0.12</v>
      </c>
      <c r="K23" s="39">
        <f t="shared" si="0"/>
        <v>0.19</v>
      </c>
      <c r="L23" s="39">
        <f t="shared" si="1"/>
        <v>34.408586</v>
      </c>
      <c r="M23" s="30">
        <f t="shared" si="2"/>
        <v>76.158292776011223</v>
      </c>
      <c r="N23" s="30">
        <f>(RedShift*Age*(2*InitialTangentVelocity-UniverseAcceleration*Age))/(2+RedShift)*(1+RedShift)</f>
        <v>2.3096994108084213E+24</v>
      </c>
      <c r="O23" s="36">
        <f t="shared" si="3"/>
        <v>74.852260190075384</v>
      </c>
      <c r="P23" s="36">
        <f t="shared" si="4"/>
        <v>34.371024592751262</v>
      </c>
      <c r="Q23" s="36">
        <f t="shared" si="6"/>
        <v>3.9081975471067842E-2</v>
      </c>
      <c r="R23" s="19">
        <v>61.890916250731067</v>
      </c>
      <c r="S23" s="36">
        <f t="shared" si="5"/>
        <v>33.958134560797326</v>
      </c>
      <c r="T23" s="36">
        <f t="shared" si="7"/>
        <v>5.6206786448686943</v>
      </c>
      <c r="U23" s="30"/>
    </row>
    <row r="24" spans="1:21" x14ac:dyDescent="0.25">
      <c r="A24" s="35" t="s">
        <v>60</v>
      </c>
      <c r="B24" s="16">
        <v>1.4E-2</v>
      </c>
      <c r="C24" s="8">
        <v>0</v>
      </c>
      <c r="D24" s="8">
        <v>14.881</v>
      </c>
      <c r="E24" s="8">
        <v>2.8000000000000001E-2</v>
      </c>
      <c r="F24" s="8">
        <v>0.99099999999999999</v>
      </c>
      <c r="G24" s="8">
        <v>2.3E-2</v>
      </c>
      <c r="H24" s="8">
        <v>8.5999999999999993E-2</v>
      </c>
      <c r="I24" s="8">
        <v>2.7E-2</v>
      </c>
      <c r="J24" s="8">
        <v>0.12</v>
      </c>
      <c r="K24" s="39">
        <f t="shared" si="0"/>
        <v>0.19800000000000001</v>
      </c>
      <c r="L24" s="39">
        <f t="shared" si="1"/>
        <v>33.950496999999999</v>
      </c>
      <c r="M24" s="30">
        <f t="shared" si="2"/>
        <v>61.673614240126895</v>
      </c>
      <c r="N24" s="30">
        <f>(RedShift*Age*(2*InitialTangentVelocity-UniverseAcceleration*Age))/(2+RedShift)*(1+RedShift)</f>
        <v>2.1546649011667187E+24</v>
      </c>
      <c r="O24" s="36">
        <f t="shared" si="3"/>
        <v>69.827933907687097</v>
      </c>
      <c r="P24" s="36">
        <f t="shared" si="4"/>
        <v>34.220145960902123</v>
      </c>
      <c r="Q24" s="36">
        <f t="shared" si="6"/>
        <v>1.8546720262114911</v>
      </c>
      <c r="R24" s="19">
        <v>57.720970977752756</v>
      </c>
      <c r="S24" s="36">
        <f t="shared" si="5"/>
        <v>33.806668140757075</v>
      </c>
      <c r="T24" s="36">
        <f t="shared" si="7"/>
        <v>0.52766913455567244</v>
      </c>
      <c r="U24" s="30"/>
    </row>
    <row r="25" spans="1:21" x14ac:dyDescent="0.25">
      <c r="A25" s="35" t="s">
        <v>61</v>
      </c>
      <c r="B25" s="16">
        <v>1.6E-2</v>
      </c>
      <c r="C25" s="8">
        <v>0</v>
      </c>
      <c r="D25" s="8">
        <v>14.596</v>
      </c>
      <c r="E25" s="8">
        <v>2.4E-2</v>
      </c>
      <c r="F25" s="8">
        <v>1.111</v>
      </c>
      <c r="G25" s="8">
        <v>1.2E-2</v>
      </c>
      <c r="H25" s="8">
        <v>2.5000000000000001E-2</v>
      </c>
      <c r="I25" s="8">
        <v>0.02</v>
      </c>
      <c r="J25" s="8">
        <v>0.12</v>
      </c>
      <c r="K25" s="39">
        <f t="shared" si="0"/>
        <v>0.17599999999999999</v>
      </c>
      <c r="L25" s="39">
        <f t="shared" si="1"/>
        <v>33.874066999999997</v>
      </c>
      <c r="M25" s="30">
        <f t="shared" si="2"/>
        <v>59.540626489037528</v>
      </c>
      <c r="N25" s="30">
        <f>(RedShift*Age*(2*InitialTangentVelocity-UniverseAcceleration*Age))/(2+RedShift)*(1+RedShift)</f>
        <v>2.4648833746623055E+24</v>
      </c>
      <c r="O25" s="36">
        <f t="shared" si="3"/>
        <v>79.881429953621591</v>
      </c>
      <c r="P25" s="36">
        <f t="shared" si="4"/>
        <v>34.512229152764029</v>
      </c>
      <c r="Q25" s="36">
        <f t="shared" si="6"/>
        <v>13.147305437126283</v>
      </c>
      <c r="R25" s="19">
        <v>66.067095156055515</v>
      </c>
      <c r="S25" s="36">
        <f t="shared" si="5"/>
        <v>34.099926060647491</v>
      </c>
      <c r="T25" s="36">
        <f t="shared" si="7"/>
        <v>1.6468335251991333</v>
      </c>
      <c r="U25" s="30"/>
    </row>
    <row r="26" spans="1:21" x14ac:dyDescent="0.25">
      <c r="A26" s="35" t="s">
        <v>62</v>
      </c>
      <c r="B26" s="16">
        <v>1.4999999999999999E-2</v>
      </c>
      <c r="C26" s="8">
        <v>0</v>
      </c>
      <c r="D26" s="8">
        <v>15.502000000000001</v>
      </c>
      <c r="E26" s="8">
        <v>4.2999999999999997E-2</v>
      </c>
      <c r="F26" s="8">
        <v>0.93300000000000005</v>
      </c>
      <c r="G26" s="8">
        <v>8.0000000000000002E-3</v>
      </c>
      <c r="H26" s="8">
        <v>0.17599999999999999</v>
      </c>
      <c r="I26" s="8">
        <v>2.1000000000000001E-2</v>
      </c>
      <c r="J26" s="8">
        <v>0.12</v>
      </c>
      <c r="K26" s="39">
        <f t="shared" si="0"/>
        <v>0.192</v>
      </c>
      <c r="L26" s="39">
        <f t="shared" si="1"/>
        <v>34.281271000000004</v>
      </c>
      <c r="M26" s="30">
        <f t="shared" si="2"/>
        <v>71.821455154709071</v>
      </c>
      <c r="N26" s="30">
        <f>(RedShift*Age*(2*InitialTangentVelocity-UniverseAcceleration*Age))/(2+RedShift)*(1+RedShift)</f>
        <v>2.3096994108084213E+24</v>
      </c>
      <c r="O26" s="36">
        <f t="shared" si="3"/>
        <v>74.852260190075384</v>
      </c>
      <c r="P26" s="36">
        <f t="shared" si="4"/>
        <v>34.371024592751262</v>
      </c>
      <c r="Q26" s="36">
        <f t="shared" si="6"/>
        <v>0.21852504914709855</v>
      </c>
      <c r="R26" s="19">
        <v>61.890916250731067</v>
      </c>
      <c r="S26" s="36">
        <f t="shared" si="5"/>
        <v>33.958134560797326</v>
      </c>
      <c r="T26" s="36">
        <f t="shared" si="7"/>
        <v>2.8324966997771752</v>
      </c>
      <c r="U26" s="30"/>
    </row>
    <row r="27" spans="1:21" x14ac:dyDescent="0.25">
      <c r="A27" s="35" t="s">
        <v>63</v>
      </c>
      <c r="B27" s="16">
        <v>1.4999999999999999E-2</v>
      </c>
      <c r="C27" s="8">
        <v>0</v>
      </c>
      <c r="D27" s="8">
        <v>14.801</v>
      </c>
      <c r="E27" s="8">
        <v>2.9000000000000001E-2</v>
      </c>
      <c r="F27" s="8">
        <v>1.0309999999999999</v>
      </c>
      <c r="G27" s="8">
        <v>3.3000000000000002E-2</v>
      </c>
      <c r="H27" s="8">
        <v>-3.6999999999999998E-2</v>
      </c>
      <c r="I27" s="8">
        <v>2.5999999999999999E-2</v>
      </c>
      <c r="J27" s="8">
        <v>0.12</v>
      </c>
      <c r="K27" s="39">
        <f t="shared" si="0"/>
        <v>0.20799999999999999</v>
      </c>
      <c r="L27" s="39">
        <f t="shared" si="1"/>
        <v>34.261367</v>
      </c>
      <c r="M27" s="30">
        <f t="shared" si="2"/>
        <v>71.166138255333365</v>
      </c>
      <c r="N27" s="30">
        <f>(RedShift*Age*(2*InitialTangentVelocity-UniverseAcceleration*Age))/(2+RedShift)*(1+RedShift)</f>
        <v>2.3096994108084213E+24</v>
      </c>
      <c r="O27" s="36">
        <f t="shared" si="3"/>
        <v>74.852260190075384</v>
      </c>
      <c r="P27" s="36">
        <f t="shared" si="4"/>
        <v>34.371024592751262</v>
      </c>
      <c r="Q27" s="36">
        <f t="shared" si="6"/>
        <v>0.27793980325447426</v>
      </c>
      <c r="R27" s="19">
        <v>61.890916250731067</v>
      </c>
      <c r="S27" s="36">
        <f t="shared" si="5"/>
        <v>33.958134560797326</v>
      </c>
      <c r="T27" s="36">
        <f t="shared" si="7"/>
        <v>2.125321564922412</v>
      </c>
      <c r="U27" s="30"/>
    </row>
    <row r="28" spans="1:21" x14ac:dyDescent="0.25">
      <c r="A28" s="35" t="s">
        <v>64</v>
      </c>
      <c r="B28" s="16">
        <v>1.6E-2</v>
      </c>
      <c r="C28" s="8">
        <v>0</v>
      </c>
      <c r="D28" s="8">
        <v>15.083</v>
      </c>
      <c r="E28" s="8">
        <v>3.4000000000000002E-2</v>
      </c>
      <c r="F28" s="8">
        <v>1.0069999999999999</v>
      </c>
      <c r="G28" s="8">
        <v>1.4999999999999999E-2</v>
      </c>
      <c r="H28" s="8">
        <v>7.0999999999999994E-2</v>
      </c>
      <c r="I28" s="8">
        <v>2.1000000000000001E-2</v>
      </c>
      <c r="J28" s="8">
        <v>0.12</v>
      </c>
      <c r="K28" s="39">
        <f t="shared" si="0"/>
        <v>0.19</v>
      </c>
      <c r="L28" s="39">
        <f t="shared" si="1"/>
        <v>34.201799000000001</v>
      </c>
      <c r="M28" s="30">
        <f t="shared" si="2"/>
        <v>69.240436969306231</v>
      </c>
      <c r="N28" s="30">
        <f>(RedShift*Age*(2*InitialTangentVelocity-UniverseAcceleration*Age))/(2+RedShift)*(1+RedShift)</f>
        <v>2.4648833746623055E+24</v>
      </c>
      <c r="O28" s="36">
        <f t="shared" si="3"/>
        <v>79.881429953621591</v>
      </c>
      <c r="P28" s="36">
        <f t="shared" si="4"/>
        <v>34.512229152764029</v>
      </c>
      <c r="Q28" s="36">
        <f t="shared" si="6"/>
        <v>2.6694426522187644</v>
      </c>
      <c r="R28" s="19">
        <v>66.067095156055515</v>
      </c>
      <c r="S28" s="36">
        <f t="shared" si="5"/>
        <v>34.099926060647491</v>
      </c>
      <c r="T28" s="36">
        <f t="shared" si="7"/>
        <v>0.28748187734959302</v>
      </c>
      <c r="U28" s="30"/>
    </row>
    <row r="29" spans="1:21" x14ac:dyDescent="0.25">
      <c r="A29" s="35" t="s">
        <v>65</v>
      </c>
      <c r="B29" s="16">
        <v>1.4999999999999999E-2</v>
      </c>
      <c r="C29" s="8">
        <v>1E-3</v>
      </c>
      <c r="D29" s="8">
        <v>15.305999999999999</v>
      </c>
      <c r="E29" s="8">
        <v>3.1E-2</v>
      </c>
      <c r="F29" s="8">
        <v>0.93300000000000005</v>
      </c>
      <c r="G29" s="8">
        <v>0.02</v>
      </c>
      <c r="H29" s="8">
        <v>0.14499999999999999</v>
      </c>
      <c r="I29" s="8">
        <v>0.02</v>
      </c>
      <c r="J29" s="8">
        <v>0.12</v>
      </c>
      <c r="K29" s="39">
        <f t="shared" si="0"/>
        <v>0.191</v>
      </c>
      <c r="L29" s="39">
        <f t="shared" si="1"/>
        <v>34.182301000000002</v>
      </c>
      <c r="M29" s="30">
        <f t="shared" si="2"/>
        <v>68.621498880735416</v>
      </c>
      <c r="N29" s="30">
        <f>(RedShift*Age*(2*InitialTangentVelocity-UniverseAcceleration*Age))/(2+RedShift)*(1+RedShift)</f>
        <v>2.3096994108084213E+24</v>
      </c>
      <c r="O29" s="36">
        <f t="shared" si="3"/>
        <v>74.852260190075384</v>
      </c>
      <c r="P29" s="36">
        <f t="shared" si="4"/>
        <v>34.371024592751262</v>
      </c>
      <c r="Q29" s="36">
        <f t="shared" si="6"/>
        <v>0.97630532224837907</v>
      </c>
      <c r="R29" s="19">
        <v>61.890916250731067</v>
      </c>
      <c r="S29" s="36">
        <f t="shared" si="5"/>
        <v>33.958134560797326</v>
      </c>
      <c r="T29" s="36">
        <f t="shared" si="7"/>
        <v>1.3774455871496718</v>
      </c>
      <c r="U29" s="30"/>
    </row>
    <row r="30" spans="1:21" x14ac:dyDescent="0.25">
      <c r="A30" s="35" t="s">
        <v>66</v>
      </c>
      <c r="B30" s="16">
        <v>1.4999999999999999E-2</v>
      </c>
      <c r="C30" s="8">
        <v>0</v>
      </c>
      <c r="D30" s="8">
        <v>14.718999999999999</v>
      </c>
      <c r="E30" s="8">
        <v>3.9E-2</v>
      </c>
      <c r="F30" s="8">
        <v>1.1000000000000001</v>
      </c>
      <c r="G30" s="8">
        <v>3.4000000000000002E-2</v>
      </c>
      <c r="H30" s="8">
        <v>0</v>
      </c>
      <c r="I30" s="8">
        <v>2.1999999999999999E-2</v>
      </c>
      <c r="J30" s="8">
        <v>0.12</v>
      </c>
      <c r="K30" s="39">
        <f t="shared" si="0"/>
        <v>0.215</v>
      </c>
      <c r="L30" s="39">
        <f t="shared" si="1"/>
        <v>34.073700000000002</v>
      </c>
      <c r="M30" s="30">
        <f t="shared" si="2"/>
        <v>65.273965861250986</v>
      </c>
      <c r="N30" s="30">
        <f>(RedShift*Age*(2*InitialTangentVelocity-UniverseAcceleration*Age))/(2+RedShift)*(1+RedShift)</f>
        <v>2.3096994108084213E+24</v>
      </c>
      <c r="O30" s="36">
        <f t="shared" si="3"/>
        <v>74.852260190075384</v>
      </c>
      <c r="P30" s="36">
        <f t="shared" si="4"/>
        <v>34.371024592751262</v>
      </c>
      <c r="Q30" s="36">
        <f t="shared" si="6"/>
        <v>1.9124264673813354</v>
      </c>
      <c r="R30" s="19">
        <v>61.890916250731067</v>
      </c>
      <c r="S30" s="36">
        <f t="shared" si="5"/>
        <v>33.958134560797326</v>
      </c>
      <c r="T30" s="36">
        <f t="shared" si="7"/>
        <v>0.28892094620026909</v>
      </c>
      <c r="U30" s="30"/>
    </row>
    <row r="31" spans="1:21" x14ac:dyDescent="0.25">
      <c r="A31" s="35" t="s">
        <v>67</v>
      </c>
      <c r="B31" s="16">
        <v>1.4999999999999999E-2</v>
      </c>
      <c r="C31" s="8">
        <v>0</v>
      </c>
      <c r="D31" s="8">
        <v>15.103999999999999</v>
      </c>
      <c r="E31" s="8">
        <v>3.5999999999999997E-2</v>
      </c>
      <c r="F31" s="8">
        <v>0.88</v>
      </c>
      <c r="G31" s="8">
        <v>5.0000000000000001E-3</v>
      </c>
      <c r="H31" s="8">
        <v>5.8000000000000003E-2</v>
      </c>
      <c r="I31" s="8">
        <v>1.9E-2</v>
      </c>
      <c r="J31" s="8">
        <v>0.12</v>
      </c>
      <c r="K31" s="39">
        <f t="shared" si="0"/>
        <v>0.18</v>
      </c>
      <c r="L31" s="39">
        <f t="shared" si="1"/>
        <v>34.244819999999997</v>
      </c>
      <c r="M31" s="30">
        <f t="shared" si="2"/>
        <v>70.625900786377059</v>
      </c>
      <c r="N31" s="30">
        <f>(RedShift*Age*(2*InitialTangentVelocity-UniverseAcceleration*Age))/(2+RedShift)*(1+RedShift)</f>
        <v>2.3096994108084213E+24</v>
      </c>
      <c r="O31" s="36">
        <f t="shared" si="3"/>
        <v>74.852260190075384</v>
      </c>
      <c r="P31" s="36">
        <f t="shared" si="4"/>
        <v>34.371024592751262</v>
      </c>
      <c r="Q31" s="36">
        <f t="shared" si="6"/>
        <v>0.49159256887384339</v>
      </c>
      <c r="R31" s="19">
        <v>61.890916250731067</v>
      </c>
      <c r="S31" s="36">
        <f t="shared" si="5"/>
        <v>33.958134560797326</v>
      </c>
      <c r="T31" s="36">
        <f t="shared" si="7"/>
        <v>2.5366833657663075</v>
      </c>
      <c r="U31" s="30"/>
    </row>
    <row r="32" spans="1:21" x14ac:dyDescent="0.25">
      <c r="A32" s="35" t="s">
        <v>68</v>
      </c>
      <c r="B32" s="16">
        <v>1.6E-2</v>
      </c>
      <c r="C32" s="8">
        <v>1E-3</v>
      </c>
      <c r="D32" s="8">
        <v>14.676</v>
      </c>
      <c r="E32" s="8">
        <v>5.1999999999999998E-2</v>
      </c>
      <c r="F32" s="8">
        <v>1.0009999999999999</v>
      </c>
      <c r="G32" s="8">
        <v>8.9999999999999993E-3</v>
      </c>
      <c r="H32" s="8">
        <v>-0.107</v>
      </c>
      <c r="I32" s="8">
        <v>0.02</v>
      </c>
      <c r="J32" s="8">
        <v>0.12</v>
      </c>
      <c r="K32" s="39">
        <f t="shared" si="0"/>
        <v>0.20100000000000001</v>
      </c>
      <c r="L32" s="39">
        <f t="shared" si="1"/>
        <v>34.351056999999997</v>
      </c>
      <c r="M32" s="30">
        <f t="shared" si="2"/>
        <v>74.167117412195594</v>
      </c>
      <c r="N32" s="30">
        <f>(RedShift*Age*(2*InitialTangentVelocity-UniverseAcceleration*Age))/(2+RedShift)*(1+RedShift)</f>
        <v>2.4648833746623055E+24</v>
      </c>
      <c r="O32" s="36">
        <f t="shared" si="3"/>
        <v>79.881429953621591</v>
      </c>
      <c r="P32" s="36">
        <f t="shared" si="4"/>
        <v>34.512229152764029</v>
      </c>
      <c r="Q32" s="36">
        <f t="shared" si="6"/>
        <v>0.64296583813747776</v>
      </c>
      <c r="R32" s="19">
        <v>66.067095156055515</v>
      </c>
      <c r="S32" s="36">
        <f t="shared" si="5"/>
        <v>34.099926060647491</v>
      </c>
      <c r="T32" s="36">
        <f t="shared" si="7"/>
        <v>1.5610194970439448</v>
      </c>
      <c r="U32" s="30"/>
    </row>
    <row r="33" spans="1:21" x14ac:dyDescent="0.25">
      <c r="A33" s="35" t="s">
        <v>69</v>
      </c>
      <c r="B33" s="16">
        <v>1.4999999999999999E-2</v>
      </c>
      <c r="C33" s="8">
        <v>0</v>
      </c>
      <c r="D33" s="8">
        <v>15.095000000000001</v>
      </c>
      <c r="E33" s="8">
        <v>7.6999999999999999E-2</v>
      </c>
      <c r="F33" s="8">
        <v>0.877</v>
      </c>
      <c r="G33" s="8">
        <v>8.6999999999999994E-2</v>
      </c>
      <c r="H33" s="8">
        <v>3.7999999999999999E-2</v>
      </c>
      <c r="I33" s="8">
        <v>2.5000000000000001E-2</v>
      </c>
      <c r="J33" s="8">
        <v>0.12</v>
      </c>
      <c r="K33" s="39">
        <f t="shared" si="0"/>
        <v>0.30899999999999994</v>
      </c>
      <c r="L33" s="39">
        <f t="shared" si="1"/>
        <v>34.297978999999998</v>
      </c>
      <c r="M33" s="30">
        <f t="shared" si="2"/>
        <v>72.376203764123289</v>
      </c>
      <c r="N33" s="30">
        <f>(RedShift*Age*(2*InitialTangentVelocity-UniverseAcceleration*Age))/(2+RedShift)*(1+RedShift)</f>
        <v>2.3096994108084213E+24</v>
      </c>
      <c r="O33" s="36">
        <f t="shared" si="3"/>
        <v>74.852260190075384</v>
      </c>
      <c r="P33" s="36">
        <f t="shared" si="4"/>
        <v>34.371024592751262</v>
      </c>
      <c r="Q33" s="36">
        <f t="shared" si="6"/>
        <v>5.588188875675227E-2</v>
      </c>
      <c r="R33" s="19">
        <v>61.890916250731067</v>
      </c>
      <c r="S33" s="36">
        <f t="shared" si="5"/>
        <v>33.958134560797326</v>
      </c>
      <c r="T33" s="36">
        <f t="shared" si="7"/>
        <v>1.2096044538387589</v>
      </c>
      <c r="U33" s="30"/>
    </row>
    <row r="34" spans="1:21" x14ac:dyDescent="0.25">
      <c r="A34" s="35" t="s">
        <v>70</v>
      </c>
      <c r="B34" s="16">
        <v>1.6E-2</v>
      </c>
      <c r="C34" s="8">
        <v>0</v>
      </c>
      <c r="D34" s="8">
        <v>15.734999999999999</v>
      </c>
      <c r="E34" s="8">
        <v>3.5000000000000003E-2</v>
      </c>
      <c r="F34" s="8">
        <v>0.84099999999999997</v>
      </c>
      <c r="G34" s="8">
        <v>0.03</v>
      </c>
      <c r="H34" s="8">
        <v>0.123</v>
      </c>
      <c r="I34" s="8">
        <v>2.3E-2</v>
      </c>
      <c r="J34" s="8">
        <v>0.12</v>
      </c>
      <c r="K34" s="39">
        <f t="shared" si="0"/>
        <v>0.20799999999999999</v>
      </c>
      <c r="L34" s="39">
        <f t="shared" si="1"/>
        <v>34.666637000000001</v>
      </c>
      <c r="M34" s="30">
        <f t="shared" si="2"/>
        <v>85.76841808253829</v>
      </c>
      <c r="N34" s="30">
        <f>(RedShift*Age*(2*InitialTangentVelocity-UniverseAcceleration*Age))/(2+RedShift)*(1+RedShift)</f>
        <v>2.4648833746623055E+24</v>
      </c>
      <c r="O34" s="36">
        <f t="shared" si="3"/>
        <v>79.881429953621591</v>
      </c>
      <c r="P34" s="36">
        <f t="shared" si="4"/>
        <v>34.512229152764029</v>
      </c>
      <c r="Q34" s="36">
        <f t="shared" si="6"/>
        <v>0.55107672170967881</v>
      </c>
      <c r="R34" s="19">
        <v>66.067095156055515</v>
      </c>
      <c r="S34" s="36">
        <f t="shared" si="5"/>
        <v>34.099926060647491</v>
      </c>
      <c r="T34" s="36">
        <f t="shared" si="7"/>
        <v>7.4232916231001607</v>
      </c>
      <c r="U34" s="30"/>
    </row>
    <row r="35" spans="1:21" x14ac:dyDescent="0.25">
      <c r="A35" s="35" t="s">
        <v>71</v>
      </c>
      <c r="B35" s="16">
        <v>1.7000000000000001E-2</v>
      </c>
      <c r="C35" s="8">
        <v>0</v>
      </c>
      <c r="D35" s="8">
        <v>15.353</v>
      </c>
      <c r="E35" s="8">
        <v>4.8000000000000001E-2</v>
      </c>
      <c r="F35" s="8">
        <v>1.0640000000000001</v>
      </c>
      <c r="G35" s="8">
        <v>0.04</v>
      </c>
      <c r="H35" s="8">
        <v>0.16200000000000001</v>
      </c>
      <c r="I35" s="8">
        <v>2.5999999999999999E-2</v>
      </c>
      <c r="J35" s="8">
        <v>0.12</v>
      </c>
      <c r="K35" s="39">
        <f t="shared" si="0"/>
        <v>0.23399999999999999</v>
      </c>
      <c r="L35" s="39">
        <f t="shared" si="1"/>
        <v>34.195348000000003</v>
      </c>
      <c r="M35" s="30">
        <f t="shared" si="2"/>
        <v>69.035043048196584</v>
      </c>
      <c r="N35" s="30">
        <f>(RedShift*Age*(2*InitialTangentVelocity-UniverseAcceleration*Age))/(2+RedShift)*(1+RedShift)</f>
        <v>2.6202165704365312E+24</v>
      </c>
      <c r="O35" s="36">
        <f t="shared" si="3"/>
        <v>84.915435994337798</v>
      </c>
      <c r="P35" s="36">
        <f t="shared" si="4"/>
        <v>34.644933219053605</v>
      </c>
      <c r="Q35" s="36">
        <f t="shared" si="6"/>
        <v>3.6914104242726999</v>
      </c>
      <c r="R35" s="19">
        <v>70.249501035104061</v>
      </c>
      <c r="S35" s="36">
        <f t="shared" si="5"/>
        <v>34.2332162195069</v>
      </c>
      <c r="T35" s="36">
        <f t="shared" si="7"/>
        <v>2.6188948217959258E-2</v>
      </c>
      <c r="U35" s="30"/>
    </row>
    <row r="36" spans="1:21" x14ac:dyDescent="0.25">
      <c r="A36" s="35" t="s">
        <v>72</v>
      </c>
      <c r="B36" s="16">
        <v>1.7000000000000001E-2</v>
      </c>
      <c r="C36" s="8">
        <v>0</v>
      </c>
      <c r="D36" s="8">
        <v>14.984</v>
      </c>
      <c r="E36" s="8">
        <v>2.7E-2</v>
      </c>
      <c r="F36" s="8">
        <v>1.0009999999999999</v>
      </c>
      <c r="G36" s="8">
        <v>8.0000000000000002E-3</v>
      </c>
      <c r="H36" s="8">
        <v>-9.0999999999999998E-2</v>
      </c>
      <c r="I36" s="8">
        <v>1.9E-2</v>
      </c>
      <c r="J36" s="8">
        <v>0.12</v>
      </c>
      <c r="K36" s="39">
        <f t="shared" si="0"/>
        <v>0.17399999999999999</v>
      </c>
      <c r="L36" s="39">
        <f t="shared" si="1"/>
        <v>34.608976999999996</v>
      </c>
      <c r="M36" s="30">
        <f t="shared" si="2"/>
        <v>83.520945091792626</v>
      </c>
      <c r="N36" s="30">
        <f>(RedShift*Age*(2*InitialTangentVelocity-UniverseAcceleration*Age))/(2+RedShift)*(1+RedShift)</f>
        <v>2.6202165704365312E+24</v>
      </c>
      <c r="O36" s="36">
        <f t="shared" si="3"/>
        <v>84.915435994337798</v>
      </c>
      <c r="P36" s="36">
        <f t="shared" si="4"/>
        <v>34.644933219053605</v>
      </c>
      <c r="Q36" s="36">
        <f t="shared" si="6"/>
        <v>4.2702130024810284E-2</v>
      </c>
      <c r="R36" s="19">
        <v>70.249501035104061</v>
      </c>
      <c r="S36" s="36">
        <f t="shared" si="5"/>
        <v>34.2332162195069</v>
      </c>
      <c r="T36" s="36">
        <f t="shared" si="7"/>
        <v>4.6636333781470594</v>
      </c>
      <c r="U36" s="30"/>
    </row>
    <row r="37" spans="1:21" x14ac:dyDescent="0.25">
      <c r="A37" s="35" t="s">
        <v>73</v>
      </c>
      <c r="B37" s="16">
        <v>1.7000000000000001E-2</v>
      </c>
      <c r="C37" s="8">
        <v>0</v>
      </c>
      <c r="D37" s="8">
        <v>15.464</v>
      </c>
      <c r="E37" s="8">
        <v>6.9000000000000006E-2</v>
      </c>
      <c r="F37" s="8">
        <v>0.77800000000000002</v>
      </c>
      <c r="G37" s="8">
        <v>0.183</v>
      </c>
      <c r="H37" s="8">
        <v>7.8E-2</v>
      </c>
      <c r="I37" s="8">
        <v>0.04</v>
      </c>
      <c r="J37" s="8">
        <v>0.12</v>
      </c>
      <c r="K37" s="39">
        <f t="shared" si="0"/>
        <v>0.41199999999999998</v>
      </c>
      <c r="L37" s="39">
        <f t="shared" si="1"/>
        <v>34.527225999999999</v>
      </c>
      <c r="M37" s="30">
        <f t="shared" si="2"/>
        <v>80.435024789651493</v>
      </c>
      <c r="N37" s="30">
        <f>(RedShift*Age*(2*InitialTangentVelocity-UniverseAcceleration*Age))/(2+RedShift)*(1+RedShift)</f>
        <v>2.6202165704365312E+24</v>
      </c>
      <c r="O37" s="36">
        <f t="shared" si="3"/>
        <v>84.915435994337798</v>
      </c>
      <c r="P37" s="36">
        <f t="shared" si="4"/>
        <v>34.644933219053605</v>
      </c>
      <c r="Q37" s="36">
        <f t="shared" si="6"/>
        <v>8.162285216168895E-2</v>
      </c>
      <c r="R37" s="19">
        <v>70.249501035104061</v>
      </c>
      <c r="S37" s="36">
        <f t="shared" si="5"/>
        <v>34.2332162195069</v>
      </c>
      <c r="T37" s="36">
        <f t="shared" si="7"/>
        <v>0.50924775559430679</v>
      </c>
      <c r="U37" s="30"/>
    </row>
    <row r="38" spans="1:21" x14ac:dyDescent="0.25">
      <c r="A38" s="35" t="s">
        <v>74</v>
      </c>
      <c r="B38" s="16">
        <v>1.7999999999999999E-2</v>
      </c>
      <c r="C38" s="8">
        <v>0</v>
      </c>
      <c r="D38" s="8">
        <v>15.361000000000001</v>
      </c>
      <c r="E38" s="8">
        <v>2.9000000000000001E-2</v>
      </c>
      <c r="F38" s="8">
        <v>0.76800000000000002</v>
      </c>
      <c r="G38" s="8">
        <v>1.4E-2</v>
      </c>
      <c r="H38" s="8">
        <v>-1E-3</v>
      </c>
      <c r="I38" s="8">
        <v>2.1000000000000001E-2</v>
      </c>
      <c r="J38" s="8">
        <v>0.12</v>
      </c>
      <c r="K38" s="39">
        <f t="shared" si="0"/>
        <v>0.184</v>
      </c>
      <c r="L38" s="39">
        <f t="shared" si="1"/>
        <v>34.670026</v>
      </c>
      <c r="M38" s="30">
        <f t="shared" si="2"/>
        <v>85.90238069159642</v>
      </c>
      <c r="N38" s="30">
        <f>(RedShift*Age*(2*InitialTangentVelocity-UniverseAcceleration*Age))/(2+RedShift)*(1+RedShift)</f>
        <v>2.7756987762798806E+24</v>
      </c>
      <c r="O38" s="36">
        <f t="shared" si="3"/>
        <v>89.954271122515678</v>
      </c>
      <c r="P38" s="36">
        <f t="shared" si="4"/>
        <v>34.770108944628113</v>
      </c>
      <c r="Q38" s="36">
        <f t="shared" si="6"/>
        <v>0.29585880805275128</v>
      </c>
      <c r="R38" s="19">
        <v>74.438127230453844</v>
      </c>
      <c r="S38" s="36">
        <f t="shared" si="5"/>
        <v>34.358977191469435</v>
      </c>
      <c r="T38" s="36">
        <f t="shared" si="7"/>
        <v>2.8577316070499736</v>
      </c>
      <c r="U38" s="30"/>
    </row>
    <row r="39" spans="1:21" x14ac:dyDescent="0.25">
      <c r="A39" s="35" t="s">
        <v>75</v>
      </c>
      <c r="B39" s="16">
        <v>1.7000000000000001E-2</v>
      </c>
      <c r="C39" s="8">
        <v>0</v>
      </c>
      <c r="D39" s="8">
        <v>15.105</v>
      </c>
      <c r="E39" s="8">
        <v>6.2E-2</v>
      </c>
      <c r="F39" s="8">
        <v>0.98299999999999998</v>
      </c>
      <c r="G39" s="8">
        <v>3.5000000000000003E-2</v>
      </c>
      <c r="H39" s="8">
        <v>4.0000000000000001E-3</v>
      </c>
      <c r="I39" s="8">
        <v>2.5999999999999999E-2</v>
      </c>
      <c r="J39" s="8">
        <v>0.12</v>
      </c>
      <c r="K39" s="39">
        <f t="shared" si="0"/>
        <v>0.24299999999999999</v>
      </c>
      <c r="L39" s="39">
        <f t="shared" si="1"/>
        <v>34.429980999999998</v>
      </c>
      <c r="M39" s="30">
        <f t="shared" si="2"/>
        <v>76.912371056056344</v>
      </c>
      <c r="N39" s="30">
        <f>(RedShift*Age*(2*InitialTangentVelocity-UniverseAcceleration*Age))/(2+RedShift)*(1+RedShift)</f>
        <v>2.6202165704365312E+24</v>
      </c>
      <c r="O39" s="36">
        <f t="shared" si="3"/>
        <v>84.915435994337798</v>
      </c>
      <c r="P39" s="36">
        <f t="shared" si="4"/>
        <v>34.644933219053605</v>
      </c>
      <c r="Q39" s="36">
        <f t="shared" si="6"/>
        <v>0.78247652756304198</v>
      </c>
      <c r="R39" s="19">
        <v>70.249501035104061</v>
      </c>
      <c r="S39" s="36">
        <f t="shared" si="5"/>
        <v>34.2332162195069</v>
      </c>
      <c r="T39" s="36">
        <f t="shared" si="7"/>
        <v>0.65566527532213759</v>
      </c>
      <c r="U39" s="30"/>
    </row>
    <row r="40" spans="1:21" x14ac:dyDescent="0.25">
      <c r="A40" s="35" t="s">
        <v>76</v>
      </c>
      <c r="B40" s="16">
        <v>1.7999999999999999E-2</v>
      </c>
      <c r="C40" s="8">
        <v>0</v>
      </c>
      <c r="D40" s="8">
        <v>14.832000000000001</v>
      </c>
      <c r="E40" s="8">
        <v>3.5000000000000003E-2</v>
      </c>
      <c r="F40" s="8">
        <v>0.89200000000000002</v>
      </c>
      <c r="G40" s="8">
        <v>2.5000000000000001E-2</v>
      </c>
      <c r="H40" s="8">
        <v>-6.8000000000000005E-2</v>
      </c>
      <c r="I40" s="8">
        <v>2.3E-2</v>
      </c>
      <c r="J40" s="8">
        <v>0.12</v>
      </c>
      <c r="K40" s="39">
        <f t="shared" si="0"/>
        <v>0.20300000000000001</v>
      </c>
      <c r="L40" s="39">
        <f t="shared" si="1"/>
        <v>34.368963999999998</v>
      </c>
      <c r="M40" s="30">
        <f t="shared" si="2"/>
        <v>74.781263724673366</v>
      </c>
      <c r="N40" s="30">
        <f>(RedShift*Age*(2*InitialTangentVelocity-UniverseAcceleration*Age))/(2+RedShift)*(1+RedShift)</f>
        <v>2.7756987762798806E+24</v>
      </c>
      <c r="O40" s="36">
        <f t="shared" si="3"/>
        <v>89.954271122515678</v>
      </c>
      <c r="P40" s="36">
        <f t="shared" si="4"/>
        <v>34.770108944628113</v>
      </c>
      <c r="Q40" s="36">
        <f t="shared" si="6"/>
        <v>3.9049058846536742</v>
      </c>
      <c r="R40" s="19">
        <v>74.438127230453844</v>
      </c>
      <c r="S40" s="36">
        <f t="shared" si="5"/>
        <v>34.358977191469435</v>
      </c>
      <c r="T40" s="36">
        <f t="shared" si="7"/>
        <v>2.4202563669617275E-3</v>
      </c>
      <c r="U40" s="30"/>
    </row>
    <row r="41" spans="1:21" x14ac:dyDescent="0.25">
      <c r="A41" s="35" t="s">
        <v>77</v>
      </c>
      <c r="B41" s="16">
        <v>1.9E-2</v>
      </c>
      <c r="C41" s="8">
        <v>0</v>
      </c>
      <c r="D41" s="8">
        <v>15.909000000000001</v>
      </c>
      <c r="E41" s="8">
        <v>2.9000000000000001E-2</v>
      </c>
      <c r="F41" s="8">
        <v>0.72899999999999998</v>
      </c>
      <c r="G41" s="8">
        <v>1.4E-2</v>
      </c>
      <c r="H41" s="8">
        <v>6.6000000000000003E-2</v>
      </c>
      <c r="I41" s="8">
        <v>2.5000000000000001E-2</v>
      </c>
      <c r="J41" s="8">
        <v>0.12</v>
      </c>
      <c r="K41" s="39">
        <f t="shared" si="0"/>
        <v>0.188</v>
      </c>
      <c r="L41" s="39">
        <f t="shared" si="1"/>
        <v>35.002583000000001</v>
      </c>
      <c r="M41" s="30">
        <f t="shared" si="2"/>
        <v>100.11902232131553</v>
      </c>
      <c r="N41" s="30">
        <f>(RedShift*Age*(2*InitialTangentVelocity-UniverseAcceleration*Age))/(2+RedShift)*(1+RedShift)</f>
        <v>2.9313297707806587E+24</v>
      </c>
      <c r="O41" s="36">
        <f t="shared" si="3"/>
        <v>94.997928162690897</v>
      </c>
      <c r="P41" s="36">
        <f t="shared" si="4"/>
        <v>34.88857066869042</v>
      </c>
      <c r="Q41" s="36">
        <f t="shared" si="6"/>
        <v>0.36777986902008092</v>
      </c>
      <c r="R41" s="19">
        <v>78.63296708590812</v>
      </c>
      <c r="S41" s="36">
        <f t="shared" si="5"/>
        <v>34.478023316823339</v>
      </c>
      <c r="T41" s="36">
        <f t="shared" si="7"/>
        <v>7.7852778750113147</v>
      </c>
      <c r="U41" s="30"/>
    </row>
    <row r="42" spans="1:21" x14ac:dyDescent="0.25">
      <c r="A42" s="35" t="s">
        <v>78</v>
      </c>
      <c r="B42" s="16">
        <v>1.9E-2</v>
      </c>
      <c r="C42" s="8">
        <v>0</v>
      </c>
      <c r="D42" s="8">
        <v>15.79</v>
      </c>
      <c r="E42" s="8">
        <v>2.7E-2</v>
      </c>
      <c r="F42" s="8">
        <v>0.77100000000000002</v>
      </c>
      <c r="G42" s="8">
        <v>1.0999999999999999E-2</v>
      </c>
      <c r="H42" s="8">
        <v>-0.03</v>
      </c>
      <c r="I42" s="8">
        <v>2.4E-2</v>
      </c>
      <c r="J42" s="8">
        <v>0.12</v>
      </c>
      <c r="K42" s="39">
        <f t="shared" si="0"/>
        <v>0.182</v>
      </c>
      <c r="L42" s="39">
        <f t="shared" si="1"/>
        <v>35.190236999999996</v>
      </c>
      <c r="M42" s="30">
        <f t="shared" si="2"/>
        <v>109.15594655130438</v>
      </c>
      <c r="N42" s="30">
        <f>(RedShift*Age*(2*InitialTangentVelocity-UniverseAcceleration*Age))/(2+RedShift)*(1+RedShift)</f>
        <v>2.9313297707806587E+24</v>
      </c>
      <c r="O42" s="36">
        <f t="shared" si="3"/>
        <v>94.997928162690897</v>
      </c>
      <c r="P42" s="36">
        <f t="shared" si="4"/>
        <v>34.88857066869042</v>
      </c>
      <c r="Q42" s="36">
        <f t="shared" si="6"/>
        <v>2.7473304989065026</v>
      </c>
      <c r="R42" s="19">
        <v>78.63296708590812</v>
      </c>
      <c r="S42" s="36">
        <f t="shared" si="5"/>
        <v>34.478023316823339</v>
      </c>
      <c r="T42" s="36">
        <f t="shared" si="7"/>
        <v>15.313619445237871</v>
      </c>
      <c r="U42" s="30"/>
    </row>
    <row r="43" spans="1:21" x14ac:dyDescent="0.25">
      <c r="A43" s="35" t="s">
        <v>79</v>
      </c>
      <c r="B43" s="16">
        <v>0.02</v>
      </c>
      <c r="C43" s="8">
        <v>0</v>
      </c>
      <c r="D43" s="8">
        <v>15.664</v>
      </c>
      <c r="E43" s="8">
        <v>4.4999999999999998E-2</v>
      </c>
      <c r="F43" s="8">
        <v>0.86199999999999999</v>
      </c>
      <c r="G43" s="8">
        <v>3.4000000000000002E-2</v>
      </c>
      <c r="H43" s="8">
        <v>-3.2000000000000001E-2</v>
      </c>
      <c r="I43" s="8">
        <v>2.3E-2</v>
      </c>
      <c r="J43" s="8">
        <v>0.12</v>
      </c>
      <c r="K43" s="39">
        <f t="shared" si="0"/>
        <v>0.222</v>
      </c>
      <c r="L43" s="39">
        <f t="shared" si="1"/>
        <v>35.083874000000002</v>
      </c>
      <c r="M43" s="30">
        <f t="shared" si="2"/>
        <v>103.93810631627954</v>
      </c>
      <c r="N43" s="30">
        <f>(RedShift*Age*(2*InitialTangentVelocity-UniverseAcceleration*Age))/(2+RedShift)*(1+RedShift)</f>
        <v>3.0871093329656149E+24</v>
      </c>
      <c r="O43" s="36">
        <f t="shared" si="3"/>
        <v>100.04639995360809</v>
      </c>
      <c r="P43" s="36">
        <f t="shared" si="4"/>
        <v>35.001007328508713</v>
      </c>
      <c r="Q43" s="36">
        <f t="shared" si="6"/>
        <v>0.13933295276448987</v>
      </c>
      <c r="R43" s="19">
        <v>82.83401394652347</v>
      </c>
      <c r="S43" s="36">
        <f t="shared" si="5"/>
        <v>34.591043533921791</v>
      </c>
      <c r="T43" s="36">
        <f t="shared" si="7"/>
        <v>4.9282093234085309</v>
      </c>
      <c r="U43" s="30"/>
    </row>
    <row r="44" spans="1:21" x14ac:dyDescent="0.25">
      <c r="A44" s="35" t="s">
        <v>80</v>
      </c>
      <c r="B44" s="16">
        <v>0.02</v>
      </c>
      <c r="C44" s="8">
        <v>0</v>
      </c>
      <c r="D44" s="8">
        <v>15.536</v>
      </c>
      <c r="E44" s="8">
        <v>2.3E-2</v>
      </c>
      <c r="F44" s="8">
        <v>0.84399999999999997</v>
      </c>
      <c r="G44" s="8">
        <v>7.0000000000000001E-3</v>
      </c>
      <c r="H44" s="8">
        <v>-6.7000000000000004E-2</v>
      </c>
      <c r="I44" s="8">
        <v>2.1000000000000001E-2</v>
      </c>
      <c r="J44" s="8">
        <v>0.12</v>
      </c>
      <c r="K44" s="39">
        <f t="shared" si="0"/>
        <v>0.17099999999999999</v>
      </c>
      <c r="L44" s="39">
        <f t="shared" si="1"/>
        <v>35.062777999999994</v>
      </c>
      <c r="M44" s="30">
        <f t="shared" si="2"/>
        <v>102.93322977207376</v>
      </c>
      <c r="N44" s="30">
        <f>(RedShift*Age*(2*InitialTangentVelocity-UniverseAcceleration*Age))/(2+RedShift)*(1+RedShift)</f>
        <v>3.0871093329656149E+24</v>
      </c>
      <c r="O44" s="36">
        <f t="shared" si="3"/>
        <v>100.04639995360809</v>
      </c>
      <c r="P44" s="36">
        <f t="shared" si="4"/>
        <v>35.001007328508713</v>
      </c>
      <c r="Q44" s="36">
        <f t="shared" si="6"/>
        <v>0.13048855567469644</v>
      </c>
      <c r="R44" s="19">
        <v>82.83401394652347</v>
      </c>
      <c r="S44" s="36">
        <f t="shared" si="5"/>
        <v>34.591043533921791</v>
      </c>
      <c r="T44" s="36">
        <f t="shared" si="7"/>
        <v>7.6103213462633805</v>
      </c>
      <c r="U44" s="30"/>
    </row>
    <row r="45" spans="1:21" x14ac:dyDescent="0.25">
      <c r="A45" s="35" t="s">
        <v>81</v>
      </c>
      <c r="B45" s="16">
        <v>2.1000000000000001E-2</v>
      </c>
      <c r="C45" s="8">
        <v>0</v>
      </c>
      <c r="D45" s="8">
        <v>15.89</v>
      </c>
      <c r="E45" s="8">
        <v>2.4E-2</v>
      </c>
      <c r="F45" s="8">
        <v>0.99299999999999999</v>
      </c>
      <c r="G45" s="8">
        <v>1.4E-2</v>
      </c>
      <c r="H45" s="8">
        <v>0.13400000000000001</v>
      </c>
      <c r="I45" s="8">
        <v>0.02</v>
      </c>
      <c r="J45" s="8">
        <v>0.12</v>
      </c>
      <c r="K45" s="39">
        <f t="shared" si="0"/>
        <v>0.17799999999999999</v>
      </c>
      <c r="L45" s="39">
        <f t="shared" si="1"/>
        <v>34.809550999999999</v>
      </c>
      <c r="M45" s="30">
        <f t="shared" si="2"/>
        <v>91.603106083433232</v>
      </c>
      <c r="N45" s="30">
        <f>(RedShift*Age*(2*InitialTangentVelocity-UniverseAcceleration*Age))/(2+RedShift)*(1+RedShift)</f>
        <v>3.2430372422988469E+24</v>
      </c>
      <c r="O45" s="36">
        <f t="shared" si="3"/>
        <v>105.0996793481854</v>
      </c>
      <c r="P45" s="36">
        <f t="shared" si="4"/>
        <v>35.10800695513997</v>
      </c>
      <c r="Q45" s="36">
        <f t="shared" si="6"/>
        <v>2.8113860989304551</v>
      </c>
      <c r="R45" s="19">
        <v>87.04126115863663</v>
      </c>
      <c r="S45" s="36">
        <f t="shared" si="5"/>
        <v>34.698625874906362</v>
      </c>
      <c r="T45" s="36">
        <f t="shared" si="7"/>
        <v>0.38834690623150353</v>
      </c>
      <c r="U45" s="30"/>
    </row>
    <row r="46" spans="1:21" x14ac:dyDescent="0.25">
      <c r="A46" s="35" t="s">
        <v>82</v>
      </c>
      <c r="B46" s="16">
        <v>2.1000000000000001E-2</v>
      </c>
      <c r="C46" s="8">
        <v>0</v>
      </c>
      <c r="D46" s="8">
        <v>15.145</v>
      </c>
      <c r="E46" s="8">
        <v>2.1999999999999999E-2</v>
      </c>
      <c r="F46" s="8">
        <v>1.081</v>
      </c>
      <c r="G46" s="8">
        <v>1.0999999999999999E-2</v>
      </c>
      <c r="H46" s="8">
        <v>-8.5999999999999993E-2</v>
      </c>
      <c r="I46" s="8">
        <v>0.02</v>
      </c>
      <c r="J46" s="8">
        <v>0.12</v>
      </c>
      <c r="K46" s="39">
        <f t="shared" si="0"/>
        <v>0.17299999999999999</v>
      </c>
      <c r="L46" s="39">
        <f t="shared" si="1"/>
        <v>34.766086999999999</v>
      </c>
      <c r="M46" s="30">
        <f t="shared" si="2"/>
        <v>89.78781436595213</v>
      </c>
      <c r="N46" s="30">
        <f>(RedShift*Age*(2*InitialTangentVelocity-UniverseAcceleration*Age))/(2+RedShift)*(1+RedShift)</f>
        <v>3.2430372422988469E+24</v>
      </c>
      <c r="O46" s="36">
        <f t="shared" si="3"/>
        <v>105.0996793481854</v>
      </c>
      <c r="P46" s="36">
        <f t="shared" si="4"/>
        <v>35.10800695513997</v>
      </c>
      <c r="Q46" s="36">
        <f t="shared" si="6"/>
        <v>3.9062199112205582</v>
      </c>
      <c r="R46" s="19">
        <v>87.04126115863663</v>
      </c>
      <c r="S46" s="36">
        <f t="shared" si="5"/>
        <v>34.698625874906362</v>
      </c>
      <c r="T46" s="36">
        <f t="shared" si="7"/>
        <v>0.1520599886030031</v>
      </c>
      <c r="U46" s="30"/>
    </row>
    <row r="47" spans="1:21" x14ac:dyDescent="0.25">
      <c r="A47" s="35" t="s">
        <v>83</v>
      </c>
      <c r="B47" s="16">
        <v>0.02</v>
      </c>
      <c r="C47" s="8">
        <v>0</v>
      </c>
      <c r="D47" s="8">
        <v>15.779</v>
      </c>
      <c r="E47" s="8">
        <v>3.3000000000000002E-2</v>
      </c>
      <c r="F47" s="8">
        <v>0.85299999999999998</v>
      </c>
      <c r="G47" s="8">
        <v>2.5999999999999999E-2</v>
      </c>
      <c r="H47" s="8">
        <v>2.5999999999999999E-2</v>
      </c>
      <c r="I47" s="8">
        <v>2.5000000000000001E-2</v>
      </c>
      <c r="J47" s="8">
        <v>0.12</v>
      </c>
      <c r="K47" s="39">
        <f t="shared" si="0"/>
        <v>0.20399999999999999</v>
      </c>
      <c r="L47" s="39">
        <f t="shared" si="1"/>
        <v>35.016010999999999</v>
      </c>
      <c r="M47" s="30">
        <f t="shared" si="2"/>
        <v>100.74005879745931</v>
      </c>
      <c r="N47" s="30">
        <f>(RedShift*Age*(2*InitialTangentVelocity-UniverseAcceleration*Age))/(2+RedShift)*(1+RedShift)</f>
        <v>3.0871093329656149E+24</v>
      </c>
      <c r="O47" s="36">
        <f t="shared" si="3"/>
        <v>100.04639995360809</v>
      </c>
      <c r="P47" s="36">
        <f t="shared" si="4"/>
        <v>35.001007328508713</v>
      </c>
      <c r="Q47" s="36">
        <f t="shared" si="6"/>
        <v>5.4092214104772655E-3</v>
      </c>
      <c r="R47" s="19">
        <v>82.83401394652347</v>
      </c>
      <c r="S47" s="36">
        <f t="shared" si="5"/>
        <v>34.591043533921791</v>
      </c>
      <c r="T47" s="36">
        <f t="shared" si="7"/>
        <v>4.3396133031750441</v>
      </c>
      <c r="U47" s="30"/>
    </row>
    <row r="48" spans="1:21" x14ac:dyDescent="0.25">
      <c r="A48" s="35" t="s">
        <v>84</v>
      </c>
      <c r="B48" s="16">
        <v>2.1999999999999999E-2</v>
      </c>
      <c r="C48" s="8">
        <v>0</v>
      </c>
      <c r="D48" s="8">
        <v>15.912000000000001</v>
      </c>
      <c r="E48" s="8">
        <v>2.5000000000000001E-2</v>
      </c>
      <c r="F48" s="8">
        <v>0.85199999999999998</v>
      </c>
      <c r="G48" s="8">
        <v>2.1999999999999999E-2</v>
      </c>
      <c r="H48" s="8">
        <v>1.0999999999999999E-2</v>
      </c>
      <c r="I48" s="8">
        <v>2.4E-2</v>
      </c>
      <c r="J48" s="8">
        <v>0.12</v>
      </c>
      <c r="K48" s="39">
        <f t="shared" si="0"/>
        <v>0.191</v>
      </c>
      <c r="L48" s="39">
        <f t="shared" si="1"/>
        <v>35.195813999999999</v>
      </c>
      <c r="M48" s="30">
        <f t="shared" si="2"/>
        <v>109.43665245601915</v>
      </c>
      <c r="N48" s="30">
        <f>(RedShift*Age*(2*InitialTangentVelocity-UniverseAcceleration*Age))/(2+RedShift)*(1+RedShift)</f>
        <v>3.3991132786807311E+24</v>
      </c>
      <c r="O48" s="36">
        <f t="shared" si="3"/>
        <v>110.15775921347982</v>
      </c>
      <c r="P48" s="36">
        <f t="shared" si="4"/>
        <v>35.210075465441932</v>
      </c>
      <c r="Q48" s="36">
        <f t="shared" si="6"/>
        <v>5.5752144006868693E-3</v>
      </c>
      <c r="R48" s="19">
        <v>91.254702069891636</v>
      </c>
      <c r="S48" s="36">
        <f t="shared" si="5"/>
        <v>34.801276257719024</v>
      </c>
      <c r="T48" s="36">
        <f t="shared" si="7"/>
        <v>4.2668794738128994</v>
      </c>
      <c r="U48" s="30"/>
    </row>
    <row r="49" spans="1:21" x14ac:dyDescent="0.25">
      <c r="A49" s="35" t="s">
        <v>85</v>
      </c>
      <c r="B49" s="16">
        <v>2.1999999999999999E-2</v>
      </c>
      <c r="C49" s="8">
        <v>1E-3</v>
      </c>
      <c r="D49" s="8">
        <v>15.757999999999999</v>
      </c>
      <c r="E49" s="8">
        <v>0.03</v>
      </c>
      <c r="F49" s="8">
        <v>1.109</v>
      </c>
      <c r="G49" s="8">
        <v>2.8000000000000001E-2</v>
      </c>
      <c r="H49" s="8">
        <v>-8.0000000000000002E-3</v>
      </c>
      <c r="I49" s="8">
        <v>2.1999999999999999E-2</v>
      </c>
      <c r="J49" s="8">
        <v>0.12</v>
      </c>
      <c r="K49" s="39">
        <f t="shared" si="0"/>
        <v>0.19999999999999998</v>
      </c>
      <c r="L49" s="39">
        <f t="shared" si="1"/>
        <v>35.139063</v>
      </c>
      <c r="M49" s="30">
        <f t="shared" si="2"/>
        <v>106.61359795451364</v>
      </c>
      <c r="N49" s="30">
        <f>(RedShift*Age*(2*InitialTangentVelocity-UniverseAcceleration*Age))/(2+RedShift)*(1+RedShift)</f>
        <v>3.3991132786807311E+24</v>
      </c>
      <c r="O49" s="36">
        <f t="shared" si="3"/>
        <v>110.15775921347982</v>
      </c>
      <c r="P49" s="36">
        <f t="shared" si="4"/>
        <v>35.210075465441932</v>
      </c>
      <c r="Q49" s="36">
        <f t="shared" si="6"/>
        <v>0.12606925620353876</v>
      </c>
      <c r="R49" s="19">
        <v>91.254702069891636</v>
      </c>
      <c r="S49" s="36">
        <f t="shared" si="5"/>
        <v>34.801276257719024</v>
      </c>
      <c r="T49" s="36">
        <f t="shared" si="7"/>
        <v>2.852497081519858</v>
      </c>
      <c r="U49" s="30"/>
    </row>
    <row r="50" spans="1:21" x14ac:dyDescent="0.25">
      <c r="A50" s="35" t="s">
        <v>86</v>
      </c>
      <c r="B50" s="16">
        <v>2.1999999999999999E-2</v>
      </c>
      <c r="C50" s="8">
        <v>0</v>
      </c>
      <c r="D50" s="8">
        <v>15.739000000000001</v>
      </c>
      <c r="E50" s="8">
        <v>2.3E-2</v>
      </c>
      <c r="F50" s="8">
        <v>1.034</v>
      </c>
      <c r="G50" s="8">
        <v>1.4999999999999999E-2</v>
      </c>
      <c r="H50" s="8">
        <v>1.2999999999999999E-2</v>
      </c>
      <c r="I50" s="8">
        <v>0.02</v>
      </c>
      <c r="J50" s="8">
        <v>0.12</v>
      </c>
      <c r="K50" s="39">
        <f t="shared" si="0"/>
        <v>0.17799999999999999</v>
      </c>
      <c r="L50" s="39">
        <f t="shared" si="1"/>
        <v>35.043308000000003</v>
      </c>
      <c r="M50" s="30">
        <f t="shared" si="2"/>
        <v>102.01442828239168</v>
      </c>
      <c r="N50" s="30">
        <f>(RedShift*Age*(2*InitialTangentVelocity-UniverseAcceleration*Age))/(2+RedShift)*(1+RedShift)</f>
        <v>3.3991132786807311E+24</v>
      </c>
      <c r="O50" s="36">
        <f t="shared" si="3"/>
        <v>110.15775921347982</v>
      </c>
      <c r="P50" s="36">
        <f t="shared" si="4"/>
        <v>35.210075465441932</v>
      </c>
      <c r="Q50" s="36">
        <f t="shared" si="6"/>
        <v>0.87777387734897339</v>
      </c>
      <c r="R50" s="19">
        <v>91.254702069891636</v>
      </c>
      <c r="S50" s="36">
        <f t="shared" si="5"/>
        <v>34.801276257719024</v>
      </c>
      <c r="T50" s="36">
        <f t="shared" si="7"/>
        <v>1.8488626521766869</v>
      </c>
      <c r="U50" s="30"/>
    </row>
    <row r="51" spans="1:21" x14ac:dyDescent="0.25">
      <c r="A51" s="35" t="s">
        <v>87</v>
      </c>
      <c r="B51" s="16">
        <v>2.1999999999999999E-2</v>
      </c>
      <c r="C51" s="8">
        <v>0</v>
      </c>
      <c r="D51" s="8">
        <v>16.190999999999999</v>
      </c>
      <c r="E51" s="8">
        <v>3.3000000000000002E-2</v>
      </c>
      <c r="F51" s="8">
        <v>0.84799999999999998</v>
      </c>
      <c r="G51" s="8">
        <v>1.7999999999999999E-2</v>
      </c>
      <c r="H51" s="8">
        <v>7.9000000000000001E-2</v>
      </c>
      <c r="I51" s="8">
        <v>0.02</v>
      </c>
      <c r="J51" s="8">
        <v>0.12</v>
      </c>
      <c r="K51" s="39">
        <f t="shared" si="0"/>
        <v>0.191</v>
      </c>
      <c r="L51" s="39">
        <f t="shared" si="1"/>
        <v>35.261386000000002</v>
      </c>
      <c r="M51" s="30">
        <f t="shared" si="2"/>
        <v>112.7917149578883</v>
      </c>
      <c r="N51" s="30">
        <f>(RedShift*Age*(2*InitialTangentVelocity-UniverseAcceleration*Age))/(2+RedShift)*(1+RedShift)</f>
        <v>3.3991132786807311E+24</v>
      </c>
      <c r="O51" s="36">
        <f t="shared" si="3"/>
        <v>110.15775921347982</v>
      </c>
      <c r="P51" s="36">
        <f t="shared" si="4"/>
        <v>35.210075465441932</v>
      </c>
      <c r="Q51" s="36">
        <f t="shared" si="6"/>
        <v>7.2168278189602059E-2</v>
      </c>
      <c r="R51" s="19">
        <v>91.254702069891636</v>
      </c>
      <c r="S51" s="36">
        <f t="shared" si="5"/>
        <v>34.801276257719024</v>
      </c>
      <c r="T51" s="36">
        <f t="shared" si="7"/>
        <v>5.803047475175223</v>
      </c>
      <c r="U51" s="30"/>
    </row>
    <row r="52" spans="1:21" x14ac:dyDescent="0.25">
      <c r="A52" s="35" t="s">
        <v>88</v>
      </c>
      <c r="B52" s="16">
        <v>2.1999999999999999E-2</v>
      </c>
      <c r="C52" s="8">
        <v>0</v>
      </c>
      <c r="D52" s="8">
        <v>16.003</v>
      </c>
      <c r="E52" s="8">
        <v>0.03</v>
      </c>
      <c r="F52" s="8">
        <v>1.1100000000000001</v>
      </c>
      <c r="G52" s="8">
        <v>3.9E-2</v>
      </c>
      <c r="H52" s="8">
        <v>0.16600000000000001</v>
      </c>
      <c r="I52" s="8">
        <v>2.5999999999999999E-2</v>
      </c>
      <c r="J52" s="8">
        <v>0.12</v>
      </c>
      <c r="K52" s="39">
        <f t="shared" si="0"/>
        <v>0.215</v>
      </c>
      <c r="L52" s="39">
        <f t="shared" si="1"/>
        <v>34.839590000000001</v>
      </c>
      <c r="M52" s="30">
        <f t="shared" si="2"/>
        <v>92.879100335706866</v>
      </c>
      <c r="N52" s="30">
        <f>(RedShift*Age*(2*InitialTangentVelocity-UniverseAcceleration*Age))/(2+RedShift)*(1+RedShift)</f>
        <v>3.3991132786807311E+24</v>
      </c>
      <c r="O52" s="36">
        <f t="shared" si="3"/>
        <v>110.15775921347982</v>
      </c>
      <c r="P52" s="36">
        <f t="shared" si="4"/>
        <v>35.210075465441932</v>
      </c>
      <c r="Q52" s="36">
        <f t="shared" si="6"/>
        <v>2.9693776117625541</v>
      </c>
      <c r="R52" s="19">
        <v>91.254702069891636</v>
      </c>
      <c r="S52" s="36">
        <f t="shared" si="5"/>
        <v>34.801276257719024</v>
      </c>
      <c r="T52" s="36">
        <f t="shared" si="7"/>
        <v>3.1756470472106085E-2</v>
      </c>
      <c r="U52" s="30"/>
    </row>
    <row r="53" spans="1:21" x14ac:dyDescent="0.25">
      <c r="A53" s="35" t="s">
        <v>89</v>
      </c>
      <c r="B53" s="16">
        <v>2.3E-2</v>
      </c>
      <c r="C53" s="8">
        <v>0</v>
      </c>
      <c r="D53" s="8">
        <v>16.015000000000001</v>
      </c>
      <c r="E53" s="8">
        <v>3.1E-2</v>
      </c>
      <c r="F53" s="8">
        <v>1.052</v>
      </c>
      <c r="G53" s="8">
        <v>1.4999999999999999E-2</v>
      </c>
      <c r="H53" s="8">
        <v>9.9000000000000005E-2</v>
      </c>
      <c r="I53" s="8">
        <v>2.1999999999999999E-2</v>
      </c>
      <c r="J53" s="8">
        <v>0.12</v>
      </c>
      <c r="K53" s="39">
        <f t="shared" si="0"/>
        <v>0.188</v>
      </c>
      <c r="L53" s="39">
        <f t="shared" si="1"/>
        <v>35.052773999999999</v>
      </c>
      <c r="M53" s="30">
        <f t="shared" si="2"/>
        <v>102.46010580194832</v>
      </c>
      <c r="N53" s="30">
        <f>(RedShift*Age*(2*InitialTangentVelocity-UniverseAcceleration*Age))/(2+RedShift)*(1+RedShift)</f>
        <v>3.5553372224468333E+24</v>
      </c>
      <c r="O53" s="36">
        <f t="shared" si="3"/>
        <v>115.22063243065186</v>
      </c>
      <c r="P53" s="36">
        <f t="shared" si="4"/>
        <v>35.307651273407082</v>
      </c>
      <c r="Q53" s="36">
        <f t="shared" si="6"/>
        <v>1.8380043147190075</v>
      </c>
      <c r="R53" s="19">
        <v>95.474330029266582</v>
      </c>
      <c r="S53" s="36">
        <f t="shared" si="5"/>
        <v>34.899433097436074</v>
      </c>
      <c r="T53" s="36">
        <f t="shared" si="7"/>
        <v>0.6652736645291818</v>
      </c>
      <c r="U53" s="30"/>
    </row>
    <row r="54" spans="1:21" x14ac:dyDescent="0.25">
      <c r="A54" s="35" t="s">
        <v>90</v>
      </c>
      <c r="B54" s="16">
        <v>2.3E-2</v>
      </c>
      <c r="C54" s="8">
        <v>0</v>
      </c>
      <c r="D54" s="8">
        <v>16.486000000000001</v>
      </c>
      <c r="E54" s="8">
        <v>2.5999999999999999E-2</v>
      </c>
      <c r="F54" s="8">
        <v>0.90300000000000002</v>
      </c>
      <c r="G54" s="8">
        <v>2.9000000000000001E-2</v>
      </c>
      <c r="H54" s="8">
        <v>0.128</v>
      </c>
      <c r="I54" s="8">
        <v>2.3E-2</v>
      </c>
      <c r="J54" s="8">
        <v>0.12</v>
      </c>
      <c r="K54" s="39">
        <f t="shared" si="0"/>
        <v>0.19800000000000001</v>
      </c>
      <c r="L54" s="39">
        <f t="shared" si="1"/>
        <v>35.411101000000002</v>
      </c>
      <c r="M54" s="30">
        <f t="shared" si="2"/>
        <v>120.84263873124272</v>
      </c>
      <c r="N54" s="30">
        <f>(RedShift*Age*(2*InitialTangentVelocity-UniverseAcceleration*Age))/(2+RedShift)*(1+RedShift)</f>
        <v>3.5553372224468333E+24</v>
      </c>
      <c r="O54" s="36">
        <f t="shared" si="3"/>
        <v>115.22063243065186</v>
      </c>
      <c r="P54" s="36">
        <f t="shared" si="4"/>
        <v>35.307651273407082</v>
      </c>
      <c r="Q54" s="36">
        <f t="shared" si="6"/>
        <v>0.27297841883863844</v>
      </c>
      <c r="R54" s="19">
        <v>95.474330029266582</v>
      </c>
      <c r="S54" s="36">
        <f t="shared" si="5"/>
        <v>34.899433097436074</v>
      </c>
      <c r="T54" s="36">
        <f t="shared" si="7"/>
        <v>6.6779931260628986</v>
      </c>
      <c r="U54" s="30"/>
    </row>
    <row r="55" spans="1:21" x14ac:dyDescent="0.25">
      <c r="A55" s="35" t="s">
        <v>91</v>
      </c>
      <c r="B55" s="16">
        <v>2.1999999999999999E-2</v>
      </c>
      <c r="C55" s="8">
        <v>0</v>
      </c>
      <c r="D55" s="8">
        <v>15.981999999999999</v>
      </c>
      <c r="E55" s="8">
        <v>7.1999999999999995E-2</v>
      </c>
      <c r="F55" s="8">
        <v>0.85</v>
      </c>
      <c r="G55" s="8">
        <v>4.9000000000000002E-2</v>
      </c>
      <c r="H55" s="8">
        <v>1.0999999999999999E-2</v>
      </c>
      <c r="I55" s="8">
        <v>3.6999999999999998E-2</v>
      </c>
      <c r="J55" s="8">
        <v>0.12</v>
      </c>
      <c r="K55" s="39">
        <f t="shared" si="0"/>
        <v>0.27800000000000002</v>
      </c>
      <c r="L55" s="39">
        <f t="shared" si="1"/>
        <v>35.265519999999995</v>
      </c>
      <c r="M55" s="30">
        <f t="shared" si="2"/>
        <v>113.00664979976912</v>
      </c>
      <c r="N55" s="30">
        <f>(RedShift*Age*(2*InitialTangentVelocity-UniverseAcceleration*Age))/(2+RedShift)*(1+RedShift)</f>
        <v>3.3991132786807311E+24</v>
      </c>
      <c r="O55" s="36">
        <f t="shared" si="3"/>
        <v>110.15775921347982</v>
      </c>
      <c r="P55" s="36">
        <f t="shared" si="4"/>
        <v>35.210075465441932</v>
      </c>
      <c r="Q55" s="36">
        <f t="shared" si="6"/>
        <v>3.977662145282676E-2</v>
      </c>
      <c r="R55" s="19">
        <v>91.254702069891636</v>
      </c>
      <c r="S55" s="36">
        <f t="shared" si="5"/>
        <v>34.801276257719024</v>
      </c>
      <c r="T55" s="36">
        <f t="shared" si="7"/>
        <v>2.7887046768676602</v>
      </c>
      <c r="U55" s="30"/>
    </row>
    <row r="56" spans="1:21" x14ac:dyDescent="0.25">
      <c r="A56" s="35" t="s">
        <v>92</v>
      </c>
      <c r="B56" s="16">
        <v>2.3E-2</v>
      </c>
      <c r="C56" s="8">
        <v>2E-3</v>
      </c>
      <c r="D56" s="8">
        <v>16.009</v>
      </c>
      <c r="E56" s="8">
        <v>2.4E-2</v>
      </c>
      <c r="F56" s="8">
        <v>1.0920000000000001</v>
      </c>
      <c r="G56" s="8">
        <v>2.1999999999999999E-2</v>
      </c>
      <c r="H56" s="8">
        <v>3.5999999999999997E-2</v>
      </c>
      <c r="I56" s="8">
        <v>2.1999999999999999E-2</v>
      </c>
      <c r="J56" s="8">
        <v>0.12</v>
      </c>
      <c r="K56" s="39">
        <f t="shared" si="0"/>
        <v>0.188</v>
      </c>
      <c r="L56" s="39">
        <f t="shared" si="1"/>
        <v>35.249844000000003</v>
      </c>
      <c r="M56" s="30">
        <f t="shared" si="2"/>
        <v>112.19378506567409</v>
      </c>
      <c r="N56" s="30">
        <f>(RedShift*Age*(2*InitialTangentVelocity-UniverseAcceleration*Age))/(2+RedShift)*(1+RedShift)</f>
        <v>3.5553372224468333E+24</v>
      </c>
      <c r="O56" s="36">
        <f t="shared" si="3"/>
        <v>115.22063243065186</v>
      </c>
      <c r="P56" s="36">
        <f t="shared" si="4"/>
        <v>35.307651273407082</v>
      </c>
      <c r="Q56" s="36">
        <f t="shared" si="6"/>
        <v>9.4547330770731894E-2</v>
      </c>
      <c r="R56" s="19">
        <v>95.474330029266582</v>
      </c>
      <c r="S56" s="36">
        <f t="shared" si="5"/>
        <v>34.899433097436074</v>
      </c>
      <c r="T56" s="36">
        <f t="shared" si="7"/>
        <v>3.4740776549249572</v>
      </c>
      <c r="U56" s="30"/>
    </row>
    <row r="57" spans="1:21" x14ac:dyDescent="0.25">
      <c r="A57" s="35" t="s">
        <v>93</v>
      </c>
      <c r="B57" s="16">
        <v>2.5000000000000001E-2</v>
      </c>
      <c r="C57" s="8">
        <v>1E-3</v>
      </c>
      <c r="D57" s="8">
        <v>15.833</v>
      </c>
      <c r="E57" s="8">
        <v>2.5999999999999999E-2</v>
      </c>
      <c r="F57" s="8">
        <v>1.044</v>
      </c>
      <c r="G57" s="8">
        <v>1.9E-2</v>
      </c>
      <c r="H57" s="8">
        <v>-3.0000000000000001E-3</v>
      </c>
      <c r="I57" s="8">
        <v>0.02</v>
      </c>
      <c r="J57" s="8">
        <v>0.12</v>
      </c>
      <c r="K57" s="39">
        <f t="shared" si="0"/>
        <v>0.185</v>
      </c>
      <c r="L57" s="39">
        <f t="shared" si="1"/>
        <v>35.188857999999996</v>
      </c>
      <c r="M57" s="30">
        <f t="shared" si="2"/>
        <v>109.08664874961777</v>
      </c>
      <c r="N57" s="30">
        <f>(RedShift*Age*(2*InitialTangentVelocity-UniverseAcceleration*Age))/(2+RedShift)*(1+RedShift)</f>
        <v>3.8682279556434909E+24</v>
      </c>
      <c r="O57" s="36">
        <f t="shared" si="3"/>
        <v>125.36073051558067</v>
      </c>
      <c r="P57" s="36">
        <f t="shared" si="4"/>
        <v>35.49080757117796</v>
      </c>
      <c r="Q57" s="36">
        <f t="shared" si="6"/>
        <v>2.6639457570359792</v>
      </c>
      <c r="R57" s="19">
        <v>103.93212049511982</v>
      </c>
      <c r="S57" s="36">
        <f t="shared" si="5"/>
        <v>35.08374894076762</v>
      </c>
      <c r="T57" s="36">
        <f t="shared" si="7"/>
        <v>0.3228024640676444</v>
      </c>
      <c r="U57" s="30"/>
    </row>
    <row r="58" spans="1:21" x14ac:dyDescent="0.25">
      <c r="A58" s="35" t="s">
        <v>94</v>
      </c>
      <c r="B58" s="16">
        <v>2.3E-2</v>
      </c>
      <c r="C58" s="8">
        <v>0</v>
      </c>
      <c r="D58" s="8">
        <v>16.193000000000001</v>
      </c>
      <c r="E58" s="8">
        <v>2.1999999999999999E-2</v>
      </c>
      <c r="F58" s="8">
        <v>0.89500000000000002</v>
      </c>
      <c r="G58" s="8">
        <v>1.2E-2</v>
      </c>
      <c r="H58" s="8">
        <v>0.08</v>
      </c>
      <c r="I58" s="8">
        <v>0.02</v>
      </c>
      <c r="J58" s="8">
        <v>0.12</v>
      </c>
      <c r="K58" s="39">
        <f t="shared" si="0"/>
        <v>0.17399999999999999</v>
      </c>
      <c r="L58" s="39">
        <f t="shared" si="1"/>
        <v>35.267164999999999</v>
      </c>
      <c r="M58" s="30">
        <f t="shared" si="2"/>
        <v>113.09229047780407</v>
      </c>
      <c r="N58" s="30">
        <f>(RedShift*Age*(2*InitialTangentVelocity-UniverseAcceleration*Age))/(2+RedShift)*(1+RedShift)</f>
        <v>3.5553372224468333E+24</v>
      </c>
      <c r="O58" s="36">
        <f t="shared" si="3"/>
        <v>115.22063243065186</v>
      </c>
      <c r="P58" s="36">
        <f t="shared" si="4"/>
        <v>35.307651273407082</v>
      </c>
      <c r="Q58" s="36">
        <f t="shared" si="6"/>
        <v>5.4139857788119104E-2</v>
      </c>
      <c r="R58" s="19">
        <v>95.474330029266582</v>
      </c>
      <c r="S58" s="36">
        <f t="shared" si="5"/>
        <v>34.899433097436074</v>
      </c>
      <c r="T58" s="36">
        <f t="shared" si="7"/>
        <v>4.4664669098719783</v>
      </c>
      <c r="U58" s="30"/>
    </row>
    <row r="59" spans="1:21" x14ac:dyDescent="0.25">
      <c r="A59" s="35" t="s">
        <v>95</v>
      </c>
      <c r="B59" s="16">
        <v>2.5000000000000001E-2</v>
      </c>
      <c r="C59" s="8">
        <v>0</v>
      </c>
      <c r="D59" s="8">
        <v>16.277999999999999</v>
      </c>
      <c r="E59" s="8">
        <v>3.9E-2</v>
      </c>
      <c r="F59" s="8">
        <v>0.83</v>
      </c>
      <c r="G59" s="8">
        <v>2.4E-2</v>
      </c>
      <c r="H59" s="8">
        <v>4.2999999999999997E-2</v>
      </c>
      <c r="I59" s="8">
        <v>2.5000000000000001E-2</v>
      </c>
      <c r="J59" s="8">
        <v>0.12</v>
      </c>
      <c r="K59" s="39">
        <f t="shared" si="0"/>
        <v>0.20799999999999999</v>
      </c>
      <c r="L59" s="39">
        <f t="shared" si="1"/>
        <v>35.458420000000004</v>
      </c>
      <c r="M59" s="30">
        <f t="shared" si="2"/>
        <v>123.50484643097693</v>
      </c>
      <c r="N59" s="30">
        <f>(RedShift*Age*(2*InitialTangentVelocity-UniverseAcceleration*Age))/(2+RedShift)*(1+RedShift)</f>
        <v>3.8682279556434909E+24</v>
      </c>
      <c r="O59" s="36">
        <f t="shared" si="3"/>
        <v>125.36073051558067</v>
      </c>
      <c r="P59" s="36">
        <f t="shared" si="4"/>
        <v>35.49080757117796</v>
      </c>
      <c r="Q59" s="36">
        <f t="shared" si="6"/>
        <v>2.4245441170654452E-2</v>
      </c>
      <c r="R59" s="19">
        <v>103.93212049511982</v>
      </c>
      <c r="S59" s="36">
        <f t="shared" si="5"/>
        <v>35.08374894076762</v>
      </c>
      <c r="T59" s="36">
        <f t="shared" si="7"/>
        <v>3.2446931080417052</v>
      </c>
      <c r="U59" s="30"/>
    </row>
    <row r="60" spans="1:21" x14ac:dyDescent="0.25">
      <c r="A60" s="35" t="s">
        <v>96</v>
      </c>
      <c r="B60" s="16">
        <v>2.4E-2</v>
      </c>
      <c r="C60" s="8">
        <v>0</v>
      </c>
      <c r="D60" s="8">
        <v>16.553999999999998</v>
      </c>
      <c r="E60" s="8">
        <v>2.9000000000000001E-2</v>
      </c>
      <c r="F60" s="8">
        <v>0.755</v>
      </c>
      <c r="G60" s="8">
        <v>1.7999999999999999E-2</v>
      </c>
      <c r="H60" s="8">
        <v>0.115</v>
      </c>
      <c r="I60" s="8">
        <v>2.1999999999999999E-2</v>
      </c>
      <c r="J60" s="8">
        <v>0.12</v>
      </c>
      <c r="K60" s="39">
        <f t="shared" si="0"/>
        <v>0.189</v>
      </c>
      <c r="L60" s="39">
        <f t="shared" si="1"/>
        <v>35.498035000000002</v>
      </c>
      <c r="M60" s="30">
        <f t="shared" si="2"/>
        <v>125.77867054143005</v>
      </c>
      <c r="N60" s="30">
        <f>(RedShift*Age*(2*InitialTangentVelocity-UniverseAcceleration*Age))/(2+RedShift)*(1+RedShift)</f>
        <v>3.711708854366842E+24</v>
      </c>
      <c r="O60" s="36">
        <f t="shared" si="3"/>
        <v>120.28829189493098</v>
      </c>
      <c r="P60" s="36">
        <f t="shared" si="4"/>
        <v>35.401116789530626</v>
      </c>
      <c r="Q60" s="36">
        <f t="shared" si="6"/>
        <v>0.2629584703839819</v>
      </c>
      <c r="R60" s="19">
        <v>99.700138387100452</v>
      </c>
      <c r="S60" s="36">
        <f t="shared" si="5"/>
        <v>34.99347880563613</v>
      </c>
      <c r="T60" s="36">
        <f t="shared" si="7"/>
        <v>7.1268148503948101</v>
      </c>
      <c r="U60" s="30"/>
    </row>
    <row r="61" spans="1:21" x14ac:dyDescent="0.25">
      <c r="A61" s="35" t="s">
        <v>97</v>
      </c>
      <c r="B61" s="16">
        <v>2.4E-2</v>
      </c>
      <c r="C61" s="8">
        <v>0</v>
      </c>
      <c r="D61" s="8">
        <v>15.914</v>
      </c>
      <c r="E61" s="8">
        <v>3.6999999999999998E-2</v>
      </c>
      <c r="F61" s="8">
        <v>1.0589999999999999</v>
      </c>
      <c r="G61" s="8">
        <v>0.01</v>
      </c>
      <c r="H61" s="8">
        <v>-0.02</v>
      </c>
      <c r="I61" s="8">
        <v>0.02</v>
      </c>
      <c r="J61" s="8">
        <v>0.12</v>
      </c>
      <c r="K61" s="39">
        <f t="shared" si="0"/>
        <v>0.187</v>
      </c>
      <c r="L61" s="39">
        <f t="shared" si="1"/>
        <v>35.325272999999996</v>
      </c>
      <c r="M61" s="30">
        <f t="shared" si="2"/>
        <v>116.15946416703835</v>
      </c>
      <c r="N61" s="30">
        <f>(RedShift*Age*(2*InitialTangentVelocity-UniverseAcceleration*Age))/(2+RedShift)*(1+RedShift)</f>
        <v>3.711708854366842E+24</v>
      </c>
      <c r="O61" s="36">
        <f t="shared" si="3"/>
        <v>120.28829189493098</v>
      </c>
      <c r="P61" s="36">
        <f t="shared" si="4"/>
        <v>35.401116789530626</v>
      </c>
      <c r="Q61" s="36">
        <f t="shared" si="6"/>
        <v>0.16449656582591765</v>
      </c>
      <c r="R61" s="19">
        <v>99.700138387100452</v>
      </c>
      <c r="S61" s="36">
        <f t="shared" si="5"/>
        <v>34.99347880563613</v>
      </c>
      <c r="T61" s="36">
        <f t="shared" si="7"/>
        <v>3.1481422806933788</v>
      </c>
      <c r="U61" s="30"/>
    </row>
    <row r="62" spans="1:21" x14ac:dyDescent="0.25">
      <c r="A62" s="35" t="s">
        <v>98</v>
      </c>
      <c r="B62" s="16">
        <v>2.3E-2</v>
      </c>
      <c r="C62" s="8">
        <v>0</v>
      </c>
      <c r="D62" s="8">
        <v>15.606</v>
      </c>
      <c r="E62" s="8">
        <v>2.9000000000000001E-2</v>
      </c>
      <c r="F62" s="8">
        <v>1.0620000000000001</v>
      </c>
      <c r="G62" s="8">
        <v>2.4E-2</v>
      </c>
      <c r="H62" s="8">
        <v>-7.2999999999999995E-2</v>
      </c>
      <c r="I62" s="8">
        <v>2.1000000000000001E-2</v>
      </c>
      <c r="J62" s="8">
        <v>0.12</v>
      </c>
      <c r="K62" s="39">
        <f t="shared" si="0"/>
        <v>0.19400000000000001</v>
      </c>
      <c r="L62" s="39">
        <f t="shared" si="1"/>
        <v>35.183604000000003</v>
      </c>
      <c r="M62" s="30">
        <f t="shared" si="2"/>
        <v>108.82302650182643</v>
      </c>
      <c r="N62" s="30">
        <f>(RedShift*Age*(2*InitialTangentVelocity-UniverseAcceleration*Age))/(2+RedShift)*(1+RedShift)</f>
        <v>3.5553372224468333E+24</v>
      </c>
      <c r="O62" s="36">
        <f t="shared" si="3"/>
        <v>115.22063243065186</v>
      </c>
      <c r="P62" s="36">
        <f t="shared" si="4"/>
        <v>35.307651273407082</v>
      </c>
      <c r="Q62" s="36">
        <f t="shared" si="6"/>
        <v>0.4088565745491195</v>
      </c>
      <c r="R62" s="19">
        <v>95.474330029266582</v>
      </c>
      <c r="S62" s="36">
        <f t="shared" si="5"/>
        <v>34.899433097436074</v>
      </c>
      <c r="T62" s="36">
        <f t="shared" si="7"/>
        <v>2.1456345484110426</v>
      </c>
      <c r="U62" s="30"/>
    </row>
    <row r="63" spans="1:21" x14ac:dyDescent="0.25">
      <c r="A63" s="35" t="s">
        <v>99</v>
      </c>
      <c r="B63" s="16">
        <v>2.4E-2</v>
      </c>
      <c r="C63" s="8">
        <v>1E-3</v>
      </c>
      <c r="D63" s="8">
        <v>16.074000000000002</v>
      </c>
      <c r="E63" s="8">
        <v>2.3E-2</v>
      </c>
      <c r="F63" s="8">
        <v>1.0589999999999999</v>
      </c>
      <c r="G63" s="8">
        <v>8.0000000000000002E-3</v>
      </c>
      <c r="H63" s="8">
        <v>6.7000000000000004E-2</v>
      </c>
      <c r="I63" s="8">
        <v>0.02</v>
      </c>
      <c r="J63" s="8">
        <v>0.12</v>
      </c>
      <c r="K63" s="39">
        <f t="shared" si="0"/>
        <v>0.17099999999999999</v>
      </c>
      <c r="L63" s="39">
        <f t="shared" si="1"/>
        <v>35.212963000000002</v>
      </c>
      <c r="M63" s="30">
        <f t="shared" si="2"/>
        <v>110.30433990069987</v>
      </c>
      <c r="N63" s="30">
        <f>(RedShift*Age*(2*InitialTangentVelocity-UniverseAcceleration*Age))/(2+RedShift)*(1+RedShift)</f>
        <v>3.711708854366842E+24</v>
      </c>
      <c r="O63" s="36">
        <f t="shared" si="3"/>
        <v>120.28829189493098</v>
      </c>
      <c r="P63" s="36">
        <f t="shared" si="4"/>
        <v>35.401116789530626</v>
      </c>
      <c r="Q63" s="36">
        <f t="shared" si="6"/>
        <v>1.2106921279961107</v>
      </c>
      <c r="R63" s="19">
        <v>99.700138387100452</v>
      </c>
      <c r="S63" s="36">
        <f t="shared" si="5"/>
        <v>34.99347880563613</v>
      </c>
      <c r="T63" s="36">
        <f t="shared" si="7"/>
        <v>1.647457733167744</v>
      </c>
      <c r="U63" s="30"/>
    </row>
    <row r="64" spans="1:21" x14ac:dyDescent="0.25">
      <c r="A64" s="35" t="s">
        <v>100</v>
      </c>
      <c r="B64" s="16">
        <v>2.4E-2</v>
      </c>
      <c r="C64" s="8">
        <v>0</v>
      </c>
      <c r="D64" s="8">
        <v>16.157</v>
      </c>
      <c r="E64" s="8">
        <v>3.4000000000000002E-2</v>
      </c>
      <c r="F64" s="8">
        <v>0.85199999999999998</v>
      </c>
      <c r="G64" s="8">
        <v>1.9E-2</v>
      </c>
      <c r="H64" s="8">
        <v>1.0999999999999999E-2</v>
      </c>
      <c r="I64" s="8">
        <v>2.1999999999999999E-2</v>
      </c>
      <c r="J64" s="8">
        <v>0.12</v>
      </c>
      <c r="K64" s="39">
        <f t="shared" si="0"/>
        <v>0.19500000000000001</v>
      </c>
      <c r="L64" s="39">
        <f t="shared" si="1"/>
        <v>35.440814000000003</v>
      </c>
      <c r="M64" s="30">
        <f t="shared" si="2"/>
        <v>122.50753459909662</v>
      </c>
      <c r="N64" s="30">
        <f>(RedShift*Age*(2*InitialTangentVelocity-UniverseAcceleration*Age))/(2+RedShift)*(1+RedShift)</f>
        <v>3.711708854366842E+24</v>
      </c>
      <c r="O64" s="36">
        <f t="shared" si="3"/>
        <v>120.28829189493098</v>
      </c>
      <c r="P64" s="36">
        <f t="shared" si="4"/>
        <v>35.401116789530626</v>
      </c>
      <c r="Q64" s="36">
        <f t="shared" si="6"/>
        <v>4.144295908086898E-2</v>
      </c>
      <c r="R64" s="19">
        <v>99.700138387100452</v>
      </c>
      <c r="S64" s="36">
        <f t="shared" si="5"/>
        <v>34.99347880563613</v>
      </c>
      <c r="T64" s="36">
        <f t="shared" si="7"/>
        <v>5.2625582147682906</v>
      </c>
      <c r="U64" s="30"/>
    </row>
    <row r="65" spans="1:21" x14ac:dyDescent="0.25">
      <c r="A65" s="35" t="s">
        <v>101</v>
      </c>
      <c r="B65" s="16">
        <v>2.4E-2</v>
      </c>
      <c r="C65" s="8">
        <v>0</v>
      </c>
      <c r="D65" s="8">
        <v>16.765999999999998</v>
      </c>
      <c r="E65" s="8">
        <v>3.3000000000000002E-2</v>
      </c>
      <c r="F65" s="8">
        <v>0.72599999999999998</v>
      </c>
      <c r="G65" s="8">
        <v>1.4999999999999999E-2</v>
      </c>
      <c r="H65" s="8">
        <v>0.17899999999999999</v>
      </c>
      <c r="I65" s="8">
        <v>2.5000000000000001E-2</v>
      </c>
      <c r="J65" s="8">
        <v>0.12</v>
      </c>
      <c r="K65" s="39">
        <f t="shared" si="0"/>
        <v>0.193</v>
      </c>
      <c r="L65" s="39">
        <f t="shared" si="1"/>
        <v>35.505451999999998</v>
      </c>
      <c r="M65" s="30">
        <f t="shared" si="2"/>
        <v>126.20902159892788</v>
      </c>
      <c r="N65" s="30">
        <f>(RedShift*Age*(2*InitialTangentVelocity-UniverseAcceleration*Age))/(2+RedShift)*(1+RedShift)</f>
        <v>3.711708854366842E+24</v>
      </c>
      <c r="O65" s="36">
        <f t="shared" si="3"/>
        <v>120.28829189493098</v>
      </c>
      <c r="P65" s="36">
        <f t="shared" si="4"/>
        <v>35.401116789530626</v>
      </c>
      <c r="Q65" s="36">
        <f t="shared" si="6"/>
        <v>0.29224505741599088</v>
      </c>
      <c r="R65" s="19">
        <v>99.700138387100452</v>
      </c>
      <c r="S65" s="36">
        <f t="shared" si="5"/>
        <v>34.99347880563613</v>
      </c>
      <c r="T65" s="36">
        <f t="shared" si="7"/>
        <v>7.0368748623357211</v>
      </c>
      <c r="U65" s="30"/>
    </row>
    <row r="66" spans="1:21" x14ac:dyDescent="0.25">
      <c r="A66" s="35" t="s">
        <v>102</v>
      </c>
      <c r="B66" s="16">
        <v>2.5000000000000001E-2</v>
      </c>
      <c r="C66" s="8">
        <v>0</v>
      </c>
      <c r="D66" s="8">
        <v>16.358000000000001</v>
      </c>
      <c r="E66" s="8">
        <v>5.0999999999999997E-2</v>
      </c>
      <c r="F66" s="8">
        <v>0.93600000000000005</v>
      </c>
      <c r="G66" s="8">
        <v>0.03</v>
      </c>
      <c r="H66" s="8">
        <v>0.16900000000000001</v>
      </c>
      <c r="I66" s="8">
        <v>3.1E-2</v>
      </c>
      <c r="J66" s="8">
        <v>0.12</v>
      </c>
      <c r="K66" s="39">
        <f t="shared" si="0"/>
        <v>0.23199999999999998</v>
      </c>
      <c r="L66" s="39">
        <f t="shared" si="1"/>
        <v>35.159621999999999</v>
      </c>
      <c r="M66" s="30">
        <f t="shared" si="2"/>
        <v>107.62778437903465</v>
      </c>
      <c r="N66" s="30">
        <f>(RedShift*Age*(2*InitialTangentVelocity-UniverseAcceleration*Age))/(2+RedShift)*(1+RedShift)</f>
        <v>3.8682279556434909E+24</v>
      </c>
      <c r="O66" s="36">
        <f t="shared" si="3"/>
        <v>125.36073051558067</v>
      </c>
      <c r="P66" s="36">
        <f t="shared" si="4"/>
        <v>35.49080757117796</v>
      </c>
      <c r="Q66" s="36">
        <f t="shared" si="6"/>
        <v>2.0378248096847611</v>
      </c>
      <c r="R66" s="19">
        <v>103.93212049511982</v>
      </c>
      <c r="S66" s="36">
        <f t="shared" si="5"/>
        <v>35.08374894076762</v>
      </c>
      <c r="T66" s="36">
        <f t="shared" si="7"/>
        <v>0.10695453918846683</v>
      </c>
      <c r="U66" s="30"/>
    </row>
    <row r="67" spans="1:21" x14ac:dyDescent="0.25">
      <c r="A67" s="35" t="s">
        <v>103</v>
      </c>
      <c r="B67" s="16">
        <v>2.5000000000000001E-2</v>
      </c>
      <c r="C67" s="8">
        <v>0</v>
      </c>
      <c r="D67" s="8">
        <v>16.271000000000001</v>
      </c>
      <c r="E67" s="8">
        <v>4.2999999999999997E-2</v>
      </c>
      <c r="F67" s="8">
        <v>0.82</v>
      </c>
      <c r="G67" s="8">
        <v>2.1999999999999999E-2</v>
      </c>
      <c r="H67" s="8">
        <v>-1.2E-2</v>
      </c>
      <c r="I67" s="8">
        <v>2.9000000000000001E-2</v>
      </c>
      <c r="J67" s="8">
        <v>0.12</v>
      </c>
      <c r="K67" s="39">
        <f t="shared" si="0"/>
        <v>0.214</v>
      </c>
      <c r="L67" s="39">
        <f t="shared" si="1"/>
        <v>35.622100000000003</v>
      </c>
      <c r="M67" s="30">
        <f t="shared" si="2"/>
        <v>133.17417038297521</v>
      </c>
      <c r="N67" s="30">
        <f>(RedShift*Age*(2*InitialTangentVelocity-UniverseAcceleration*Age))/(2+RedShift)*(1+RedShift)</f>
        <v>3.8682279556434909E+24</v>
      </c>
      <c r="O67" s="36">
        <f t="shared" si="3"/>
        <v>125.36073051558067</v>
      </c>
      <c r="P67" s="36">
        <f t="shared" si="4"/>
        <v>35.49080757117796</v>
      </c>
      <c r="Q67" s="36">
        <f t="shared" si="6"/>
        <v>0.37640190990460337</v>
      </c>
      <c r="R67" s="19">
        <v>103.93212049511982</v>
      </c>
      <c r="S67" s="36">
        <f t="shared" si="5"/>
        <v>35.08374894076762</v>
      </c>
      <c r="T67" s="36">
        <f t="shared" si="7"/>
        <v>6.3285409856019914</v>
      </c>
      <c r="U67" s="30"/>
    </row>
    <row r="68" spans="1:21" x14ac:dyDescent="0.25">
      <c r="A68" s="35" t="s">
        <v>104</v>
      </c>
      <c r="B68" s="16">
        <v>2.5000000000000001E-2</v>
      </c>
      <c r="C68" s="8">
        <v>2E-3</v>
      </c>
      <c r="D68" s="8">
        <v>16.355</v>
      </c>
      <c r="E68" s="8">
        <v>4.1000000000000002E-2</v>
      </c>
      <c r="F68" s="8">
        <v>0.95</v>
      </c>
      <c r="G68" s="8">
        <v>3.3000000000000002E-2</v>
      </c>
      <c r="H68" s="8">
        <v>0.18</v>
      </c>
      <c r="I68" s="8">
        <v>3.6999999999999998E-2</v>
      </c>
      <c r="J68" s="8">
        <v>0.12</v>
      </c>
      <c r="K68" s="39">
        <f t="shared" si="0"/>
        <v>0.23100000000000001</v>
      </c>
      <c r="L68" s="39">
        <f t="shared" si="1"/>
        <v>35.124250000000004</v>
      </c>
      <c r="M68" s="30">
        <f t="shared" si="2"/>
        <v>105.88879350750462</v>
      </c>
      <c r="N68" s="30">
        <f>(RedShift*Age*(2*InitialTangentVelocity-UniverseAcceleration*Age))/(2+RedShift)*(1+RedShift)</f>
        <v>3.8682279556434909E+24</v>
      </c>
      <c r="O68" s="36">
        <f t="shared" si="3"/>
        <v>125.36073051558067</v>
      </c>
      <c r="P68" s="36">
        <f t="shared" si="4"/>
        <v>35.49080757117796</v>
      </c>
      <c r="Q68" s="36">
        <f t="shared" si="6"/>
        <v>2.5180272668781098</v>
      </c>
      <c r="R68" s="19">
        <v>103.93212049511982</v>
      </c>
      <c r="S68" s="36">
        <f t="shared" si="5"/>
        <v>35.08374894076762</v>
      </c>
      <c r="T68" s="36">
        <f t="shared" si="7"/>
        <v>3.0740349673825895E-2</v>
      </c>
      <c r="U68" s="30"/>
    </row>
    <row r="69" spans="1:21" x14ac:dyDescent="0.25">
      <c r="A69" s="35" t="s">
        <v>105</v>
      </c>
      <c r="B69" s="16">
        <v>2.7E-2</v>
      </c>
      <c r="C69" s="8">
        <v>0</v>
      </c>
      <c r="D69" s="8">
        <v>16.18</v>
      </c>
      <c r="E69" s="8">
        <v>2.4E-2</v>
      </c>
      <c r="F69" s="8">
        <v>1.0449999999999999</v>
      </c>
      <c r="G69" s="8">
        <v>1.6E-2</v>
      </c>
      <c r="H69" s="8">
        <v>-0.01</v>
      </c>
      <c r="I69" s="8">
        <v>2.1000000000000001E-2</v>
      </c>
      <c r="J69" s="8">
        <v>0.12</v>
      </c>
      <c r="K69" s="39">
        <f t="shared" si="0"/>
        <v>0.18099999999999999</v>
      </c>
      <c r="L69" s="39">
        <f t="shared" si="1"/>
        <v>35.557915000000001</v>
      </c>
      <c r="M69" s="30">
        <f t="shared" si="2"/>
        <v>129.29537794920287</v>
      </c>
      <c r="N69" s="30">
        <f>(RedShift*Age*(2*InitialTangentVelocity-UniverseAcceleration*Age))/(2+RedShift)*(1+RedShift)</f>
        <v>4.1817076932364809E+24</v>
      </c>
      <c r="O69" s="36">
        <f t="shared" si="3"/>
        <v>135.51991693300897</v>
      </c>
      <c r="P69" s="36">
        <f t="shared" si="4"/>
        <v>35.660015633928623</v>
      </c>
      <c r="Q69" s="36">
        <f t="shared" si="6"/>
        <v>0.31819967182401065</v>
      </c>
      <c r="R69" s="19">
        <v>112.41457937571926</v>
      </c>
      <c r="S69" s="36">
        <f t="shared" si="5"/>
        <v>35.254113199039573</v>
      </c>
      <c r="T69" s="36">
        <f t="shared" si="7"/>
        <v>2.8172380045419829</v>
      </c>
      <c r="U69" s="30"/>
    </row>
    <row r="70" spans="1:21" x14ac:dyDescent="0.25">
      <c r="A70" s="35" t="s">
        <v>106</v>
      </c>
      <c r="B70" s="16">
        <v>2.8000000000000001E-2</v>
      </c>
      <c r="C70" s="8">
        <v>0</v>
      </c>
      <c r="D70" s="8">
        <v>16.097000000000001</v>
      </c>
      <c r="E70" s="8">
        <v>3.2000000000000001E-2</v>
      </c>
      <c r="F70" s="8">
        <v>1.079</v>
      </c>
      <c r="G70" s="8">
        <v>8.4000000000000005E-2</v>
      </c>
      <c r="H70" s="8">
        <v>-6.3E-2</v>
      </c>
      <c r="I70" s="8">
        <v>3.5000000000000003E-2</v>
      </c>
      <c r="J70" s="8">
        <v>0.12</v>
      </c>
      <c r="K70" s="39">
        <f t="shared" si="0"/>
        <v>0.27100000000000002</v>
      </c>
      <c r="L70" s="39">
        <f t="shared" si="1"/>
        <v>35.645803000000001</v>
      </c>
      <c r="M70" s="30">
        <f t="shared" si="2"/>
        <v>134.63581387424148</v>
      </c>
      <c r="N70" s="30">
        <f>(RedShift*Age*(2*InitialTangentVelocity-UniverseAcceleration*Age))/(2+RedShift)*(1+RedShift)</f>
        <v>4.3386678941139288E+24</v>
      </c>
      <c r="O70" s="36">
        <f t="shared" si="3"/>
        <v>140.60665061817409</v>
      </c>
      <c r="P70" s="36">
        <f t="shared" si="4"/>
        <v>35.74002931531323</v>
      </c>
      <c r="Q70" s="36">
        <f t="shared" si="6"/>
        <v>0.12089430287588691</v>
      </c>
      <c r="R70" s="19">
        <v>116.66504285893015</v>
      </c>
      <c r="S70" s="36">
        <f t="shared" si="5"/>
        <v>35.334703724625321</v>
      </c>
      <c r="T70" s="36">
        <f t="shared" si="7"/>
        <v>1.3178300831776657</v>
      </c>
      <c r="U70" s="30"/>
    </row>
    <row r="71" spans="1:21" x14ac:dyDescent="0.25">
      <c r="A71" s="35" t="s">
        <v>107</v>
      </c>
      <c r="B71" s="16">
        <v>2.5000000000000001E-2</v>
      </c>
      <c r="C71" s="8">
        <v>0</v>
      </c>
      <c r="D71" s="8">
        <v>15.85</v>
      </c>
      <c r="E71" s="8">
        <v>3.7999999999999999E-2</v>
      </c>
      <c r="F71" s="8">
        <v>0.93799999999999994</v>
      </c>
      <c r="G71" s="8">
        <v>1.7999999999999999E-2</v>
      </c>
      <c r="H71" s="8">
        <v>3.0000000000000001E-3</v>
      </c>
      <c r="I71" s="8">
        <v>2.1999999999999999E-2</v>
      </c>
      <c r="J71" s="8">
        <v>0.12</v>
      </c>
      <c r="K71" s="39">
        <f t="shared" ref="K71:K134" si="8">PeakMagnitudeError+StretchError+ColorError+ScatterError</f>
        <v>0.19799999999999998</v>
      </c>
      <c r="L71" s="39">
        <f t="shared" ref="L71:L134" si="9">PeakMagnitude+α*(Stretch-1)-β*Color-Mb</f>
        <v>35.171495999999998</v>
      </c>
      <c r="M71" s="30">
        <f t="shared" ref="M71:M134" si="10">10^((ObservedDistanceModuli-25)/5)</f>
        <v>108.2179244030648</v>
      </c>
      <c r="N71" s="30">
        <f>(RedShift*Age*(2*InitialTangentVelocity-UniverseAcceleration*Age))/(2+RedShift)*(1+RedShift)</f>
        <v>3.8682279556434909E+24</v>
      </c>
      <c r="O71" s="36">
        <f t="shared" ref="O71:O134" si="11">N71/Mpc</f>
        <v>125.36073051558067</v>
      </c>
      <c r="P71" s="36">
        <f t="shared" ref="P71:P134" si="12">(LOG10(T2LuminousDistance)*5+25)</f>
        <v>35.49080757117796</v>
      </c>
      <c r="Q71" s="36">
        <f t="shared" ref="Q71:Q134" si="13">(ObservedDistanceModuli-T2DistanceModuli)^2/TotalError^2</f>
        <v>2.6007519510289532</v>
      </c>
      <c r="R71" s="19">
        <v>103.93212049511982</v>
      </c>
      <c r="S71" s="36">
        <f t="shared" ref="S71:S134" si="14">(LOG10(ΛCDMLuminousDistance)*5+25)</f>
        <v>35.08374894076762</v>
      </c>
      <c r="T71" s="36">
        <f t="shared" ref="T71:T134" si="15">(ObservedDistanceModuli-ΛCDMDistanceModuli)^2/TotalError^2</f>
        <v>0.19639695959418324</v>
      </c>
      <c r="U71" s="30"/>
    </row>
    <row r="72" spans="1:21" x14ac:dyDescent="0.25">
      <c r="A72" s="35" t="s">
        <v>108</v>
      </c>
      <c r="B72" s="16">
        <v>2.7E-2</v>
      </c>
      <c r="C72" s="8">
        <v>0</v>
      </c>
      <c r="D72" s="8">
        <v>15.933999999999999</v>
      </c>
      <c r="E72" s="8">
        <v>0.03</v>
      </c>
      <c r="F72" s="8">
        <v>0.95</v>
      </c>
      <c r="G72" s="8">
        <v>1.2E-2</v>
      </c>
      <c r="H72" s="8">
        <v>-7.8E-2</v>
      </c>
      <c r="I72" s="8">
        <v>2.1000000000000001E-2</v>
      </c>
      <c r="J72" s="8">
        <v>0.12</v>
      </c>
      <c r="K72" s="39">
        <f t="shared" si="8"/>
        <v>0.183</v>
      </c>
      <c r="L72" s="39">
        <f t="shared" si="9"/>
        <v>35.51079</v>
      </c>
      <c r="M72" s="30">
        <f t="shared" si="10"/>
        <v>126.51965529429147</v>
      </c>
      <c r="N72" s="30">
        <f>(RedShift*Age*(2*InitialTangentVelocity-UniverseAcceleration*Age))/(2+RedShift)*(1+RedShift)</f>
        <v>4.1817076932364809E+24</v>
      </c>
      <c r="O72" s="36">
        <f t="shared" si="11"/>
        <v>135.51991693300897</v>
      </c>
      <c r="P72" s="36">
        <f t="shared" si="12"/>
        <v>35.660015633928623</v>
      </c>
      <c r="Q72" s="36">
        <f t="shared" si="13"/>
        <v>0.66494340892231374</v>
      </c>
      <c r="R72" s="19">
        <v>112.41457937571926</v>
      </c>
      <c r="S72" s="36">
        <f t="shared" si="14"/>
        <v>35.254113199039573</v>
      </c>
      <c r="T72" s="36">
        <f t="shared" si="15"/>
        <v>1.9673021037140221</v>
      </c>
      <c r="U72" s="30"/>
    </row>
    <row r="73" spans="1:21" x14ac:dyDescent="0.25">
      <c r="A73" s="35" t="s">
        <v>109</v>
      </c>
      <c r="B73" s="16">
        <v>2.7E-2</v>
      </c>
      <c r="C73" s="8">
        <v>1E-3</v>
      </c>
      <c r="D73" s="8">
        <v>17.146000000000001</v>
      </c>
      <c r="E73" s="8">
        <v>2.1999999999999999E-2</v>
      </c>
      <c r="F73" s="8">
        <v>0.76800000000000002</v>
      </c>
      <c r="G73" s="8">
        <v>8.9999999999999993E-3</v>
      </c>
      <c r="H73" s="8">
        <v>0.16700000000000001</v>
      </c>
      <c r="I73" s="8">
        <v>2.1000000000000001E-2</v>
      </c>
      <c r="J73" s="8">
        <v>0.12</v>
      </c>
      <c r="K73" s="39">
        <f t="shared" si="8"/>
        <v>0.17199999999999999</v>
      </c>
      <c r="L73" s="39">
        <f t="shared" si="9"/>
        <v>35.929186000000001</v>
      </c>
      <c r="M73" s="30">
        <f t="shared" si="10"/>
        <v>153.40418227771059</v>
      </c>
      <c r="N73" s="30">
        <f>(RedShift*Age*(2*InitialTangentVelocity-UniverseAcceleration*Age))/(2+RedShift)*(1+RedShift)</f>
        <v>4.1817076932364809E+24</v>
      </c>
      <c r="O73" s="36">
        <f t="shared" si="11"/>
        <v>135.51991693300897</v>
      </c>
      <c r="P73" s="36">
        <f t="shared" si="12"/>
        <v>35.660015633928623</v>
      </c>
      <c r="Q73" s="36">
        <f t="shared" si="13"/>
        <v>2.4490496880408292</v>
      </c>
      <c r="R73" s="19">
        <v>112.41457937571926</v>
      </c>
      <c r="S73" s="36">
        <f t="shared" si="14"/>
        <v>35.254113199039573</v>
      </c>
      <c r="T73" s="36">
        <f t="shared" si="15"/>
        <v>15.404383673491035</v>
      </c>
      <c r="U73" s="30"/>
    </row>
    <row r="74" spans="1:21" x14ac:dyDescent="0.25">
      <c r="A74" s="35" t="s">
        <v>110</v>
      </c>
      <c r="B74" s="16">
        <v>2.7E-2</v>
      </c>
      <c r="C74" s="8">
        <v>0</v>
      </c>
      <c r="D74" s="8">
        <v>16.044</v>
      </c>
      <c r="E74" s="8">
        <v>2.5999999999999999E-2</v>
      </c>
      <c r="F74" s="8">
        <v>1.1819999999999999</v>
      </c>
      <c r="G74" s="8">
        <v>1.4E-2</v>
      </c>
      <c r="H74" s="8">
        <v>2.9000000000000001E-2</v>
      </c>
      <c r="I74" s="8">
        <v>2.5999999999999999E-2</v>
      </c>
      <c r="J74" s="8">
        <v>0.12</v>
      </c>
      <c r="K74" s="39">
        <f t="shared" si="8"/>
        <v>0.186</v>
      </c>
      <c r="L74" s="39">
        <f t="shared" si="9"/>
        <v>35.319984000000005</v>
      </c>
      <c r="M74" s="30">
        <f t="shared" si="10"/>
        <v>115.87688179994919</v>
      </c>
      <c r="N74" s="30">
        <f>(RedShift*Age*(2*InitialTangentVelocity-UniverseAcceleration*Age))/(2+RedShift)*(1+RedShift)</f>
        <v>4.1817076932364809E+24</v>
      </c>
      <c r="O74" s="36">
        <f t="shared" si="11"/>
        <v>135.51991693300897</v>
      </c>
      <c r="P74" s="36">
        <f t="shared" si="12"/>
        <v>35.660015633928623</v>
      </c>
      <c r="Q74" s="36">
        <f t="shared" si="13"/>
        <v>3.3420485626131784</v>
      </c>
      <c r="R74" s="19">
        <v>112.41457937571926</v>
      </c>
      <c r="S74" s="36">
        <f t="shared" si="14"/>
        <v>35.254113199039573</v>
      </c>
      <c r="T74" s="36">
        <f t="shared" si="15"/>
        <v>0.12541803732133533</v>
      </c>
      <c r="U74" s="30"/>
    </row>
    <row r="75" spans="1:21" x14ac:dyDescent="0.25">
      <c r="A75" s="35" t="s">
        <v>111</v>
      </c>
      <c r="B75" s="16">
        <v>2.7E-2</v>
      </c>
      <c r="C75" s="8">
        <v>0</v>
      </c>
      <c r="D75" s="8">
        <v>16.491</v>
      </c>
      <c r="E75" s="8">
        <v>3.6999999999999998E-2</v>
      </c>
      <c r="F75" s="8">
        <v>0.96399999999999997</v>
      </c>
      <c r="G75" s="8">
        <v>0.01</v>
      </c>
      <c r="H75" s="8">
        <v>9.8000000000000004E-2</v>
      </c>
      <c r="I75" s="8">
        <v>1.9E-2</v>
      </c>
      <c r="J75" s="8">
        <v>0.12</v>
      </c>
      <c r="K75" s="39">
        <f t="shared" si="8"/>
        <v>0.186</v>
      </c>
      <c r="L75" s="39">
        <f t="shared" si="9"/>
        <v>35.518968000000001</v>
      </c>
      <c r="M75" s="30">
        <f t="shared" si="10"/>
        <v>126.99704038047254</v>
      </c>
      <c r="N75" s="30">
        <f>(RedShift*Age*(2*InitialTangentVelocity-UniverseAcceleration*Age))/(2+RedShift)*(1+RedShift)</f>
        <v>4.1817076932364809E+24</v>
      </c>
      <c r="O75" s="36">
        <f t="shared" si="11"/>
        <v>135.51991693300897</v>
      </c>
      <c r="P75" s="36">
        <f t="shared" si="12"/>
        <v>35.660015633928623</v>
      </c>
      <c r="Q75" s="36">
        <f t="shared" si="13"/>
        <v>0.57505015137190851</v>
      </c>
      <c r="R75" s="19">
        <v>112.41457937571926</v>
      </c>
      <c r="S75" s="36">
        <f t="shared" si="14"/>
        <v>35.254113199039573</v>
      </c>
      <c r="T75" s="36">
        <f t="shared" si="15"/>
        <v>2.0276351483347241</v>
      </c>
      <c r="U75" s="30"/>
    </row>
    <row r="76" spans="1:21" x14ac:dyDescent="0.25">
      <c r="A76" s="35" t="s">
        <v>112</v>
      </c>
      <c r="B76" s="16">
        <v>2.8000000000000001E-2</v>
      </c>
      <c r="C76" s="8">
        <v>0</v>
      </c>
      <c r="D76" s="8">
        <v>16.088999999999999</v>
      </c>
      <c r="E76" s="8">
        <v>0.03</v>
      </c>
      <c r="F76" s="8">
        <v>0.98199999999999998</v>
      </c>
      <c r="G76" s="8">
        <v>1.9E-2</v>
      </c>
      <c r="H76" s="8">
        <v>6.6000000000000003E-2</v>
      </c>
      <c r="I76" s="8">
        <v>2.5000000000000001E-2</v>
      </c>
      <c r="J76" s="8">
        <v>0.12</v>
      </c>
      <c r="K76" s="39">
        <f t="shared" si="8"/>
        <v>0.19400000000000001</v>
      </c>
      <c r="L76" s="39">
        <f t="shared" si="9"/>
        <v>35.219774000000001</v>
      </c>
      <c r="M76" s="30">
        <f t="shared" si="10"/>
        <v>110.65086160575582</v>
      </c>
      <c r="N76" s="30">
        <f>(RedShift*Age*(2*InitialTangentVelocity-UniverseAcceleration*Age))/(2+RedShift)*(1+RedShift)</f>
        <v>4.3386678941139288E+24</v>
      </c>
      <c r="O76" s="36">
        <f t="shared" si="11"/>
        <v>140.60665061817409</v>
      </c>
      <c r="P76" s="36">
        <f t="shared" si="12"/>
        <v>35.74002931531323</v>
      </c>
      <c r="Q76" s="36">
        <f t="shared" si="13"/>
        <v>7.1916673693183881</v>
      </c>
      <c r="R76" s="19">
        <v>116.66504285893015</v>
      </c>
      <c r="S76" s="36">
        <f t="shared" si="14"/>
        <v>35.334703724625321</v>
      </c>
      <c r="T76" s="36">
        <f t="shared" si="15"/>
        <v>0.35096295043181641</v>
      </c>
      <c r="U76" s="30"/>
    </row>
    <row r="77" spans="1:21" x14ac:dyDescent="0.25">
      <c r="A77" s="35" t="s">
        <v>113</v>
      </c>
      <c r="B77" s="16">
        <v>2.8000000000000001E-2</v>
      </c>
      <c r="C77" s="8">
        <v>0</v>
      </c>
      <c r="D77" s="8">
        <v>16.699000000000002</v>
      </c>
      <c r="E77" s="8">
        <v>2.4E-2</v>
      </c>
      <c r="F77" s="8">
        <v>1.0620000000000001</v>
      </c>
      <c r="G77" s="8">
        <v>5.7000000000000002E-2</v>
      </c>
      <c r="H77" s="8">
        <v>0.13900000000000001</v>
      </c>
      <c r="I77" s="8">
        <v>2.1999999999999999E-2</v>
      </c>
      <c r="J77" s="8">
        <v>0.12</v>
      </c>
      <c r="K77" s="39">
        <f t="shared" si="8"/>
        <v>0.223</v>
      </c>
      <c r="L77" s="39">
        <f t="shared" si="9"/>
        <v>35.613044000000002</v>
      </c>
      <c r="M77" s="30">
        <f t="shared" si="10"/>
        <v>132.61993172687821</v>
      </c>
      <c r="N77" s="30">
        <f>(RedShift*Age*(2*InitialTangentVelocity-UniverseAcceleration*Age))/(2+RedShift)*(1+RedShift)</f>
        <v>4.3386678941139288E+24</v>
      </c>
      <c r="O77" s="36">
        <f t="shared" si="11"/>
        <v>140.60665061817409</v>
      </c>
      <c r="P77" s="36">
        <f t="shared" si="12"/>
        <v>35.74002931531323</v>
      </c>
      <c r="Q77" s="36">
        <f t="shared" si="13"/>
        <v>0.32426291108206062</v>
      </c>
      <c r="R77" s="19">
        <v>116.66504285893015</v>
      </c>
      <c r="S77" s="36">
        <f t="shared" si="14"/>
        <v>35.334703724625321</v>
      </c>
      <c r="T77" s="36">
        <f t="shared" si="15"/>
        <v>1.5579100503861614</v>
      </c>
      <c r="U77" s="30"/>
    </row>
    <row r="78" spans="1:21" x14ac:dyDescent="0.25">
      <c r="A78" s="35" t="s">
        <v>114</v>
      </c>
      <c r="B78" s="16">
        <v>2.9000000000000001E-2</v>
      </c>
      <c r="C78" s="8">
        <v>1E-3</v>
      </c>
      <c r="D78" s="8">
        <v>16.521000000000001</v>
      </c>
      <c r="E78" s="8">
        <v>3.9E-2</v>
      </c>
      <c r="F78" s="8">
        <v>0.79100000000000004</v>
      </c>
      <c r="G78" s="8">
        <v>3.5999999999999997E-2</v>
      </c>
      <c r="H78" s="8">
        <v>3.0000000000000001E-3</v>
      </c>
      <c r="I78" s="8">
        <v>3.2000000000000001E-2</v>
      </c>
      <c r="J78" s="8">
        <v>0.12</v>
      </c>
      <c r="K78" s="39">
        <f t="shared" si="8"/>
        <v>0.22699999999999998</v>
      </c>
      <c r="L78" s="39">
        <f t="shared" si="9"/>
        <v>35.820886999999999</v>
      </c>
      <c r="M78" s="30">
        <f t="shared" si="10"/>
        <v>145.94102763971043</v>
      </c>
      <c r="N78" s="30">
        <f>(RedShift*Age*(2*InitialTangentVelocity-UniverseAcceleration*Age))/(2+RedShift)*(1+RedShift)</f>
        <v>4.4957746934681036E+24</v>
      </c>
      <c r="O78" s="36">
        <f t="shared" si="11"/>
        <v>145.69813523641392</v>
      </c>
      <c r="P78" s="36">
        <f t="shared" si="12"/>
        <v>35.817269966752555</v>
      </c>
      <c r="Q78" s="36">
        <f t="shared" si="13"/>
        <v>2.5389449655759095E-4</v>
      </c>
      <c r="R78" s="19">
        <v>120.92165351364117</v>
      </c>
      <c r="S78" s="36">
        <f t="shared" si="14"/>
        <v>35.412520386001454</v>
      </c>
      <c r="T78" s="36">
        <f t="shared" si="15"/>
        <v>3.2362997812617547</v>
      </c>
      <c r="U78" s="30"/>
    </row>
    <row r="79" spans="1:21" x14ac:dyDescent="0.25">
      <c r="A79" s="35" t="s">
        <v>115</v>
      </c>
      <c r="B79" s="16">
        <v>2.9000000000000001E-2</v>
      </c>
      <c r="C79" s="8">
        <v>0</v>
      </c>
      <c r="D79" s="8">
        <v>16.321999999999999</v>
      </c>
      <c r="E79" s="8">
        <v>0.03</v>
      </c>
      <c r="F79" s="8">
        <v>1.159</v>
      </c>
      <c r="G79" s="8">
        <v>1.4E-2</v>
      </c>
      <c r="H79" s="8">
        <v>2.5999999999999999E-2</v>
      </c>
      <c r="I79" s="8">
        <v>0.02</v>
      </c>
      <c r="J79" s="8">
        <v>0.12</v>
      </c>
      <c r="K79" s="39">
        <f t="shared" si="8"/>
        <v>0.184</v>
      </c>
      <c r="L79" s="39">
        <f t="shared" si="9"/>
        <v>35.603993000000003</v>
      </c>
      <c r="M79" s="30">
        <f t="shared" si="10"/>
        <v>132.06830377604587</v>
      </c>
      <c r="N79" s="30">
        <f>(RedShift*Age*(2*InitialTangentVelocity-UniverseAcceleration*Age))/(2+RedShift)*(1+RedShift)</f>
        <v>4.4957746934681036E+24</v>
      </c>
      <c r="O79" s="36">
        <f t="shared" si="11"/>
        <v>145.69813523641392</v>
      </c>
      <c r="P79" s="36">
        <f t="shared" si="12"/>
        <v>35.817269966752555</v>
      </c>
      <c r="Q79" s="36">
        <f t="shared" si="13"/>
        <v>1.3435451484868055</v>
      </c>
      <c r="R79" s="19">
        <v>120.92165351364117</v>
      </c>
      <c r="S79" s="36">
        <f t="shared" si="14"/>
        <v>35.412520386001454</v>
      </c>
      <c r="T79" s="36">
        <f t="shared" si="15"/>
        <v>1.0828734023935886</v>
      </c>
      <c r="U79" s="30"/>
    </row>
    <row r="80" spans="1:21" x14ac:dyDescent="0.25">
      <c r="A80" s="35" t="s">
        <v>116</v>
      </c>
      <c r="B80" s="16">
        <v>0.03</v>
      </c>
      <c r="C80" s="8">
        <v>0</v>
      </c>
      <c r="D80" s="8">
        <v>16.244</v>
      </c>
      <c r="E80" s="8">
        <v>2.9000000000000001E-2</v>
      </c>
      <c r="F80" s="8">
        <v>1.008</v>
      </c>
      <c r="G80" s="8">
        <v>1.6E-2</v>
      </c>
      <c r="H80" s="8">
        <v>-9.5000000000000001E-2</v>
      </c>
      <c r="I80" s="8">
        <v>3.1E-2</v>
      </c>
      <c r="J80" s="8">
        <v>0.12</v>
      </c>
      <c r="K80" s="39">
        <f t="shared" si="8"/>
        <v>0.19600000000000001</v>
      </c>
      <c r="L80" s="39">
        <f t="shared" si="9"/>
        <v>35.882525999999999</v>
      </c>
      <c r="M80" s="30">
        <f t="shared" si="10"/>
        <v>150.1430382936847</v>
      </c>
      <c r="N80" s="30">
        <f>(RedShift*Age*(2*InitialTangentVelocity-UniverseAcceleration*Age))/(2+RedShift)*(1+RedShift)</f>
        <v>4.653027874651013E+24</v>
      </c>
      <c r="O80" s="36">
        <f t="shared" si="11"/>
        <v>150.79436376664518</v>
      </c>
      <c r="P80" s="36">
        <f t="shared" si="12"/>
        <v>35.891925546170448</v>
      </c>
      <c r="Q80" s="36">
        <f t="shared" si="13"/>
        <v>2.2998612091423174E-3</v>
      </c>
      <c r="R80" s="19">
        <v>125.18440469891527</v>
      </c>
      <c r="S80" s="36">
        <f t="shared" si="14"/>
        <v>35.487751142172783</v>
      </c>
      <c r="T80" s="36">
        <f t="shared" si="15"/>
        <v>4.0568301846235464</v>
      </c>
      <c r="U80" s="30"/>
    </row>
    <row r="81" spans="1:21" x14ac:dyDescent="0.25">
      <c r="A81" s="35" t="s">
        <v>117</v>
      </c>
      <c r="B81" s="16">
        <v>3.1E-2</v>
      </c>
      <c r="C81" s="8">
        <v>0</v>
      </c>
      <c r="D81" s="8">
        <v>16.654</v>
      </c>
      <c r="E81" s="8">
        <v>3.4000000000000002E-2</v>
      </c>
      <c r="F81" s="8">
        <v>1.073</v>
      </c>
      <c r="G81" s="8">
        <v>2.9000000000000001E-2</v>
      </c>
      <c r="H81" s="8">
        <v>8.6999999999999994E-2</v>
      </c>
      <c r="I81" s="8">
        <v>2.5000000000000001E-2</v>
      </c>
      <c r="J81" s="8">
        <v>0.12</v>
      </c>
      <c r="K81" s="39">
        <f t="shared" si="8"/>
        <v>0.20799999999999999</v>
      </c>
      <c r="L81" s="39">
        <f t="shared" si="9"/>
        <v>35.732421000000002</v>
      </c>
      <c r="M81" s="30">
        <f t="shared" si="10"/>
        <v>140.11486090431177</v>
      </c>
      <c r="N81" s="30">
        <f>(RedShift*Age*(2*InitialTangentVelocity-UniverseAcceleration*Age))/(2+RedShift)*(1+RedShift)</f>
        <v>4.8104272214413423E+24</v>
      </c>
      <c r="O81" s="36">
        <f t="shared" si="11"/>
        <v>155.89532920161227</v>
      </c>
      <c r="P81" s="36">
        <f t="shared" si="12"/>
        <v>35.96416551717725</v>
      </c>
      <c r="Q81" s="36">
        <f t="shared" si="13"/>
        <v>1.2413443334346252</v>
      </c>
      <c r="R81" s="19">
        <v>129.45328977536229</v>
      </c>
      <c r="S81" s="36">
        <f t="shared" si="14"/>
        <v>35.560565457830208</v>
      </c>
      <c r="T81" s="36">
        <f t="shared" si="15"/>
        <v>0.68265364678425333</v>
      </c>
      <c r="U81" s="30"/>
    </row>
    <row r="82" spans="1:21" x14ac:dyDescent="0.25">
      <c r="A82" s="35" t="s">
        <v>118</v>
      </c>
      <c r="B82" s="16">
        <v>0.03</v>
      </c>
      <c r="C82" s="8">
        <v>0</v>
      </c>
      <c r="D82" s="8">
        <v>16.864999999999998</v>
      </c>
      <c r="E82" s="8">
        <v>2.5999999999999999E-2</v>
      </c>
      <c r="F82" s="8">
        <v>1.048</v>
      </c>
      <c r="G82" s="8">
        <v>1.2E-2</v>
      </c>
      <c r="H82" s="8">
        <v>0.192</v>
      </c>
      <c r="I82" s="8">
        <v>2.1999999999999999E-2</v>
      </c>
      <c r="J82" s="8">
        <v>0.12</v>
      </c>
      <c r="K82" s="39">
        <f t="shared" si="8"/>
        <v>0.18</v>
      </c>
      <c r="L82" s="39">
        <f t="shared" si="9"/>
        <v>35.611095999999996</v>
      </c>
      <c r="M82" s="30">
        <f t="shared" si="10"/>
        <v>132.50101343800554</v>
      </c>
      <c r="N82" s="30">
        <f>(RedShift*Age*(2*InitialTangentVelocity-UniverseAcceleration*Age))/(2+RedShift)*(1+RedShift)</f>
        <v>4.653027874651013E+24</v>
      </c>
      <c r="O82" s="36">
        <f t="shared" si="11"/>
        <v>150.79436376664518</v>
      </c>
      <c r="P82" s="36">
        <f t="shared" si="12"/>
        <v>35.891925546170448</v>
      </c>
      <c r="Q82" s="36">
        <f t="shared" si="13"/>
        <v>2.4341121605648732</v>
      </c>
      <c r="R82" s="19">
        <v>125.18440469891527</v>
      </c>
      <c r="S82" s="36">
        <f t="shared" si="14"/>
        <v>35.487751142172783</v>
      </c>
      <c r="T82" s="36">
        <f t="shared" si="15"/>
        <v>0.46956648001282186</v>
      </c>
      <c r="U82" s="30"/>
    </row>
    <row r="83" spans="1:21" x14ac:dyDescent="0.25">
      <c r="A83" s="35" t="s">
        <v>119</v>
      </c>
      <c r="B83" s="16">
        <v>0.03</v>
      </c>
      <c r="C83" s="8">
        <v>1E-3</v>
      </c>
      <c r="D83" s="8">
        <v>16.725000000000001</v>
      </c>
      <c r="E83" s="8">
        <v>3.1E-2</v>
      </c>
      <c r="F83" s="8">
        <v>0.84199999999999997</v>
      </c>
      <c r="G83" s="8">
        <v>2.5999999999999999E-2</v>
      </c>
      <c r="H83" s="8">
        <v>-1E-3</v>
      </c>
      <c r="I83" s="8">
        <v>2.3E-2</v>
      </c>
      <c r="J83" s="8">
        <v>0.12</v>
      </c>
      <c r="K83" s="39">
        <f t="shared" si="8"/>
        <v>0.19999999999999998</v>
      </c>
      <c r="L83" s="39">
        <f t="shared" si="9"/>
        <v>36.044904000000002</v>
      </c>
      <c r="M83" s="30">
        <f t="shared" si="10"/>
        <v>161.80085044984077</v>
      </c>
      <c r="N83" s="30">
        <f>(RedShift*Age*(2*InitialTangentVelocity-UniverseAcceleration*Age))/(2+RedShift)*(1+RedShift)</f>
        <v>4.653027874651013E+24</v>
      </c>
      <c r="O83" s="36">
        <f t="shared" si="11"/>
        <v>150.79436376664518</v>
      </c>
      <c r="P83" s="36">
        <f t="shared" si="12"/>
        <v>35.891925546170448</v>
      </c>
      <c r="Q83" s="36">
        <f t="shared" si="13"/>
        <v>0.58506018340202803</v>
      </c>
      <c r="R83" s="19">
        <v>125.18440469891527</v>
      </c>
      <c r="S83" s="36">
        <f t="shared" si="14"/>
        <v>35.487751142172783</v>
      </c>
      <c r="T83" s="36">
        <f t="shared" si="15"/>
        <v>7.7604826746259441</v>
      </c>
      <c r="U83" s="30"/>
    </row>
    <row r="84" spans="1:21" x14ac:dyDescent="0.25">
      <c r="A84" s="35" t="s">
        <v>120</v>
      </c>
      <c r="B84" s="16">
        <v>0.03</v>
      </c>
      <c r="C84" s="8">
        <v>0</v>
      </c>
      <c r="D84" s="8">
        <v>16.266999999999999</v>
      </c>
      <c r="E84" s="8">
        <v>4.2000000000000003E-2</v>
      </c>
      <c r="F84" s="8">
        <v>1.0469999999999999</v>
      </c>
      <c r="G84" s="8">
        <v>3.6999999999999998E-2</v>
      </c>
      <c r="H84" s="8">
        <v>-1.7999999999999999E-2</v>
      </c>
      <c r="I84" s="8">
        <v>0.03</v>
      </c>
      <c r="J84" s="8">
        <v>0.12</v>
      </c>
      <c r="K84" s="39">
        <f t="shared" si="8"/>
        <v>0.22899999999999998</v>
      </c>
      <c r="L84" s="39">
        <f t="shared" si="9"/>
        <v>35.670248999999998</v>
      </c>
      <c r="M84" s="30">
        <f t="shared" si="10"/>
        <v>136.16008065601477</v>
      </c>
      <c r="N84" s="30">
        <f>(RedShift*Age*(2*InitialTangentVelocity-UniverseAcceleration*Age))/(2+RedShift)*(1+RedShift)</f>
        <v>4.653027874651013E+24</v>
      </c>
      <c r="O84" s="36">
        <f t="shared" si="11"/>
        <v>150.79436376664518</v>
      </c>
      <c r="P84" s="36">
        <f t="shared" si="12"/>
        <v>35.891925546170448</v>
      </c>
      <c r="Q84" s="36">
        <f t="shared" si="13"/>
        <v>0.93706243439407222</v>
      </c>
      <c r="R84" s="19">
        <v>125.18440469891527</v>
      </c>
      <c r="S84" s="36">
        <f t="shared" si="14"/>
        <v>35.487751142172783</v>
      </c>
      <c r="T84" s="36">
        <f t="shared" si="15"/>
        <v>0.63510360426998813</v>
      </c>
      <c r="U84" s="30"/>
    </row>
    <row r="85" spans="1:21" x14ac:dyDescent="0.25">
      <c r="A85" s="35" t="s">
        <v>121</v>
      </c>
      <c r="B85" s="16">
        <v>3.1E-2</v>
      </c>
      <c r="C85" s="8">
        <v>0</v>
      </c>
      <c r="D85" s="8">
        <v>16.84</v>
      </c>
      <c r="E85" s="8">
        <v>3.4000000000000002E-2</v>
      </c>
      <c r="F85" s="8">
        <v>0.94099999999999995</v>
      </c>
      <c r="G85" s="8">
        <v>3.6999999999999998E-2</v>
      </c>
      <c r="H85" s="8">
        <v>-2.4E-2</v>
      </c>
      <c r="I85" s="8">
        <v>2.4E-2</v>
      </c>
      <c r="J85" s="8">
        <v>0.12</v>
      </c>
      <c r="K85" s="39">
        <f t="shared" si="8"/>
        <v>0.215</v>
      </c>
      <c r="L85" s="39">
        <f t="shared" si="9"/>
        <v>36.246446999999996</v>
      </c>
      <c r="M85" s="30">
        <f t="shared" si="10"/>
        <v>177.53721382083666</v>
      </c>
      <c r="N85" s="30">
        <f>(RedShift*Age*(2*InitialTangentVelocity-UniverseAcceleration*Age))/(2+RedShift)*(1+RedShift)</f>
        <v>4.8104272214413423E+24</v>
      </c>
      <c r="O85" s="36">
        <f t="shared" si="11"/>
        <v>155.89532920161227</v>
      </c>
      <c r="P85" s="36">
        <f t="shared" si="12"/>
        <v>35.96416551717725</v>
      </c>
      <c r="Q85" s="36">
        <f t="shared" si="13"/>
        <v>1.7238039057784427</v>
      </c>
      <c r="R85" s="19">
        <v>129.45328977536229</v>
      </c>
      <c r="S85" s="36">
        <f t="shared" si="14"/>
        <v>35.560565457830208</v>
      </c>
      <c r="T85" s="36">
        <f t="shared" si="15"/>
        <v>10.177036017073169</v>
      </c>
      <c r="U85" s="30"/>
    </row>
    <row r="86" spans="1:21" x14ac:dyDescent="0.25">
      <c r="A86" s="35" t="s">
        <v>122</v>
      </c>
      <c r="B86" s="16">
        <v>3.1E-2</v>
      </c>
      <c r="C86" s="8">
        <v>0</v>
      </c>
      <c r="D86" s="8">
        <v>16.516999999999999</v>
      </c>
      <c r="E86" s="8">
        <v>0.02</v>
      </c>
      <c r="F86" s="8">
        <v>0.85799999999999998</v>
      </c>
      <c r="G86" s="8">
        <v>8.9999999999999993E-3</v>
      </c>
      <c r="H86" s="8">
        <v>-6.4000000000000001E-2</v>
      </c>
      <c r="I86" s="8">
        <v>1.9E-2</v>
      </c>
      <c r="J86" s="8">
        <v>0.12</v>
      </c>
      <c r="K86" s="39">
        <f t="shared" si="8"/>
        <v>0.16799999999999998</v>
      </c>
      <c r="L86" s="39">
        <f t="shared" si="9"/>
        <v>36.036445999999998</v>
      </c>
      <c r="M86" s="30">
        <f t="shared" si="10"/>
        <v>161.17185335479141</v>
      </c>
      <c r="N86" s="30">
        <f>(RedShift*Age*(2*InitialTangentVelocity-UniverseAcceleration*Age))/(2+RedShift)*(1+RedShift)</f>
        <v>4.8104272214413423E+24</v>
      </c>
      <c r="O86" s="36">
        <f t="shared" si="11"/>
        <v>155.89532920161227</v>
      </c>
      <c r="P86" s="36">
        <f t="shared" si="12"/>
        <v>35.96416551717725</v>
      </c>
      <c r="Q86" s="36">
        <f t="shared" si="13"/>
        <v>0.18510729156354833</v>
      </c>
      <c r="R86" s="19">
        <v>129.45328977536229</v>
      </c>
      <c r="S86" s="36">
        <f t="shared" si="14"/>
        <v>35.560565457830208</v>
      </c>
      <c r="T86" s="36">
        <f t="shared" si="15"/>
        <v>8.0237489518074465</v>
      </c>
      <c r="U86" s="30"/>
    </row>
    <row r="87" spans="1:21" x14ac:dyDescent="0.25">
      <c r="A87" s="35" t="s">
        <v>123</v>
      </c>
      <c r="B87" s="16">
        <v>3.3000000000000002E-2</v>
      </c>
      <c r="C87" s="8">
        <v>0</v>
      </c>
      <c r="D87" s="8">
        <v>17.010999999999999</v>
      </c>
      <c r="E87" s="8">
        <v>2.5000000000000001E-2</v>
      </c>
      <c r="F87" s="8">
        <v>1.0489999999999999</v>
      </c>
      <c r="G87" s="8">
        <v>3.1E-2</v>
      </c>
      <c r="H87" s="8">
        <v>7.6999999999999999E-2</v>
      </c>
      <c r="I87" s="8">
        <v>2.4E-2</v>
      </c>
      <c r="J87" s="8">
        <v>0.12</v>
      </c>
      <c r="K87" s="39">
        <f t="shared" si="8"/>
        <v>0.2</v>
      </c>
      <c r="L87" s="39">
        <f t="shared" si="9"/>
        <v>36.117193</v>
      </c>
      <c r="M87" s="30">
        <f t="shared" si="10"/>
        <v>167.27791243008363</v>
      </c>
      <c r="N87" s="30">
        <f>(RedShift*Age*(2*InitialTangentVelocity-UniverseAcceleration*Age))/(2+RedShift)*(1+RedShift)</f>
        <v>5.1256635490861324E+24</v>
      </c>
      <c r="O87" s="36">
        <f t="shared" si="11"/>
        <v>166.11144282566724</v>
      </c>
      <c r="P87" s="36">
        <f t="shared" si="12"/>
        <v>36.101997752409687</v>
      </c>
      <c r="Q87" s="36">
        <f t="shared" si="13"/>
        <v>5.7723887332728156E-3</v>
      </c>
      <c r="R87" s="19">
        <v>138.00943505210341</v>
      </c>
      <c r="S87" s="36">
        <f t="shared" si="14"/>
        <v>35.69954389037558</v>
      </c>
      <c r="T87" s="36">
        <f t="shared" si="15"/>
        <v>4.3607694692517818</v>
      </c>
      <c r="U87" s="30"/>
    </row>
    <row r="88" spans="1:21" x14ac:dyDescent="0.25">
      <c r="A88" s="35" t="s">
        <v>124</v>
      </c>
      <c r="B88" s="16">
        <v>3.2000000000000001E-2</v>
      </c>
      <c r="C88" s="8">
        <v>0</v>
      </c>
      <c r="D88" s="8">
        <v>16.614000000000001</v>
      </c>
      <c r="E88" s="8">
        <v>2.4E-2</v>
      </c>
      <c r="F88" s="8">
        <v>0.84399999999999997</v>
      </c>
      <c r="G88" s="8">
        <v>1.4E-2</v>
      </c>
      <c r="H88" s="8">
        <v>-2.1000000000000001E-2</v>
      </c>
      <c r="I88" s="8">
        <v>2.1999999999999999E-2</v>
      </c>
      <c r="J88" s="8">
        <v>0.12</v>
      </c>
      <c r="K88" s="39">
        <f t="shared" si="8"/>
        <v>0.18</v>
      </c>
      <c r="L88" s="39">
        <f t="shared" si="9"/>
        <v>35.996797999999998</v>
      </c>
      <c r="M88" s="30">
        <f t="shared" si="10"/>
        <v>158.25578700273803</v>
      </c>
      <c r="N88" s="30">
        <f>(RedShift*Age*(2*InitialTangentVelocity-UniverseAcceleration*Age))/(2+RedShift)*(1+RedShift)</f>
        <v>4.9679725180434139E+24</v>
      </c>
      <c r="O88" s="36">
        <f t="shared" si="11"/>
        <v>161.00102454785358</v>
      </c>
      <c r="P88" s="36">
        <f t="shared" si="12"/>
        <v>36.034143198608426</v>
      </c>
      <c r="Q88" s="36">
        <f t="shared" si="13"/>
        <v>4.3045180836509503E-2</v>
      </c>
      <c r="R88" s="19">
        <v>133.7283021051646</v>
      </c>
      <c r="S88" s="36">
        <f t="shared" si="14"/>
        <v>35.631116652889332</v>
      </c>
      <c r="T88" s="36">
        <f t="shared" si="15"/>
        <v>4.12724838347751</v>
      </c>
      <c r="U88" s="30"/>
    </row>
    <row r="89" spans="1:21" x14ac:dyDescent="0.25">
      <c r="A89" s="35" t="s">
        <v>125</v>
      </c>
      <c r="B89" s="16">
        <v>3.2000000000000001E-2</v>
      </c>
      <c r="C89" s="8">
        <v>0</v>
      </c>
      <c r="D89" s="8">
        <v>16.783000000000001</v>
      </c>
      <c r="E89" s="8">
        <v>0.02</v>
      </c>
      <c r="F89" s="8">
        <v>0.81200000000000006</v>
      </c>
      <c r="G89" s="8">
        <v>1.4999999999999999E-2</v>
      </c>
      <c r="H89" s="8">
        <v>1.4999999999999999E-2</v>
      </c>
      <c r="I89" s="8">
        <v>1.9E-2</v>
      </c>
      <c r="J89" s="8">
        <v>0.12</v>
      </c>
      <c r="K89" s="39">
        <f t="shared" si="8"/>
        <v>0.17399999999999999</v>
      </c>
      <c r="L89" s="39">
        <f t="shared" si="9"/>
        <v>36.048414000000001</v>
      </c>
      <c r="M89" s="30">
        <f t="shared" si="10"/>
        <v>162.06259921898123</v>
      </c>
      <c r="N89" s="30">
        <f>(RedShift*Age*(2*InitialTangentVelocity-UniverseAcceleration*Age))/(2+RedShift)*(1+RedShift)</f>
        <v>4.9679725180434139E+24</v>
      </c>
      <c r="O89" s="36">
        <f t="shared" si="11"/>
        <v>161.00102454785358</v>
      </c>
      <c r="P89" s="36">
        <f t="shared" si="12"/>
        <v>36.034143198608426</v>
      </c>
      <c r="Q89" s="36">
        <f t="shared" si="13"/>
        <v>6.7266406512677367E-3</v>
      </c>
      <c r="R89" s="19">
        <v>133.7283021051646</v>
      </c>
      <c r="S89" s="36">
        <f t="shared" si="14"/>
        <v>35.631116652889332</v>
      </c>
      <c r="T89" s="36">
        <f t="shared" si="15"/>
        <v>5.7516539802352327</v>
      </c>
      <c r="U89" s="30"/>
    </row>
    <row r="90" spans="1:21" x14ac:dyDescent="0.25">
      <c r="A90" s="35" t="s">
        <v>126</v>
      </c>
      <c r="B90" s="16">
        <v>3.3000000000000002E-2</v>
      </c>
      <c r="C90" s="8">
        <v>0</v>
      </c>
      <c r="D90" s="8">
        <v>16.898</v>
      </c>
      <c r="E90" s="8">
        <v>0.02</v>
      </c>
      <c r="F90" s="8">
        <v>1.1120000000000001</v>
      </c>
      <c r="G90" s="8">
        <v>1.2999999999999999E-2</v>
      </c>
      <c r="H90" s="8">
        <v>7.3999999999999996E-2</v>
      </c>
      <c r="I90" s="8">
        <v>1.9E-2</v>
      </c>
      <c r="J90" s="8">
        <v>0.12</v>
      </c>
      <c r="K90" s="39">
        <f t="shared" si="8"/>
        <v>0.17199999999999999</v>
      </c>
      <c r="L90" s="39">
        <f t="shared" si="9"/>
        <v>36.022843999999999</v>
      </c>
      <c r="M90" s="30">
        <f t="shared" si="10"/>
        <v>160.16543588947061</v>
      </c>
      <c r="N90" s="30">
        <f>(RedShift*Age*(2*InitialTangentVelocity-UniverseAcceleration*Age))/(2+RedShift)*(1+RedShift)</f>
        <v>5.1256635490861324E+24</v>
      </c>
      <c r="O90" s="36">
        <f t="shared" si="11"/>
        <v>166.11144282566724</v>
      </c>
      <c r="P90" s="36">
        <f t="shared" si="12"/>
        <v>36.101997752409687</v>
      </c>
      <c r="Q90" s="36">
        <f t="shared" si="13"/>
        <v>0.21178057465299527</v>
      </c>
      <c r="R90" s="19">
        <v>138.00943505210341</v>
      </c>
      <c r="S90" s="36">
        <f t="shared" si="14"/>
        <v>35.69954389037558</v>
      </c>
      <c r="T90" s="36">
        <f t="shared" si="15"/>
        <v>3.5330908897769624</v>
      </c>
      <c r="U90" s="30"/>
    </row>
    <row r="91" spans="1:21" x14ac:dyDescent="0.25">
      <c r="A91" s="35" t="s">
        <v>127</v>
      </c>
      <c r="B91" s="16">
        <v>3.1E-2</v>
      </c>
      <c r="C91" s="8">
        <v>0</v>
      </c>
      <c r="D91" s="8">
        <v>16.971</v>
      </c>
      <c r="E91" s="8">
        <v>2.3E-2</v>
      </c>
      <c r="F91" s="8">
        <v>1.0109999999999999</v>
      </c>
      <c r="G91" s="8">
        <v>1.9E-2</v>
      </c>
      <c r="H91" s="8">
        <v>0.13</v>
      </c>
      <c r="I91" s="8">
        <v>1.9E-2</v>
      </c>
      <c r="J91" s="8">
        <v>0.12</v>
      </c>
      <c r="K91" s="39">
        <f t="shared" si="8"/>
        <v>0.18099999999999999</v>
      </c>
      <c r="L91" s="39">
        <f t="shared" si="9"/>
        <v>35.905716999999996</v>
      </c>
      <c r="M91" s="30">
        <f t="shared" si="10"/>
        <v>151.75513660936366</v>
      </c>
      <c r="N91" s="30">
        <f>(RedShift*Age*(2*InitialTangentVelocity-UniverseAcceleration*Age))/(2+RedShift)*(1+RedShift)</f>
        <v>4.8104272214413423E+24</v>
      </c>
      <c r="O91" s="36">
        <f t="shared" si="11"/>
        <v>155.89532920161227</v>
      </c>
      <c r="P91" s="36">
        <f t="shared" si="12"/>
        <v>35.96416551717725</v>
      </c>
      <c r="Q91" s="36">
        <f t="shared" si="13"/>
        <v>0.10427731632794414</v>
      </c>
      <c r="R91" s="19">
        <v>129.45328977536229</v>
      </c>
      <c r="S91" s="36">
        <f t="shared" si="14"/>
        <v>35.560565457830208</v>
      </c>
      <c r="T91" s="36">
        <f t="shared" si="15"/>
        <v>3.6363232826282093</v>
      </c>
      <c r="U91" s="30"/>
    </row>
    <row r="92" spans="1:21" x14ac:dyDescent="0.25">
      <c r="A92" s="35" t="s">
        <v>128</v>
      </c>
      <c r="B92" s="16">
        <v>3.3000000000000002E-2</v>
      </c>
      <c r="C92" s="8">
        <v>0</v>
      </c>
      <c r="D92" s="8">
        <v>17.385000000000002</v>
      </c>
      <c r="E92" s="8">
        <v>4.7E-2</v>
      </c>
      <c r="F92" s="8">
        <v>0.92500000000000004</v>
      </c>
      <c r="G92" s="8">
        <v>3.6999999999999998E-2</v>
      </c>
      <c r="H92" s="8">
        <v>0.192</v>
      </c>
      <c r="I92" s="8">
        <v>0.03</v>
      </c>
      <c r="J92" s="8">
        <v>0.12</v>
      </c>
      <c r="K92" s="39">
        <f t="shared" si="8"/>
        <v>0.23399999999999999</v>
      </c>
      <c r="L92" s="39">
        <f t="shared" si="9"/>
        <v>36.113015000000004</v>
      </c>
      <c r="M92" s="30">
        <f t="shared" si="10"/>
        <v>166.95637244521023</v>
      </c>
      <c r="N92" s="30">
        <f>(RedShift*Age*(2*InitialTangentVelocity-UniverseAcceleration*Age))/(2+RedShift)*(1+RedShift)</f>
        <v>5.1256635490861324E+24</v>
      </c>
      <c r="O92" s="36">
        <f t="shared" si="11"/>
        <v>166.11144282566724</v>
      </c>
      <c r="P92" s="36">
        <f t="shared" si="12"/>
        <v>36.101997752409687</v>
      </c>
      <c r="Q92" s="36">
        <f t="shared" si="13"/>
        <v>2.2167387038195831E-3</v>
      </c>
      <c r="R92" s="19">
        <v>138.00943505210341</v>
      </c>
      <c r="S92" s="36">
        <f t="shared" si="14"/>
        <v>35.69954389037558</v>
      </c>
      <c r="T92" s="36">
        <f t="shared" si="15"/>
        <v>3.1221849385282514</v>
      </c>
      <c r="U92" s="30"/>
    </row>
    <row r="93" spans="1:21" x14ac:dyDescent="0.25">
      <c r="A93" s="35" t="s">
        <v>129</v>
      </c>
      <c r="B93" s="16">
        <v>3.4000000000000002E-2</v>
      </c>
      <c r="C93" s="8">
        <v>0</v>
      </c>
      <c r="D93" s="8">
        <v>16.760000000000002</v>
      </c>
      <c r="E93" s="8">
        <v>0.02</v>
      </c>
      <c r="F93" s="8">
        <v>0.878</v>
      </c>
      <c r="G93" s="8">
        <v>8.9999999999999993E-3</v>
      </c>
      <c r="H93" s="8">
        <v>-8.5000000000000006E-2</v>
      </c>
      <c r="I93" s="8">
        <v>2.1000000000000001E-2</v>
      </c>
      <c r="J93" s="8">
        <v>0.12</v>
      </c>
      <c r="K93" s="39">
        <f t="shared" si="8"/>
        <v>0.16999999999999998</v>
      </c>
      <c r="L93" s="39">
        <f t="shared" si="9"/>
        <v>36.348116000000005</v>
      </c>
      <c r="M93" s="30">
        <f t="shared" si="10"/>
        <v>186.04722643207745</v>
      </c>
      <c r="N93" s="30">
        <f>(RedShift*Age*(2*InitialTangentVelocity-UniverseAcceleration*Age))/(2+RedShift)*(1+RedShift)</f>
        <v>5.2835000996219439E+24</v>
      </c>
      <c r="O93" s="36">
        <f t="shared" si="11"/>
        <v>171.22657706907745</v>
      </c>
      <c r="P93" s="36">
        <f t="shared" si="12"/>
        <v>36.167855874679603</v>
      </c>
      <c r="Q93" s="36">
        <f t="shared" si="13"/>
        <v>1.1243499232016241</v>
      </c>
      <c r="R93" s="19">
        <v>142.29668198158512</v>
      </c>
      <c r="S93" s="36">
        <f t="shared" si="14"/>
        <v>35.765973867466798</v>
      </c>
      <c r="T93" s="36">
        <f t="shared" si="15"/>
        <v>11.726278978211411</v>
      </c>
      <c r="U93" s="30"/>
    </row>
    <row r="94" spans="1:21" x14ac:dyDescent="0.25">
      <c r="A94" s="35" t="s">
        <v>130</v>
      </c>
      <c r="B94" s="16">
        <v>3.5000000000000003E-2</v>
      </c>
      <c r="C94" s="8">
        <v>0</v>
      </c>
      <c r="D94" s="8">
        <v>17.03</v>
      </c>
      <c r="E94" s="8">
        <v>4.7E-2</v>
      </c>
      <c r="F94" s="8">
        <v>0.74099999999999999</v>
      </c>
      <c r="G94" s="8">
        <v>5.5E-2</v>
      </c>
      <c r="H94" s="8">
        <v>-0.04</v>
      </c>
      <c r="I94" s="8">
        <v>2.8000000000000001E-2</v>
      </c>
      <c r="J94" s="8">
        <v>0.12</v>
      </c>
      <c r="K94" s="39">
        <f t="shared" si="8"/>
        <v>0.25</v>
      </c>
      <c r="L94" s="39">
        <f t="shared" si="9"/>
        <v>36.457127</v>
      </c>
      <c r="M94" s="30">
        <f t="shared" si="10"/>
        <v>195.62547076303255</v>
      </c>
      <c r="N94" s="30">
        <f>(RedShift*Age*(2*InitialTangentVelocity-UniverseAcceleration*Age))/(2+RedShift)*(1+RedShift)</f>
        <v>5.441481955125797E+24</v>
      </c>
      <c r="O94" s="36">
        <f t="shared" si="11"/>
        <v>176.34642032580078</v>
      </c>
      <c r="P94" s="36">
        <f t="shared" si="12"/>
        <v>36.23183324152221</v>
      </c>
      <c r="Q94" s="36">
        <f t="shared" si="13"/>
        <v>0.81211644174477782</v>
      </c>
      <c r="R94" s="19">
        <v>146.59003626066703</v>
      </c>
      <c r="S94" s="36">
        <f t="shared" si="14"/>
        <v>35.83052226134587</v>
      </c>
      <c r="T94" s="36">
        <f t="shared" si="15"/>
        <v>6.2821359760609736</v>
      </c>
      <c r="U94" s="30"/>
    </row>
    <row r="95" spans="1:21" x14ac:dyDescent="0.25">
      <c r="A95" s="35" t="s">
        <v>131</v>
      </c>
      <c r="B95" s="16">
        <v>3.4000000000000002E-2</v>
      </c>
      <c r="C95" s="8">
        <v>0</v>
      </c>
      <c r="D95" s="8">
        <v>17.009</v>
      </c>
      <c r="E95" s="8">
        <v>3.1E-2</v>
      </c>
      <c r="F95" s="8">
        <v>1.103</v>
      </c>
      <c r="G95" s="8">
        <v>1.2999999999999999E-2</v>
      </c>
      <c r="H95" s="8">
        <v>0.1</v>
      </c>
      <c r="I95" s="8">
        <v>0.02</v>
      </c>
      <c r="J95" s="8">
        <v>0.12</v>
      </c>
      <c r="K95" s="39">
        <f t="shared" si="8"/>
        <v>0.184</v>
      </c>
      <c r="L95" s="39">
        <f t="shared" si="9"/>
        <v>36.051141000000001</v>
      </c>
      <c r="M95" s="30">
        <f t="shared" si="10"/>
        <v>162.26625012701302</v>
      </c>
      <c r="N95" s="30">
        <f>(RedShift*Age*(2*InitialTangentVelocity-UniverseAcceleration*Age))/(2+RedShift)*(1+RedShift)</f>
        <v>5.2835000996219439E+24</v>
      </c>
      <c r="O95" s="36">
        <f t="shared" si="11"/>
        <v>171.22657706907745</v>
      </c>
      <c r="P95" s="36">
        <f t="shared" si="12"/>
        <v>36.167855874679603</v>
      </c>
      <c r="Q95" s="36">
        <f t="shared" si="13"/>
        <v>0.40236182571701068</v>
      </c>
      <c r="R95" s="19">
        <v>142.29668198158512</v>
      </c>
      <c r="S95" s="36">
        <f t="shared" si="14"/>
        <v>35.765973867466798</v>
      </c>
      <c r="T95" s="36">
        <f t="shared" si="15"/>
        <v>2.4019462865432906</v>
      </c>
      <c r="U95" s="30"/>
    </row>
    <row r="96" spans="1:21" x14ac:dyDescent="0.25">
      <c r="A96" s="35" t="s">
        <v>132</v>
      </c>
      <c r="B96" s="16">
        <v>3.5000000000000003E-2</v>
      </c>
      <c r="C96" s="8">
        <v>0</v>
      </c>
      <c r="D96" s="8">
        <v>16.521000000000001</v>
      </c>
      <c r="E96" s="8">
        <v>4.9000000000000002E-2</v>
      </c>
      <c r="F96" s="8">
        <v>1.101</v>
      </c>
      <c r="G96" s="8">
        <v>1.4E-2</v>
      </c>
      <c r="H96" s="8">
        <v>-2.7E-2</v>
      </c>
      <c r="I96" s="8">
        <v>0.03</v>
      </c>
      <c r="J96" s="8">
        <v>0.12</v>
      </c>
      <c r="K96" s="39">
        <f t="shared" si="8"/>
        <v>0.21299999999999999</v>
      </c>
      <c r="L96" s="39">
        <f t="shared" si="9"/>
        <v>35.960357000000002</v>
      </c>
      <c r="M96" s="30">
        <f t="shared" si="10"/>
        <v>155.62214605035953</v>
      </c>
      <c r="N96" s="30">
        <f>(RedShift*Age*(2*InitialTangentVelocity-UniverseAcceleration*Age))/(2+RedShift)*(1+RedShift)</f>
        <v>5.441481955125797E+24</v>
      </c>
      <c r="O96" s="36">
        <f t="shared" si="11"/>
        <v>176.34642032580078</v>
      </c>
      <c r="P96" s="36">
        <f t="shared" si="12"/>
        <v>36.23183324152221</v>
      </c>
      <c r="Q96" s="36">
        <f t="shared" si="13"/>
        <v>1.6244428951712482</v>
      </c>
      <c r="R96" s="19">
        <v>146.59003626066703</v>
      </c>
      <c r="S96" s="36">
        <f t="shared" si="14"/>
        <v>35.83052226134587</v>
      </c>
      <c r="T96" s="36">
        <f t="shared" si="15"/>
        <v>0.37155457165436395</v>
      </c>
      <c r="U96" s="30"/>
    </row>
    <row r="97" spans="1:21" x14ac:dyDescent="0.25">
      <c r="A97" s="35" t="s">
        <v>133</v>
      </c>
      <c r="B97" s="16">
        <v>3.5999999999999997E-2</v>
      </c>
      <c r="C97" s="8">
        <v>0</v>
      </c>
      <c r="D97" s="8">
        <v>16.867000000000001</v>
      </c>
      <c r="E97" s="8">
        <v>5.7000000000000002E-2</v>
      </c>
      <c r="F97" s="8">
        <v>0.85799999999999998</v>
      </c>
      <c r="G97" s="8">
        <v>0.17599999999999999</v>
      </c>
      <c r="H97" s="8">
        <v>8.1000000000000003E-2</v>
      </c>
      <c r="I97" s="8">
        <v>2.4E-2</v>
      </c>
      <c r="J97" s="8">
        <v>0.12</v>
      </c>
      <c r="K97" s="39">
        <f t="shared" si="8"/>
        <v>0.377</v>
      </c>
      <c r="L97" s="39">
        <f t="shared" si="9"/>
        <v>35.932596000000004</v>
      </c>
      <c r="M97" s="30">
        <f t="shared" si="10"/>
        <v>153.64527178421153</v>
      </c>
      <c r="N97" s="30">
        <f>(RedShift*Age*(2*InitialTangentVelocity-UniverseAcceleration*Age))/(2+RedShift)*(1+RedShift)</f>
        <v>5.5996089014941068E+24</v>
      </c>
      <c r="O97" s="36">
        <f t="shared" si="11"/>
        <v>181.47096565721256</v>
      </c>
      <c r="P97" s="36">
        <f t="shared" si="12"/>
        <v>36.294035751171243</v>
      </c>
      <c r="Q97" s="36">
        <f t="shared" si="13"/>
        <v>0.91915579316485496</v>
      </c>
      <c r="R97" s="19">
        <v>150.88949125808367</v>
      </c>
      <c r="S97" s="36">
        <f t="shared" si="14"/>
        <v>35.893294971324963</v>
      </c>
      <c r="T97" s="36">
        <f t="shared" si="15"/>
        <v>1.0867387056240444E-2</v>
      </c>
      <c r="U97" s="30"/>
    </row>
    <row r="98" spans="1:21" x14ac:dyDescent="0.25">
      <c r="A98" s="35" t="s">
        <v>134</v>
      </c>
      <c r="B98" s="16">
        <v>3.5000000000000003E-2</v>
      </c>
      <c r="C98" s="8">
        <v>0</v>
      </c>
      <c r="D98" s="8">
        <v>16.748999999999999</v>
      </c>
      <c r="E98" s="8">
        <v>7.6999999999999999E-2</v>
      </c>
      <c r="F98" s="8">
        <v>0.95599999999999996</v>
      </c>
      <c r="G98" s="8">
        <v>4.2999999999999997E-2</v>
      </c>
      <c r="H98" s="8">
        <v>-3.6999999999999998E-2</v>
      </c>
      <c r="I98" s="8">
        <v>4.1000000000000002E-2</v>
      </c>
      <c r="J98" s="8">
        <v>0.12</v>
      </c>
      <c r="K98" s="39">
        <f t="shared" si="8"/>
        <v>0.28100000000000003</v>
      </c>
      <c r="L98" s="39">
        <f t="shared" si="9"/>
        <v>36.198341999999997</v>
      </c>
      <c r="M98" s="30">
        <f t="shared" si="10"/>
        <v>173.64744595717264</v>
      </c>
      <c r="N98" s="30">
        <f>(RedShift*Age*(2*InitialTangentVelocity-UniverseAcceleration*Age))/(2+RedShift)*(1+RedShift)</f>
        <v>5.441481955125797E+24</v>
      </c>
      <c r="O98" s="36">
        <f t="shared" si="11"/>
        <v>176.34642032580078</v>
      </c>
      <c r="P98" s="36">
        <f t="shared" si="12"/>
        <v>36.23183324152221</v>
      </c>
      <c r="Q98" s="36">
        <f t="shared" si="13"/>
        <v>1.4205281831527429E-2</v>
      </c>
      <c r="R98" s="19">
        <v>146.59003626066703</v>
      </c>
      <c r="S98" s="36">
        <f t="shared" si="14"/>
        <v>35.83052226134587</v>
      </c>
      <c r="T98" s="36">
        <f t="shared" si="15"/>
        <v>1.7133947156645728</v>
      </c>
      <c r="U98" s="30"/>
    </row>
    <row r="99" spans="1:21" x14ac:dyDescent="0.25">
      <c r="A99" s="35" t="s">
        <v>135</v>
      </c>
      <c r="B99" s="16">
        <v>3.5000000000000003E-2</v>
      </c>
      <c r="C99" s="8">
        <v>0</v>
      </c>
      <c r="D99" s="8">
        <v>16.677</v>
      </c>
      <c r="E99" s="8">
        <v>3.9E-2</v>
      </c>
      <c r="F99" s="8">
        <v>0.97899999999999998</v>
      </c>
      <c r="G99" s="8">
        <v>2.1999999999999999E-2</v>
      </c>
      <c r="H99" s="8">
        <v>6.0000000000000001E-3</v>
      </c>
      <c r="I99" s="8">
        <v>2.5000000000000001E-2</v>
      </c>
      <c r="J99" s="8">
        <v>0.12</v>
      </c>
      <c r="K99" s="39">
        <f t="shared" si="8"/>
        <v>0.20599999999999999</v>
      </c>
      <c r="L99" s="39">
        <f t="shared" si="9"/>
        <v>35.995132999999996</v>
      </c>
      <c r="M99" s="30">
        <f t="shared" si="10"/>
        <v>158.13448917235462</v>
      </c>
      <c r="N99" s="30">
        <f>(RedShift*Age*(2*InitialTangentVelocity-UniverseAcceleration*Age))/(2+RedShift)*(1+RedShift)</f>
        <v>5.441481955125797E+24</v>
      </c>
      <c r="O99" s="36">
        <f t="shared" si="11"/>
        <v>176.34642032580078</v>
      </c>
      <c r="P99" s="36">
        <f t="shared" si="12"/>
        <v>36.23183324152221</v>
      </c>
      <c r="Q99" s="36">
        <f t="shared" si="13"/>
        <v>1.3202706272192177</v>
      </c>
      <c r="R99" s="19">
        <v>146.59003626066703</v>
      </c>
      <c r="S99" s="36">
        <f t="shared" si="14"/>
        <v>35.83052226134587</v>
      </c>
      <c r="T99" s="36">
        <f t="shared" si="15"/>
        <v>0.6385308530553534</v>
      </c>
      <c r="U99" s="30"/>
    </row>
    <row r="100" spans="1:21" x14ac:dyDescent="0.25">
      <c r="A100" s="35" t="s">
        <v>136</v>
      </c>
      <c r="B100" s="16">
        <v>3.6999999999999998E-2</v>
      </c>
      <c r="C100" s="8">
        <v>0</v>
      </c>
      <c r="D100" s="8">
        <v>17.05</v>
      </c>
      <c r="E100" s="8">
        <v>3.1E-2</v>
      </c>
      <c r="F100" s="8">
        <v>0.91600000000000004</v>
      </c>
      <c r="G100" s="8">
        <v>0.02</v>
      </c>
      <c r="H100" s="8">
        <v>-2.3E-2</v>
      </c>
      <c r="I100" s="8">
        <v>2.1999999999999999E-2</v>
      </c>
      <c r="J100" s="8">
        <v>0.12</v>
      </c>
      <c r="K100" s="39">
        <f t="shared" si="8"/>
        <v>0.193</v>
      </c>
      <c r="L100" s="39">
        <f t="shared" si="9"/>
        <v>36.449641999999997</v>
      </c>
      <c r="M100" s="30">
        <f t="shared" si="10"/>
        <v>194.95231649448533</v>
      </c>
      <c r="N100" s="30">
        <f>(RedShift*Age*(2*InitialTangentVelocity-UniverseAcceleration*Age))/(2+RedShift)*(1+RedShift)</f>
        <v>5.757880725043712E+24</v>
      </c>
      <c r="O100" s="36">
        <f t="shared" si="11"/>
        <v>186.60020613831315</v>
      </c>
      <c r="P100" s="36">
        <f t="shared" si="12"/>
        <v>36.354560595891698</v>
      </c>
      <c r="Q100" s="36">
        <f t="shared" si="13"/>
        <v>0.24270378821460181</v>
      </c>
      <c r="R100" s="19">
        <v>155.195040344272</v>
      </c>
      <c r="S100" s="36">
        <f t="shared" si="14"/>
        <v>35.954389190747058</v>
      </c>
      <c r="T100" s="36">
        <f t="shared" si="15"/>
        <v>6.5847497938985766</v>
      </c>
      <c r="U100" s="30"/>
    </row>
    <row r="101" spans="1:21" x14ac:dyDescent="0.25">
      <c r="A101" s="35" t="s">
        <v>137</v>
      </c>
      <c r="B101" s="16">
        <v>3.6999999999999998E-2</v>
      </c>
      <c r="C101" s="8">
        <v>0</v>
      </c>
      <c r="D101" s="8">
        <v>17.486000000000001</v>
      </c>
      <c r="E101" s="8">
        <v>3.6999999999999998E-2</v>
      </c>
      <c r="F101" s="8">
        <v>0.75900000000000001</v>
      </c>
      <c r="G101" s="8">
        <v>2.1999999999999999E-2</v>
      </c>
      <c r="H101" s="8">
        <v>6.5000000000000002E-2</v>
      </c>
      <c r="I101" s="8">
        <v>2.8000000000000001E-2</v>
      </c>
      <c r="J101" s="8">
        <v>0.12</v>
      </c>
      <c r="K101" s="39">
        <f t="shared" si="8"/>
        <v>0.20699999999999999</v>
      </c>
      <c r="L101" s="39">
        <f t="shared" si="9"/>
        <v>36.587123000000005</v>
      </c>
      <c r="M101" s="30">
        <f t="shared" si="10"/>
        <v>207.69431059661005</v>
      </c>
      <c r="N101" s="30">
        <f>(RedShift*Age*(2*InitialTangentVelocity-UniverseAcceleration*Age))/(2+RedShift)*(1+RedShift)</f>
        <v>5.757880725043712E+24</v>
      </c>
      <c r="O101" s="36">
        <f t="shared" si="11"/>
        <v>186.60020613831315</v>
      </c>
      <c r="P101" s="36">
        <f t="shared" si="12"/>
        <v>36.354560595891698</v>
      </c>
      <c r="Q101" s="36">
        <f t="shared" si="13"/>
        <v>1.2622294990463181</v>
      </c>
      <c r="R101" s="19">
        <v>155.195040344272</v>
      </c>
      <c r="S101" s="36">
        <f t="shared" si="14"/>
        <v>35.954389190747058</v>
      </c>
      <c r="T101" s="36">
        <f t="shared" si="15"/>
        <v>9.3433236101599828</v>
      </c>
      <c r="U101" s="30"/>
    </row>
    <row r="102" spans="1:21" x14ac:dyDescent="0.25">
      <c r="A102" s="35" t="s">
        <v>138</v>
      </c>
      <c r="B102" s="16">
        <v>3.6999999999999998E-2</v>
      </c>
      <c r="C102" s="8">
        <v>0</v>
      </c>
      <c r="D102" s="8">
        <v>16.667000000000002</v>
      </c>
      <c r="E102" s="8">
        <v>2.9000000000000001E-2</v>
      </c>
      <c r="F102" s="8">
        <v>1.1850000000000001</v>
      </c>
      <c r="G102" s="8">
        <v>2.7E-2</v>
      </c>
      <c r="H102" s="8">
        <v>-4.0000000000000001E-3</v>
      </c>
      <c r="I102" s="8">
        <v>2.1999999999999999E-2</v>
      </c>
      <c r="J102" s="8">
        <v>0.12</v>
      </c>
      <c r="K102" s="39">
        <f t="shared" si="8"/>
        <v>0.19800000000000001</v>
      </c>
      <c r="L102" s="39">
        <f t="shared" si="9"/>
        <v>36.046714999999999</v>
      </c>
      <c r="M102" s="30">
        <f t="shared" si="10"/>
        <v>161.93584804972488</v>
      </c>
      <c r="N102" s="30">
        <f>(RedShift*Age*(2*InitialTangentVelocity-UniverseAcceleration*Age))/(2+RedShift)*(1+RedShift)</f>
        <v>5.757880725043712E+24</v>
      </c>
      <c r="O102" s="36">
        <f t="shared" si="11"/>
        <v>186.60020613831315</v>
      </c>
      <c r="P102" s="36">
        <f t="shared" si="12"/>
        <v>36.354560595891698</v>
      </c>
      <c r="Q102" s="36">
        <f t="shared" si="13"/>
        <v>2.4173275918252028</v>
      </c>
      <c r="R102" s="19">
        <v>155.195040344272</v>
      </c>
      <c r="S102" s="36">
        <f t="shared" si="14"/>
        <v>35.954389190747058</v>
      </c>
      <c r="T102" s="36">
        <f t="shared" si="15"/>
        <v>0.21742819748521633</v>
      </c>
      <c r="U102" s="30"/>
    </row>
    <row r="103" spans="1:21" x14ac:dyDescent="0.25">
      <c r="A103" s="35" t="s">
        <v>139</v>
      </c>
      <c r="B103" s="16">
        <v>3.9E-2</v>
      </c>
      <c r="C103" s="8">
        <v>1E-3</v>
      </c>
      <c r="D103" s="8">
        <v>16.791</v>
      </c>
      <c r="E103" s="8">
        <v>2.4E-2</v>
      </c>
      <c r="F103" s="8">
        <v>1.234</v>
      </c>
      <c r="G103" s="8">
        <v>1.6E-2</v>
      </c>
      <c r="H103" s="8">
        <v>-3.2000000000000001E-2</v>
      </c>
      <c r="I103" s="8">
        <v>2.1999999999999999E-2</v>
      </c>
      <c r="J103" s="8">
        <v>0.12</v>
      </c>
      <c r="K103" s="39">
        <f t="shared" si="8"/>
        <v>0.182</v>
      </c>
      <c r="L103" s="39">
        <f t="shared" si="9"/>
        <v>36.265557999999999</v>
      </c>
      <c r="M103" s="30">
        <f t="shared" si="10"/>
        <v>179.10660424536417</v>
      </c>
      <c r="N103" s="30">
        <f>(RedShift*Age*(2*InitialTangentVelocity-UniverseAcceleration*Age))/(2+RedShift)*(1+RedShift)</f>
        <v>6.0748581510501423E+24</v>
      </c>
      <c r="O103" s="36">
        <f t="shared" si="11"/>
        <v>196.8727449175083</v>
      </c>
      <c r="P103" s="36">
        <f t="shared" si="12"/>
        <v>36.470927982640021</v>
      </c>
      <c r="Q103" s="36">
        <f t="shared" si="13"/>
        <v>1.2733012247784963</v>
      </c>
      <c r="R103" s="19">
        <v>163.82439427338207</v>
      </c>
      <c r="S103" s="36">
        <f t="shared" si="14"/>
        <v>36.071892854323117</v>
      </c>
      <c r="T103" s="36">
        <f t="shared" si="15"/>
        <v>1.1322964814046523</v>
      </c>
      <c r="U103" s="30"/>
    </row>
    <row r="104" spans="1:21" x14ac:dyDescent="0.25">
      <c r="A104" s="35" t="s">
        <v>140</v>
      </c>
      <c r="B104" s="16">
        <v>3.7999999999999999E-2</v>
      </c>
      <c r="C104" s="8">
        <v>1E-3</v>
      </c>
      <c r="D104" s="8">
        <v>16.690000000000001</v>
      </c>
      <c r="E104" s="8">
        <v>2.4E-2</v>
      </c>
      <c r="F104" s="8">
        <v>1.0449999999999999</v>
      </c>
      <c r="G104" s="8">
        <v>1.7999999999999999E-2</v>
      </c>
      <c r="H104" s="8">
        <v>-5.8000000000000003E-2</v>
      </c>
      <c r="I104" s="8">
        <v>2.1000000000000001E-2</v>
      </c>
      <c r="J104" s="8">
        <v>0.12</v>
      </c>
      <c r="K104" s="39">
        <f t="shared" si="8"/>
        <v>0.183</v>
      </c>
      <c r="L104" s="39">
        <f t="shared" si="9"/>
        <v>36.218154999999996</v>
      </c>
      <c r="M104" s="30">
        <f t="shared" si="10"/>
        <v>175.23909433286479</v>
      </c>
      <c r="N104" s="30">
        <f>(RedShift*Age*(2*InitialTangentVelocity-UniverseAcceleration*Age))/(2+RedShift)*(1+RedShift)</f>
        <v>5.9162972125108568E+24</v>
      </c>
      <c r="O104" s="36">
        <f t="shared" si="11"/>
        <v>191.73413485769493</v>
      </c>
      <c r="P104" s="36">
        <f t="shared" si="12"/>
        <v>36.413497190906554</v>
      </c>
      <c r="Q104" s="36">
        <f t="shared" si="13"/>
        <v>1.1394359804166816</v>
      </c>
      <c r="R104" s="19">
        <v>159.50667689139809</v>
      </c>
      <c r="S104" s="36">
        <f t="shared" si="14"/>
        <v>36.013894335912667</v>
      </c>
      <c r="T104" s="36">
        <f t="shared" si="15"/>
        <v>1.2458544266295373</v>
      </c>
      <c r="U104" s="30"/>
    </row>
    <row r="105" spans="1:21" x14ac:dyDescent="0.25">
      <c r="A105" s="35" t="s">
        <v>141</v>
      </c>
      <c r="B105" s="16">
        <v>3.9E-2</v>
      </c>
      <c r="C105" s="8">
        <v>1E-3</v>
      </c>
      <c r="D105" s="8">
        <v>16.763000000000002</v>
      </c>
      <c r="E105" s="8">
        <v>2.5999999999999999E-2</v>
      </c>
      <c r="F105" s="8">
        <v>1.1519999999999999</v>
      </c>
      <c r="G105" s="8">
        <v>1.4999999999999999E-2</v>
      </c>
      <c r="H105" s="8">
        <v>-0.01</v>
      </c>
      <c r="I105" s="8">
        <v>2.1000000000000001E-2</v>
      </c>
      <c r="J105" s="8">
        <v>0.12</v>
      </c>
      <c r="K105" s="39">
        <f t="shared" si="8"/>
        <v>0.182</v>
      </c>
      <c r="L105" s="39">
        <f t="shared" si="9"/>
        <v>36.156644</v>
      </c>
      <c r="M105" s="30">
        <f t="shared" si="10"/>
        <v>170.34476834928009</v>
      </c>
      <c r="N105" s="30">
        <f>(RedShift*Age*(2*InitialTangentVelocity-UniverseAcceleration*Age))/(2+RedShift)*(1+RedShift)</f>
        <v>6.0748581510501423E+24</v>
      </c>
      <c r="O105" s="36">
        <f t="shared" si="11"/>
        <v>196.8727449175083</v>
      </c>
      <c r="P105" s="36">
        <f t="shared" si="12"/>
        <v>36.470927982640021</v>
      </c>
      <c r="Q105" s="36">
        <f t="shared" si="13"/>
        <v>2.9819593570846736</v>
      </c>
      <c r="R105" s="19">
        <v>163.82439427338207</v>
      </c>
      <c r="S105" s="36">
        <f t="shared" si="14"/>
        <v>36.071892854323117</v>
      </c>
      <c r="T105" s="36">
        <f t="shared" si="15"/>
        <v>0.21684448416689439</v>
      </c>
      <c r="U105" s="30"/>
    </row>
    <row r="106" spans="1:21" x14ac:dyDescent="0.25">
      <c r="A106" s="35" t="s">
        <v>142</v>
      </c>
      <c r="B106" s="16">
        <v>0.04</v>
      </c>
      <c r="C106" s="8">
        <v>0</v>
      </c>
      <c r="D106" s="8">
        <v>16.986000000000001</v>
      </c>
      <c r="E106" s="8">
        <v>4.7E-2</v>
      </c>
      <c r="F106" s="8">
        <v>1.1080000000000001</v>
      </c>
      <c r="G106" s="8">
        <v>6.6000000000000003E-2</v>
      </c>
      <c r="H106" s="8">
        <v>-4.9000000000000002E-2</v>
      </c>
      <c r="I106" s="8">
        <v>2.5999999999999999E-2</v>
      </c>
      <c r="J106" s="8">
        <v>0.12</v>
      </c>
      <c r="K106" s="39">
        <f t="shared" si="8"/>
        <v>0.25900000000000001</v>
      </c>
      <c r="L106" s="39">
        <f t="shared" si="9"/>
        <v>36.495245999999995</v>
      </c>
      <c r="M106" s="30">
        <f t="shared" si="10"/>
        <v>199.08988695437671</v>
      </c>
      <c r="N106" s="30">
        <f>(RedShift*Age*(2*InitialTangentVelocity-UniverseAcceleration*Age))/(2+RedShift)*(1+RedShift)</f>
        <v>6.2335633282335286E+24</v>
      </c>
      <c r="O106" s="36">
        <f t="shared" si="11"/>
        <v>202.01602943342931</v>
      </c>
      <c r="P106" s="36">
        <f t="shared" si="12"/>
        <v>36.52692915461656</v>
      </c>
      <c r="Q106" s="36">
        <f t="shared" si="13"/>
        <v>1.4964330979818743E-2</v>
      </c>
      <c r="R106" s="19">
        <v>168.14818586592432</v>
      </c>
      <c r="S106" s="36">
        <f t="shared" si="14"/>
        <v>36.128460930579507</v>
      </c>
      <c r="T106" s="36">
        <f t="shared" si="15"/>
        <v>2.0055050930933001</v>
      </c>
      <c r="U106" s="30"/>
    </row>
    <row r="107" spans="1:21" x14ac:dyDescent="0.25">
      <c r="A107" s="35" t="s">
        <v>143</v>
      </c>
      <c r="B107" s="16">
        <v>4.1000000000000002E-2</v>
      </c>
      <c r="C107" s="8">
        <v>0</v>
      </c>
      <c r="D107" s="8">
        <v>17.673999999999999</v>
      </c>
      <c r="E107" s="8">
        <v>3.5000000000000003E-2</v>
      </c>
      <c r="F107" s="8">
        <v>0.84399999999999997</v>
      </c>
      <c r="G107" s="8">
        <v>2.3E-2</v>
      </c>
      <c r="H107" s="8">
        <v>9.2999999999999999E-2</v>
      </c>
      <c r="I107" s="8">
        <v>2.3E-2</v>
      </c>
      <c r="J107" s="8">
        <v>0.12</v>
      </c>
      <c r="K107" s="39">
        <f t="shared" si="8"/>
        <v>0.20100000000000001</v>
      </c>
      <c r="L107" s="39">
        <f t="shared" si="9"/>
        <v>36.699978000000002</v>
      </c>
      <c r="M107" s="30">
        <f t="shared" si="10"/>
        <v>218.77394590297055</v>
      </c>
      <c r="N107" s="30">
        <f>(RedShift*Age*(2*InitialTangentVelocity-UniverseAcceleration*Age))/(2+RedShift)*(1+RedShift)</f>
        <v>6.392412532049287E+24</v>
      </c>
      <c r="O107" s="36">
        <f t="shared" si="11"/>
        <v>207.16398153462578</v>
      </c>
      <c r="P107" s="36">
        <f t="shared" si="12"/>
        <v>36.581571246183344</v>
      </c>
      <c r="Q107" s="36">
        <f t="shared" si="13"/>
        <v>0.34702505753319207</v>
      </c>
      <c r="R107" s="19">
        <v>172.47804504653078</v>
      </c>
      <c r="S107" s="36">
        <f t="shared" si="14"/>
        <v>36.183669105105238</v>
      </c>
      <c r="T107" s="36">
        <f t="shared" si="15"/>
        <v>6.5982246713559451</v>
      </c>
      <c r="U107" s="30"/>
    </row>
    <row r="108" spans="1:21" x14ac:dyDescent="0.25">
      <c r="A108" s="35" t="s">
        <v>144</v>
      </c>
      <c r="B108" s="16">
        <v>4.2000000000000003E-2</v>
      </c>
      <c r="C108" s="8">
        <v>0</v>
      </c>
      <c r="D108" s="8">
        <v>17.344999999999999</v>
      </c>
      <c r="E108" s="8">
        <v>5.0999999999999997E-2</v>
      </c>
      <c r="F108" s="8">
        <v>0.81499999999999995</v>
      </c>
      <c r="G108" s="8">
        <v>2.9000000000000001E-2</v>
      </c>
      <c r="H108" s="8">
        <v>-3.5000000000000003E-2</v>
      </c>
      <c r="I108" s="8">
        <v>0.04</v>
      </c>
      <c r="J108" s="8">
        <v>0.12</v>
      </c>
      <c r="K108" s="39">
        <f t="shared" si="8"/>
        <v>0.24</v>
      </c>
      <c r="L108" s="39">
        <f t="shared" si="9"/>
        <v>36.767354999999995</v>
      </c>
      <c r="M108" s="30">
        <f t="shared" si="10"/>
        <v>225.66853003779119</v>
      </c>
      <c r="N108" s="30">
        <f>(RedShift*Age*(2*InitialTangentVelocity-UniverseAcceleration*Age))/(2+RedShift)*(1+RedShift)</f>
        <v>6.5514055509009928E+24</v>
      </c>
      <c r="O108" s="36">
        <f t="shared" si="11"/>
        <v>212.31659436372459</v>
      </c>
      <c r="P108" s="36">
        <f t="shared" si="12"/>
        <v>36.634919696664916</v>
      </c>
      <c r="Q108" s="36">
        <f t="shared" si="13"/>
        <v>0.30449843002524934</v>
      </c>
      <c r="R108" s="19">
        <v>176.81396519453855</v>
      </c>
      <c r="S108" s="36">
        <f t="shared" si="14"/>
        <v>36.237582818300602</v>
      </c>
      <c r="T108" s="36">
        <f t="shared" si="15"/>
        <v>4.8725445226134454</v>
      </c>
      <c r="U108" s="30"/>
    </row>
    <row r="109" spans="1:21" x14ac:dyDescent="0.25">
      <c r="A109" s="35" t="s">
        <v>145</v>
      </c>
      <c r="B109" s="16">
        <v>4.2000000000000003E-2</v>
      </c>
      <c r="C109" s="8">
        <v>0</v>
      </c>
      <c r="D109" s="8">
        <v>17.649000000000001</v>
      </c>
      <c r="E109" s="8">
        <v>0.03</v>
      </c>
      <c r="F109" s="8">
        <v>0.99</v>
      </c>
      <c r="G109" s="8">
        <v>2.9000000000000001E-2</v>
      </c>
      <c r="H109" s="8">
        <v>6.5000000000000002E-2</v>
      </c>
      <c r="I109" s="8">
        <v>3.5999999999999997E-2</v>
      </c>
      <c r="J109" s="8">
        <v>0.12</v>
      </c>
      <c r="K109" s="39">
        <f t="shared" si="8"/>
        <v>0.215</v>
      </c>
      <c r="L109" s="39">
        <f t="shared" si="9"/>
        <v>36.784080000000003</v>
      </c>
      <c r="M109" s="30">
        <f t="shared" si="10"/>
        <v>227.41337315354698</v>
      </c>
      <c r="N109" s="30">
        <f>(RedShift*Age*(2*InitialTangentVelocity-UniverseAcceleration*Age))/(2+RedShift)*(1+RedShift)</f>
        <v>6.5514055509009928E+24</v>
      </c>
      <c r="O109" s="36">
        <f t="shared" si="11"/>
        <v>212.31659436372459</v>
      </c>
      <c r="P109" s="36">
        <f t="shared" si="12"/>
        <v>36.634919696664916</v>
      </c>
      <c r="Q109" s="36">
        <f t="shared" si="13"/>
        <v>0.48131522100627738</v>
      </c>
      <c r="R109" s="19">
        <v>176.81396519453855</v>
      </c>
      <c r="S109" s="36">
        <f t="shared" si="14"/>
        <v>36.237582818300602</v>
      </c>
      <c r="T109" s="36">
        <f t="shared" si="15"/>
        <v>6.4609879849732392</v>
      </c>
      <c r="U109" s="30"/>
    </row>
    <row r="110" spans="1:21" x14ac:dyDescent="0.25">
      <c r="A110" s="35" t="s">
        <v>146</v>
      </c>
      <c r="B110" s="16">
        <v>4.7E-2</v>
      </c>
      <c r="C110" s="8">
        <v>1E-3</v>
      </c>
      <c r="D110" s="8">
        <v>17.439</v>
      </c>
      <c r="E110" s="8">
        <v>2.3E-2</v>
      </c>
      <c r="F110" s="8">
        <v>1.141</v>
      </c>
      <c r="G110" s="8">
        <v>1.2999999999999999E-2</v>
      </c>
      <c r="H110" s="8">
        <v>0.10100000000000001</v>
      </c>
      <c r="I110" s="8">
        <v>2.1999999999999999E-2</v>
      </c>
      <c r="J110" s="8">
        <v>0.12</v>
      </c>
      <c r="K110" s="39">
        <f t="shared" si="8"/>
        <v>0.17799999999999999</v>
      </c>
      <c r="L110" s="39">
        <f t="shared" si="9"/>
        <v>36.483597000000003</v>
      </c>
      <c r="M110" s="30">
        <f t="shared" si="10"/>
        <v>198.02471640461786</v>
      </c>
      <c r="N110" s="30">
        <f>(RedShift*Age*(2*InitialTangentVelocity-UniverseAcceleration*Age))/(2+RedShift)*(1+RedShift)</f>
        <v>7.3485204937672525E+24</v>
      </c>
      <c r="O110" s="36">
        <f t="shared" si="11"/>
        <v>238.14933035768607</v>
      </c>
      <c r="P110" s="36">
        <f t="shared" si="12"/>
        <v>36.884246823372607</v>
      </c>
      <c r="Q110" s="36">
        <f t="shared" si="13"/>
        <v>5.0662883779983074</v>
      </c>
      <c r="R110" s="19">
        <v>198.58424885377522</v>
      </c>
      <c r="S110" s="36">
        <f t="shared" si="14"/>
        <v>36.489723992519572</v>
      </c>
      <c r="T110" s="36">
        <f t="shared" si="15"/>
        <v>1.1848263266902035E-3</v>
      </c>
      <c r="U110" s="30"/>
    </row>
    <row r="111" spans="1:21" x14ac:dyDescent="0.25">
      <c r="A111" s="35" t="s">
        <v>147</v>
      </c>
      <c r="B111" s="16">
        <v>4.4999999999999998E-2</v>
      </c>
      <c r="C111" s="8">
        <v>0</v>
      </c>
      <c r="D111" s="8">
        <v>17.302</v>
      </c>
      <c r="E111" s="8">
        <v>2.5000000000000001E-2</v>
      </c>
      <c r="F111" s="8">
        <v>1.0780000000000001</v>
      </c>
      <c r="G111" s="8">
        <v>1.0999999999999999E-2</v>
      </c>
      <c r="H111" s="8">
        <v>-6.0000000000000001E-3</v>
      </c>
      <c r="I111" s="8">
        <v>2.4E-2</v>
      </c>
      <c r="J111" s="8">
        <v>0.12</v>
      </c>
      <c r="K111" s="39">
        <f t="shared" si="8"/>
        <v>0.18</v>
      </c>
      <c r="L111" s="39">
        <f t="shared" si="9"/>
        <v>36.672246000000001</v>
      </c>
      <c r="M111" s="30">
        <f t="shared" si="10"/>
        <v>215.99773645880614</v>
      </c>
      <c r="N111" s="30">
        <f>(RedShift*Age*(2*InitialTangentVelocity-UniverseAcceleration*Age))/(2+RedShift)*(1+RedShift)</f>
        <v>7.0292453879157722E+24</v>
      </c>
      <c r="O111" s="36">
        <f t="shared" si="11"/>
        <v>227.80232884589881</v>
      </c>
      <c r="P111" s="36">
        <f t="shared" si="12"/>
        <v>36.78779079800762</v>
      </c>
      <c r="Q111" s="36">
        <f t="shared" si="13"/>
        <v>0.41205556625374906</v>
      </c>
      <c r="R111" s="19">
        <v>189.85802526434165</v>
      </c>
      <c r="S111" s="36">
        <f t="shared" si="14"/>
        <v>36.392144797064525</v>
      </c>
      <c r="T111" s="36">
        <f t="shared" si="15"/>
        <v>2.4215025890710198</v>
      </c>
      <c r="U111" s="30"/>
    </row>
    <row r="112" spans="1:21" x14ac:dyDescent="0.25">
      <c r="A112" s="35" t="s">
        <v>148</v>
      </c>
      <c r="B112" s="16">
        <v>4.9000000000000002E-2</v>
      </c>
      <c r="C112" s="8">
        <v>0</v>
      </c>
      <c r="D112" s="8">
        <v>17.864999999999998</v>
      </c>
      <c r="E112" s="8">
        <v>4.2999999999999997E-2</v>
      </c>
      <c r="F112" s="8">
        <v>0.88400000000000001</v>
      </c>
      <c r="G112" s="8">
        <v>3.7999999999999999E-2</v>
      </c>
      <c r="H112" s="8">
        <v>8.5000000000000006E-2</v>
      </c>
      <c r="I112" s="8">
        <v>0.04</v>
      </c>
      <c r="J112" s="8">
        <v>0.12</v>
      </c>
      <c r="K112" s="39">
        <f t="shared" si="8"/>
        <v>0.24099999999999999</v>
      </c>
      <c r="L112" s="39">
        <f t="shared" si="9"/>
        <v>36.921897999999999</v>
      </c>
      <c r="M112" s="30">
        <f t="shared" si="10"/>
        <v>242.31460996174712</v>
      </c>
      <c r="N112" s="30">
        <f>(RedShift*Age*(2*InitialTangentVelocity-UniverseAcceleration*Age))/(2+RedShift)*(1+RedShift)</f>
        <v>7.668365816515144E+24</v>
      </c>
      <c r="O112" s="36">
        <f t="shared" si="11"/>
        <v>248.51481134056607</v>
      </c>
      <c r="P112" s="36">
        <f t="shared" si="12"/>
        <v>36.976761387716721</v>
      </c>
      <c r="Q112" s="36">
        <f t="shared" si="13"/>
        <v>5.1824026992568252E-2</v>
      </c>
      <c r="R112" s="19">
        <v>207.33455757840622</v>
      </c>
      <c r="S112" s="36">
        <f t="shared" si="14"/>
        <v>36.583358471752319</v>
      </c>
      <c r="T112" s="36">
        <f t="shared" si="15"/>
        <v>1.9732616894709329</v>
      </c>
      <c r="U112" s="30"/>
    </row>
    <row r="113" spans="1:21" x14ac:dyDescent="0.25">
      <c r="A113" s="35" t="s">
        <v>149</v>
      </c>
      <c r="B113" s="16">
        <v>4.9000000000000002E-2</v>
      </c>
      <c r="C113" s="8">
        <v>0</v>
      </c>
      <c r="D113" s="8">
        <v>17.091000000000001</v>
      </c>
      <c r="E113" s="8">
        <v>2.5999999999999999E-2</v>
      </c>
      <c r="F113" s="8">
        <v>1.085</v>
      </c>
      <c r="G113" s="8">
        <v>1.6E-2</v>
      </c>
      <c r="H113" s="8">
        <v>-1.2E-2</v>
      </c>
      <c r="I113" s="8">
        <v>2.1999999999999999E-2</v>
      </c>
      <c r="J113" s="8">
        <v>0.12</v>
      </c>
      <c r="K113" s="39">
        <f t="shared" si="8"/>
        <v>0.184</v>
      </c>
      <c r="L113" s="39">
        <f t="shared" si="9"/>
        <v>36.481054999999998</v>
      </c>
      <c r="M113" s="30">
        <f t="shared" si="10"/>
        <v>197.79303751909211</v>
      </c>
      <c r="N113" s="30">
        <f>(RedShift*Age*(2*InitialTangentVelocity-UniverseAcceleration*Age))/(2+RedShift)*(1+RedShift)</f>
        <v>7.668365816515144E+24</v>
      </c>
      <c r="O113" s="36">
        <f t="shared" si="11"/>
        <v>248.51481134056607</v>
      </c>
      <c r="P113" s="36">
        <f t="shared" si="12"/>
        <v>36.976761387716721</v>
      </c>
      <c r="Q113" s="36">
        <f t="shared" si="13"/>
        <v>7.2579401826312049</v>
      </c>
      <c r="R113" s="19">
        <v>207.33455757840622</v>
      </c>
      <c r="S113" s="36">
        <f t="shared" si="14"/>
        <v>36.583358471752319</v>
      </c>
      <c r="T113" s="36">
        <f t="shared" si="15"/>
        <v>0.30913280755488193</v>
      </c>
      <c r="U113" s="30"/>
    </row>
    <row r="114" spans="1:21" x14ac:dyDescent="0.25">
      <c r="A114" s="35" t="s">
        <v>150</v>
      </c>
      <c r="B114" s="16">
        <v>0.05</v>
      </c>
      <c r="C114" s="8">
        <v>0</v>
      </c>
      <c r="D114" s="8">
        <v>17.795999999999999</v>
      </c>
      <c r="E114" s="8">
        <v>2.5999999999999999E-2</v>
      </c>
      <c r="F114" s="8">
        <v>0.74099999999999999</v>
      </c>
      <c r="G114" s="8">
        <v>1.7999999999999999E-2</v>
      </c>
      <c r="H114" s="8">
        <v>-6.0000000000000001E-3</v>
      </c>
      <c r="I114" s="8">
        <v>3.4000000000000002E-2</v>
      </c>
      <c r="J114" s="8">
        <v>0.12</v>
      </c>
      <c r="K114" s="39">
        <f t="shared" si="8"/>
        <v>0.19800000000000001</v>
      </c>
      <c r="L114" s="39">
        <f t="shared" si="9"/>
        <v>37.116706999999998</v>
      </c>
      <c r="M114" s="30">
        <f t="shared" si="10"/>
        <v>265.05829498656789</v>
      </c>
      <c r="N114" s="30">
        <f>(RedShift*Age*(2*InitialTangentVelocity-UniverseAcceleration*Age))/(2+RedShift)*(1+RedShift)</f>
        <v>7.8285017876854012E+24</v>
      </c>
      <c r="O114" s="36">
        <f t="shared" si="11"/>
        <v>253.70446473171063</v>
      </c>
      <c r="P114" s="36">
        <f t="shared" si="12"/>
        <v>37.021640550363358</v>
      </c>
      <c r="Q114" s="36">
        <f t="shared" si="13"/>
        <v>0.23052825850718833</v>
      </c>
      <c r="R114" s="19">
        <v>211.71872734985874</v>
      </c>
      <c r="S114" s="36">
        <f t="shared" si="14"/>
        <v>36.628796373823747</v>
      </c>
      <c r="T114" s="36">
        <f t="shared" si="15"/>
        <v>6.072257400665797</v>
      </c>
      <c r="U114" s="30"/>
    </row>
    <row r="115" spans="1:21" x14ac:dyDescent="0.25">
      <c r="A115" s="35" t="s">
        <v>151</v>
      </c>
      <c r="B115" s="16">
        <v>5.2999999999999999E-2</v>
      </c>
      <c r="C115" s="8">
        <v>0</v>
      </c>
      <c r="D115" s="8">
        <v>17.655999999999999</v>
      </c>
      <c r="E115" s="8">
        <v>2.9000000000000001E-2</v>
      </c>
      <c r="F115" s="8">
        <v>0.90600000000000003</v>
      </c>
      <c r="G115" s="8">
        <v>1.2999999999999999E-2</v>
      </c>
      <c r="H115" s="8">
        <v>-7.2999999999999995E-2</v>
      </c>
      <c r="I115" s="8">
        <v>3.4000000000000002E-2</v>
      </c>
      <c r="J115" s="8">
        <v>0.12</v>
      </c>
      <c r="K115" s="39">
        <f t="shared" si="8"/>
        <v>0.19600000000000001</v>
      </c>
      <c r="L115" s="39">
        <f t="shared" si="9"/>
        <v>37.210672000000002</v>
      </c>
      <c r="M115" s="30">
        <f t="shared" si="10"/>
        <v>276.77980562582621</v>
      </c>
      <c r="N115" s="30">
        <f>(RedShift*Age*(2*InitialTangentVelocity-UniverseAcceleration*Age))/(2+RedShift)*(1+RedShift)</f>
        <v>8.3097604467452101E+24</v>
      </c>
      <c r="O115" s="36">
        <f t="shared" si="11"/>
        <v>269.30099569071666</v>
      </c>
      <c r="P115" s="36">
        <f t="shared" si="12"/>
        <v>37.151189795690762</v>
      </c>
      <c r="Q115" s="36">
        <f t="shared" si="13"/>
        <v>9.2100495353140591E-2</v>
      </c>
      <c r="R115" s="19">
        <v>224.90721907052409</v>
      </c>
      <c r="S115" s="36">
        <f t="shared" si="14"/>
        <v>36.760016978204746</v>
      </c>
      <c r="T115" s="36">
        <f t="shared" si="15"/>
        <v>5.2865979974303174</v>
      </c>
      <c r="U115" s="30"/>
    </row>
    <row r="116" spans="1:21" x14ac:dyDescent="0.25">
      <c r="A116" s="35" t="s">
        <v>152</v>
      </c>
      <c r="B116" s="16">
        <v>5.5E-2</v>
      </c>
      <c r="C116" s="8">
        <v>1E-3</v>
      </c>
      <c r="D116" s="8">
        <v>17.905999999999999</v>
      </c>
      <c r="E116" s="8">
        <v>3.5000000000000003E-2</v>
      </c>
      <c r="F116" s="8">
        <v>0.95</v>
      </c>
      <c r="G116" s="8">
        <v>3.1E-2</v>
      </c>
      <c r="H116" s="8">
        <v>-1.7000000000000001E-2</v>
      </c>
      <c r="I116" s="8">
        <v>2.5999999999999999E-2</v>
      </c>
      <c r="J116" s="8">
        <v>0.12</v>
      </c>
      <c r="K116" s="39">
        <f t="shared" si="8"/>
        <v>0.21199999999999999</v>
      </c>
      <c r="L116" s="39">
        <f t="shared" si="9"/>
        <v>37.29186</v>
      </c>
      <c r="M116" s="30">
        <f t="shared" si="10"/>
        <v>287.32406360335602</v>
      </c>
      <c r="N116" s="30">
        <f>(RedShift*Age*(2*InitialTangentVelocity-UniverseAcceleration*Age))/(2+RedShift)*(1+RedShift)</f>
        <v>8.631306437468779E+24</v>
      </c>
      <c r="O116" s="36">
        <f t="shared" si="11"/>
        <v>279.72159156916126</v>
      </c>
      <c r="P116" s="36">
        <f t="shared" si="12"/>
        <v>37.233629953191681</v>
      </c>
      <c r="Q116" s="36">
        <f t="shared" si="13"/>
        <v>7.5443626541897069E-2</v>
      </c>
      <c r="R116" s="19">
        <v>233.72946623972933</v>
      </c>
      <c r="S116" s="36">
        <f t="shared" si="14"/>
        <v>36.843567336428904</v>
      </c>
      <c r="T116" s="36">
        <f t="shared" si="15"/>
        <v>4.4714825607793536</v>
      </c>
      <c r="U116" s="30"/>
    </row>
    <row r="117" spans="1:21" x14ac:dyDescent="0.25">
      <c r="A117" s="35" t="s">
        <v>153</v>
      </c>
      <c r="B117" s="16">
        <v>5.3999999999999999E-2</v>
      </c>
      <c r="C117" s="8">
        <v>0</v>
      </c>
      <c r="D117" s="8">
        <v>17.545999999999999</v>
      </c>
      <c r="E117" s="8">
        <v>4.2000000000000003E-2</v>
      </c>
      <c r="F117" s="8">
        <v>0.84399999999999997</v>
      </c>
      <c r="G117" s="8">
        <v>4.9000000000000002E-2</v>
      </c>
      <c r="H117" s="8">
        <v>-8.7999999999999995E-2</v>
      </c>
      <c r="I117" s="8">
        <v>2.9000000000000001E-2</v>
      </c>
      <c r="J117" s="8">
        <v>0.12</v>
      </c>
      <c r="K117" s="39">
        <f t="shared" si="8"/>
        <v>0.24</v>
      </c>
      <c r="L117" s="39">
        <f t="shared" si="9"/>
        <v>37.138508000000002</v>
      </c>
      <c r="M117" s="30">
        <f t="shared" si="10"/>
        <v>267.73281235916113</v>
      </c>
      <c r="N117" s="30">
        <f>(RedShift*Age*(2*InitialTangentVelocity-UniverseAcceleration*Age))/(2+RedShift)*(1+RedShift)</f>
        <v>8.4704628912987393E+24</v>
      </c>
      <c r="O117" s="36">
        <f t="shared" si="11"/>
        <v>274.5090072339554</v>
      </c>
      <c r="P117" s="36">
        <f t="shared" si="12"/>
        <v>37.192782995803526</v>
      </c>
      <c r="Q117" s="36">
        <f t="shared" si="13"/>
        <v>5.1141930025565933E-2</v>
      </c>
      <c r="R117" s="19">
        <v>229.31535511668108</v>
      </c>
      <c r="S117" s="36">
        <f t="shared" si="14"/>
        <v>36.802165681830459</v>
      </c>
      <c r="T117" s="36">
        <f t="shared" si="15"/>
        <v>1.9639957463830158</v>
      </c>
      <c r="U117" s="30"/>
    </row>
    <row r="118" spans="1:21" x14ac:dyDescent="0.25">
      <c r="A118" s="35" t="s">
        <v>154</v>
      </c>
      <c r="B118" s="16">
        <v>5.8999999999999997E-2</v>
      </c>
      <c r="C118" s="8">
        <v>0</v>
      </c>
      <c r="D118" s="8">
        <v>18.302</v>
      </c>
      <c r="E118" s="8">
        <v>2.5000000000000001E-2</v>
      </c>
      <c r="F118" s="8">
        <v>0.74099999999999999</v>
      </c>
      <c r="G118" s="8">
        <v>1.7999999999999999E-2</v>
      </c>
      <c r="H118" s="8">
        <v>2.1999999999999999E-2</v>
      </c>
      <c r="I118" s="8">
        <v>2.4E-2</v>
      </c>
      <c r="J118" s="8">
        <v>0.12</v>
      </c>
      <c r="K118" s="39">
        <f t="shared" si="8"/>
        <v>0.187</v>
      </c>
      <c r="L118" s="39">
        <f t="shared" si="9"/>
        <v>37.535066999999998</v>
      </c>
      <c r="M118" s="30">
        <f t="shared" si="10"/>
        <v>321.3759696509839</v>
      </c>
      <c r="N118" s="30">
        <f>(RedShift*Age*(2*InitialTangentVelocity-UniverseAcceleration*Age))/(2+RedShift)*(1+RedShift)</f>
        <v>9.2760875265622354E+24</v>
      </c>
      <c r="O118" s="36">
        <f t="shared" si="11"/>
        <v>300.61752357685521</v>
      </c>
      <c r="P118" s="36">
        <f t="shared" si="12"/>
        <v>37.390071464270328</v>
      </c>
      <c r="Q118" s="36">
        <f t="shared" si="13"/>
        <v>0.60120979672092589</v>
      </c>
      <c r="R118" s="19">
        <v>251.44552968626385</v>
      </c>
      <c r="S118" s="36">
        <f t="shared" si="14"/>
        <v>37.002219594697323</v>
      </c>
      <c r="T118" s="36">
        <f t="shared" si="15"/>
        <v>8.1193730829532864</v>
      </c>
      <c r="U118" s="30"/>
    </row>
    <row r="119" spans="1:21" x14ac:dyDescent="0.25">
      <c r="A119" s="35" t="s">
        <v>155</v>
      </c>
      <c r="B119" s="16">
        <v>5.8000000000000003E-2</v>
      </c>
      <c r="C119" s="8">
        <v>0</v>
      </c>
      <c r="D119" s="8">
        <v>17.954999999999998</v>
      </c>
      <c r="E119" s="8">
        <v>2.5999999999999999E-2</v>
      </c>
      <c r="F119" s="8">
        <v>1.131</v>
      </c>
      <c r="G119" s="8">
        <v>2.8000000000000001E-2</v>
      </c>
      <c r="H119" s="8">
        <v>2.3E-2</v>
      </c>
      <c r="I119" s="8">
        <v>2.1999999999999999E-2</v>
      </c>
      <c r="J119" s="8">
        <v>0.12</v>
      </c>
      <c r="K119" s="39">
        <f t="shared" si="8"/>
        <v>0.19600000000000001</v>
      </c>
      <c r="L119" s="39">
        <f t="shared" si="9"/>
        <v>37.242266999999998</v>
      </c>
      <c r="M119" s="30">
        <f t="shared" si="10"/>
        <v>280.83640178345036</v>
      </c>
      <c r="N119" s="30">
        <f>(RedShift*Age*(2*InitialTangentVelocity-UniverseAcceleration*Age))/(2+RedShift)*(1+RedShift)</f>
        <v>9.1146816288030953E+24</v>
      </c>
      <c r="O119" s="36">
        <f t="shared" si="11"/>
        <v>295.3867146678071</v>
      </c>
      <c r="P119" s="36">
        <f t="shared" si="12"/>
        <v>37.351954792790792</v>
      </c>
      <c r="Q119" s="36">
        <f t="shared" si="13"/>
        <v>0.31318752309756759</v>
      </c>
      <c r="R119" s="19">
        <v>247.00758415737559</v>
      </c>
      <c r="S119" s="36">
        <f t="shared" si="14"/>
        <v>36.963551440531759</v>
      </c>
      <c r="T119" s="36">
        <f t="shared" si="15"/>
        <v>2.0221356489403739</v>
      </c>
      <c r="U119" s="30"/>
    </row>
    <row r="120" spans="1:21" x14ac:dyDescent="0.25">
      <c r="A120" s="35" t="s">
        <v>156</v>
      </c>
      <c r="B120" s="16">
        <v>6.3E-2</v>
      </c>
      <c r="C120" s="8">
        <v>0</v>
      </c>
      <c r="D120" s="8">
        <v>18.015000000000001</v>
      </c>
      <c r="E120" s="8">
        <v>2.5999999999999999E-2</v>
      </c>
      <c r="F120" s="8">
        <v>1.117</v>
      </c>
      <c r="G120" s="8">
        <v>0.01</v>
      </c>
      <c r="H120" s="8">
        <v>5.0999999999999997E-2</v>
      </c>
      <c r="I120" s="8">
        <v>2.4E-2</v>
      </c>
      <c r="J120" s="8">
        <v>0.12</v>
      </c>
      <c r="K120" s="39">
        <f t="shared" si="8"/>
        <v>0.18</v>
      </c>
      <c r="L120" s="39">
        <f t="shared" si="9"/>
        <v>37.212569000000002</v>
      </c>
      <c r="M120" s="30">
        <f t="shared" si="10"/>
        <v>277.02170632803131</v>
      </c>
      <c r="N120" s="30">
        <f>(RedShift*Age*(2*InitialTangentVelocity-UniverseAcceleration*Age))/(2+RedShift)*(1+RedShift)</f>
        <v>9.923109842346857E+24</v>
      </c>
      <c r="O120" s="36">
        <f t="shared" si="11"/>
        <v>321.58608879502106</v>
      </c>
      <c r="P120" s="36">
        <f t="shared" si="12"/>
        <v>37.536486268630973</v>
      </c>
      <c r="Q120" s="36">
        <f t="shared" si="13"/>
        <v>3.2383455838687945</v>
      </c>
      <c r="R120" s="19">
        <v>269.25666737459142</v>
      </c>
      <c r="S120" s="36">
        <f t="shared" si="14"/>
        <v>37.150832330846249</v>
      </c>
      <c r="T120" s="36">
        <f t="shared" si="15"/>
        <v>0.11763630611728128</v>
      </c>
      <c r="U120" s="30"/>
    </row>
    <row r="121" spans="1:21" x14ac:dyDescent="0.25">
      <c r="A121" s="35" t="s">
        <v>157</v>
      </c>
      <c r="B121" s="16">
        <v>6.3E-2</v>
      </c>
      <c r="C121" s="8">
        <v>0</v>
      </c>
      <c r="D121" s="8">
        <v>18.317</v>
      </c>
      <c r="E121" s="8">
        <v>0.04</v>
      </c>
      <c r="F121" s="8">
        <v>0.96599999999999997</v>
      </c>
      <c r="G121" s="8">
        <v>3.6999999999999998E-2</v>
      </c>
      <c r="H121" s="8">
        <v>-1.7999999999999999E-2</v>
      </c>
      <c r="I121" s="8">
        <v>0.04</v>
      </c>
      <c r="J121" s="8">
        <v>0.12</v>
      </c>
      <c r="K121" s="39">
        <f t="shared" si="8"/>
        <v>0.23699999999999999</v>
      </c>
      <c r="L121" s="39">
        <f t="shared" si="9"/>
        <v>37.708342000000002</v>
      </c>
      <c r="M121" s="30">
        <f t="shared" si="10"/>
        <v>348.07144804455714</v>
      </c>
      <c r="N121" s="30">
        <f>(RedShift*Age*(2*InitialTangentVelocity-UniverseAcceleration*Age))/(2+RedShift)*(1+RedShift)</f>
        <v>9.923109842346857E+24</v>
      </c>
      <c r="O121" s="36">
        <f t="shared" si="11"/>
        <v>321.58608879502106</v>
      </c>
      <c r="P121" s="36">
        <f t="shared" si="12"/>
        <v>37.536486268630973</v>
      </c>
      <c r="Q121" s="36">
        <f t="shared" si="13"/>
        <v>0.52581303573828309</v>
      </c>
      <c r="R121" s="19">
        <v>269.25666737459142</v>
      </c>
      <c r="S121" s="36">
        <f t="shared" si="14"/>
        <v>37.150832330846249</v>
      </c>
      <c r="T121" s="36">
        <f t="shared" si="15"/>
        <v>5.5336045007019266</v>
      </c>
      <c r="U121" s="30"/>
    </row>
    <row r="122" spans="1:21" x14ac:dyDescent="0.25">
      <c r="A122" s="35" t="s">
        <v>158</v>
      </c>
      <c r="B122" s="16">
        <v>6.5000000000000002E-2</v>
      </c>
      <c r="C122" s="8">
        <v>1E-3</v>
      </c>
      <c r="D122" s="8">
        <v>18.195</v>
      </c>
      <c r="E122" s="8">
        <v>3.5999999999999997E-2</v>
      </c>
      <c r="F122" s="8">
        <v>1.0609999999999999</v>
      </c>
      <c r="G122" s="8">
        <v>4.2000000000000003E-2</v>
      </c>
      <c r="H122" s="8">
        <v>1.6E-2</v>
      </c>
      <c r="I122" s="8">
        <v>2.4E-2</v>
      </c>
      <c r="J122" s="8">
        <v>0.12</v>
      </c>
      <c r="K122" s="39">
        <f t="shared" si="8"/>
        <v>0.222</v>
      </c>
      <c r="L122" s="39">
        <f t="shared" si="9"/>
        <v>37.493887000000001</v>
      </c>
      <c r="M122" s="30">
        <f t="shared" si="10"/>
        <v>315.33879229460251</v>
      </c>
      <c r="N122" s="30">
        <f>(RedShift*Age*(2*InitialTangentVelocity-UniverseAcceleration*Age))/(2+RedShift)*(1+RedShift)</f>
        <v>1.0247457390224092E+25</v>
      </c>
      <c r="O122" s="36">
        <f t="shared" si="11"/>
        <v>332.09747695752753</v>
      </c>
      <c r="P122" s="36">
        <f t="shared" si="12"/>
        <v>37.606327880738306</v>
      </c>
      <c r="Q122" s="36">
        <f t="shared" si="13"/>
        <v>0.25653257976636817</v>
      </c>
      <c r="R122" s="19">
        <v>278.19775748413133</v>
      </c>
      <c r="S122" s="36">
        <f t="shared" si="14"/>
        <v>37.221768124394572</v>
      </c>
      <c r="T122" s="36">
        <f t="shared" si="15"/>
        <v>1.5024892959330185</v>
      </c>
      <c r="U122" s="30"/>
    </row>
    <row r="123" spans="1:21" x14ac:dyDescent="0.25">
      <c r="A123" s="35" t="s">
        <v>159</v>
      </c>
      <c r="B123" s="16">
        <v>6.3E-2</v>
      </c>
      <c r="C123" s="8">
        <v>0</v>
      </c>
      <c r="D123" s="8">
        <v>17.832000000000001</v>
      </c>
      <c r="E123" s="8">
        <v>4.8000000000000001E-2</v>
      </c>
      <c r="F123" s="8">
        <v>1.198</v>
      </c>
      <c r="G123" s="8">
        <v>3.9E-2</v>
      </c>
      <c r="H123" s="8">
        <v>2E-3</v>
      </c>
      <c r="I123" s="8">
        <v>2.7E-2</v>
      </c>
      <c r="J123" s="8">
        <v>0.12</v>
      </c>
      <c r="K123" s="39">
        <f t="shared" si="8"/>
        <v>0.23399999999999999</v>
      </c>
      <c r="L123" s="39">
        <f t="shared" si="9"/>
        <v>37.194845999999998</v>
      </c>
      <c r="M123" s="30">
        <f t="shared" si="10"/>
        <v>274.76992804011155</v>
      </c>
      <c r="N123" s="30">
        <f>(RedShift*Age*(2*InitialTangentVelocity-UniverseAcceleration*Age))/(2+RedShift)*(1+RedShift)</f>
        <v>9.923109842346857E+24</v>
      </c>
      <c r="O123" s="36">
        <f t="shared" si="11"/>
        <v>321.58608879502106</v>
      </c>
      <c r="P123" s="36">
        <f t="shared" si="12"/>
        <v>37.536486268630973</v>
      </c>
      <c r="Q123" s="36">
        <f t="shared" si="13"/>
        <v>2.13160335214853</v>
      </c>
      <c r="R123" s="19">
        <v>269.25666737459142</v>
      </c>
      <c r="S123" s="36">
        <f t="shared" si="14"/>
        <v>37.150832330846249</v>
      </c>
      <c r="T123" s="36">
        <f t="shared" si="15"/>
        <v>3.5378827386508709E-2</v>
      </c>
      <c r="U123" s="30"/>
    </row>
    <row r="124" spans="1:21" x14ac:dyDescent="0.25">
      <c r="A124" s="35" t="s">
        <v>7</v>
      </c>
      <c r="B124" s="16">
        <v>6.5000000000000002E-2</v>
      </c>
      <c r="C124" s="8">
        <v>0</v>
      </c>
      <c r="D124" s="8">
        <v>18.373000000000001</v>
      </c>
      <c r="E124" s="8">
        <v>2.9000000000000001E-2</v>
      </c>
      <c r="F124" s="8">
        <v>0.89100000000000001</v>
      </c>
      <c r="G124" s="8">
        <v>2.4E-2</v>
      </c>
      <c r="H124" s="8">
        <v>5.3999999999999999E-2</v>
      </c>
      <c r="I124" s="8">
        <v>2.7E-2</v>
      </c>
      <c r="J124" s="8">
        <v>0.12</v>
      </c>
      <c r="K124" s="39">
        <f t="shared" si="8"/>
        <v>0.2</v>
      </c>
      <c r="L124" s="39">
        <f t="shared" si="9"/>
        <v>37.527957000000001</v>
      </c>
      <c r="M124" s="30">
        <f t="shared" si="10"/>
        <v>320.32541686432074</v>
      </c>
      <c r="N124" s="30">
        <f>(RedShift*Age*(2*InitialTangentVelocity-UniverseAcceleration*Age))/(2+RedShift)*(1+RedShift)</f>
        <v>1.0247457390224092E+25</v>
      </c>
      <c r="O124" s="36">
        <f t="shared" si="11"/>
        <v>332.09747695752753</v>
      </c>
      <c r="P124" s="36">
        <f t="shared" si="12"/>
        <v>37.606327880738306</v>
      </c>
      <c r="Q124" s="36">
        <f t="shared" si="13"/>
        <v>0.15354987369244064</v>
      </c>
      <c r="R124" s="19">
        <v>278.19775748413133</v>
      </c>
      <c r="S124" s="36">
        <f t="shared" si="14"/>
        <v>37.221768124394572</v>
      </c>
      <c r="T124" s="36">
        <f t="shared" si="15"/>
        <v>2.3437906886129172</v>
      </c>
      <c r="U124" s="30"/>
    </row>
    <row r="125" spans="1:21" x14ac:dyDescent="0.25">
      <c r="A125" s="35" t="s">
        <v>160</v>
      </c>
      <c r="B125" s="16">
        <v>6.7000000000000004E-2</v>
      </c>
      <c r="C125" s="8">
        <v>0</v>
      </c>
      <c r="D125" s="8">
        <v>18.640999999999998</v>
      </c>
      <c r="E125" s="8">
        <v>4.3999999999999997E-2</v>
      </c>
      <c r="F125" s="8">
        <v>0.94399999999999995</v>
      </c>
      <c r="G125" s="8">
        <v>1.6E-2</v>
      </c>
      <c r="H125" s="8">
        <v>0.129</v>
      </c>
      <c r="I125" s="8">
        <v>2.5999999999999999E-2</v>
      </c>
      <c r="J125" s="8">
        <v>0.12</v>
      </c>
      <c r="K125" s="39">
        <f t="shared" si="8"/>
        <v>0.20599999999999999</v>
      </c>
      <c r="L125" s="39">
        <f t="shared" si="9"/>
        <v>37.568997999999993</v>
      </c>
      <c r="M125" s="30">
        <f t="shared" si="10"/>
        <v>326.43716688306512</v>
      </c>
      <c r="N125" s="30">
        <f>(RedShift*Age*(2*InitialTangentVelocity-UniverseAcceleration*Age))/(2+RedShift)*(1+RedShift)</f>
        <v>1.0572360373346929E+25</v>
      </c>
      <c r="O125" s="36">
        <f t="shared" si="11"/>
        <v>342.62686555044843</v>
      </c>
      <c r="P125" s="36">
        <f t="shared" si="12"/>
        <v>37.67410706610238</v>
      </c>
      <c r="Q125" s="36">
        <f t="shared" si="13"/>
        <v>0.26034300539437799</v>
      </c>
      <c r="R125" s="19">
        <v>287.16245833955907</v>
      </c>
      <c r="S125" s="36">
        <f t="shared" si="14"/>
        <v>37.290638312919725</v>
      </c>
      <c r="T125" s="36">
        <f t="shared" si="15"/>
        <v>1.8259052547701213</v>
      </c>
      <c r="U125" s="30"/>
    </row>
    <row r="126" spans="1:21" x14ac:dyDescent="0.25">
      <c r="A126" s="35" t="s">
        <v>161</v>
      </c>
      <c r="B126" s="16">
        <v>6.9000000000000006E-2</v>
      </c>
      <c r="C126" s="8">
        <v>0</v>
      </c>
      <c r="D126" s="8">
        <v>18.484999999999999</v>
      </c>
      <c r="E126" s="8">
        <v>5.6000000000000001E-2</v>
      </c>
      <c r="F126" s="8">
        <v>0.80900000000000005</v>
      </c>
      <c r="G126" s="8">
        <v>0.04</v>
      </c>
      <c r="H126" s="8">
        <v>-6.3E-2</v>
      </c>
      <c r="I126" s="8">
        <v>3.2000000000000001E-2</v>
      </c>
      <c r="J126" s="8">
        <v>0.12</v>
      </c>
      <c r="K126" s="39">
        <f t="shared" si="8"/>
        <v>0.248</v>
      </c>
      <c r="L126" s="39">
        <f t="shared" si="9"/>
        <v>37.994112999999999</v>
      </c>
      <c r="M126" s="30">
        <f t="shared" si="10"/>
        <v>397.02933835530911</v>
      </c>
      <c r="N126" s="30">
        <f>(RedShift*Age*(2*InitialTangentVelocity-UniverseAcceleration*Age))/(2+RedShift)*(1+RedShift)</f>
        <v>1.0897817180979989E+25</v>
      </c>
      <c r="O126" s="36">
        <f t="shared" si="11"/>
        <v>353.17420237340514</v>
      </c>
      <c r="P126" s="36">
        <f t="shared" si="12"/>
        <v>37.739944865013832</v>
      </c>
      <c r="Q126" s="36">
        <f t="shared" si="13"/>
        <v>1.0503616161931906</v>
      </c>
      <c r="R126" s="19">
        <v>296.15071741630351</v>
      </c>
      <c r="S126" s="36">
        <f t="shared" si="14"/>
        <v>37.357563945218502</v>
      </c>
      <c r="T126" s="36">
        <f t="shared" si="15"/>
        <v>6.5881031988686498</v>
      </c>
      <c r="U126" s="30"/>
    </row>
    <row r="127" spans="1:21" x14ac:dyDescent="0.25">
      <c r="A127" s="35" t="s">
        <v>162</v>
      </c>
      <c r="B127" s="16">
        <v>7.0000000000000007E-2</v>
      </c>
      <c r="C127" s="8">
        <v>0</v>
      </c>
      <c r="D127" s="8">
        <v>18.497</v>
      </c>
      <c r="E127" s="8">
        <v>5.5E-2</v>
      </c>
      <c r="F127" s="8">
        <v>0.91400000000000003</v>
      </c>
      <c r="G127" s="8">
        <v>5.3999999999999999E-2</v>
      </c>
      <c r="H127" s="8">
        <v>5.7000000000000002E-2</v>
      </c>
      <c r="I127" s="8">
        <v>4.3999999999999997E-2</v>
      </c>
      <c r="J127" s="8">
        <v>0.12</v>
      </c>
      <c r="K127" s="39">
        <f t="shared" si="8"/>
        <v>0.27300000000000002</v>
      </c>
      <c r="L127" s="39">
        <f t="shared" si="9"/>
        <v>37.645948000000004</v>
      </c>
      <c r="M127" s="30">
        <f t="shared" si="10"/>
        <v>338.21245743786687</v>
      </c>
      <c r="N127" s="30">
        <f>(RedShift*Age*(2*InitialTangentVelocity-UniverseAcceleration*Age))/(2+RedShift)*(1+RedShift)</f>
        <v>1.106075276733522E+25</v>
      </c>
      <c r="O127" s="36">
        <f t="shared" si="11"/>
        <v>358.4545851136923</v>
      </c>
      <c r="P127" s="36">
        <f t="shared" si="12"/>
        <v>37.772170699825082</v>
      </c>
      <c r="Q127" s="36">
        <f t="shared" si="13"/>
        <v>0.21377141718165793</v>
      </c>
      <c r="R127" s="19">
        <v>300.65366488462064</v>
      </c>
      <c r="S127" s="36">
        <f t="shared" si="14"/>
        <v>37.390332510714117</v>
      </c>
      <c r="T127" s="36">
        <f t="shared" si="15"/>
        <v>0.87669602923510903</v>
      </c>
      <c r="U127" s="30"/>
    </row>
    <row r="128" spans="1:21" x14ac:dyDescent="0.25">
      <c r="A128" s="35" t="s">
        <v>163</v>
      </c>
      <c r="B128" s="16">
        <v>6.8000000000000005E-2</v>
      </c>
      <c r="C128" s="8">
        <v>0.01</v>
      </c>
      <c r="D128" s="8">
        <v>18.494</v>
      </c>
      <c r="E128" s="8">
        <v>6.0999999999999999E-2</v>
      </c>
      <c r="F128" s="8">
        <v>1.038</v>
      </c>
      <c r="G128" s="8">
        <v>8.5000000000000006E-2</v>
      </c>
      <c r="H128" s="8">
        <v>0.104</v>
      </c>
      <c r="I128" s="8">
        <v>4.3999999999999997E-2</v>
      </c>
      <c r="J128" s="8">
        <v>0.12</v>
      </c>
      <c r="K128" s="39">
        <f t="shared" si="8"/>
        <v>0.31</v>
      </c>
      <c r="L128" s="39">
        <f t="shared" si="9"/>
        <v>37.514066</v>
      </c>
      <c r="M128" s="30">
        <f t="shared" si="10"/>
        <v>318.28282199737731</v>
      </c>
      <c r="N128" s="30">
        <f>(RedShift*Age*(2*InitialTangentVelocity-UniverseAcceleration*Age))/(2+RedShift)*(1+RedShift)</f>
        <v>1.0735019649527239E+25</v>
      </c>
      <c r="O128" s="36">
        <f t="shared" si="11"/>
        <v>347.89829368780778</v>
      </c>
      <c r="P128" s="36">
        <f t="shared" si="12"/>
        <v>37.707261493496688</v>
      </c>
      <c r="Q128" s="36">
        <f t="shared" si="13"/>
        <v>0.3883922862375534</v>
      </c>
      <c r="R128" s="19">
        <v>291.65364638150396</v>
      </c>
      <c r="S128" s="36">
        <f t="shared" si="14"/>
        <v>37.324337052698105</v>
      </c>
      <c r="T128" s="36">
        <f t="shared" si="15"/>
        <v>0.374579328244381</v>
      </c>
      <c r="U128" s="30"/>
    </row>
    <row r="129" spans="1:21" x14ac:dyDescent="0.25">
      <c r="A129" s="35" t="s">
        <v>164</v>
      </c>
      <c r="B129" s="16">
        <v>7.4999999999999997E-2</v>
      </c>
      <c r="C129" s="8">
        <v>0</v>
      </c>
      <c r="D129" s="8">
        <v>18.448</v>
      </c>
      <c r="E129" s="8">
        <v>5.3999999999999999E-2</v>
      </c>
      <c r="F129" s="8">
        <v>0.94399999999999995</v>
      </c>
      <c r="G129" s="8">
        <v>4.2999999999999997E-2</v>
      </c>
      <c r="H129" s="8">
        <v>-2.7E-2</v>
      </c>
      <c r="I129" s="8">
        <v>4.9000000000000002E-2</v>
      </c>
      <c r="J129" s="8">
        <v>0.12</v>
      </c>
      <c r="K129" s="39">
        <f t="shared" si="8"/>
        <v>0.26600000000000001</v>
      </c>
      <c r="L129" s="39">
        <f t="shared" si="9"/>
        <v>37.864277999999999</v>
      </c>
      <c r="M129" s="30">
        <f t="shared" si="10"/>
        <v>373.9862196897019</v>
      </c>
      <c r="N129" s="30">
        <f>(RedShift*Age*(2*InitialTangentVelocity-UniverseAcceleration*Age))/(2+RedShift)*(1+RedShift)</f>
        <v>1.187749453673783E+25</v>
      </c>
      <c r="O129" s="36">
        <f t="shared" si="11"/>
        <v>384.92338323752642</v>
      </c>
      <c r="P129" s="36">
        <f t="shared" si="12"/>
        <v>37.926871471588406</v>
      </c>
      <c r="Q129" s="36">
        <f t="shared" si="13"/>
        <v>5.5372585865350321E-2</v>
      </c>
      <c r="R129" s="19">
        <v>323.25631933116341</v>
      </c>
      <c r="S129" s="36">
        <f t="shared" si="14"/>
        <v>37.547735118246734</v>
      </c>
      <c r="T129" s="36">
        <f t="shared" si="15"/>
        <v>1.4161257842255219</v>
      </c>
      <c r="U129" s="30"/>
    </row>
    <row r="130" spans="1:21" x14ac:dyDescent="0.25">
      <c r="A130" s="35" t="s">
        <v>165</v>
      </c>
      <c r="B130" s="16">
        <v>7.4999999999999997E-2</v>
      </c>
      <c r="C130" s="8">
        <v>0</v>
      </c>
      <c r="D130" s="8">
        <v>18.399999999999999</v>
      </c>
      <c r="E130" s="8">
        <v>0.02</v>
      </c>
      <c r="F130" s="8">
        <v>1.0429999999999999</v>
      </c>
      <c r="G130" s="8">
        <v>1.2E-2</v>
      </c>
      <c r="H130" s="8">
        <v>1.4E-2</v>
      </c>
      <c r="I130" s="8">
        <v>1.7999999999999999E-2</v>
      </c>
      <c r="J130" s="8">
        <v>0.12</v>
      </c>
      <c r="K130" s="39">
        <f t="shared" si="8"/>
        <v>0.16999999999999998</v>
      </c>
      <c r="L130" s="39">
        <f t="shared" si="9"/>
        <v>37.702500999999998</v>
      </c>
      <c r="M130" s="30">
        <f t="shared" si="10"/>
        <v>347.13643574989692</v>
      </c>
      <c r="N130" s="30">
        <f>(RedShift*Age*(2*InitialTangentVelocity-UniverseAcceleration*Age))/(2+RedShift)*(1+RedShift)</f>
        <v>1.187749453673783E+25</v>
      </c>
      <c r="O130" s="36">
        <f t="shared" si="11"/>
        <v>384.92338323752642</v>
      </c>
      <c r="P130" s="36">
        <f t="shared" si="12"/>
        <v>37.926871471588406</v>
      </c>
      <c r="Q130" s="36">
        <f t="shared" si="13"/>
        <v>1.7419414713081154</v>
      </c>
      <c r="R130" s="19">
        <v>323.25631933116341</v>
      </c>
      <c r="S130" s="36">
        <f t="shared" si="14"/>
        <v>37.547735118246734</v>
      </c>
      <c r="T130" s="36">
        <f t="shared" si="15"/>
        <v>0.82880547248668379</v>
      </c>
      <c r="U130" s="30"/>
    </row>
    <row r="131" spans="1:21" x14ac:dyDescent="0.25">
      <c r="A131" s="35" t="s">
        <v>166</v>
      </c>
      <c r="B131" s="16">
        <v>7.8E-2</v>
      </c>
      <c r="C131" s="8">
        <v>1E-3</v>
      </c>
      <c r="D131" s="8">
        <v>18.422000000000001</v>
      </c>
      <c r="E131" s="8">
        <v>2.5999999999999999E-2</v>
      </c>
      <c r="F131" s="8">
        <v>1.0649999999999999</v>
      </c>
      <c r="G131" s="8">
        <v>2.7E-2</v>
      </c>
      <c r="H131" s="8">
        <v>-3.6999999999999998E-2</v>
      </c>
      <c r="I131" s="8">
        <v>2.5000000000000001E-2</v>
      </c>
      <c r="J131" s="8">
        <v>0.12</v>
      </c>
      <c r="K131" s="39">
        <f t="shared" si="8"/>
        <v>0.19800000000000001</v>
      </c>
      <c r="L131" s="39">
        <f t="shared" si="9"/>
        <v>37.887365000000003</v>
      </c>
      <c r="M131" s="30">
        <f t="shared" si="10"/>
        <v>377.9836374051273</v>
      </c>
      <c r="N131" s="30">
        <f>(RedShift*Age*(2*InitialTangentVelocity-UniverseAcceleration*Age))/(2+RedShift)*(1+RedShift)</f>
        <v>1.2369183517551358E+25</v>
      </c>
      <c r="O131" s="36">
        <f t="shared" si="11"/>
        <v>400.85793790391278</v>
      </c>
      <c r="P131" s="36">
        <f t="shared" si="12"/>
        <v>38.014952440212554</v>
      </c>
      <c r="Q131" s="36">
        <f t="shared" si="13"/>
        <v>0.41522688756227089</v>
      </c>
      <c r="R131" s="19">
        <v>336.88800996570592</v>
      </c>
      <c r="S131" s="36">
        <f t="shared" si="14"/>
        <v>37.637427772353</v>
      </c>
      <c r="T131" s="36">
        <f t="shared" si="15"/>
        <v>1.5934245935075408</v>
      </c>
      <c r="U131" s="30"/>
    </row>
    <row r="132" spans="1:21" x14ac:dyDescent="0.25">
      <c r="A132" s="35" t="s">
        <v>167</v>
      </c>
      <c r="B132" s="16">
        <v>7.9000000000000001E-2</v>
      </c>
      <c r="C132" s="8">
        <v>0</v>
      </c>
      <c r="D132" s="8">
        <v>18.335000000000001</v>
      </c>
      <c r="E132" s="8">
        <v>3.2000000000000001E-2</v>
      </c>
      <c r="F132" s="8">
        <v>0.877</v>
      </c>
      <c r="G132" s="8">
        <v>2.1000000000000001E-2</v>
      </c>
      <c r="H132" s="8">
        <v>-7.4999999999999997E-2</v>
      </c>
      <c r="I132" s="8">
        <v>3.9E-2</v>
      </c>
      <c r="J132" s="8">
        <v>0.12</v>
      </c>
      <c r="K132" s="39">
        <f t="shared" si="8"/>
        <v>0.21199999999999999</v>
      </c>
      <c r="L132" s="39">
        <f t="shared" si="9"/>
        <v>37.891669</v>
      </c>
      <c r="M132" s="30">
        <f t="shared" si="10"/>
        <v>378.73356859792329</v>
      </c>
      <c r="N132" s="30">
        <f>(RedShift*Age*(2*InitialTangentVelocity-UniverseAcceleration*Age))/(2+RedShift)*(1+RedShift)</f>
        <v>1.2533352644928988E+25</v>
      </c>
      <c r="O132" s="36">
        <f t="shared" si="11"/>
        <v>406.1782969862</v>
      </c>
      <c r="P132" s="36">
        <f t="shared" si="12"/>
        <v>38.043583571821756</v>
      </c>
      <c r="Q132" s="36">
        <f t="shared" si="13"/>
        <v>0.51348427224518089</v>
      </c>
      <c r="R132" s="19">
        <v>341.4435505919692</v>
      </c>
      <c r="S132" s="36">
        <f t="shared" si="14"/>
        <v>37.666594569475194</v>
      </c>
      <c r="T132" s="36">
        <f t="shared" si="15"/>
        <v>1.1271471003040636</v>
      </c>
      <c r="U132" s="30"/>
    </row>
    <row r="133" spans="1:21" x14ac:dyDescent="0.25">
      <c r="A133" s="35" t="s">
        <v>168</v>
      </c>
      <c r="B133" s="16">
        <v>0.08</v>
      </c>
      <c r="C133" s="8">
        <v>1E-3</v>
      </c>
      <c r="D133" s="8">
        <v>18.440000000000001</v>
      </c>
      <c r="E133" s="8">
        <v>2.3E-2</v>
      </c>
      <c r="F133" s="8">
        <v>1.0289999999999999</v>
      </c>
      <c r="G133" s="8">
        <v>1.2999999999999999E-2</v>
      </c>
      <c r="H133" s="8">
        <v>-1.4E-2</v>
      </c>
      <c r="I133" s="8">
        <v>2.3E-2</v>
      </c>
      <c r="J133" s="8">
        <v>0.12</v>
      </c>
      <c r="K133" s="39">
        <f t="shared" si="8"/>
        <v>0.17899999999999999</v>
      </c>
      <c r="L133" s="39">
        <f t="shared" si="9"/>
        <v>37.828083000000007</v>
      </c>
      <c r="M133" s="30">
        <f t="shared" si="10"/>
        <v>367.80412869875613</v>
      </c>
      <c r="N133" s="30">
        <f>(RedShift*Age*(2*InitialTangentVelocity-UniverseAcceleration*Age))/(2+RedShift)*(1+RedShift)</f>
        <v>1.2697657844641376E+25</v>
      </c>
      <c r="O133" s="36">
        <f t="shared" si="11"/>
        <v>411.50306587253283</v>
      </c>
      <c r="P133" s="36">
        <f t="shared" si="12"/>
        <v>38.071865376193003</v>
      </c>
      <c r="Q133" s="36">
        <f t="shared" si="13"/>
        <v>1.8548062464437298</v>
      </c>
      <c r="R133" s="19">
        <v>346.00490220179296</v>
      </c>
      <c r="S133" s="36">
        <f t="shared" si="14"/>
        <v>37.695411259630156</v>
      </c>
      <c r="T133" s="36">
        <f t="shared" si="15"/>
        <v>0.54935210176851978</v>
      </c>
      <c r="U133" s="30"/>
    </row>
    <row r="134" spans="1:21" x14ac:dyDescent="0.25">
      <c r="A134" s="35" t="s">
        <v>169</v>
      </c>
      <c r="B134" s="16">
        <v>8.6999999999999994E-2</v>
      </c>
      <c r="C134" s="8">
        <v>0</v>
      </c>
      <c r="D134" s="8">
        <v>19.103000000000002</v>
      </c>
      <c r="E134" s="8">
        <v>3.2000000000000001E-2</v>
      </c>
      <c r="F134" s="8">
        <v>0.92900000000000005</v>
      </c>
      <c r="G134" s="8">
        <v>1.2999999999999999E-2</v>
      </c>
      <c r="H134" s="8">
        <v>7.1999999999999995E-2</v>
      </c>
      <c r="I134" s="8">
        <v>2.4E-2</v>
      </c>
      <c r="J134" s="8">
        <v>0.12</v>
      </c>
      <c r="K134" s="39">
        <f t="shared" si="8"/>
        <v>0.189</v>
      </c>
      <c r="L134" s="39">
        <f t="shared" si="9"/>
        <v>38.207203000000007</v>
      </c>
      <c r="M134" s="30">
        <f t="shared" si="10"/>
        <v>437.96620487905483</v>
      </c>
      <c r="N134" s="30">
        <f>(RedShift*Age*(2*InitialTangentVelocity-UniverseAcceleration*Age))/(2+RedShift)*(1+RedShift)</f>
        <v>1.385158783760898E+25</v>
      </c>
      <c r="O134" s="36">
        <f t="shared" si="11"/>
        <v>448.89939011738812</v>
      </c>
      <c r="P134" s="36">
        <f t="shared" si="12"/>
        <v>38.260745076809634</v>
      </c>
      <c r="Q134" s="36">
        <f t="shared" si="13"/>
        <v>8.0254023937964492E-2</v>
      </c>
      <c r="R134" s="19">
        <v>378.0965228318023</v>
      </c>
      <c r="S134" s="36">
        <f t="shared" si="14"/>
        <v>37.888013416938243</v>
      </c>
      <c r="T134" s="36">
        <f t="shared" si="15"/>
        <v>2.8521595121957022</v>
      </c>
      <c r="U134" s="30"/>
    </row>
    <row r="135" spans="1:21" x14ac:dyDescent="0.25">
      <c r="A135" s="35" t="s">
        <v>170</v>
      </c>
      <c r="B135" s="16">
        <v>8.6999999999999994E-2</v>
      </c>
      <c r="C135" s="8">
        <v>0</v>
      </c>
      <c r="D135" s="8">
        <v>18.751000000000001</v>
      </c>
      <c r="E135" s="8">
        <v>2.5999999999999999E-2</v>
      </c>
      <c r="F135" s="8">
        <v>0.97499999999999998</v>
      </c>
      <c r="G135" s="8">
        <v>1.0999999999999999E-2</v>
      </c>
      <c r="H135" s="8">
        <v>-0.04</v>
      </c>
      <c r="I135" s="8">
        <v>2.1000000000000001E-2</v>
      </c>
      <c r="J135" s="8">
        <v>0.12</v>
      </c>
      <c r="K135" s="39">
        <f t="shared" ref="K135:K198" si="16">PeakMagnitudeError+StretchError+ColorError+ScatterError</f>
        <v>0.17799999999999999</v>
      </c>
      <c r="L135" s="39">
        <f t="shared" ref="L135:L198" si="17">PeakMagnitude+α*(Stretch-1)-β*Color-Mb</f>
        <v>38.212524999999999</v>
      </c>
      <c r="M135" s="30">
        <f t="shared" ref="M135:M198" si="18">10^((ObservedDistanceModuli-25)/5)</f>
        <v>439.04092025723889</v>
      </c>
      <c r="N135" s="30">
        <f>(RedShift*Age*(2*InitialTangentVelocity-UniverseAcceleration*Age))/(2+RedShift)*(1+RedShift)</f>
        <v>1.385158783760898E+25</v>
      </c>
      <c r="O135" s="36">
        <f t="shared" ref="O135:O198" si="19">N135/Mpc</f>
        <v>448.89939011738812</v>
      </c>
      <c r="P135" s="36">
        <f t="shared" ref="P135:P198" si="20">(LOG10(T2LuminousDistance)*5+25)</f>
        <v>38.260745076809634</v>
      </c>
      <c r="Q135" s="36">
        <f t="shared" ref="Q135:Q198" si="21">(ObservedDistanceModuli-T2DistanceModuli)^2/TotalError^2</f>
        <v>7.3386435031153913E-2</v>
      </c>
      <c r="R135" s="19">
        <v>378.0965228318023</v>
      </c>
      <c r="S135" s="36">
        <f t="shared" ref="S135:S198" si="22">(LOG10(ΛCDMLuminousDistance)*5+25)</f>
        <v>37.888013416938243</v>
      </c>
      <c r="T135" s="36">
        <f t="shared" ref="T135:T198" si="23">(ObservedDistanceModuli-ΛCDMDistanceModuli)^2/TotalError^2</f>
        <v>3.3236891661800039</v>
      </c>
      <c r="U135" s="30"/>
    </row>
    <row r="136" spans="1:21" x14ac:dyDescent="0.25">
      <c r="A136" s="35" t="s">
        <v>171</v>
      </c>
      <c r="B136" s="16">
        <v>0.09</v>
      </c>
      <c r="C136" s="8">
        <v>0</v>
      </c>
      <c r="D136" s="8">
        <v>18.663</v>
      </c>
      <c r="E136" s="8">
        <v>4.4999999999999998E-2</v>
      </c>
      <c r="F136" s="8">
        <v>0.97899999999999998</v>
      </c>
      <c r="G136" s="8">
        <v>1.7000000000000001E-2</v>
      </c>
      <c r="H136" s="8">
        <v>-1.0999999999999999E-2</v>
      </c>
      <c r="I136" s="8">
        <v>2.5000000000000001E-2</v>
      </c>
      <c r="J136" s="8">
        <v>0.12</v>
      </c>
      <c r="K136" s="39">
        <f t="shared" si="16"/>
        <v>0.20699999999999999</v>
      </c>
      <c r="L136" s="39">
        <f t="shared" si="17"/>
        <v>38.034343</v>
      </c>
      <c r="M136" s="30">
        <f t="shared" si="18"/>
        <v>404.4535018606702</v>
      </c>
      <c r="N136" s="30">
        <f>(RedShift*Age*(2*InitialTangentVelocity-UniverseAcceleration*Age))/(2+RedShift)*(1+RedShift)</f>
        <v>1.4348150849965571E+25</v>
      </c>
      <c r="O136" s="36">
        <f t="shared" si="19"/>
        <v>464.99190138865941</v>
      </c>
      <c r="P136" s="36">
        <f t="shared" si="20"/>
        <v>38.337226944956811</v>
      </c>
      <c r="Q136" s="36">
        <f t="shared" si="21"/>
        <v>2.1409760814161483</v>
      </c>
      <c r="R136" s="19">
        <v>391.93658716091977</v>
      </c>
      <c r="S136" s="36">
        <f t="shared" si="22"/>
        <v>37.966079033139792</v>
      </c>
      <c r="T136" s="36">
        <f t="shared" si="23"/>
        <v>0.10875327712412325</v>
      </c>
      <c r="U136" s="30"/>
    </row>
    <row r="137" spans="1:21" x14ac:dyDescent="0.25">
      <c r="A137" s="35" t="s">
        <v>172</v>
      </c>
      <c r="B137" s="16">
        <v>9.5000000000000001E-2</v>
      </c>
      <c r="C137" s="8">
        <v>0</v>
      </c>
      <c r="D137" s="8">
        <v>18.634</v>
      </c>
      <c r="E137" s="8">
        <v>4.1000000000000002E-2</v>
      </c>
      <c r="F137" s="8">
        <v>1.133</v>
      </c>
      <c r="G137" s="8">
        <v>3.2000000000000001E-2</v>
      </c>
      <c r="H137" s="8">
        <v>-9.4E-2</v>
      </c>
      <c r="I137" s="8">
        <v>2.4E-2</v>
      </c>
      <c r="J137" s="8">
        <v>0.12</v>
      </c>
      <c r="K137" s="39">
        <f t="shared" si="16"/>
        <v>0.217</v>
      </c>
      <c r="L137" s="39">
        <f t="shared" si="17"/>
        <v>38.287770999999999</v>
      </c>
      <c r="M137" s="30">
        <f t="shared" si="18"/>
        <v>454.52125797397622</v>
      </c>
      <c r="N137" s="30">
        <f>(RedShift*Age*(2*InitialTangentVelocity-UniverseAcceleration*Age))/(2+RedShift)*(1+RedShift)</f>
        <v>1.5178432020467288E+25</v>
      </c>
      <c r="O137" s="36">
        <f t="shared" si="19"/>
        <v>491.89948161944028</v>
      </c>
      <c r="P137" s="36">
        <f t="shared" si="20"/>
        <v>38.459381824425698</v>
      </c>
      <c r="Q137" s="36">
        <f t="shared" si="21"/>
        <v>0.62541729618526554</v>
      </c>
      <c r="R137" s="19">
        <v>415.11806064955596</v>
      </c>
      <c r="S137" s="36">
        <f t="shared" si="22"/>
        <v>38.09085814376337</v>
      </c>
      <c r="T137" s="36">
        <f t="shared" si="23"/>
        <v>0.82343377330730017</v>
      </c>
      <c r="U137" s="30"/>
    </row>
    <row r="138" spans="1:21" x14ac:dyDescent="0.25">
      <c r="A138" s="35" t="s">
        <v>9</v>
      </c>
      <c r="B138" s="16">
        <v>0.104</v>
      </c>
      <c r="C138" s="8">
        <v>0</v>
      </c>
      <c r="D138" s="8">
        <v>19.184999999999999</v>
      </c>
      <c r="E138" s="8">
        <v>4.2000000000000003E-2</v>
      </c>
      <c r="F138" s="8">
        <v>1.01</v>
      </c>
      <c r="G138" s="8">
        <v>3.3000000000000002E-2</v>
      </c>
      <c r="H138" s="8">
        <v>-5.2999999999999999E-2</v>
      </c>
      <c r="I138" s="8">
        <v>2.9000000000000001E-2</v>
      </c>
      <c r="J138" s="8">
        <v>0.12</v>
      </c>
      <c r="K138" s="39">
        <f t="shared" si="16"/>
        <v>0.224</v>
      </c>
      <c r="L138" s="39">
        <f t="shared" si="17"/>
        <v>38.692360000000001</v>
      </c>
      <c r="M138" s="30">
        <f t="shared" si="18"/>
        <v>547.61079405111434</v>
      </c>
      <c r="N138" s="30">
        <f>(RedShift*Age*(2*InitialTangentVelocity-UniverseAcceleration*Age))/(2+RedShift)*(1+RedShift)</f>
        <v>1.6681299887493373E+25</v>
      </c>
      <c r="O138" s="36">
        <f t="shared" si="19"/>
        <v>540.6041122252758</v>
      </c>
      <c r="P138" s="36">
        <f t="shared" si="20"/>
        <v>38.664396724663632</v>
      </c>
      <c r="Q138" s="36">
        <f t="shared" si="21"/>
        <v>1.5584039531599923E-2</v>
      </c>
      <c r="R138" s="19">
        <v>457.20370066586736</v>
      </c>
      <c r="S138" s="36">
        <f t="shared" si="22"/>
        <v>38.300548684865795</v>
      </c>
      <c r="T138" s="36">
        <f t="shared" si="23"/>
        <v>3.0595525085139448</v>
      </c>
      <c r="U138" s="30"/>
    </row>
    <row r="139" spans="1:21" x14ac:dyDescent="0.25">
      <c r="A139" s="35" t="s">
        <v>173</v>
      </c>
      <c r="B139" s="16">
        <v>0.108</v>
      </c>
      <c r="C139" s="8">
        <v>0</v>
      </c>
      <c r="D139" s="8">
        <v>19.495000000000001</v>
      </c>
      <c r="E139" s="8">
        <v>5.0999999999999997E-2</v>
      </c>
      <c r="F139" s="8">
        <v>0.94199999999999995</v>
      </c>
      <c r="G139" s="8">
        <v>1.7999999999999999E-2</v>
      </c>
      <c r="H139" s="8">
        <v>-2.9000000000000001E-2</v>
      </c>
      <c r="I139" s="8">
        <v>3.3000000000000002E-2</v>
      </c>
      <c r="J139" s="8">
        <v>0.12</v>
      </c>
      <c r="K139" s="39">
        <f t="shared" si="16"/>
        <v>0.22199999999999998</v>
      </c>
      <c r="L139" s="39">
        <f t="shared" si="17"/>
        <v>38.917243999999997</v>
      </c>
      <c r="M139" s="30">
        <f t="shared" si="18"/>
        <v>607.36365510995051</v>
      </c>
      <c r="N139" s="30">
        <f>(RedShift*Age*(2*InitialTangentVelocity-UniverseAcceleration*Age))/(2+RedShift)*(1+RedShift)</f>
        <v>1.7352662580096237E+25</v>
      </c>
      <c r="O139" s="36">
        <f t="shared" si="19"/>
        <v>562.36149533472121</v>
      </c>
      <c r="P139" s="36">
        <f t="shared" si="20"/>
        <v>38.750077885306595</v>
      </c>
      <c r="Q139" s="36">
        <f t="shared" si="21"/>
        <v>0.56700977805550334</v>
      </c>
      <c r="R139" s="19">
        <v>476.05557376989634</v>
      </c>
      <c r="S139" s="36">
        <f t="shared" si="22"/>
        <v>38.388288271720029</v>
      </c>
      <c r="T139" s="36">
        <f t="shared" si="23"/>
        <v>5.6771804739913794</v>
      </c>
      <c r="U139" s="30"/>
    </row>
    <row r="140" spans="1:21" x14ac:dyDescent="0.25">
      <c r="A140" s="35" t="s">
        <v>174</v>
      </c>
      <c r="B140" s="16">
        <v>0.11</v>
      </c>
      <c r="C140" s="8">
        <v>0</v>
      </c>
      <c r="D140" s="8">
        <v>19.515999999999998</v>
      </c>
      <c r="E140" s="8">
        <v>0.03</v>
      </c>
      <c r="F140" s="8">
        <v>0.79600000000000004</v>
      </c>
      <c r="G140" s="8">
        <v>1.9E-2</v>
      </c>
      <c r="H140" s="8">
        <v>-3.4000000000000002E-2</v>
      </c>
      <c r="I140" s="8">
        <v>2.5999999999999999E-2</v>
      </c>
      <c r="J140" s="8">
        <v>0.12</v>
      </c>
      <c r="K140" s="39">
        <f t="shared" si="16"/>
        <v>0.19500000000000001</v>
      </c>
      <c r="L140" s="39">
        <f t="shared" si="17"/>
        <v>38.932431999999999</v>
      </c>
      <c r="M140" s="30">
        <f t="shared" si="18"/>
        <v>611.62664947005123</v>
      </c>
      <c r="N140" s="30">
        <f>(RedShift*Age*(2*InitialTangentVelocity-UniverseAcceleration*Age))/(2+RedShift)*(1+RedShift)</f>
        <v>1.7689127871510669E+25</v>
      </c>
      <c r="O140" s="36">
        <f t="shared" si="19"/>
        <v>573.26559282031894</v>
      </c>
      <c r="P140" s="36">
        <f t="shared" si="20"/>
        <v>38.791779381848286</v>
      </c>
      <c r="Q140" s="36">
        <f t="shared" si="21"/>
        <v>0.52026716615204149</v>
      </c>
      <c r="R140" s="19">
        <v>485.51527303790886</v>
      </c>
      <c r="S140" s="36">
        <f t="shared" si="22"/>
        <v>38.431014481124919</v>
      </c>
      <c r="T140" s="36">
        <f t="shared" si="23"/>
        <v>6.6119534052555151</v>
      </c>
      <c r="U140" s="30"/>
    </row>
    <row r="141" spans="1:21" x14ac:dyDescent="0.25">
      <c r="A141" s="35" t="s">
        <v>175</v>
      </c>
      <c r="B141" s="16">
        <v>0.11600000000000001</v>
      </c>
      <c r="C141" s="8">
        <v>0</v>
      </c>
      <c r="D141" s="8">
        <v>19.391999999999999</v>
      </c>
      <c r="E141" s="8">
        <v>3.3000000000000002E-2</v>
      </c>
      <c r="F141" s="8">
        <v>0.99199999999999999</v>
      </c>
      <c r="G141" s="8">
        <v>2.1000000000000001E-2</v>
      </c>
      <c r="H141" s="8">
        <v>-5.8999999999999997E-2</v>
      </c>
      <c r="I141" s="8">
        <v>2.5000000000000001E-2</v>
      </c>
      <c r="J141" s="8">
        <v>0.12</v>
      </c>
      <c r="K141" s="39">
        <f t="shared" si="16"/>
        <v>0.19900000000000001</v>
      </c>
      <c r="L141" s="39">
        <f t="shared" si="17"/>
        <v>38.915493999999995</v>
      </c>
      <c r="M141" s="30">
        <f t="shared" si="18"/>
        <v>606.87437501861473</v>
      </c>
      <c r="N141" s="30">
        <f>(RedShift*Age*(2*InitialTangentVelocity-UniverseAcceleration*Age))/(2+RedShift)*(1+RedShift)</f>
        <v>1.8701641742951953E+25</v>
      </c>
      <c r="O141" s="36">
        <f t="shared" si="19"/>
        <v>606.07893268459873</v>
      </c>
      <c r="P141" s="36">
        <f t="shared" si="20"/>
        <v>38.912645940938994</v>
      </c>
      <c r="Q141" s="36">
        <f t="shared" si="21"/>
        <v>2.0482918145888618E-4</v>
      </c>
      <c r="R141" s="19">
        <v>514.02880375063944</v>
      </c>
      <c r="S141" s="36">
        <f t="shared" si="22"/>
        <v>38.554937277461519</v>
      </c>
      <c r="T141" s="36">
        <f t="shared" si="23"/>
        <v>3.2827744291226884</v>
      </c>
      <c r="U141" s="30"/>
    </row>
    <row r="142" spans="1:21" x14ac:dyDescent="0.25">
      <c r="A142" s="35" t="s">
        <v>176</v>
      </c>
      <c r="B142" s="16">
        <v>0.11700000000000001</v>
      </c>
      <c r="C142" s="8">
        <v>0</v>
      </c>
      <c r="D142" s="8">
        <v>19.459</v>
      </c>
      <c r="E142" s="8">
        <v>3.1E-2</v>
      </c>
      <c r="F142" s="8">
        <v>1.1100000000000001</v>
      </c>
      <c r="G142" s="8">
        <v>1.6E-2</v>
      </c>
      <c r="H142" s="8">
        <v>2E-3</v>
      </c>
      <c r="I142" s="8">
        <v>2.1000000000000001E-2</v>
      </c>
      <c r="J142" s="8">
        <v>0.12</v>
      </c>
      <c r="K142" s="39">
        <f t="shared" si="16"/>
        <v>0.188</v>
      </c>
      <c r="L142" s="39">
        <f t="shared" si="17"/>
        <v>38.808909999999997</v>
      </c>
      <c r="M142" s="30">
        <f t="shared" si="18"/>
        <v>577.8059370798594</v>
      </c>
      <c r="N142" s="30">
        <f>(RedShift*Age*(2*InitialTangentVelocity-UniverseAcceleration*Age))/(2+RedShift)*(1+RedShift)</f>
        <v>1.8870846829684196E+25</v>
      </c>
      <c r="O142" s="36">
        <f t="shared" si="19"/>
        <v>611.5624960947539</v>
      </c>
      <c r="P142" s="36">
        <f t="shared" si="20"/>
        <v>38.932204222824133</v>
      </c>
      <c r="Q142" s="36">
        <f t="shared" si="21"/>
        <v>0.43010031071207561</v>
      </c>
      <c r="R142" s="19">
        <v>518.80059619730889</v>
      </c>
      <c r="S142" s="36">
        <f t="shared" si="22"/>
        <v>38.575002332482846</v>
      </c>
      <c r="T142" s="36">
        <f t="shared" si="23"/>
        <v>1.5480080614337413</v>
      </c>
      <c r="U142" s="30"/>
    </row>
    <row r="143" spans="1:21" x14ac:dyDescent="0.25">
      <c r="A143" s="35" t="s">
        <v>177</v>
      </c>
      <c r="B143" s="16">
        <v>0.11799999999999999</v>
      </c>
      <c r="C143" s="8">
        <v>0</v>
      </c>
      <c r="D143" s="8">
        <v>19.812999999999999</v>
      </c>
      <c r="E143" s="8">
        <v>3.3000000000000002E-2</v>
      </c>
      <c r="F143" s="8">
        <v>0.99299999999999999</v>
      </c>
      <c r="G143" s="8">
        <v>1.7000000000000001E-2</v>
      </c>
      <c r="H143" s="8">
        <v>8.5999999999999993E-2</v>
      </c>
      <c r="I143" s="8">
        <v>2.3E-2</v>
      </c>
      <c r="J143" s="8">
        <v>0.12</v>
      </c>
      <c r="K143" s="39">
        <f t="shared" si="16"/>
        <v>0.193</v>
      </c>
      <c r="L143" s="39">
        <f t="shared" si="17"/>
        <v>38.882790999999997</v>
      </c>
      <c r="M143" s="30">
        <f t="shared" si="18"/>
        <v>597.80315119176896</v>
      </c>
      <c r="N143" s="30">
        <f>(RedShift*Age*(2*InitialTangentVelocity-UniverseAcceleration*Age))/(2+RedShift)*(1+RedShift)</f>
        <v>1.9040180792024352E+25</v>
      </c>
      <c r="O143" s="36">
        <f t="shared" si="19"/>
        <v>617.05023607892156</v>
      </c>
      <c r="P143" s="36">
        <f t="shared" si="20"/>
        <v>38.951602614037661</v>
      </c>
      <c r="Q143" s="36">
        <f t="shared" si="21"/>
        <v>0.12711853275170812</v>
      </c>
      <c r="R143" s="19">
        <v>523.57795362542549</v>
      </c>
      <c r="S143" s="36">
        <f t="shared" si="22"/>
        <v>38.594906756807639</v>
      </c>
      <c r="T143" s="36">
        <f t="shared" si="23"/>
        <v>2.2249546961914985</v>
      </c>
      <c r="U143" s="30"/>
    </row>
    <row r="144" spans="1:21" x14ac:dyDescent="0.25">
      <c r="A144" s="35" t="s">
        <v>178</v>
      </c>
      <c r="B144" s="16">
        <v>0.11899999999999999</v>
      </c>
      <c r="C144" s="8">
        <v>0</v>
      </c>
      <c r="D144" s="8">
        <v>19.073</v>
      </c>
      <c r="E144" s="8">
        <v>2.8000000000000001E-2</v>
      </c>
      <c r="F144" s="8">
        <v>1.0720000000000001</v>
      </c>
      <c r="G144" s="8">
        <v>1.7000000000000001E-2</v>
      </c>
      <c r="H144" s="8">
        <v>-7.5999999999999998E-2</v>
      </c>
      <c r="I144" s="8">
        <v>2.1999999999999999E-2</v>
      </c>
      <c r="J144" s="8">
        <v>0.12</v>
      </c>
      <c r="K144" s="39">
        <f t="shared" si="16"/>
        <v>0.187</v>
      </c>
      <c r="L144" s="39">
        <f t="shared" si="17"/>
        <v>38.661464000000002</v>
      </c>
      <c r="M144" s="30">
        <f t="shared" si="18"/>
        <v>539.87448155510049</v>
      </c>
      <c r="N144" s="30">
        <f>(RedShift*Age*(2*InitialTangentVelocity-UniverseAcceleration*Age))/(2+RedShift)*(1+RedShift)</f>
        <v>1.9209643447515225E+25</v>
      </c>
      <c r="O144" s="36">
        <f t="shared" si="19"/>
        <v>622.54214672406658</v>
      </c>
      <c r="P144" s="36">
        <f t="shared" si="20"/>
        <v>38.97084379466277</v>
      </c>
      <c r="Q144" s="36">
        <f t="shared" si="21"/>
        <v>2.7371631257850138</v>
      </c>
      <c r="R144" s="19">
        <v>528.3608696258741</v>
      </c>
      <c r="S144" s="36">
        <f t="shared" si="22"/>
        <v>38.61465323155165</v>
      </c>
      <c r="T144" s="36">
        <f t="shared" si="23"/>
        <v>6.2662588084454712E-2</v>
      </c>
      <c r="U144" s="30"/>
    </row>
    <row r="145" spans="1:21" x14ac:dyDescent="0.25">
      <c r="A145" s="35" t="s">
        <v>179</v>
      </c>
      <c r="B145" s="16">
        <v>0.121</v>
      </c>
      <c r="C145" s="8">
        <v>0</v>
      </c>
      <c r="D145" s="8">
        <v>19.654</v>
      </c>
      <c r="E145" s="8">
        <v>2.5999999999999999E-2</v>
      </c>
      <c r="F145" s="8">
        <v>1.02</v>
      </c>
      <c r="G145" s="8">
        <v>1.4999999999999999E-2</v>
      </c>
      <c r="H145" s="8">
        <v>3.3000000000000002E-2</v>
      </c>
      <c r="I145" s="8">
        <v>2.1000000000000001E-2</v>
      </c>
      <c r="J145" s="8">
        <v>0.12</v>
      </c>
      <c r="K145" s="39">
        <f t="shared" si="16"/>
        <v>0.182</v>
      </c>
      <c r="L145" s="39">
        <f t="shared" si="17"/>
        <v>38.893649999999994</v>
      </c>
      <c r="M145" s="30">
        <f t="shared" si="18"/>
        <v>600.80010514326375</v>
      </c>
      <c r="N145" s="30">
        <f>(RedShift*Age*(2*InitialTangentVelocity-UniverseAcceleration*Age))/(2+RedShift)*(1+RedShift)</f>
        <v>1.9548954109840751E+25</v>
      </c>
      <c r="O145" s="36">
        <f t="shared" si="19"/>
        <v>633.53845640090344</v>
      </c>
      <c r="P145" s="36">
        <f t="shared" si="20"/>
        <v>39.008864910586645</v>
      </c>
      <c r="Q145" s="36">
        <f t="shared" si="21"/>
        <v>0.40075098482943072</v>
      </c>
      <c r="R145" s="19">
        <v>537.9433517252387</v>
      </c>
      <c r="S145" s="36">
        <f t="shared" si="22"/>
        <v>38.653682722863039</v>
      </c>
      <c r="T145" s="36">
        <f t="shared" si="23"/>
        <v>1.738446265442708</v>
      </c>
      <c r="U145" s="30"/>
    </row>
    <row r="146" spans="1:21" x14ac:dyDescent="0.25">
      <c r="A146" s="35" t="s">
        <v>180</v>
      </c>
      <c r="B146" s="16">
        <v>0.124</v>
      </c>
      <c r="C146" s="8">
        <v>0</v>
      </c>
      <c r="D146" s="8">
        <v>19.937000000000001</v>
      </c>
      <c r="E146" s="8">
        <v>6.2E-2</v>
      </c>
      <c r="F146" s="8">
        <v>0.875</v>
      </c>
      <c r="G146" s="8">
        <v>2.8000000000000001E-2</v>
      </c>
      <c r="H146" s="8">
        <v>6.6000000000000003E-2</v>
      </c>
      <c r="I146" s="8">
        <v>3.7999999999999999E-2</v>
      </c>
      <c r="J146" s="8">
        <v>0.12</v>
      </c>
      <c r="K146" s="39">
        <f t="shared" si="16"/>
        <v>0.248</v>
      </c>
      <c r="L146" s="39">
        <f t="shared" si="17"/>
        <v>39.052045000000007</v>
      </c>
      <c r="M146" s="30">
        <f t="shared" si="18"/>
        <v>646.26256502755678</v>
      </c>
      <c r="N146" s="30">
        <f>(RedShift*Age*(2*InitialTangentVelocity-UniverseAcceleration*Age))/(2+RedShift)*(1+RedShift)</f>
        <v>2.0058880760280716E+25</v>
      </c>
      <c r="O146" s="36">
        <f t="shared" si="19"/>
        <v>650.06405368770629</v>
      </c>
      <c r="P146" s="36">
        <f t="shared" si="20"/>
        <v>39.064780758541573</v>
      </c>
      <c r="Q146" s="36">
        <f t="shared" si="21"/>
        <v>2.6372194593699094E-3</v>
      </c>
      <c r="R146" s="19">
        <v>552.35860414591502</v>
      </c>
      <c r="S146" s="36">
        <f t="shared" si="22"/>
        <v>38.711105617231595</v>
      </c>
      <c r="T146" s="36">
        <f t="shared" si="23"/>
        <v>1.8899528928607128</v>
      </c>
      <c r="U146" s="30"/>
    </row>
    <row r="147" spans="1:21" x14ac:dyDescent="0.25">
      <c r="A147" s="35" t="s">
        <v>181</v>
      </c>
      <c r="B147" s="16">
        <v>0.124</v>
      </c>
      <c r="C147" s="8">
        <v>0</v>
      </c>
      <c r="D147" s="8">
        <v>19.771999999999998</v>
      </c>
      <c r="E147" s="8">
        <v>2.3E-2</v>
      </c>
      <c r="F147" s="8">
        <v>0.96399999999999997</v>
      </c>
      <c r="G147" s="8">
        <v>1.7999999999999999E-2</v>
      </c>
      <c r="H147" s="8">
        <v>-4.0000000000000001E-3</v>
      </c>
      <c r="I147" s="8">
        <v>0.02</v>
      </c>
      <c r="J147" s="8">
        <v>0.12</v>
      </c>
      <c r="K147" s="39">
        <f t="shared" si="16"/>
        <v>0.18099999999999999</v>
      </c>
      <c r="L147" s="39">
        <f t="shared" si="17"/>
        <v>39.119227999999993</v>
      </c>
      <c r="M147" s="30">
        <f t="shared" si="18"/>
        <v>666.56974878072469</v>
      </c>
      <c r="N147" s="30">
        <f>(RedShift*Age*(2*InitialTangentVelocity-UniverseAcceleration*Age))/(2+RedShift)*(1+RedShift)</f>
        <v>2.0058880760280716E+25</v>
      </c>
      <c r="O147" s="36">
        <f t="shared" si="19"/>
        <v>650.06405368770629</v>
      </c>
      <c r="P147" s="36">
        <f t="shared" si="20"/>
        <v>39.064780758541573</v>
      </c>
      <c r="Q147" s="36">
        <f t="shared" si="21"/>
        <v>9.0488754996227203E-2</v>
      </c>
      <c r="R147" s="19">
        <v>552.35860414591502</v>
      </c>
      <c r="S147" s="36">
        <f t="shared" si="22"/>
        <v>38.711105617231595</v>
      </c>
      <c r="T147" s="36">
        <f t="shared" si="23"/>
        <v>5.0842123047695127</v>
      </c>
      <c r="U147" s="30"/>
    </row>
    <row r="148" spans="1:21" x14ac:dyDescent="0.25">
      <c r="A148" s="35" t="s">
        <v>182</v>
      </c>
      <c r="B148" s="16">
        <v>0.125</v>
      </c>
      <c r="C148" s="8">
        <v>0</v>
      </c>
      <c r="D148" s="8">
        <v>19.616</v>
      </c>
      <c r="E148" s="8">
        <v>3.1E-2</v>
      </c>
      <c r="F148" s="8">
        <v>1</v>
      </c>
      <c r="G148" s="8">
        <v>1.6E-2</v>
      </c>
      <c r="H148" s="8">
        <v>2.5999999999999999E-2</v>
      </c>
      <c r="I148" s="8">
        <v>2.1000000000000001E-2</v>
      </c>
      <c r="J148" s="8">
        <v>0.12</v>
      </c>
      <c r="K148" s="39">
        <f t="shared" si="16"/>
        <v>0.188</v>
      </c>
      <c r="L148" s="39">
        <f t="shared" si="17"/>
        <v>38.87462</v>
      </c>
      <c r="M148" s="30">
        <f t="shared" si="18"/>
        <v>595.55791387850343</v>
      </c>
      <c r="N148" s="30">
        <f>(RedShift*Age*(2*InitialTangentVelocity-UniverseAcceleration*Age))/(2+RedShift)*(1+RedShift)</f>
        <v>2.0229111762296306E+25</v>
      </c>
      <c r="O148" s="36">
        <f t="shared" si="19"/>
        <v>655.58086474790764</v>
      </c>
      <c r="P148" s="36">
        <f t="shared" si="20"/>
        <v>39.083131343957874</v>
      </c>
      <c r="Q148" s="36">
        <f t="shared" si="21"/>
        <v>1.2301092281325994</v>
      </c>
      <c r="R148" s="19">
        <v>557.17473719089662</v>
      </c>
      <c r="S148" s="36">
        <f t="shared" si="22"/>
        <v>38.729957084458519</v>
      </c>
      <c r="T148" s="36">
        <f t="shared" si="23"/>
        <v>0.59210500036673008</v>
      </c>
      <c r="U148" s="30"/>
    </row>
    <row r="149" spans="1:21" x14ac:dyDescent="0.25">
      <c r="A149" s="35" t="s">
        <v>183</v>
      </c>
      <c r="B149" s="16">
        <v>0.127</v>
      </c>
      <c r="C149" s="8">
        <v>0</v>
      </c>
      <c r="D149" s="8">
        <v>20.033999999999999</v>
      </c>
      <c r="E149" s="8">
        <v>4.5999999999999999E-2</v>
      </c>
      <c r="F149" s="8">
        <v>0.88900000000000001</v>
      </c>
      <c r="G149" s="8">
        <v>1.7000000000000001E-2</v>
      </c>
      <c r="H149" s="8">
        <v>0.127</v>
      </c>
      <c r="I149" s="8">
        <v>2.7E-2</v>
      </c>
      <c r="J149" s="8">
        <v>0.12</v>
      </c>
      <c r="K149" s="39">
        <f t="shared" si="16"/>
        <v>0.21</v>
      </c>
      <c r="L149" s="39">
        <f t="shared" si="17"/>
        <v>38.960172999999998</v>
      </c>
      <c r="M149" s="30">
        <f t="shared" si="18"/>
        <v>619.49042756887491</v>
      </c>
      <c r="N149" s="30">
        <f>(RedShift*Age*(2*InitialTangentVelocity-UniverseAcceleration*Age))/(2+RedShift)*(1+RedShift)</f>
        <v>2.0569955863234414E+25</v>
      </c>
      <c r="O149" s="36">
        <f t="shared" si="19"/>
        <v>666.62686978574141</v>
      </c>
      <c r="P149" s="36">
        <f t="shared" si="20"/>
        <v>39.119414074109017</v>
      </c>
      <c r="Q149" s="36">
        <f t="shared" si="21"/>
        <v>0.57500498148285983</v>
      </c>
      <c r="R149" s="19">
        <v>566.82353833065554</v>
      </c>
      <c r="S149" s="36">
        <f t="shared" si="22"/>
        <v>38.767239383907977</v>
      </c>
      <c r="T149" s="36">
        <f t="shared" si="23"/>
        <v>0.84406757864723347</v>
      </c>
      <c r="U149" s="30"/>
    </row>
    <row r="150" spans="1:21" x14ac:dyDescent="0.25">
      <c r="A150" s="35" t="s">
        <v>184</v>
      </c>
      <c r="B150" s="16">
        <v>0.128</v>
      </c>
      <c r="C150" s="8">
        <v>0</v>
      </c>
      <c r="D150" s="8">
        <v>19.792999999999999</v>
      </c>
      <c r="E150" s="8">
        <v>5.2999999999999999E-2</v>
      </c>
      <c r="F150" s="8">
        <v>1.149</v>
      </c>
      <c r="G150" s="8">
        <v>4.5999999999999999E-2</v>
      </c>
      <c r="H150" s="8">
        <v>0.08</v>
      </c>
      <c r="I150" s="8">
        <v>3.1E-2</v>
      </c>
      <c r="J150" s="8">
        <v>0.12</v>
      </c>
      <c r="K150" s="39">
        <f t="shared" si="16"/>
        <v>0.25</v>
      </c>
      <c r="L150" s="39">
        <f t="shared" si="17"/>
        <v>38.904502999999998</v>
      </c>
      <c r="M150" s="30">
        <f t="shared" si="18"/>
        <v>603.81041526876822</v>
      </c>
      <c r="N150" s="30">
        <f>(RedShift*Age*(2*InitialTangentVelocity-UniverseAcceleration*Age))/(2+RedShift)*(1+RedShift)</f>
        <v>2.0740568603043286E+25</v>
      </c>
      <c r="O150" s="36">
        <f t="shared" si="19"/>
        <v>672.15605212529329</v>
      </c>
      <c r="P150" s="36">
        <f t="shared" si="20"/>
        <v>39.137350566973247</v>
      </c>
      <c r="Q150" s="36">
        <f t="shared" si="21"/>
        <v>0.8674878311257822</v>
      </c>
      <c r="R150" s="19">
        <v>571.65619366932435</v>
      </c>
      <c r="S150" s="36">
        <f t="shared" si="22"/>
        <v>38.785674566313546</v>
      </c>
      <c r="T150" s="36">
        <f t="shared" si="23"/>
        <v>0.22592314643801092</v>
      </c>
      <c r="U150" s="30"/>
    </row>
    <row r="151" spans="1:21" x14ac:dyDescent="0.25">
      <c r="A151" s="35" t="s">
        <v>185</v>
      </c>
      <c r="B151" s="16">
        <v>0.13</v>
      </c>
      <c r="C151" s="8">
        <v>0</v>
      </c>
      <c r="D151" s="8">
        <v>20.135999999999999</v>
      </c>
      <c r="E151" s="8">
        <v>2.5000000000000001E-2</v>
      </c>
      <c r="F151" s="8">
        <v>1.0680000000000001</v>
      </c>
      <c r="G151" s="8">
        <v>1.4E-2</v>
      </c>
      <c r="H151" s="8">
        <v>0.191</v>
      </c>
      <c r="I151" s="8">
        <v>0.02</v>
      </c>
      <c r="J151" s="8">
        <v>0.12</v>
      </c>
      <c r="K151" s="39">
        <f t="shared" si="16"/>
        <v>0.17899999999999999</v>
      </c>
      <c r="L151" s="39">
        <f t="shared" si="17"/>
        <v>38.888165999999998</v>
      </c>
      <c r="M151" s="30">
        <f t="shared" si="18"/>
        <v>599.28471364682048</v>
      </c>
      <c r="N151" s="30">
        <f>(RedShift*Age*(2*InitialTangentVelocity-UniverseAcceleration*Age))/(2+RedShift)*(1+RedShift)</f>
        <v>2.1082174566085575E+25</v>
      </c>
      <c r="O151" s="36">
        <f t="shared" si="19"/>
        <v>683.22674743242544</v>
      </c>
      <c r="P151" s="36">
        <f t="shared" si="20"/>
        <v>39.172824300369939</v>
      </c>
      <c r="Q151" s="36">
        <f t="shared" si="21"/>
        <v>2.5289581464218789</v>
      </c>
      <c r="R151" s="19">
        <v>581.33798202208641</v>
      </c>
      <c r="S151" s="36">
        <f t="shared" si="22"/>
        <v>38.822143493706115</v>
      </c>
      <c r="T151" s="36">
        <f t="shared" si="23"/>
        <v>0.13604354849492487</v>
      </c>
      <c r="U151" s="30"/>
    </row>
    <row r="152" spans="1:21" x14ac:dyDescent="0.25">
      <c r="A152" s="35" t="s">
        <v>186</v>
      </c>
      <c r="B152" s="16">
        <v>0.13</v>
      </c>
      <c r="C152" s="8">
        <v>0</v>
      </c>
      <c r="D152" s="8">
        <v>20.326000000000001</v>
      </c>
      <c r="E152" s="8">
        <v>4.3999999999999997E-2</v>
      </c>
      <c r="F152" s="8">
        <v>0.71699999999999997</v>
      </c>
      <c r="G152" s="8">
        <v>0.02</v>
      </c>
      <c r="H152" s="8">
        <v>8.7999999999999995E-2</v>
      </c>
      <c r="I152" s="8">
        <v>3.5000000000000003E-2</v>
      </c>
      <c r="J152" s="8">
        <v>0.12</v>
      </c>
      <c r="K152" s="39">
        <f t="shared" si="16"/>
        <v>0.219</v>
      </c>
      <c r="L152" s="39">
        <f t="shared" si="17"/>
        <v>39.348959000000001</v>
      </c>
      <c r="M152" s="30">
        <f t="shared" si="18"/>
        <v>740.9549436647992</v>
      </c>
      <c r="N152" s="30">
        <f>(RedShift*Age*(2*InitialTangentVelocity-UniverseAcceleration*Age))/(2+RedShift)*(1+RedShift)</f>
        <v>2.1082174566085575E+25</v>
      </c>
      <c r="O152" s="36">
        <f t="shared" si="19"/>
        <v>683.22674743242544</v>
      </c>
      <c r="P152" s="36">
        <f t="shared" si="20"/>
        <v>39.172824300369939</v>
      </c>
      <c r="Q152" s="36">
        <f t="shared" si="21"/>
        <v>0.64684707186614232</v>
      </c>
      <c r="R152" s="19">
        <v>581.33798202208641</v>
      </c>
      <c r="S152" s="36">
        <f t="shared" si="22"/>
        <v>38.822143493706115</v>
      </c>
      <c r="T152" s="36">
        <f t="shared" si="23"/>
        <v>5.786672039191914</v>
      </c>
      <c r="U152" s="30"/>
    </row>
    <row r="153" spans="1:21" x14ac:dyDescent="0.25">
      <c r="A153" s="35" t="s">
        <v>187</v>
      </c>
      <c r="B153" s="16">
        <v>0.14299999999999999</v>
      </c>
      <c r="C153" s="8">
        <v>0</v>
      </c>
      <c r="D153" s="8">
        <v>19.829999999999998</v>
      </c>
      <c r="E153" s="8">
        <v>4.3999999999999997E-2</v>
      </c>
      <c r="F153" s="8">
        <v>1.0920000000000001</v>
      </c>
      <c r="G153" s="8">
        <v>1.4999999999999999E-2</v>
      </c>
      <c r="H153" s="8">
        <v>-1.4999999999999999E-2</v>
      </c>
      <c r="I153" s="8">
        <v>2.3E-2</v>
      </c>
      <c r="J153" s="8">
        <v>0.12</v>
      </c>
      <c r="K153" s="39">
        <f t="shared" si="16"/>
        <v>0.20199999999999999</v>
      </c>
      <c r="L153" s="39">
        <f t="shared" si="17"/>
        <v>39.230474000000001</v>
      </c>
      <c r="M153" s="30">
        <f t="shared" si="18"/>
        <v>701.60843234947345</v>
      </c>
      <c r="N153" s="30">
        <f>(RedShift*Age*(2*InitialTangentVelocity-UniverseAcceleration*Age))/(2+RedShift)*(1+RedShift)</f>
        <v>2.3314886712668502E+25</v>
      </c>
      <c r="O153" s="36">
        <f t="shared" si="19"/>
        <v>755.5840203067653</v>
      </c>
      <c r="P153" s="36">
        <f t="shared" si="20"/>
        <v>39.391413822704919</v>
      </c>
      <c r="Q153" s="36">
        <f t="shared" si="21"/>
        <v>0.6347815540704479</v>
      </c>
      <c r="R153" s="19">
        <v>644.80182603853564</v>
      </c>
      <c r="S153" s="36">
        <f t="shared" si="22"/>
        <v>39.04713129346824</v>
      </c>
      <c r="T153" s="36">
        <f t="shared" si="23"/>
        <v>0.82380521611585533</v>
      </c>
      <c r="U153" s="30"/>
    </row>
    <row r="154" spans="1:21" x14ac:dyDescent="0.25">
      <c r="A154" s="35" t="s">
        <v>188</v>
      </c>
      <c r="B154" s="16">
        <v>0.14299999999999999</v>
      </c>
      <c r="C154" s="8">
        <v>0</v>
      </c>
      <c r="D154" s="8">
        <v>20.058</v>
      </c>
      <c r="E154" s="8">
        <v>4.4999999999999998E-2</v>
      </c>
      <c r="F154" s="8">
        <v>1.1359999999999999</v>
      </c>
      <c r="G154" s="8">
        <v>5.1999999999999998E-2</v>
      </c>
      <c r="H154" s="8">
        <v>1.7999999999999999E-2</v>
      </c>
      <c r="I154" s="8">
        <v>2.7E-2</v>
      </c>
      <c r="J154" s="8">
        <v>0.12</v>
      </c>
      <c r="K154" s="39">
        <f t="shared" si="16"/>
        <v>0.24399999999999999</v>
      </c>
      <c r="L154" s="39">
        <f t="shared" si="17"/>
        <v>39.361651999999999</v>
      </c>
      <c r="M154" s="30">
        <f t="shared" si="18"/>
        <v>745.29876228577268</v>
      </c>
      <c r="N154" s="30">
        <f>(RedShift*Age*(2*InitialTangentVelocity-UniverseAcceleration*Age))/(2+RedShift)*(1+RedShift)</f>
        <v>2.3314886712668502E+25</v>
      </c>
      <c r="O154" s="36">
        <f t="shared" si="19"/>
        <v>755.5840203067653</v>
      </c>
      <c r="P154" s="36">
        <f t="shared" si="20"/>
        <v>39.391413822704919</v>
      </c>
      <c r="Q154" s="36">
        <f t="shared" si="21"/>
        <v>1.4877823345859402E-2</v>
      </c>
      <c r="R154" s="19">
        <v>644.80182603853564</v>
      </c>
      <c r="S154" s="36">
        <f t="shared" si="22"/>
        <v>39.04713129346824</v>
      </c>
      <c r="T154" s="36">
        <f t="shared" si="23"/>
        <v>1.6615707275805733</v>
      </c>
      <c r="U154" s="30"/>
    </row>
    <row r="155" spans="1:21" x14ac:dyDescent="0.25">
      <c r="A155" s="35" t="s">
        <v>189</v>
      </c>
      <c r="B155" s="16">
        <v>0.14499999999999999</v>
      </c>
      <c r="C155" s="8">
        <v>0</v>
      </c>
      <c r="D155" s="8">
        <v>19.960999999999999</v>
      </c>
      <c r="E155" s="8">
        <v>5.3999999999999999E-2</v>
      </c>
      <c r="F155" s="8">
        <v>1.1040000000000001</v>
      </c>
      <c r="G155" s="8">
        <v>2.7E-2</v>
      </c>
      <c r="H155" s="8">
        <v>7.0000000000000001E-3</v>
      </c>
      <c r="I155" s="8">
        <v>0.03</v>
      </c>
      <c r="J155" s="8">
        <v>0.12</v>
      </c>
      <c r="K155" s="39">
        <f t="shared" si="16"/>
        <v>0.23099999999999998</v>
      </c>
      <c r="L155" s="39">
        <f t="shared" si="17"/>
        <v>39.294378000000002</v>
      </c>
      <c r="M155" s="30">
        <f t="shared" si="18"/>
        <v>722.56280192198608</v>
      </c>
      <c r="N155" s="30">
        <f>(RedShift*Age*(2*InitialTangentVelocity-UniverseAcceleration*Age))/(2+RedShift)*(1+RedShift)</f>
        <v>2.3660254137559872E+25</v>
      </c>
      <c r="O155" s="36">
        <f t="shared" si="19"/>
        <v>766.77661629054171</v>
      </c>
      <c r="P155" s="36">
        <f t="shared" si="20"/>
        <v>39.423344300563031</v>
      </c>
      <c r="Q155" s="36">
        <f t="shared" si="21"/>
        <v>0.31169405897403518</v>
      </c>
      <c r="R155" s="19">
        <v>654.64683559871992</v>
      </c>
      <c r="S155" s="36">
        <f t="shared" si="22"/>
        <v>39.080035364731998</v>
      </c>
      <c r="T155" s="36">
        <f t="shared" si="23"/>
        <v>0.86098021576867956</v>
      </c>
      <c r="U155" s="30"/>
    </row>
    <row r="156" spans="1:21" x14ac:dyDescent="0.25">
      <c r="A156" s="35" t="s">
        <v>190</v>
      </c>
      <c r="B156" s="16">
        <v>0.14599999999999999</v>
      </c>
      <c r="C156" s="8">
        <v>0</v>
      </c>
      <c r="D156" s="8">
        <v>20.376999999999999</v>
      </c>
      <c r="E156" s="8">
        <v>0.03</v>
      </c>
      <c r="F156" s="8">
        <v>0.96299999999999997</v>
      </c>
      <c r="G156" s="8">
        <v>1.6E-2</v>
      </c>
      <c r="H156" s="8">
        <v>5.5E-2</v>
      </c>
      <c r="I156" s="8">
        <v>2.5000000000000001E-2</v>
      </c>
      <c r="J156" s="8">
        <v>0.12</v>
      </c>
      <c r="K156" s="39">
        <f t="shared" si="16"/>
        <v>0.191</v>
      </c>
      <c r="L156" s="39">
        <f t="shared" si="17"/>
        <v>39.539411000000001</v>
      </c>
      <c r="M156" s="30">
        <f t="shared" si="18"/>
        <v>808.87646610773231</v>
      </c>
      <c r="N156" s="30">
        <f>(RedShift*Age*(2*InitialTangentVelocity-UniverseAcceleration*Age))/(2+RedShift)*(1+RedShift)</f>
        <v>2.3833123778211153E+25</v>
      </c>
      <c r="O156" s="36">
        <f t="shared" si="19"/>
        <v>772.37893980521301</v>
      </c>
      <c r="P156" s="36">
        <f t="shared" si="20"/>
        <v>39.439152117541724</v>
      </c>
      <c r="Q156" s="36">
        <f t="shared" si="21"/>
        <v>0.27553640283387687</v>
      </c>
      <c r="R156" s="19">
        <v>659.57742394444392</v>
      </c>
      <c r="S156" s="36">
        <f t="shared" si="22"/>
        <v>39.096328910846744</v>
      </c>
      <c r="T156" s="36">
        <f t="shared" si="23"/>
        <v>5.3814790638528374</v>
      </c>
      <c r="U156" s="30"/>
    </row>
    <row r="157" spans="1:21" x14ac:dyDescent="0.25">
      <c r="A157" s="35" t="s">
        <v>12</v>
      </c>
      <c r="B157" s="16">
        <v>0.14699999999999999</v>
      </c>
      <c r="C157" s="8">
        <v>0</v>
      </c>
      <c r="D157" s="8">
        <v>20.309000000000001</v>
      </c>
      <c r="E157" s="8">
        <v>0.03</v>
      </c>
      <c r="F157" s="8">
        <v>0.86199999999999999</v>
      </c>
      <c r="G157" s="8">
        <v>6.5000000000000002E-2</v>
      </c>
      <c r="H157" s="8">
        <v>0.11</v>
      </c>
      <c r="I157" s="8">
        <v>2.8000000000000001E-2</v>
      </c>
      <c r="J157" s="8">
        <v>0.12</v>
      </c>
      <c r="K157" s="39">
        <f t="shared" si="16"/>
        <v>0.24299999999999999</v>
      </c>
      <c r="L157" s="39">
        <f t="shared" si="17"/>
        <v>39.284413999999998</v>
      </c>
      <c r="M157" s="30">
        <f t="shared" si="18"/>
        <v>719.25485155859428</v>
      </c>
      <c r="N157" s="30">
        <f>(RedShift*Age*(2*InitialTangentVelocity-UniverseAcceleration*Age))/(2+RedShift)*(1+RedShift)</f>
        <v>2.4006117140068647E+25</v>
      </c>
      <c r="O157" s="36">
        <f t="shared" si="19"/>
        <v>777.9852728511139</v>
      </c>
      <c r="P157" s="36">
        <f t="shared" si="20"/>
        <v>39.454856879678317</v>
      </c>
      <c r="Q157" s="36">
        <f t="shared" si="21"/>
        <v>0.49197742947446949</v>
      </c>
      <c r="R157" s="19">
        <v>664.51339293017315</v>
      </c>
      <c r="S157" s="36">
        <f t="shared" si="22"/>
        <v>39.112518691759114</v>
      </c>
      <c r="T157" s="36">
        <f t="shared" si="23"/>
        <v>0.50039792367743219</v>
      </c>
      <c r="U157" s="30"/>
    </row>
    <row r="158" spans="1:21" x14ac:dyDescent="0.25">
      <c r="A158" s="35" t="s">
        <v>8</v>
      </c>
      <c r="B158" s="16">
        <v>0.14699999999999999</v>
      </c>
      <c r="C158" s="8">
        <v>0</v>
      </c>
      <c r="D158" s="8">
        <v>20.948</v>
      </c>
      <c r="E158" s="8">
        <v>4.2999999999999997E-2</v>
      </c>
      <c r="F158" s="8">
        <v>0.99</v>
      </c>
      <c r="G158" s="8">
        <v>3.9E-2</v>
      </c>
      <c r="H158" s="8">
        <v>0.2</v>
      </c>
      <c r="I158" s="8">
        <v>3.1E-2</v>
      </c>
      <c r="J158" s="8">
        <v>0.12</v>
      </c>
      <c r="K158" s="39">
        <f t="shared" si="16"/>
        <v>0.23299999999999998</v>
      </c>
      <c r="L158" s="39">
        <f t="shared" si="17"/>
        <v>39.660529999999994</v>
      </c>
      <c r="M158" s="30">
        <f t="shared" si="18"/>
        <v>855.27543792568542</v>
      </c>
      <c r="N158" s="30">
        <f>(RedShift*Age*(2*InitialTangentVelocity-UniverseAcceleration*Age))/(2+RedShift)*(1+RedShift)</f>
        <v>2.4006117140068647E+25</v>
      </c>
      <c r="O158" s="36">
        <f t="shared" si="19"/>
        <v>777.9852728511139</v>
      </c>
      <c r="P158" s="36">
        <f t="shared" si="20"/>
        <v>39.454856879678317</v>
      </c>
      <c r="Q158" s="36">
        <f t="shared" si="21"/>
        <v>0.77918975156762982</v>
      </c>
      <c r="R158" s="19">
        <v>664.51339293017315</v>
      </c>
      <c r="S158" s="36">
        <f t="shared" si="22"/>
        <v>39.112518691759114</v>
      </c>
      <c r="T158" s="36">
        <f t="shared" si="23"/>
        <v>5.5318092792256541</v>
      </c>
      <c r="U158" s="30"/>
    </row>
    <row r="159" spans="1:21" x14ac:dyDescent="0.25">
      <c r="A159" s="35" t="s">
        <v>191</v>
      </c>
      <c r="B159" s="16">
        <v>0.14799999999999999</v>
      </c>
      <c r="C159" s="8">
        <v>0</v>
      </c>
      <c r="D159" s="8">
        <v>19.587</v>
      </c>
      <c r="E159" s="8">
        <v>2.9000000000000001E-2</v>
      </c>
      <c r="F159" s="8">
        <v>1.069</v>
      </c>
      <c r="G159" s="8">
        <v>1.7999999999999999E-2</v>
      </c>
      <c r="H159" s="8">
        <v>-0.16400000000000001</v>
      </c>
      <c r="I159" s="8">
        <v>2.1999999999999999E-2</v>
      </c>
      <c r="J159" s="8">
        <v>0.12</v>
      </c>
      <c r="K159" s="39">
        <f t="shared" si="16"/>
        <v>0.189</v>
      </c>
      <c r="L159" s="39">
        <f t="shared" si="17"/>
        <v>39.450462999999999</v>
      </c>
      <c r="M159" s="30">
        <f t="shared" si="18"/>
        <v>776.41264520364768</v>
      </c>
      <c r="N159" s="30">
        <f>(RedShift*Age*(2*InitialTangentVelocity-UniverseAcceleration*Age))/(2+RedShift)*(1+RedShift)</f>
        <v>2.4179234050337366E+25</v>
      </c>
      <c r="O159" s="36">
        <f t="shared" si="19"/>
        <v>783.59560982834012</v>
      </c>
      <c r="P159" s="36">
        <f t="shared" si="20"/>
        <v>39.470459970759308</v>
      </c>
      <c r="Q159" s="36">
        <f t="shared" si="21"/>
        <v>1.1194502940808908E-2</v>
      </c>
      <c r="R159" s="19">
        <v>669.45473625820421</v>
      </c>
      <c r="S159" s="36">
        <f t="shared" si="22"/>
        <v>39.128606092267866</v>
      </c>
      <c r="T159" s="36">
        <f t="shared" si="23"/>
        <v>2.9000271284368022</v>
      </c>
      <c r="U159" s="30"/>
    </row>
    <row r="160" spans="1:21" x14ac:dyDescent="0.25">
      <c r="A160" s="35" t="s">
        <v>192</v>
      </c>
      <c r="B160" s="16">
        <v>0.153</v>
      </c>
      <c r="C160" s="8">
        <v>0</v>
      </c>
      <c r="D160" s="8">
        <v>19.702999999999999</v>
      </c>
      <c r="E160" s="8">
        <v>3.3000000000000002E-2</v>
      </c>
      <c r="F160" s="8">
        <v>1.0489999999999999</v>
      </c>
      <c r="G160" s="8">
        <v>1.9E-2</v>
      </c>
      <c r="H160" s="8">
        <v>-9.0999999999999998E-2</v>
      </c>
      <c r="I160" s="8">
        <v>2.3E-2</v>
      </c>
      <c r="J160" s="8">
        <v>0.12</v>
      </c>
      <c r="K160" s="39">
        <f t="shared" si="16"/>
        <v>0.19500000000000001</v>
      </c>
      <c r="L160" s="39">
        <f t="shared" si="17"/>
        <v>39.335032999999996</v>
      </c>
      <c r="M160" s="30">
        <f t="shared" si="18"/>
        <v>736.21828576436985</v>
      </c>
      <c r="N160" s="30">
        <f>(RedShift*Age*(2*InitialTangentVelocity-UniverseAcceleration*Age))/(2+RedShift)*(1+RedShift)</f>
        <v>2.5046665802497311E+25</v>
      </c>
      <c r="O160" s="36">
        <f t="shared" si="19"/>
        <v>811.70715841599088</v>
      </c>
      <c r="P160" s="36">
        <f t="shared" si="20"/>
        <v>39.546996880056398</v>
      </c>
      <c r="Q160" s="36">
        <f t="shared" si="21"/>
        <v>1.1815565140976916</v>
      </c>
      <c r="R160" s="19">
        <v>694.24184790177958</v>
      </c>
      <c r="S160" s="36">
        <f t="shared" si="22"/>
        <v>39.207553943861136</v>
      </c>
      <c r="T160" s="36">
        <f t="shared" si="23"/>
        <v>0.42737435250636668</v>
      </c>
      <c r="U160" s="30"/>
    </row>
    <row r="161" spans="1:21" x14ac:dyDescent="0.25">
      <c r="A161" s="35" t="s">
        <v>193</v>
      </c>
      <c r="B161" s="16">
        <v>0.156</v>
      </c>
      <c r="C161" s="8">
        <v>0</v>
      </c>
      <c r="D161" s="8">
        <v>19.844000000000001</v>
      </c>
      <c r="E161" s="8">
        <v>2.5999999999999999E-2</v>
      </c>
      <c r="F161" s="8">
        <v>1.202</v>
      </c>
      <c r="G161" s="8">
        <v>2.1999999999999999E-2</v>
      </c>
      <c r="H161" s="8">
        <v>-5.5E-2</v>
      </c>
      <c r="I161" s="8">
        <v>2.1999999999999999E-2</v>
      </c>
      <c r="J161" s="8">
        <v>0.12</v>
      </c>
      <c r="K161" s="39">
        <f t="shared" si="16"/>
        <v>0.19</v>
      </c>
      <c r="L161" s="39">
        <f t="shared" si="17"/>
        <v>39.385843999999999</v>
      </c>
      <c r="M161" s="30">
        <f t="shared" si="18"/>
        <v>753.64843214662847</v>
      </c>
      <c r="N161" s="30">
        <f>(RedShift*Age*(2*InitialTangentVelocity-UniverseAcceleration*Age))/(2+RedShift)*(1+RedShift)</f>
        <v>2.5568596445686629E+25</v>
      </c>
      <c r="O161" s="36">
        <f t="shared" si="19"/>
        <v>828.62177861390921</v>
      </c>
      <c r="P161" s="36">
        <f t="shared" si="20"/>
        <v>39.59178171823369</v>
      </c>
      <c r="Q161" s="36">
        <f t="shared" si="21"/>
        <v>1.174801767072005</v>
      </c>
      <c r="R161" s="19">
        <v>709.17820484433594</v>
      </c>
      <c r="S161" s="36">
        <f t="shared" si="22"/>
        <v>39.253776899863752</v>
      </c>
      <c r="T161" s="36">
        <f t="shared" si="23"/>
        <v>0.4831501090968835</v>
      </c>
      <c r="U161" s="30"/>
    </row>
    <row r="162" spans="1:21" x14ac:dyDescent="0.25">
      <c r="A162" s="35" t="s">
        <v>194</v>
      </c>
      <c r="B162" s="16">
        <v>0.16200000000000001</v>
      </c>
      <c r="C162" s="8">
        <v>0</v>
      </c>
      <c r="D162" s="8">
        <v>20.254000000000001</v>
      </c>
      <c r="E162" s="8">
        <v>3.3000000000000002E-2</v>
      </c>
      <c r="F162" s="8">
        <v>1.165</v>
      </c>
      <c r="G162" s="8">
        <v>2.3E-2</v>
      </c>
      <c r="H162" s="8">
        <v>9.5000000000000001E-2</v>
      </c>
      <c r="I162" s="8">
        <v>2.5999999999999999E-2</v>
      </c>
      <c r="J162" s="8">
        <v>0.12</v>
      </c>
      <c r="K162" s="39">
        <f t="shared" si="16"/>
        <v>0.20200000000000001</v>
      </c>
      <c r="L162" s="39">
        <f t="shared" si="17"/>
        <v>39.320904999999996</v>
      </c>
      <c r="M162" s="30">
        <f t="shared" si="18"/>
        <v>731.44386229178804</v>
      </c>
      <c r="N162" s="30">
        <f>(RedShift*Age*(2*InitialTangentVelocity-UniverseAcceleration*Age))/(2+RedShift)*(1+RedShift)</f>
        <v>2.6615747372962893E+25</v>
      </c>
      <c r="O162" s="36">
        <f t="shared" si="19"/>
        <v>862.55762901070477</v>
      </c>
      <c r="P162" s="36">
        <f t="shared" si="20"/>
        <v>39.678940603510597</v>
      </c>
      <c r="Q162" s="36">
        <f t="shared" si="21"/>
        <v>3.1415913484266262</v>
      </c>
      <c r="R162" s="19">
        <v>739.19433195899592</v>
      </c>
      <c r="S162" s="36">
        <f t="shared" si="22"/>
        <v>39.343793140570746</v>
      </c>
      <c r="T162" s="36">
        <f t="shared" si="23"/>
        <v>1.2838618242976167E-2</v>
      </c>
      <c r="U162" s="30"/>
    </row>
    <row r="163" spans="1:21" x14ac:dyDescent="0.25">
      <c r="A163" s="35" t="s">
        <v>195</v>
      </c>
      <c r="B163" s="16">
        <v>0.16500000000000001</v>
      </c>
      <c r="C163" s="8">
        <v>0</v>
      </c>
      <c r="D163" s="8">
        <v>20.265999999999998</v>
      </c>
      <c r="E163" s="8">
        <v>3.2000000000000001E-2</v>
      </c>
      <c r="F163" s="8">
        <v>1.056</v>
      </c>
      <c r="G163" s="8">
        <v>0.02</v>
      </c>
      <c r="H163" s="8">
        <v>2.5000000000000001E-2</v>
      </c>
      <c r="I163" s="8">
        <v>2.4E-2</v>
      </c>
      <c r="J163" s="8">
        <v>0.12</v>
      </c>
      <c r="K163" s="39">
        <f t="shared" si="16"/>
        <v>0.19600000000000001</v>
      </c>
      <c r="L163" s="39">
        <f t="shared" si="17"/>
        <v>39.535981999999997</v>
      </c>
      <c r="M163" s="30">
        <f t="shared" si="18"/>
        <v>807.60016685604944</v>
      </c>
      <c r="N163" s="30">
        <f>(RedShift*Age*(2*InitialTangentVelocity-UniverseAcceleration*Age))/(2+RedShift)*(1+RedShift)</f>
        <v>2.7140958540262123E+25</v>
      </c>
      <c r="O163" s="36">
        <f t="shared" si="19"/>
        <v>879.57856375461381</v>
      </c>
      <c r="P163" s="36">
        <f t="shared" si="20"/>
        <v>39.721373183045145</v>
      </c>
      <c r="Q163" s="36">
        <f t="shared" si="21"/>
        <v>0.89467645644730243</v>
      </c>
      <c r="R163" s="19">
        <v>754.27376489426126</v>
      </c>
      <c r="S163" s="36">
        <f t="shared" si="22"/>
        <v>39.387645011867534</v>
      </c>
      <c r="T163" s="36">
        <f t="shared" si="23"/>
        <v>0.57277858309586094</v>
      </c>
      <c r="U163" s="30"/>
    </row>
    <row r="164" spans="1:21" x14ac:dyDescent="0.25">
      <c r="A164" s="35" t="s">
        <v>196</v>
      </c>
      <c r="B164" s="16">
        <v>0.16900000000000001</v>
      </c>
      <c r="C164" s="8">
        <v>0</v>
      </c>
      <c r="D164" s="8">
        <v>20.251000000000001</v>
      </c>
      <c r="E164" s="8">
        <v>4.1000000000000002E-2</v>
      </c>
      <c r="F164" s="8">
        <v>0.80900000000000005</v>
      </c>
      <c r="G164" s="8">
        <v>2.5999999999999999E-2</v>
      </c>
      <c r="H164" s="8">
        <v>-0.14699999999999999</v>
      </c>
      <c r="I164" s="8">
        <v>3.1E-2</v>
      </c>
      <c r="J164" s="8">
        <v>0.12</v>
      </c>
      <c r="K164" s="39">
        <f t="shared" si="16"/>
        <v>0.218</v>
      </c>
      <c r="L164" s="39">
        <f t="shared" si="17"/>
        <v>40.023032999999998</v>
      </c>
      <c r="M164" s="30">
        <f t="shared" si="18"/>
        <v>1010.6635430822232</v>
      </c>
      <c r="N164" s="30">
        <f>(RedShift*Age*(2*InitialTangentVelocity-UniverseAcceleration*Age))/(2+RedShift)*(1+RedShift)</f>
        <v>2.7842926215176415E+25</v>
      </c>
      <c r="O164" s="36">
        <f t="shared" si="19"/>
        <v>902.32778679282546</v>
      </c>
      <c r="P164" s="36">
        <f t="shared" si="20"/>
        <v>39.776821657418942</v>
      </c>
      <c r="Q164" s="36">
        <f t="shared" si="21"/>
        <v>1.2755665603814068</v>
      </c>
      <c r="R164" s="19">
        <v>774.45331034421019</v>
      </c>
      <c r="S164" s="36">
        <f t="shared" si="22"/>
        <v>39.44497620233485</v>
      </c>
      <c r="T164" s="36">
        <f t="shared" si="23"/>
        <v>7.0311771173909223</v>
      </c>
      <c r="U164" s="30"/>
    </row>
    <row r="165" spans="1:21" x14ac:dyDescent="0.25">
      <c r="A165" s="35" t="s">
        <v>197</v>
      </c>
      <c r="B165" s="16">
        <v>0.17199999999999999</v>
      </c>
      <c r="C165" s="8">
        <v>0</v>
      </c>
      <c r="D165" s="8">
        <v>20.439</v>
      </c>
      <c r="E165" s="8">
        <v>3.4000000000000002E-2</v>
      </c>
      <c r="F165" s="8">
        <v>0.92200000000000004</v>
      </c>
      <c r="G165" s="8">
        <v>2.5999999999999999E-2</v>
      </c>
      <c r="H165" s="8">
        <v>1.4E-2</v>
      </c>
      <c r="I165" s="8">
        <v>2.5999999999999999E-2</v>
      </c>
      <c r="J165" s="8">
        <v>0.12</v>
      </c>
      <c r="K165" s="39">
        <f t="shared" si="16"/>
        <v>0.20599999999999999</v>
      </c>
      <c r="L165" s="39">
        <f t="shared" si="17"/>
        <v>39.723714000000001</v>
      </c>
      <c r="M165" s="30">
        <f t="shared" si="18"/>
        <v>880.52724841448821</v>
      </c>
      <c r="N165" s="30">
        <f>(RedShift*Age*(2*InitialTangentVelocity-UniverseAcceleration*Age))/(2+RedShift)*(1+RedShift)</f>
        <v>2.8370660738016184E+25</v>
      </c>
      <c r="O165" s="36">
        <f t="shared" si="19"/>
        <v>919.4304979205308</v>
      </c>
      <c r="P165" s="36">
        <f t="shared" si="20"/>
        <v>39.8175945269764</v>
      </c>
      <c r="Q165" s="36">
        <f t="shared" si="21"/>
        <v>0.20769048320686131</v>
      </c>
      <c r="R165" s="19">
        <v>789.64297822704646</v>
      </c>
      <c r="S165" s="36">
        <f t="shared" si="22"/>
        <v>39.487153889157</v>
      </c>
      <c r="T165" s="36">
        <f t="shared" si="23"/>
        <v>1.3187078433889405</v>
      </c>
      <c r="U165" s="30"/>
    </row>
    <row r="166" spans="1:21" x14ac:dyDescent="0.25">
      <c r="A166" s="35" t="s">
        <v>198</v>
      </c>
      <c r="B166" s="16">
        <v>0.17399999999999999</v>
      </c>
      <c r="C166" s="8">
        <v>0</v>
      </c>
      <c r="D166" s="8">
        <v>20.236000000000001</v>
      </c>
      <c r="E166" s="8">
        <v>3.1E-2</v>
      </c>
      <c r="F166" s="8">
        <v>0.999</v>
      </c>
      <c r="G166" s="8">
        <v>2.1000000000000001E-2</v>
      </c>
      <c r="H166" s="8">
        <v>-3.7999999999999999E-2</v>
      </c>
      <c r="I166" s="8">
        <v>2.3E-2</v>
      </c>
      <c r="J166" s="8">
        <v>0.12</v>
      </c>
      <c r="K166" s="39">
        <f t="shared" si="16"/>
        <v>0.19500000000000001</v>
      </c>
      <c r="L166" s="39">
        <f t="shared" si="17"/>
        <v>39.694793000000004</v>
      </c>
      <c r="M166" s="30">
        <f t="shared" si="18"/>
        <v>868.87759782370688</v>
      </c>
      <c r="N166" s="30">
        <f>(RedShift*Age*(2*InitialTangentVelocity-UniverseAcceleration*Age))/(2+RedShift)*(1+RedShift)</f>
        <v>2.8723080684465824E+25</v>
      </c>
      <c r="O166" s="36">
        <f t="shared" si="19"/>
        <v>930.85165056246171</v>
      </c>
      <c r="P166" s="36">
        <f t="shared" si="20"/>
        <v>39.84440236583194</v>
      </c>
      <c r="Q166" s="36">
        <f t="shared" si="21"/>
        <v>0.58863806297524912</v>
      </c>
      <c r="R166" s="19">
        <v>799.79552519412664</v>
      </c>
      <c r="S166" s="36">
        <f t="shared" si="22"/>
        <v>39.514894849769362</v>
      </c>
      <c r="T166" s="36">
        <f t="shared" si="23"/>
        <v>0.85110702054981124</v>
      </c>
      <c r="U166" s="30"/>
    </row>
    <row r="167" spans="1:21" x14ac:dyDescent="0.25">
      <c r="A167" s="35" t="s">
        <v>199</v>
      </c>
      <c r="B167" s="16">
        <v>0.17499999999999999</v>
      </c>
      <c r="C167" s="8">
        <v>0</v>
      </c>
      <c r="D167" s="8">
        <v>20.323</v>
      </c>
      <c r="E167" s="8">
        <v>6.3E-2</v>
      </c>
      <c r="F167" s="8">
        <v>0.91300000000000003</v>
      </c>
      <c r="G167" s="8">
        <v>3.1E-2</v>
      </c>
      <c r="H167" s="8">
        <v>-5.7000000000000002E-2</v>
      </c>
      <c r="I167" s="8">
        <v>3.4000000000000002E-2</v>
      </c>
      <c r="J167" s="8">
        <v>0.12</v>
      </c>
      <c r="K167" s="39">
        <f t="shared" si="16"/>
        <v>0.248</v>
      </c>
      <c r="L167" s="39">
        <f t="shared" si="17"/>
        <v>39.828620999999998</v>
      </c>
      <c r="M167" s="30">
        <f t="shared" si="18"/>
        <v>924.11112804010895</v>
      </c>
      <c r="N167" s="30">
        <f>(RedShift*Age*(2*InitialTangentVelocity-UniverseAcceleration*Age))/(2+RedShift)*(1+RedShift)</f>
        <v>2.8899469243045529E+25</v>
      </c>
      <c r="O167" s="36">
        <f t="shared" si="19"/>
        <v>936.56801444062512</v>
      </c>
      <c r="P167" s="36">
        <f t="shared" si="20"/>
        <v>39.857696608629311</v>
      </c>
      <c r="Q167" s="36">
        <f t="shared" si="21"/>
        <v>1.374530139771357E-2</v>
      </c>
      <c r="R167" s="19">
        <v>804.87961063438229</v>
      </c>
      <c r="S167" s="36">
        <f t="shared" si="22"/>
        <v>39.528654629496614</v>
      </c>
      <c r="T167" s="36">
        <f t="shared" si="23"/>
        <v>1.4629914059731628</v>
      </c>
      <c r="U167" s="30"/>
    </row>
    <row r="168" spans="1:21" x14ac:dyDescent="0.25">
      <c r="A168" s="35" t="s">
        <v>200</v>
      </c>
      <c r="B168" s="16">
        <v>0.17899999999999999</v>
      </c>
      <c r="C168" s="8">
        <v>0</v>
      </c>
      <c r="D168" s="8">
        <v>20.922999999999998</v>
      </c>
      <c r="E168" s="8">
        <v>4.2000000000000003E-2</v>
      </c>
      <c r="F168" s="8">
        <v>1.0109999999999999</v>
      </c>
      <c r="G168" s="8">
        <v>3.9E-2</v>
      </c>
      <c r="H168" s="8">
        <v>2E-3</v>
      </c>
      <c r="I168" s="8">
        <v>3.2000000000000001E-2</v>
      </c>
      <c r="J168" s="8">
        <v>0.12</v>
      </c>
      <c r="K168" s="39">
        <f t="shared" si="16"/>
        <v>0.23299999999999998</v>
      </c>
      <c r="L168" s="39">
        <f t="shared" si="17"/>
        <v>40.258356999999997</v>
      </c>
      <c r="M168" s="30">
        <f t="shared" si="18"/>
        <v>1126.3449079434008</v>
      </c>
      <c r="N168" s="30">
        <f>(RedShift*Age*(2*InitialTangentVelocity-UniverseAcceleration*Age))/(2+RedShift)*(1+RedShift)</f>
        <v>2.9606210221714413E+25</v>
      </c>
      <c r="O168" s="36">
        <f t="shared" si="19"/>
        <v>959.47192971841264</v>
      </c>
      <c r="P168" s="36">
        <f t="shared" si="20"/>
        <v>39.910161367755975</v>
      </c>
      <c r="Q168" s="36">
        <f t="shared" si="21"/>
        <v>2.23323690459971</v>
      </c>
      <c r="R168" s="19">
        <v>825.26788804024272</v>
      </c>
      <c r="S168" s="36">
        <f t="shared" si="22"/>
        <v>39.582974733130342</v>
      </c>
      <c r="T168" s="36">
        <f t="shared" si="23"/>
        <v>8.4020926228516473</v>
      </c>
      <c r="U168" s="30"/>
    </row>
    <row r="169" spans="1:21" x14ac:dyDescent="0.25">
      <c r="A169" s="35" t="s">
        <v>201</v>
      </c>
      <c r="B169" s="16">
        <v>0.18099999999999999</v>
      </c>
      <c r="C169" s="8">
        <v>0</v>
      </c>
      <c r="D169" s="8">
        <v>20.58</v>
      </c>
      <c r="E169" s="8">
        <v>3.5000000000000003E-2</v>
      </c>
      <c r="F169" s="8">
        <v>1.032</v>
      </c>
      <c r="G169" s="8">
        <v>3.1E-2</v>
      </c>
      <c r="H169" s="8">
        <v>4.4999999999999998E-2</v>
      </c>
      <c r="I169" s="8">
        <v>2.4E-2</v>
      </c>
      <c r="J169" s="8">
        <v>0.12</v>
      </c>
      <c r="K169" s="39">
        <f t="shared" si="16"/>
        <v>0.21</v>
      </c>
      <c r="L169" s="39">
        <f t="shared" si="17"/>
        <v>39.783853999999998</v>
      </c>
      <c r="M169" s="30">
        <f t="shared" si="18"/>
        <v>905.25472436210373</v>
      </c>
      <c r="N169" s="30">
        <f>(RedShift*Age*(2*InitialTangentVelocity-UniverseAcceleration*Age))/(2+RedShift)*(1+RedShift)</f>
        <v>2.9960290472319015E+25</v>
      </c>
      <c r="O169" s="36">
        <f t="shared" si="19"/>
        <v>970.94688915356528</v>
      </c>
      <c r="P169" s="36">
        <f t="shared" si="20"/>
        <v>39.935977373132339</v>
      </c>
      <c r="Q169" s="36">
        <f t="shared" si="21"/>
        <v>0.52475103521907773</v>
      </c>
      <c r="R169" s="19">
        <v>835.49310183399359</v>
      </c>
      <c r="S169" s="36">
        <f t="shared" si="22"/>
        <v>39.60971434267428</v>
      </c>
      <c r="T169" s="36">
        <f t="shared" si="23"/>
        <v>0.68763311232467994</v>
      </c>
      <c r="U169" s="30"/>
    </row>
    <row r="170" spans="1:21" x14ac:dyDescent="0.25">
      <c r="A170" s="35" t="s">
        <v>202</v>
      </c>
      <c r="B170" s="16">
        <v>0.18099999999999999</v>
      </c>
      <c r="C170" s="8">
        <v>0</v>
      </c>
      <c r="D170" s="8">
        <v>20.574999999999999</v>
      </c>
      <c r="E170" s="8">
        <v>3.1E-2</v>
      </c>
      <c r="F170" s="8">
        <v>1.0029999999999999</v>
      </c>
      <c r="G170" s="8">
        <v>3.2000000000000001E-2</v>
      </c>
      <c r="H170" s="8">
        <v>-7.0000000000000001E-3</v>
      </c>
      <c r="I170" s="8">
        <v>2.5000000000000001E-2</v>
      </c>
      <c r="J170" s="8">
        <v>0.12</v>
      </c>
      <c r="K170" s="39">
        <f t="shared" si="16"/>
        <v>0.20799999999999999</v>
      </c>
      <c r="L170" s="39">
        <f t="shared" si="17"/>
        <v>39.937350999999992</v>
      </c>
      <c r="M170" s="30">
        <f t="shared" si="18"/>
        <v>971.56128363449795</v>
      </c>
      <c r="N170" s="30">
        <f>(RedShift*Age*(2*InitialTangentVelocity-UniverseAcceleration*Age))/(2+RedShift)*(1+RedShift)</f>
        <v>2.9960290472319015E+25</v>
      </c>
      <c r="O170" s="36">
        <f t="shared" si="19"/>
        <v>970.94688915356528</v>
      </c>
      <c r="P170" s="36">
        <f t="shared" si="20"/>
        <v>39.935977373132339</v>
      </c>
      <c r="Q170" s="36">
        <f t="shared" si="21"/>
        <v>4.3612490096628599E-5</v>
      </c>
      <c r="R170" s="19">
        <v>835.49310183399359</v>
      </c>
      <c r="S170" s="36">
        <f t="shared" si="22"/>
        <v>39.60971434267428</v>
      </c>
      <c r="T170" s="36">
        <f t="shared" si="23"/>
        <v>2.481180178059498</v>
      </c>
      <c r="U170" s="30"/>
    </row>
    <row r="171" spans="1:21" x14ac:dyDescent="0.25">
      <c r="A171" s="35" t="s">
        <v>203</v>
      </c>
      <c r="B171" s="16">
        <v>0.183</v>
      </c>
      <c r="C171" s="8">
        <v>0</v>
      </c>
      <c r="D171" s="8">
        <v>20.291</v>
      </c>
      <c r="E171" s="8">
        <v>4.3999999999999997E-2</v>
      </c>
      <c r="F171" s="8">
        <v>1.099</v>
      </c>
      <c r="G171" s="8">
        <v>2.5000000000000001E-2</v>
      </c>
      <c r="H171" s="8">
        <v>-1.4E-2</v>
      </c>
      <c r="I171" s="8">
        <v>2.5999999999999999E-2</v>
      </c>
      <c r="J171" s="8">
        <v>0.12</v>
      </c>
      <c r="K171" s="39">
        <f t="shared" si="16"/>
        <v>0.215</v>
      </c>
      <c r="L171" s="39">
        <f t="shared" si="17"/>
        <v>39.689373000000003</v>
      </c>
      <c r="M171" s="30">
        <f t="shared" si="18"/>
        <v>866.71158170762101</v>
      </c>
      <c r="N171" s="30">
        <f>(RedShift*Age*(2*InitialTangentVelocity-UniverseAcceleration*Age))/(2+RedShift)*(1+RedShift)</f>
        <v>3.0314842163071011E+25</v>
      </c>
      <c r="O171" s="36">
        <f t="shared" si="19"/>
        <v>982.43712692338431</v>
      </c>
      <c r="P171" s="36">
        <f t="shared" si="20"/>
        <v>39.961523831858443</v>
      </c>
      <c r="Q171" s="36">
        <f t="shared" si="21"/>
        <v>1.6022947600052089</v>
      </c>
      <c r="R171" s="19">
        <v>845.73896671594616</v>
      </c>
      <c r="S171" s="36">
        <f t="shared" si="22"/>
        <v>39.636181704037384</v>
      </c>
      <c r="T171" s="36">
        <f t="shared" si="23"/>
        <v>6.1207441128891441E-2</v>
      </c>
      <c r="U171" s="30"/>
    </row>
    <row r="172" spans="1:21" x14ac:dyDescent="0.25">
      <c r="A172" s="35" t="s">
        <v>204</v>
      </c>
      <c r="B172" s="16">
        <v>0.184</v>
      </c>
      <c r="C172" s="8">
        <v>1E-3</v>
      </c>
      <c r="D172" s="8">
        <v>20.765000000000001</v>
      </c>
      <c r="E172" s="8">
        <v>2.5000000000000001E-2</v>
      </c>
      <c r="F172" s="8">
        <v>0.99099999999999999</v>
      </c>
      <c r="G172" s="8">
        <v>1.9E-2</v>
      </c>
      <c r="H172" s="8">
        <v>1.9E-2</v>
      </c>
      <c r="I172" s="8">
        <v>0.02</v>
      </c>
      <c r="J172" s="8">
        <v>0.12</v>
      </c>
      <c r="K172" s="39">
        <f t="shared" si="16"/>
        <v>0.184</v>
      </c>
      <c r="L172" s="39">
        <f t="shared" si="17"/>
        <v>40.044207</v>
      </c>
      <c r="M172" s="30">
        <f t="shared" si="18"/>
        <v>1020.5667148918301</v>
      </c>
      <c r="N172" s="30">
        <f>(RedShift*Age*(2*InitialTangentVelocity-UniverseAcceleration*Age))/(2+RedShift)*(1+RedShift)</f>
        <v>3.049229439376313E+25</v>
      </c>
      <c r="O172" s="36">
        <f t="shared" si="19"/>
        <v>988.18796206709101</v>
      </c>
      <c r="P172" s="36">
        <f t="shared" si="20"/>
        <v>39.974197795431031</v>
      </c>
      <c r="Q172" s="36">
        <f t="shared" si="21"/>
        <v>0.14476868869268963</v>
      </c>
      <c r="R172" s="19">
        <v>850.86962795688692</v>
      </c>
      <c r="S172" s="36">
        <f t="shared" si="22"/>
        <v>39.649315108317154</v>
      </c>
      <c r="T172" s="36">
        <f t="shared" si="23"/>
        <v>4.6059666267975157</v>
      </c>
      <c r="U172" s="30"/>
    </row>
    <row r="173" spans="1:21" x14ac:dyDescent="0.25">
      <c r="A173" s="35" t="s">
        <v>205</v>
      </c>
      <c r="B173" s="16">
        <v>0.184</v>
      </c>
      <c r="C173" s="8">
        <v>0</v>
      </c>
      <c r="D173" s="8">
        <v>20.274000000000001</v>
      </c>
      <c r="E173" s="8">
        <v>2.8000000000000001E-2</v>
      </c>
      <c r="F173" s="8">
        <v>1.08</v>
      </c>
      <c r="G173" s="8">
        <v>2.3E-2</v>
      </c>
      <c r="H173" s="8">
        <v>-9.7000000000000003E-2</v>
      </c>
      <c r="I173" s="8">
        <v>2.1999999999999999E-2</v>
      </c>
      <c r="J173" s="8">
        <v>0.12</v>
      </c>
      <c r="K173" s="39">
        <f t="shared" si="16"/>
        <v>0.193</v>
      </c>
      <c r="L173" s="39">
        <f t="shared" si="17"/>
        <v>39.929369999999999</v>
      </c>
      <c r="M173" s="30">
        <f t="shared" si="18"/>
        <v>967.99697469683269</v>
      </c>
      <c r="N173" s="30">
        <f>(RedShift*Age*(2*InitialTangentVelocity-UniverseAcceleration*Age))/(2+RedShift)*(1+RedShift)</f>
        <v>3.049229439376313E+25</v>
      </c>
      <c r="O173" s="36">
        <f t="shared" si="19"/>
        <v>988.18796206709101</v>
      </c>
      <c r="P173" s="36">
        <f t="shared" si="20"/>
        <v>39.974197795431031</v>
      </c>
      <c r="Q173" s="36">
        <f t="shared" si="21"/>
        <v>5.394859575308121E-2</v>
      </c>
      <c r="R173" s="19">
        <v>850.86962795688692</v>
      </c>
      <c r="S173" s="36">
        <f t="shared" si="22"/>
        <v>39.649315108317154</v>
      </c>
      <c r="T173" s="36">
        <f t="shared" si="23"/>
        <v>2.1055798103436296</v>
      </c>
      <c r="U173" s="30"/>
    </row>
    <row r="174" spans="1:21" x14ac:dyDescent="0.25">
      <c r="A174" s="35" t="s">
        <v>206</v>
      </c>
      <c r="B174" s="16">
        <v>0.185</v>
      </c>
      <c r="C174" s="8">
        <v>0</v>
      </c>
      <c r="D174" s="8">
        <v>21.132999999999999</v>
      </c>
      <c r="E174" s="8">
        <v>4.1000000000000002E-2</v>
      </c>
      <c r="F174" s="8">
        <v>0.92300000000000004</v>
      </c>
      <c r="G174" s="8">
        <v>3.3000000000000002E-2</v>
      </c>
      <c r="H174" s="8">
        <v>0.17899999999999999</v>
      </c>
      <c r="I174" s="8">
        <v>3.2000000000000001E-2</v>
      </c>
      <c r="J174" s="8">
        <v>0.12</v>
      </c>
      <c r="K174" s="39">
        <f t="shared" si="16"/>
        <v>0.22600000000000001</v>
      </c>
      <c r="L174" s="39">
        <f t="shared" si="17"/>
        <v>39.901410999999996</v>
      </c>
      <c r="M174" s="30">
        <f t="shared" si="18"/>
        <v>955.61333184427781</v>
      </c>
      <c r="N174" s="30">
        <f>(RedShift*Age*(2*InitialTangentVelocity-UniverseAcceleration*Age))/(2+RedShift)*(1+RedShift)</f>
        <v>3.066986399939789E+25</v>
      </c>
      <c r="O174" s="36">
        <f t="shared" si="19"/>
        <v>993.94260107363164</v>
      </c>
      <c r="P174" s="36">
        <f t="shared" si="20"/>
        <v>39.98680652582582</v>
      </c>
      <c r="Q174" s="36">
        <f t="shared" si="21"/>
        <v>0.14277539022376368</v>
      </c>
      <c r="R174" s="19">
        <v>856.0054335494583</v>
      </c>
      <c r="S174" s="36">
        <f t="shared" si="22"/>
        <v>39.662382606990079</v>
      </c>
      <c r="T174" s="36">
        <f t="shared" si="23"/>
        <v>1.1186187772124574</v>
      </c>
      <c r="U174" s="30"/>
    </row>
    <row r="175" spans="1:21" x14ac:dyDescent="0.25">
      <c r="A175" s="35" t="s">
        <v>207</v>
      </c>
      <c r="B175" s="16">
        <v>0.187</v>
      </c>
      <c r="C175" s="8">
        <v>0</v>
      </c>
      <c r="D175" s="8">
        <v>20.475999999999999</v>
      </c>
      <c r="E175" s="8">
        <v>4.1000000000000002E-2</v>
      </c>
      <c r="F175" s="8">
        <v>1.0740000000000001</v>
      </c>
      <c r="G175" s="8">
        <v>3.1E-2</v>
      </c>
      <c r="H175" s="8">
        <v>-4.1000000000000002E-2</v>
      </c>
      <c r="I175" s="8">
        <v>2.5999999999999999E-2</v>
      </c>
      <c r="J175" s="8">
        <v>0.12</v>
      </c>
      <c r="K175" s="39">
        <f t="shared" si="16"/>
        <v>0.218</v>
      </c>
      <c r="L175" s="39">
        <f t="shared" si="17"/>
        <v>39.955207999999999</v>
      </c>
      <c r="M175" s="30">
        <f t="shared" si="18"/>
        <v>979.58381283840549</v>
      </c>
      <c r="N175" s="30">
        <f>(RedShift*Age*(2*InitialTangentVelocity-UniverseAcceleration*Age))/(2+RedShift)*(1+RedShift)</f>
        <v>3.1025354691462699E+25</v>
      </c>
      <c r="O175" s="36">
        <f t="shared" si="19"/>
        <v>1005.4632698035387</v>
      </c>
      <c r="P175" s="36">
        <f t="shared" si="20"/>
        <v>40.011831050879607</v>
      </c>
      <c r="Q175" s="36">
        <f t="shared" si="21"/>
        <v>6.7464226304913222E-2</v>
      </c>
      <c r="R175" s="19">
        <v>866.29245327252238</v>
      </c>
      <c r="S175" s="36">
        <f t="shared" si="22"/>
        <v>39.688322655243461</v>
      </c>
      <c r="T175" s="36">
        <f t="shared" si="23"/>
        <v>1.4987750872362653</v>
      </c>
      <c r="U175" s="30"/>
    </row>
    <row r="176" spans="1:21" x14ac:dyDescent="0.25">
      <c r="A176" s="35" t="s">
        <v>208</v>
      </c>
      <c r="B176" s="16">
        <v>0.19</v>
      </c>
      <c r="C176" s="8">
        <v>0</v>
      </c>
      <c r="D176" s="8">
        <v>20.952000000000002</v>
      </c>
      <c r="E176" s="8">
        <v>2.8000000000000001E-2</v>
      </c>
      <c r="F176" s="8">
        <v>0.92700000000000005</v>
      </c>
      <c r="G176" s="8">
        <v>3.5000000000000003E-2</v>
      </c>
      <c r="H176" s="8">
        <v>9.5000000000000001E-2</v>
      </c>
      <c r="I176" s="8">
        <v>2.4E-2</v>
      </c>
      <c r="J176" s="8">
        <v>0.12</v>
      </c>
      <c r="K176" s="39">
        <f t="shared" si="16"/>
        <v>0.20699999999999999</v>
      </c>
      <c r="L176" s="39">
        <f t="shared" si="17"/>
        <v>39.983919</v>
      </c>
      <c r="M176" s="30">
        <f t="shared" si="18"/>
        <v>992.62177952341915</v>
      </c>
      <c r="N176" s="30">
        <f>(RedShift*Age*(2*InitialTangentVelocity-UniverseAcceleration*Age))/(2+RedShift)*(1+RedShift)</f>
        <v>3.1559467024145434E+25</v>
      </c>
      <c r="O176" s="36">
        <f t="shared" si="19"/>
        <v>1022.7726716718548</v>
      </c>
      <c r="P176" s="36">
        <f t="shared" si="20"/>
        <v>40.048895576138548</v>
      </c>
      <c r="Q176" s="36">
        <f t="shared" si="21"/>
        <v>9.8531014648849252E-2</v>
      </c>
      <c r="R176" s="19">
        <v>881.76141238676519</v>
      </c>
      <c r="S176" s="36">
        <f t="shared" si="22"/>
        <v>39.726755446628303</v>
      </c>
      <c r="T176" s="36">
        <f t="shared" si="23"/>
        <v>1.5433987533608189</v>
      </c>
      <c r="U176" s="30"/>
    </row>
    <row r="177" spans="1:21" x14ac:dyDescent="0.25">
      <c r="A177" s="35" t="s">
        <v>209</v>
      </c>
      <c r="B177" s="16">
        <v>0.191</v>
      </c>
      <c r="C177" s="8">
        <v>0</v>
      </c>
      <c r="D177" s="8">
        <v>20.657</v>
      </c>
      <c r="E177" s="8">
        <v>3.4000000000000002E-2</v>
      </c>
      <c r="F177" s="8">
        <v>1.1020000000000001</v>
      </c>
      <c r="G177" s="8">
        <v>0.03</v>
      </c>
      <c r="H177" s="8">
        <v>8.9999999999999993E-3</v>
      </c>
      <c r="I177" s="8">
        <v>2.7E-2</v>
      </c>
      <c r="J177" s="8">
        <v>0.12</v>
      </c>
      <c r="K177" s="39">
        <f t="shared" si="16"/>
        <v>0.21099999999999999</v>
      </c>
      <c r="L177" s="39">
        <f t="shared" si="17"/>
        <v>39.983823999999998</v>
      </c>
      <c r="M177" s="30">
        <f t="shared" si="18"/>
        <v>992.57835414719773</v>
      </c>
      <c r="N177" s="30">
        <f>(RedShift*Age*(2*InitialTangentVelocity-UniverseAcceleration*Age))/(2+RedShift)*(1+RedShift)</f>
        <v>3.173773750700613E+25</v>
      </c>
      <c r="O177" s="36">
        <f t="shared" si="19"/>
        <v>1028.5500245623891</v>
      </c>
      <c r="P177" s="36">
        <f t="shared" si="20"/>
        <v>40.061127094461341</v>
      </c>
      <c r="Q177" s="36">
        <f t="shared" si="21"/>
        <v>0.1342235891668927</v>
      </c>
      <c r="R177" s="19">
        <v>886.92795551512211</v>
      </c>
      <c r="S177" s="36">
        <f t="shared" si="22"/>
        <v>39.739441719265898</v>
      </c>
      <c r="T177" s="36">
        <f t="shared" si="23"/>
        <v>1.3414500828103777</v>
      </c>
      <c r="U177" s="30"/>
    </row>
    <row r="178" spans="1:21" x14ac:dyDescent="0.25">
      <c r="A178" s="35" t="s">
        <v>210</v>
      </c>
      <c r="B178" s="16">
        <v>0.193</v>
      </c>
      <c r="C178" s="8">
        <v>0</v>
      </c>
      <c r="D178" s="8">
        <v>20.652999999999999</v>
      </c>
      <c r="E178" s="8">
        <v>3.5000000000000003E-2</v>
      </c>
      <c r="F178" s="8">
        <v>1.0509999999999999</v>
      </c>
      <c r="G178" s="8">
        <v>3.1E-2</v>
      </c>
      <c r="H178" s="8">
        <v>-6.2E-2</v>
      </c>
      <c r="I178" s="8">
        <v>2.5999999999999999E-2</v>
      </c>
      <c r="J178" s="8">
        <v>0.12</v>
      </c>
      <c r="K178" s="39">
        <f t="shared" si="16"/>
        <v>0.21199999999999999</v>
      </c>
      <c r="L178" s="39">
        <f t="shared" si="17"/>
        <v>40.194557000000003</v>
      </c>
      <c r="M178" s="30">
        <f t="shared" si="18"/>
        <v>1093.7332120483572</v>
      </c>
      <c r="N178" s="30">
        <f>(RedShift*Age*(2*InitialTangentVelocity-UniverseAcceleration*Age))/(2+RedShift)*(1+RedShift)</f>
        <v>3.2094627074294311E+25</v>
      </c>
      <c r="O178" s="36">
        <f t="shared" si="19"/>
        <v>1040.116027750842</v>
      </c>
      <c r="P178" s="36">
        <f t="shared" si="20"/>
        <v>40.085408943615306</v>
      </c>
      <c r="Q178" s="36">
        <f t="shared" si="21"/>
        <v>0.26506982495009412</v>
      </c>
      <c r="R178" s="19">
        <v>897.27634028780574</v>
      </c>
      <c r="S178" s="36">
        <f t="shared" si="22"/>
        <v>39.764631081327515</v>
      </c>
      <c r="T178" s="36">
        <f t="shared" si="23"/>
        <v>4.1125911255425178</v>
      </c>
      <c r="U178" s="30"/>
    </row>
    <row r="179" spans="1:21" x14ac:dyDescent="0.25">
      <c r="A179" s="35" t="s">
        <v>211</v>
      </c>
      <c r="B179" s="16">
        <v>0.19800000000000001</v>
      </c>
      <c r="C179" s="8">
        <v>0</v>
      </c>
      <c r="D179" s="8">
        <v>21.265000000000001</v>
      </c>
      <c r="E179" s="8">
        <v>4.2000000000000003E-2</v>
      </c>
      <c r="F179" s="8">
        <v>0.78100000000000003</v>
      </c>
      <c r="G179" s="8">
        <v>4.8000000000000001E-2</v>
      </c>
      <c r="H179" s="8">
        <v>6.7000000000000004E-2</v>
      </c>
      <c r="I179" s="8">
        <v>3.3000000000000002E-2</v>
      </c>
      <c r="J179" s="8">
        <v>0.12</v>
      </c>
      <c r="K179" s="39">
        <f t="shared" si="16"/>
        <v>0.24299999999999999</v>
      </c>
      <c r="L179" s="39">
        <f t="shared" si="17"/>
        <v>40.363096999999996</v>
      </c>
      <c r="M179" s="30">
        <f t="shared" si="18"/>
        <v>1182.0052349929813</v>
      </c>
      <c r="N179" s="30">
        <f>(RedShift*Age*(2*InitialTangentVelocity-UniverseAcceleration*Age))/(2+RedShift)*(1+RedShift)</f>
        <v>3.2988877100347166E+25</v>
      </c>
      <c r="O179" s="36">
        <f t="shared" si="19"/>
        <v>1069.0966974050207</v>
      </c>
      <c r="P179" s="36">
        <f t="shared" si="20"/>
        <v>40.145084939749097</v>
      </c>
      <c r="Q179" s="36">
        <f t="shared" si="21"/>
        <v>0.80491216472491878</v>
      </c>
      <c r="R179" s="19">
        <v>923.23625935882967</v>
      </c>
      <c r="S179" s="36">
        <f t="shared" si="22"/>
        <v>39.826564263559057</v>
      </c>
      <c r="T179" s="36">
        <f t="shared" si="23"/>
        <v>4.8750593112974432</v>
      </c>
      <c r="U179" s="30"/>
    </row>
    <row r="180" spans="1:21" x14ac:dyDescent="0.25">
      <c r="A180" s="35" t="s">
        <v>212</v>
      </c>
      <c r="B180" s="16">
        <v>0.20200000000000001</v>
      </c>
      <c r="C180" s="8">
        <v>0</v>
      </c>
      <c r="D180" s="8">
        <v>20.946999999999999</v>
      </c>
      <c r="E180" s="8">
        <v>5.6000000000000001E-2</v>
      </c>
      <c r="F180" s="8">
        <v>0.78900000000000003</v>
      </c>
      <c r="G180" s="8">
        <v>3.5000000000000003E-2</v>
      </c>
      <c r="H180" s="8">
        <v>-4.0000000000000001E-3</v>
      </c>
      <c r="I180" s="8">
        <v>3.5000000000000003E-2</v>
      </c>
      <c r="J180" s="8">
        <v>0.12</v>
      </c>
      <c r="K180" s="39">
        <f t="shared" si="16"/>
        <v>0.246</v>
      </c>
      <c r="L180" s="39">
        <f t="shared" si="17"/>
        <v>40.268502999999995</v>
      </c>
      <c r="M180" s="30">
        <f t="shared" si="18"/>
        <v>1131.6199622785341</v>
      </c>
      <c r="N180" s="30">
        <f>(RedShift*Age*(2*InitialTangentVelocity-UniverseAcceleration*Age))/(2+RedShift)*(1+RedShift)</f>
        <v>3.3706350707298047E+25</v>
      </c>
      <c r="O180" s="36">
        <f t="shared" si="19"/>
        <v>1092.3484334775524</v>
      </c>
      <c r="P180" s="36">
        <f t="shared" si="20"/>
        <v>40.191805951000397</v>
      </c>
      <c r="Q180" s="36">
        <f t="shared" si="21"/>
        <v>9.7204661994295671E-2</v>
      </c>
      <c r="R180" s="19">
        <v>944.09529239731967</v>
      </c>
      <c r="S180" s="36">
        <f t="shared" si="22"/>
        <v>39.875079160439782</v>
      </c>
      <c r="T180" s="36">
        <f t="shared" si="23"/>
        <v>2.5577089948823573</v>
      </c>
      <c r="U180" s="30"/>
    </row>
    <row r="181" spans="1:21" x14ac:dyDescent="0.25">
      <c r="A181" s="35" t="s">
        <v>213</v>
      </c>
      <c r="B181" s="16">
        <v>0.20399999999999999</v>
      </c>
      <c r="C181" s="8">
        <v>0</v>
      </c>
      <c r="D181" s="8">
        <v>20.789000000000001</v>
      </c>
      <c r="E181" s="8">
        <v>4.5999999999999999E-2</v>
      </c>
      <c r="F181" s="8">
        <v>1.079</v>
      </c>
      <c r="G181" s="8">
        <v>3.9E-2</v>
      </c>
      <c r="H181" s="8">
        <v>2E-3</v>
      </c>
      <c r="I181" s="8">
        <v>3.2000000000000001E-2</v>
      </c>
      <c r="J181" s="8">
        <v>0.12</v>
      </c>
      <c r="K181" s="39">
        <f t="shared" si="16"/>
        <v>0.23699999999999999</v>
      </c>
      <c r="L181" s="39">
        <f t="shared" si="17"/>
        <v>40.134353000000004</v>
      </c>
      <c r="M181" s="30">
        <f t="shared" si="18"/>
        <v>1063.8259992426174</v>
      </c>
      <c r="N181" s="30">
        <f>(RedShift*Age*(2*InitialTangentVelocity-UniverseAcceleration*Age))/(2+RedShift)*(1+RedShift)</f>
        <v>3.4065775256438338E+25</v>
      </c>
      <c r="O181" s="36">
        <f t="shared" si="19"/>
        <v>1103.9965898328996</v>
      </c>
      <c r="P181" s="36">
        <f t="shared" si="20"/>
        <v>40.214838659452127</v>
      </c>
      <c r="Q181" s="36">
        <f t="shared" si="21"/>
        <v>0.11532947671211972</v>
      </c>
      <c r="R181" s="19">
        <v>954.55504152792912</v>
      </c>
      <c r="S181" s="36">
        <f t="shared" si="22"/>
        <v>39.899004878644021</v>
      </c>
      <c r="T181" s="36">
        <f t="shared" si="23"/>
        <v>0.98610867606314123</v>
      </c>
      <c r="U181" s="30"/>
    </row>
    <row r="182" spans="1:21" x14ac:dyDescent="0.25">
      <c r="A182" s="35" t="s">
        <v>214</v>
      </c>
      <c r="B182" s="16">
        <v>0.20599999999999999</v>
      </c>
      <c r="C182" s="8">
        <v>0</v>
      </c>
      <c r="D182" s="8">
        <v>21.088999999999999</v>
      </c>
      <c r="E182" s="8">
        <v>4.3999999999999997E-2</v>
      </c>
      <c r="F182" s="8">
        <v>0.95</v>
      </c>
      <c r="G182" s="8">
        <v>3.1E-2</v>
      </c>
      <c r="H182" s="8">
        <v>7.5999999999999998E-2</v>
      </c>
      <c r="I182" s="8">
        <v>0.03</v>
      </c>
      <c r="J182" s="8">
        <v>0.12</v>
      </c>
      <c r="K182" s="39">
        <f t="shared" si="16"/>
        <v>0.22499999999999998</v>
      </c>
      <c r="L182" s="39">
        <f t="shared" si="17"/>
        <v>40.183769999999996</v>
      </c>
      <c r="M182" s="30">
        <f t="shared" si="18"/>
        <v>1088.313458858627</v>
      </c>
      <c r="N182" s="30">
        <f>(RedShift*Age*(2*InitialTangentVelocity-UniverseAcceleration*Age))/(2+RedShift)*(1+RedShift)</f>
        <v>3.4425656639961062E+25</v>
      </c>
      <c r="O182" s="36">
        <f t="shared" si="19"/>
        <v>1115.6595511823068</v>
      </c>
      <c r="P182" s="36">
        <f t="shared" si="20"/>
        <v>40.237658438957908</v>
      </c>
      <c r="Q182" s="36">
        <f t="shared" si="21"/>
        <v>5.7362248954482005E-2</v>
      </c>
      <c r="R182" s="19">
        <v>965.03488126461923</v>
      </c>
      <c r="S182" s="36">
        <f t="shared" si="22"/>
        <v>39.922715056185112</v>
      </c>
      <c r="T182" s="36">
        <f t="shared" si="23"/>
        <v>1.346166591411202</v>
      </c>
      <c r="U182" s="30"/>
    </row>
    <row r="183" spans="1:21" x14ac:dyDescent="0.25">
      <c r="A183" s="35" t="s">
        <v>215</v>
      </c>
      <c r="B183" s="16">
        <v>0.21099999999999999</v>
      </c>
      <c r="C183" s="8">
        <v>1E-3</v>
      </c>
      <c r="D183" s="8">
        <v>21.084</v>
      </c>
      <c r="E183" s="8">
        <v>2.5999999999999999E-2</v>
      </c>
      <c r="F183" s="8">
        <v>0.85599999999999998</v>
      </c>
      <c r="G183" s="8">
        <v>2.4E-2</v>
      </c>
      <c r="H183" s="8">
        <v>2.3E-2</v>
      </c>
      <c r="I183" s="8">
        <v>2.1000000000000001E-2</v>
      </c>
      <c r="J183" s="8">
        <v>0.12</v>
      </c>
      <c r="K183" s="39">
        <f t="shared" si="16"/>
        <v>0.191</v>
      </c>
      <c r="L183" s="39">
        <f t="shared" si="17"/>
        <v>40.330842000000004</v>
      </c>
      <c r="M183" s="30">
        <f t="shared" si="18"/>
        <v>1164.5775130097231</v>
      </c>
      <c r="N183" s="30">
        <f>(RedShift*Age*(2*InitialTangentVelocity-UniverseAcceleration*Age))/(2+RedShift)*(1+RedShift)</f>
        <v>3.5327350613571798E+25</v>
      </c>
      <c r="O183" s="36">
        <f t="shared" si="19"/>
        <v>1144.8814627473751</v>
      </c>
      <c r="P183" s="36">
        <f t="shared" si="20"/>
        <v>40.293802617922495</v>
      </c>
      <c r="Q183" s="36">
        <f t="shared" si="21"/>
        <v>3.7606310810660674E-2</v>
      </c>
      <c r="R183" s="19">
        <v>991.32206054725373</v>
      </c>
      <c r="S183" s="36">
        <f t="shared" si="22"/>
        <v>39.981073854644954</v>
      </c>
      <c r="T183" s="36">
        <f t="shared" si="23"/>
        <v>3.3534649682056763</v>
      </c>
      <c r="U183" s="30"/>
    </row>
    <row r="184" spans="1:21" x14ac:dyDescent="0.25">
      <c r="A184" s="35" t="s">
        <v>216</v>
      </c>
      <c r="B184" s="16">
        <v>0.21199999999999999</v>
      </c>
      <c r="C184" s="8">
        <v>0</v>
      </c>
      <c r="D184" s="8">
        <v>21.225000000000001</v>
      </c>
      <c r="E184" s="8">
        <v>3.3000000000000002E-2</v>
      </c>
      <c r="F184" s="8">
        <v>1.0169999999999999</v>
      </c>
      <c r="G184" s="8">
        <v>4.2999999999999997E-2</v>
      </c>
      <c r="H184" s="8">
        <v>0.155</v>
      </c>
      <c r="I184" s="8">
        <v>2.8000000000000001E-2</v>
      </c>
      <c r="J184" s="8">
        <v>0.12</v>
      </c>
      <c r="K184" s="39">
        <f t="shared" si="16"/>
        <v>0.22399999999999998</v>
      </c>
      <c r="L184" s="39">
        <f t="shared" si="17"/>
        <v>40.082349000000001</v>
      </c>
      <c r="M184" s="30">
        <f t="shared" si="18"/>
        <v>1038.651374099584</v>
      </c>
      <c r="N184" s="30">
        <f>(RedShift*Age*(2*InitialTangentVelocity-UniverseAcceleration*Age))/(2+RedShift)*(1+RedShift)</f>
        <v>3.5508029405294289E+25</v>
      </c>
      <c r="O184" s="36">
        <f t="shared" si="19"/>
        <v>1150.7368636127658</v>
      </c>
      <c r="P184" s="36">
        <f t="shared" si="20"/>
        <v>40.304880129244133</v>
      </c>
      <c r="Q184" s="36">
        <f t="shared" si="21"/>
        <v>0.98692808280190802</v>
      </c>
      <c r="R184" s="19">
        <v>996.59446198491787</v>
      </c>
      <c r="S184" s="36">
        <f t="shared" si="22"/>
        <v>39.992592347468019</v>
      </c>
      <c r="T184" s="36">
        <f t="shared" si="23"/>
        <v>0.1605599624072645</v>
      </c>
      <c r="U184" s="30"/>
    </row>
    <row r="185" spans="1:21" x14ac:dyDescent="0.25">
      <c r="A185" s="35" t="s">
        <v>217</v>
      </c>
      <c r="B185" s="16">
        <v>0.21299999999999999</v>
      </c>
      <c r="C185" s="8">
        <v>0</v>
      </c>
      <c r="D185" s="8">
        <v>20.832000000000001</v>
      </c>
      <c r="E185" s="8">
        <v>0.03</v>
      </c>
      <c r="F185" s="8">
        <v>0.995</v>
      </c>
      <c r="G185" s="8">
        <v>2.7E-2</v>
      </c>
      <c r="H185" s="8">
        <v>2E-3</v>
      </c>
      <c r="I185" s="8">
        <v>2.5000000000000001E-2</v>
      </c>
      <c r="J185" s="8">
        <v>0.12</v>
      </c>
      <c r="K185" s="39">
        <f t="shared" si="16"/>
        <v>0.20199999999999999</v>
      </c>
      <c r="L185" s="39">
        <f t="shared" si="17"/>
        <v>40.165005000000001</v>
      </c>
      <c r="M185" s="30">
        <f t="shared" si="18"/>
        <v>1078.9492065993288</v>
      </c>
      <c r="N185" s="30">
        <f>(RedShift*Age*(2*InitialTangentVelocity-UniverseAcceleration*Age))/(2+RedShift)*(1+RedShift)</f>
        <v>3.5688821170865691E+25</v>
      </c>
      <c r="O185" s="36">
        <f t="shared" si="19"/>
        <v>1156.5959257112563</v>
      </c>
      <c r="P185" s="36">
        <f t="shared" si="20"/>
        <v>40.315908290502605</v>
      </c>
      <c r="Q185" s="36">
        <f t="shared" si="21"/>
        <v>0.55807771504052284</v>
      </c>
      <c r="R185" s="19">
        <v>1001.871837940022</v>
      </c>
      <c r="S185" s="36">
        <f t="shared" si="22"/>
        <v>40.004060845004553</v>
      </c>
      <c r="T185" s="36">
        <f t="shared" si="23"/>
        <v>0.6348157295166863</v>
      </c>
      <c r="U185" s="30"/>
    </row>
    <row r="186" spans="1:21" x14ac:dyDescent="0.25">
      <c r="A186" s="35" t="s">
        <v>218</v>
      </c>
      <c r="B186" s="16">
        <v>0.214</v>
      </c>
      <c r="C186" s="8">
        <v>0</v>
      </c>
      <c r="D186" s="8">
        <v>20.811</v>
      </c>
      <c r="E186" s="8">
        <v>4.9000000000000002E-2</v>
      </c>
      <c r="F186" s="8">
        <v>1.0980000000000001</v>
      </c>
      <c r="G186" s="8">
        <v>4.3999999999999997E-2</v>
      </c>
      <c r="H186" s="8">
        <v>-1E-3</v>
      </c>
      <c r="I186" s="8">
        <v>3.3000000000000002E-2</v>
      </c>
      <c r="J186" s="8">
        <v>0.12</v>
      </c>
      <c r="K186" s="39">
        <f t="shared" si="16"/>
        <v>0.246</v>
      </c>
      <c r="L186" s="39">
        <f t="shared" si="17"/>
        <v>40.168536000000003</v>
      </c>
      <c r="M186" s="30">
        <f t="shared" si="18"/>
        <v>1080.7050975870211</v>
      </c>
      <c r="N186" s="30">
        <f>(RedShift*Age*(2*InitialTangentVelocity-UniverseAcceleration*Age))/(2+RedShift)*(1+RedShift)</f>
        <v>3.586972575720487E+25</v>
      </c>
      <c r="O186" s="36">
        <f t="shared" si="19"/>
        <v>1162.458644081825</v>
      </c>
      <c r="P186" s="36">
        <f t="shared" si="20"/>
        <v>40.326887556340971</v>
      </c>
      <c r="Q186" s="36">
        <f t="shared" si="21"/>
        <v>0.41435678821479688</v>
      </c>
      <c r="R186" s="19">
        <v>1007.1541824185057</v>
      </c>
      <c r="S186" s="36">
        <f t="shared" si="22"/>
        <v>40.015479802856959</v>
      </c>
      <c r="T186" s="36">
        <f t="shared" si="23"/>
        <v>0.38710753327864494</v>
      </c>
      <c r="U186" s="30"/>
    </row>
    <row r="187" spans="1:21" x14ac:dyDescent="0.25">
      <c r="A187" s="35" t="s">
        <v>219</v>
      </c>
      <c r="B187" s="16">
        <v>0.217</v>
      </c>
      <c r="C187" s="8">
        <v>0</v>
      </c>
      <c r="D187" s="8">
        <v>20.907</v>
      </c>
      <c r="E187" s="8">
        <v>8.2000000000000003E-2</v>
      </c>
      <c r="F187" s="8">
        <v>1.0580000000000001</v>
      </c>
      <c r="G187" s="8">
        <v>0.13300000000000001</v>
      </c>
      <c r="H187" s="8">
        <v>-7.2999999999999995E-2</v>
      </c>
      <c r="I187" s="8">
        <v>3.9E-2</v>
      </c>
      <c r="J187" s="8">
        <v>0.12</v>
      </c>
      <c r="K187" s="39">
        <f t="shared" si="16"/>
        <v>0.374</v>
      </c>
      <c r="L187" s="39">
        <f t="shared" si="17"/>
        <v>40.484015999999997</v>
      </c>
      <c r="M187" s="30">
        <f t="shared" si="18"/>
        <v>1249.6926052526978</v>
      </c>
      <c r="N187" s="30">
        <f>(RedShift*Age*(2*InitialTangentVelocity-UniverseAcceleration*Age))/(2+RedShift)*(1+RedShift)</f>
        <v>3.6413114914161153E+25</v>
      </c>
      <c r="O187" s="36">
        <f t="shared" si="19"/>
        <v>1180.068687350062</v>
      </c>
      <c r="P187" s="36">
        <f t="shared" si="20"/>
        <v>40.359536433432872</v>
      </c>
      <c r="Q187" s="36">
        <f t="shared" si="21"/>
        <v>0.11077784961493929</v>
      </c>
      <c r="R187" s="19">
        <v>1023.0309671294472</v>
      </c>
      <c r="S187" s="36">
        <f t="shared" si="22"/>
        <v>40.049443899987438</v>
      </c>
      <c r="T187" s="36">
        <f t="shared" si="23"/>
        <v>1.3501452008159072</v>
      </c>
      <c r="U187" s="30"/>
    </row>
    <row r="188" spans="1:21" x14ac:dyDescent="0.25">
      <c r="A188" s="35" t="s">
        <v>220</v>
      </c>
      <c r="B188" s="16">
        <v>0.218</v>
      </c>
      <c r="C188" s="8">
        <v>0</v>
      </c>
      <c r="D188" s="8">
        <v>21.056999999999999</v>
      </c>
      <c r="E188" s="8">
        <v>6.0999999999999999E-2</v>
      </c>
      <c r="F188" s="8">
        <v>0.83</v>
      </c>
      <c r="G188" s="8">
        <v>3.9E-2</v>
      </c>
      <c r="H188" s="8">
        <v>-0.11799999999999999</v>
      </c>
      <c r="I188" s="8">
        <v>4.9000000000000002E-2</v>
      </c>
      <c r="J188" s="8">
        <v>0.12</v>
      </c>
      <c r="K188" s="39">
        <f t="shared" si="16"/>
        <v>0.26900000000000002</v>
      </c>
      <c r="L188" s="39">
        <f t="shared" si="17"/>
        <v>40.741349999999997</v>
      </c>
      <c r="M188" s="30">
        <f t="shared" si="18"/>
        <v>1406.9219328094589</v>
      </c>
      <c r="N188" s="30">
        <f>(RedShift*Age*(2*InitialTangentVelocity-UniverseAcceleration*Age))/(2+RedShift)*(1+RedShift)</f>
        <v>3.6594469258280088E+25</v>
      </c>
      <c r="O188" s="36">
        <f t="shared" si="19"/>
        <v>1185.9459813776166</v>
      </c>
      <c r="P188" s="36">
        <f t="shared" si="20"/>
        <v>40.370324539053939</v>
      </c>
      <c r="Q188" s="36">
        <f t="shared" si="21"/>
        <v>1.9024045089237929</v>
      </c>
      <c r="R188" s="19">
        <v>1028.3331258620142</v>
      </c>
      <c r="S188" s="36">
        <f t="shared" si="22"/>
        <v>40.060669130142685</v>
      </c>
      <c r="T188" s="36">
        <f t="shared" si="23"/>
        <v>6.4029856772253986</v>
      </c>
      <c r="U188" s="30"/>
    </row>
    <row r="189" spans="1:21" x14ac:dyDescent="0.25">
      <c r="A189" s="35" t="s">
        <v>221</v>
      </c>
      <c r="B189" s="16">
        <v>0.219</v>
      </c>
      <c r="C189" s="8">
        <v>1E-3</v>
      </c>
      <c r="D189" s="8">
        <v>20.867000000000001</v>
      </c>
      <c r="E189" s="8">
        <v>2.5000000000000001E-2</v>
      </c>
      <c r="F189" s="8">
        <v>1.069</v>
      </c>
      <c r="G189" s="8">
        <v>1.2999999999999999E-2</v>
      </c>
      <c r="H189" s="8">
        <v>-1.6E-2</v>
      </c>
      <c r="I189" s="8">
        <v>2.1000000000000001E-2</v>
      </c>
      <c r="J189" s="8">
        <v>0.12</v>
      </c>
      <c r="K189" s="39">
        <f t="shared" si="16"/>
        <v>0.17899999999999999</v>
      </c>
      <c r="L189" s="39">
        <f t="shared" si="17"/>
        <v>40.267223000000001</v>
      </c>
      <c r="M189" s="30">
        <f t="shared" si="18"/>
        <v>1130.9531121176331</v>
      </c>
      <c r="N189" s="30">
        <f>(RedShift*Age*(2*InitialTangentVelocity-UniverseAcceleration*Age))/(2+RedShift)*(1+RedShift)</f>
        <v>3.6775935661895563E+25</v>
      </c>
      <c r="O189" s="36">
        <f t="shared" si="19"/>
        <v>1191.8269070061287</v>
      </c>
      <c r="P189" s="36">
        <f t="shared" si="20"/>
        <v>40.3810659297448</v>
      </c>
      <c r="Q189" s="36">
        <f t="shared" si="21"/>
        <v>0.40448839464683134</v>
      </c>
      <c r="R189" s="19">
        <v>1033.6402232236346</v>
      </c>
      <c r="S189" s="36">
        <f t="shared" si="22"/>
        <v>40.071847005887463</v>
      </c>
      <c r="T189" s="36">
        <f t="shared" si="23"/>
        <v>1.1913416895684474</v>
      </c>
      <c r="U189" s="30"/>
    </row>
    <row r="190" spans="1:21" x14ac:dyDescent="0.25">
      <c r="A190" s="35" t="s">
        <v>222</v>
      </c>
      <c r="B190" s="16">
        <v>0.219</v>
      </c>
      <c r="C190" s="8">
        <v>0</v>
      </c>
      <c r="D190" s="8">
        <v>21.103999999999999</v>
      </c>
      <c r="E190" s="8">
        <v>4.3999999999999997E-2</v>
      </c>
      <c r="F190" s="8">
        <v>1.0549999999999999</v>
      </c>
      <c r="G190" s="8">
        <v>3.9E-2</v>
      </c>
      <c r="H190" s="8">
        <v>2.7E-2</v>
      </c>
      <c r="I190" s="8">
        <v>0.03</v>
      </c>
      <c r="J190" s="8">
        <v>0.12</v>
      </c>
      <c r="K190" s="39">
        <f t="shared" si="16"/>
        <v>0.23299999999999998</v>
      </c>
      <c r="L190" s="39">
        <f t="shared" si="17"/>
        <v>40.367575000000002</v>
      </c>
      <c r="M190" s="30">
        <f t="shared" si="18"/>
        <v>1184.4452755812238</v>
      </c>
      <c r="N190" s="30">
        <f>(RedShift*Age*(2*InitialTangentVelocity-UniverseAcceleration*Age))/(2+RedShift)*(1+RedShift)</f>
        <v>3.6775935661895563E+25</v>
      </c>
      <c r="O190" s="36">
        <f t="shared" si="19"/>
        <v>1191.8269070061287</v>
      </c>
      <c r="P190" s="36">
        <f t="shared" si="20"/>
        <v>40.3810659297448</v>
      </c>
      <c r="Q190" s="36">
        <f t="shared" si="21"/>
        <v>3.3525241831506309E-3</v>
      </c>
      <c r="R190" s="19">
        <v>1033.6402232236346</v>
      </c>
      <c r="S190" s="36">
        <f t="shared" si="22"/>
        <v>40.071847005887463</v>
      </c>
      <c r="T190" s="36">
        <f t="shared" si="23"/>
        <v>1.6109165116658266</v>
      </c>
      <c r="U190" s="30"/>
    </row>
    <row r="191" spans="1:21" x14ac:dyDescent="0.25">
      <c r="A191" s="35" t="s">
        <v>223</v>
      </c>
      <c r="B191" s="16">
        <v>0.22</v>
      </c>
      <c r="C191" s="8">
        <v>0</v>
      </c>
      <c r="D191" s="8">
        <v>21.172999999999998</v>
      </c>
      <c r="E191" s="8">
        <v>3.4000000000000002E-2</v>
      </c>
      <c r="F191" s="8">
        <v>0.97599999999999998</v>
      </c>
      <c r="G191" s="8">
        <v>3.1E-2</v>
      </c>
      <c r="H191" s="8">
        <v>4.5999999999999999E-2</v>
      </c>
      <c r="I191" s="8">
        <v>2.5000000000000001E-2</v>
      </c>
      <c r="J191" s="8">
        <v>0.12</v>
      </c>
      <c r="K191" s="39">
        <f t="shared" si="16"/>
        <v>0.21</v>
      </c>
      <c r="L191" s="39">
        <f t="shared" si="17"/>
        <v>40.365492000000003</v>
      </c>
      <c r="M191" s="30">
        <f t="shared" si="18"/>
        <v>1183.3096329926391</v>
      </c>
      <c r="N191" s="30">
        <f>(RedShift*Age*(2*InitialTangentVelocity-UniverseAcceleration*Age))/(2+RedShift)*(1+RedShift)</f>
        <v>3.6957513973575807E+25</v>
      </c>
      <c r="O191" s="36">
        <f t="shared" si="19"/>
        <v>1197.7114593280289</v>
      </c>
      <c r="P191" s="36">
        <f t="shared" si="20"/>
        <v>40.39176102384392</v>
      </c>
      <c r="Q191" s="36">
        <f t="shared" si="21"/>
        <v>1.5647655639733374E-2</v>
      </c>
      <c r="R191" s="19">
        <v>1038.952253250719</v>
      </c>
      <c r="S191" s="36">
        <f t="shared" si="22"/>
        <v>40.082977946514397</v>
      </c>
      <c r="T191" s="36">
        <f t="shared" si="23"/>
        <v>1.8098455876840798</v>
      </c>
      <c r="U191" s="30"/>
    </row>
    <row r="192" spans="1:21" x14ac:dyDescent="0.25">
      <c r="A192" s="35" t="s">
        <v>224</v>
      </c>
      <c r="B192" s="16">
        <v>0.23</v>
      </c>
      <c r="C192" s="8">
        <v>0</v>
      </c>
      <c r="D192" s="8">
        <v>20.798999999999999</v>
      </c>
      <c r="E192" s="8">
        <v>3.7999999999999999E-2</v>
      </c>
      <c r="F192" s="8">
        <v>1.0920000000000001</v>
      </c>
      <c r="G192" s="8">
        <v>2.5000000000000001E-2</v>
      </c>
      <c r="H192" s="8">
        <v>-6.8000000000000005E-2</v>
      </c>
      <c r="I192" s="8">
        <v>2.8000000000000001E-2</v>
      </c>
      <c r="J192" s="8">
        <v>0.12</v>
      </c>
      <c r="K192" s="39">
        <f t="shared" si="16"/>
        <v>0.21099999999999999</v>
      </c>
      <c r="L192" s="39">
        <f t="shared" si="17"/>
        <v>40.365364</v>
      </c>
      <c r="M192" s="30">
        <f t="shared" si="18"/>
        <v>1183.2398834676858</v>
      </c>
      <c r="N192" s="30">
        <f>(RedShift*Age*(2*InitialTangentVelocity-UniverseAcceleration*Age))/(2+RedShift)*(1+RedShift)</f>
        <v>3.8779418913168555E+25</v>
      </c>
      <c r="O192" s="36">
        <f t="shared" si="19"/>
        <v>1256.7553773122518</v>
      </c>
      <c r="P192" s="36">
        <f t="shared" si="20"/>
        <v>40.496253760656487</v>
      </c>
      <c r="Q192" s="36">
        <f t="shared" si="21"/>
        <v>0.38481007714814214</v>
      </c>
      <c r="R192" s="19">
        <v>1092.3425418059824</v>
      </c>
      <c r="S192" s="36">
        <f t="shared" si="22"/>
        <v>40.19179423895288</v>
      </c>
      <c r="T192" s="36">
        <f t="shared" si="23"/>
        <v>0.67667981289625245</v>
      </c>
      <c r="U192" s="30">
        <f>R192/O192</f>
        <v>0.86917673998110168</v>
      </c>
    </row>
    <row r="193" spans="1:21" x14ac:dyDescent="0.25">
      <c r="A193" s="35" t="s">
        <v>10</v>
      </c>
      <c r="B193" s="16">
        <v>0.24399999999999999</v>
      </c>
      <c r="C193" s="8">
        <v>0</v>
      </c>
      <c r="D193" s="8">
        <v>20.995000000000001</v>
      </c>
      <c r="E193" s="8">
        <v>4.8000000000000001E-2</v>
      </c>
      <c r="F193" s="8">
        <v>1.109</v>
      </c>
      <c r="G193" s="8">
        <v>0.08</v>
      </c>
      <c r="H193" s="8">
        <v>3.9E-2</v>
      </c>
      <c r="I193" s="8">
        <v>3.6999999999999998E-2</v>
      </c>
      <c r="J193" s="8">
        <v>0.12</v>
      </c>
      <c r="K193" s="39">
        <f t="shared" si="16"/>
        <v>0.28500000000000003</v>
      </c>
      <c r="L193" s="39">
        <f t="shared" si="17"/>
        <v>40.228953000000004</v>
      </c>
      <c r="M193" s="30">
        <f t="shared" si="18"/>
        <v>1111.1958224528523</v>
      </c>
      <c r="N193" s="30">
        <f>(RedShift*Age*(2*InitialTangentVelocity-UniverseAcceleration*Age))/(2+RedShift)*(1+RedShift)</f>
        <v>4.1348576888083307E+25</v>
      </c>
      <c r="O193" s="36">
        <f t="shared" si="19"/>
        <v>1340.0161169166388</v>
      </c>
      <c r="P193" s="36">
        <f t="shared" si="20"/>
        <v>40.635550109159368</v>
      </c>
      <c r="Q193" s="36">
        <f t="shared" si="21"/>
        <v>2.0353488356633012</v>
      </c>
      <c r="R193" s="19">
        <v>1167.9053589077171</v>
      </c>
      <c r="S193" s="36">
        <f t="shared" si="22"/>
        <v>40.33703825596475</v>
      </c>
      <c r="T193" s="36">
        <f t="shared" si="23"/>
        <v>0.14382791698325054</v>
      </c>
      <c r="U193" s="30"/>
    </row>
    <row r="194" spans="1:21" x14ac:dyDescent="0.25">
      <c r="A194" s="35" t="s">
        <v>225</v>
      </c>
      <c r="B194" s="16">
        <v>0.245</v>
      </c>
      <c r="C194" s="8">
        <v>0</v>
      </c>
      <c r="D194" s="8">
        <v>20.791</v>
      </c>
      <c r="E194" s="8">
        <v>4.1000000000000002E-2</v>
      </c>
      <c r="F194" s="8">
        <v>1.1200000000000001</v>
      </c>
      <c r="G194" s="8">
        <v>2.9000000000000001E-2</v>
      </c>
      <c r="H194" s="8">
        <v>-0.06</v>
      </c>
      <c r="I194" s="8">
        <v>2.9000000000000001E-2</v>
      </c>
      <c r="J194" s="8">
        <v>0.12</v>
      </c>
      <c r="K194" s="39">
        <f t="shared" si="16"/>
        <v>0.219</v>
      </c>
      <c r="L194" s="39">
        <f t="shared" si="17"/>
        <v>40.336439999999996</v>
      </c>
      <c r="M194" s="30">
        <f t="shared" si="18"/>
        <v>1167.5836370641669</v>
      </c>
      <c r="N194" s="30">
        <f>(RedShift*Age*(2*InitialTangentVelocity-UniverseAcceleration*Age))/(2+RedShift)*(1+RedShift)</f>
        <v>4.1532904473152321E+25</v>
      </c>
      <c r="O194" s="36">
        <f t="shared" si="19"/>
        <v>1345.9897671211754</v>
      </c>
      <c r="P194" s="36">
        <f t="shared" si="20"/>
        <v>40.645208790897073</v>
      </c>
      <c r="Q194" s="36">
        <f t="shared" si="21"/>
        <v>1.9878269058618987</v>
      </c>
      <c r="R194" s="19">
        <v>1173.3387825649461</v>
      </c>
      <c r="S194" s="36">
        <f t="shared" si="22"/>
        <v>40.347117128589467</v>
      </c>
      <c r="T194" s="36">
        <f t="shared" si="23"/>
        <v>2.3769536689413648E-3</v>
      </c>
      <c r="U194" s="30"/>
    </row>
    <row r="195" spans="1:21" x14ac:dyDescent="0.25">
      <c r="A195" s="35" t="s">
        <v>226</v>
      </c>
      <c r="B195" s="16">
        <v>0.246</v>
      </c>
      <c r="C195" s="8">
        <v>1E-3</v>
      </c>
      <c r="D195" s="8">
        <v>21.521000000000001</v>
      </c>
      <c r="E195" s="8">
        <v>3.2000000000000001E-2</v>
      </c>
      <c r="F195" s="8">
        <v>0.91200000000000003</v>
      </c>
      <c r="G195" s="8">
        <v>2.7E-2</v>
      </c>
      <c r="H195" s="8">
        <v>3.4000000000000002E-2</v>
      </c>
      <c r="I195" s="8">
        <v>2.5000000000000001E-2</v>
      </c>
      <c r="J195" s="8">
        <v>0.12</v>
      </c>
      <c r="K195" s="39">
        <f t="shared" si="16"/>
        <v>0.20399999999999999</v>
      </c>
      <c r="L195" s="39">
        <f t="shared" si="17"/>
        <v>40.741644000000001</v>
      </c>
      <c r="M195" s="30">
        <f t="shared" si="18"/>
        <v>1407.1124316843902</v>
      </c>
      <c r="N195" s="30">
        <f>(RedShift*Age*(2*InitialTangentVelocity-UniverseAcceleration*Age))/(2+RedShift)*(1+RedShift)</f>
        <v>4.1717340123021368E+25</v>
      </c>
      <c r="O195" s="36">
        <f t="shared" si="19"/>
        <v>1351.9669194673727</v>
      </c>
      <c r="P195" s="36">
        <f t="shared" si="20"/>
        <v>40.654830326117796</v>
      </c>
      <c r="Q195" s="36">
        <f t="shared" si="21"/>
        <v>0.18109895167545556</v>
      </c>
      <c r="R195" s="19">
        <v>1178.7769856620828</v>
      </c>
      <c r="S195" s="36">
        <f t="shared" si="22"/>
        <v>40.357158240667466</v>
      </c>
      <c r="T195" s="36">
        <f t="shared" si="23"/>
        <v>3.552222681889551</v>
      </c>
      <c r="U195" s="30"/>
    </row>
    <row r="196" spans="1:21" x14ac:dyDescent="0.25">
      <c r="A196" s="35" t="s">
        <v>227</v>
      </c>
      <c r="B196" s="16">
        <v>0.25</v>
      </c>
      <c r="C196" s="8">
        <v>0</v>
      </c>
      <c r="D196" s="8">
        <v>20.957999999999998</v>
      </c>
      <c r="E196" s="8">
        <v>3.6999999999999998E-2</v>
      </c>
      <c r="F196" s="8">
        <v>1.0549999999999999</v>
      </c>
      <c r="G196" s="8">
        <v>3.4000000000000002E-2</v>
      </c>
      <c r="H196" s="8">
        <v>-3.7999999999999999E-2</v>
      </c>
      <c r="I196" s="8">
        <v>2.9000000000000001E-2</v>
      </c>
      <c r="J196" s="8">
        <v>0.12</v>
      </c>
      <c r="K196" s="39">
        <f t="shared" si="16"/>
        <v>0.22</v>
      </c>
      <c r="L196" s="39">
        <f t="shared" si="17"/>
        <v>40.425024999999998</v>
      </c>
      <c r="M196" s="30">
        <f t="shared" si="18"/>
        <v>1216.2000025857469</v>
      </c>
      <c r="N196" s="30">
        <f>(RedShift*Age*(2*InitialTangentVelocity-UniverseAcceleration*Age))/(2+RedShift)*(1+RedShift)</f>
        <v>4.2456160488770029E+25</v>
      </c>
      <c r="O196" s="36">
        <f t="shared" si="19"/>
        <v>1375.9104568783246</v>
      </c>
      <c r="P196" s="36">
        <f t="shared" si="20"/>
        <v>40.692950856455994</v>
      </c>
      <c r="Q196" s="36">
        <f t="shared" si="21"/>
        <v>1.4831459619355145</v>
      </c>
      <c r="R196" s="19">
        <v>1200.5774760965946</v>
      </c>
      <c r="S196" s="36">
        <f t="shared" si="22"/>
        <v>40.396950956723799</v>
      </c>
      <c r="T196" s="36">
        <f t="shared" si="23"/>
        <v>1.6284130286650451E-2</v>
      </c>
      <c r="U196" s="30"/>
    </row>
    <row r="197" spans="1:21" x14ac:dyDescent="0.25">
      <c r="A197" s="35" t="s">
        <v>228</v>
      </c>
      <c r="B197" s="16">
        <v>0.25</v>
      </c>
      <c r="C197" s="8">
        <v>0</v>
      </c>
      <c r="D197" s="8">
        <v>21.891999999999999</v>
      </c>
      <c r="E197" s="8">
        <v>2.8000000000000001E-2</v>
      </c>
      <c r="F197" s="8">
        <v>0.94899999999999995</v>
      </c>
      <c r="G197" s="8">
        <v>1.4999999999999999E-2</v>
      </c>
      <c r="H197" s="8">
        <v>0.16</v>
      </c>
      <c r="I197" s="8">
        <v>2.3E-2</v>
      </c>
      <c r="J197" s="8">
        <v>0.12</v>
      </c>
      <c r="K197" s="39">
        <f t="shared" si="16"/>
        <v>0.186</v>
      </c>
      <c r="L197" s="39">
        <f t="shared" si="17"/>
        <v>40.723703</v>
      </c>
      <c r="M197" s="30">
        <f t="shared" si="18"/>
        <v>1395.5345724291051</v>
      </c>
      <c r="N197" s="30">
        <f>(RedShift*Age*(2*InitialTangentVelocity-UniverseAcceleration*Age))/(2+RedShift)*(1+RedShift)</f>
        <v>4.2456160488770029E+25</v>
      </c>
      <c r="O197" s="36">
        <f t="shared" si="19"/>
        <v>1375.9104568783246</v>
      </c>
      <c r="P197" s="36">
        <f t="shared" si="20"/>
        <v>40.692950856455994</v>
      </c>
      <c r="Q197" s="36">
        <f t="shared" si="21"/>
        <v>2.7335366301051711E-2</v>
      </c>
      <c r="R197" s="19">
        <v>1200.5774760965946</v>
      </c>
      <c r="S197" s="36">
        <f t="shared" si="22"/>
        <v>40.396950956723799</v>
      </c>
      <c r="T197" s="36">
        <f t="shared" si="23"/>
        <v>3.0861052660762076</v>
      </c>
      <c r="U197" s="30"/>
    </row>
    <row r="198" spans="1:21" x14ac:dyDescent="0.25">
      <c r="A198" s="35" t="s">
        <v>229</v>
      </c>
      <c r="B198" s="16">
        <v>0.251</v>
      </c>
      <c r="C198" s="8">
        <v>0</v>
      </c>
      <c r="D198" s="8">
        <v>21.539000000000001</v>
      </c>
      <c r="E198" s="8">
        <v>0.04</v>
      </c>
      <c r="F198" s="8">
        <v>1.1639999999999999</v>
      </c>
      <c r="G198" s="8">
        <v>3.2000000000000001E-2</v>
      </c>
      <c r="H198" s="8">
        <v>0.03</v>
      </c>
      <c r="I198" s="8">
        <v>3.2000000000000001E-2</v>
      </c>
      <c r="J198" s="8">
        <v>0.12</v>
      </c>
      <c r="K198" s="39">
        <f t="shared" si="16"/>
        <v>0.224</v>
      </c>
      <c r="L198" s="39">
        <f t="shared" si="17"/>
        <v>40.809207999999998</v>
      </c>
      <c r="M198" s="30">
        <f t="shared" si="18"/>
        <v>1451.5820862481173</v>
      </c>
      <c r="N198" s="30">
        <f>(RedShift*Age*(2*InitialTangentVelocity-UniverseAcceleration*Age))/(2+RedShift)*(1+RedShift)</f>
        <v>4.2641134303583645E+25</v>
      </c>
      <c r="O198" s="36">
        <f t="shared" si="19"/>
        <v>1381.9050499625969</v>
      </c>
      <c r="P198" s="36">
        <f t="shared" si="20"/>
        <v>40.702391019482036</v>
      </c>
      <c r="Q198" s="36">
        <f t="shared" si="21"/>
        <v>0.22739690941834165</v>
      </c>
      <c r="R198" s="19">
        <v>1206.0394891757217</v>
      </c>
      <c r="S198" s="36">
        <f t="shared" si="22"/>
        <v>40.406807640390227</v>
      </c>
      <c r="T198" s="36">
        <f t="shared" si="23"/>
        <v>3.2271613802230807</v>
      </c>
      <c r="U198" s="30"/>
    </row>
    <row r="199" spans="1:21" x14ac:dyDescent="0.25">
      <c r="A199" s="35" t="s">
        <v>230</v>
      </c>
      <c r="B199" s="16">
        <v>0.252</v>
      </c>
      <c r="C199" s="8">
        <v>0</v>
      </c>
      <c r="D199" s="8">
        <v>21.355</v>
      </c>
      <c r="E199" s="8">
        <v>3.4000000000000002E-2</v>
      </c>
      <c r="F199" s="8">
        <v>1.175</v>
      </c>
      <c r="G199" s="8">
        <v>3.1E-2</v>
      </c>
      <c r="H199" s="8">
        <v>-1.2E-2</v>
      </c>
      <c r="I199" s="8">
        <v>2.5999999999999999E-2</v>
      </c>
      <c r="J199" s="8">
        <v>0.12</v>
      </c>
      <c r="K199" s="39">
        <f t="shared" ref="K199:K262" si="24">PeakMagnitudeError+StretchError+ColorError+ScatterError</f>
        <v>0.21099999999999999</v>
      </c>
      <c r="L199" s="39">
        <f t="shared" ref="L199:L262" si="25">PeakMagnitude+α*(Stretch-1)-β*Color-Mb</f>
        <v>40.758285000000001</v>
      </c>
      <c r="M199" s="30">
        <f t="shared" ref="M199:M262" si="26">10^((ObservedDistanceModuli-25)/5)</f>
        <v>1417.9372114118282</v>
      </c>
      <c r="N199" s="30">
        <f>(RedShift*Age*(2*InitialTangentVelocity-UniverseAcceleration*Age))/(2+RedShift)*(1+RedShift)</f>
        <v>4.2826215321364158E+25</v>
      </c>
      <c r="O199" s="36">
        <f t="shared" ref="O199:O262" si="27">N199/Mpc</f>
        <v>1387.9031172584196</v>
      </c>
      <c r="P199" s="36">
        <f t="shared" ref="P199:P262" si="28">(LOG10(T2LuminousDistance)*5+25)</f>
        <v>40.711795755995574</v>
      </c>
      <c r="Q199" s="36">
        <f t="shared" ref="Q199:Q262" si="29">(ObservedDistanceModuli-T2DistanceModuli)^2/TotalError^2</f>
        <v>4.8544502776288065E-2</v>
      </c>
      <c r="R199" s="19">
        <v>1211.5062468456167</v>
      </c>
      <c r="S199" s="36">
        <f t="shared" ref="S199:S262" si="30">(LOG10(ΛCDMLuminousDistance)*5+25)</f>
        <v>40.416628289080734</v>
      </c>
      <c r="T199" s="36">
        <f t="shared" ref="T199:T262" si="31">(ObservedDistanceModuli-ΛCDMDistanceModuli)^2/TotalError^2</f>
        <v>2.6218932215397581</v>
      </c>
      <c r="U199" s="30"/>
    </row>
    <row r="200" spans="1:21" x14ac:dyDescent="0.25">
      <c r="A200" s="35" t="s">
        <v>231</v>
      </c>
      <c r="B200" s="16">
        <v>0.253</v>
      </c>
      <c r="C200" s="8">
        <v>0</v>
      </c>
      <c r="D200" s="8">
        <v>21.420999999999999</v>
      </c>
      <c r="E200" s="8">
        <v>3.5000000000000003E-2</v>
      </c>
      <c r="F200" s="8">
        <v>0.94899999999999995</v>
      </c>
      <c r="G200" s="8">
        <v>0.03</v>
      </c>
      <c r="H200" s="8">
        <v>1.0999999999999999E-2</v>
      </c>
      <c r="I200" s="8">
        <v>2.5999999999999999E-2</v>
      </c>
      <c r="J200" s="8">
        <v>0.12</v>
      </c>
      <c r="K200" s="39">
        <f t="shared" si="24"/>
        <v>0.21099999999999999</v>
      </c>
      <c r="L200" s="39">
        <f t="shared" si="25"/>
        <v>40.719072999999995</v>
      </c>
      <c r="M200" s="30">
        <f t="shared" si="26"/>
        <v>1392.5621922429029</v>
      </c>
      <c r="N200" s="30">
        <f>(RedShift*Age*(2*InitialTangentVelocity-UniverseAcceleration*Age))/(2+RedShift)*(1+RedShift)</f>
        <v>4.3011403399364574E+25</v>
      </c>
      <c r="O200" s="36">
        <f t="shared" si="27"/>
        <v>1393.9046541396776</v>
      </c>
      <c r="P200" s="36">
        <f t="shared" si="28"/>
        <v>40.721165340843029</v>
      </c>
      <c r="Q200" s="36">
        <f t="shared" si="29"/>
        <v>9.8333150725094998E-5</v>
      </c>
      <c r="R200" s="19">
        <v>1216.9777433170714</v>
      </c>
      <c r="S200" s="36">
        <f t="shared" si="30"/>
        <v>40.426413178566229</v>
      </c>
      <c r="T200" s="36">
        <f t="shared" si="31"/>
        <v>1.9238060933412042</v>
      </c>
      <c r="U200" s="30"/>
    </row>
    <row r="201" spans="1:21" x14ac:dyDescent="0.25">
      <c r="A201" s="35" t="s">
        <v>232</v>
      </c>
      <c r="B201" s="16">
        <v>0.254</v>
      </c>
      <c r="C201" s="8">
        <v>0</v>
      </c>
      <c r="D201" s="8">
        <v>21.344999999999999</v>
      </c>
      <c r="E201" s="8">
        <v>5.8000000000000003E-2</v>
      </c>
      <c r="F201" s="8">
        <v>1.075</v>
      </c>
      <c r="G201" s="8">
        <v>5.3999999999999999E-2</v>
      </c>
      <c r="H201" s="8">
        <v>4.1000000000000002E-2</v>
      </c>
      <c r="I201" s="8">
        <v>3.9E-2</v>
      </c>
      <c r="J201" s="8">
        <v>0.12</v>
      </c>
      <c r="K201" s="39">
        <f t="shared" si="24"/>
        <v>0.27100000000000002</v>
      </c>
      <c r="L201" s="39">
        <f t="shared" si="25"/>
        <v>40.567695000000001</v>
      </c>
      <c r="M201" s="30">
        <f t="shared" si="26"/>
        <v>1298.7901910148557</v>
      </c>
      <c r="N201" s="30">
        <f>(RedShift*Age*(2*InitialTangentVelocity-UniverseAcceleration*Age))/(2+RedShift)*(1+RedShift)</f>
        <v>4.319669839509128E+25</v>
      </c>
      <c r="O201" s="36">
        <f t="shared" si="27"/>
        <v>1399.9096559884679</v>
      </c>
      <c r="P201" s="36">
        <f t="shared" si="28"/>
        <v>40.730500045635083</v>
      </c>
      <c r="Q201" s="36">
        <f t="shared" si="29"/>
        <v>0.3609085236344976</v>
      </c>
      <c r="R201" s="19">
        <v>1222.4539728063237</v>
      </c>
      <c r="S201" s="36">
        <f t="shared" si="30"/>
        <v>40.436162581380984</v>
      </c>
      <c r="T201" s="36">
        <f t="shared" si="31"/>
        <v>0.23557382317463363</v>
      </c>
      <c r="U201" s="30"/>
    </row>
    <row r="202" spans="1:21" x14ac:dyDescent="0.25">
      <c r="A202" s="35" t="s">
        <v>233</v>
      </c>
      <c r="B202" s="16">
        <v>0.25700000000000001</v>
      </c>
      <c r="C202" s="8">
        <v>0</v>
      </c>
      <c r="D202" s="8">
        <v>21.452999999999999</v>
      </c>
      <c r="E202" s="8">
        <v>6.9000000000000006E-2</v>
      </c>
      <c r="F202" s="8">
        <v>0.97799999999999998</v>
      </c>
      <c r="G202" s="8">
        <v>6.4000000000000001E-2</v>
      </c>
      <c r="H202" s="8">
        <v>2.1999999999999999E-2</v>
      </c>
      <c r="I202" s="8">
        <v>4.9000000000000002E-2</v>
      </c>
      <c r="J202" s="8">
        <v>0.12</v>
      </c>
      <c r="K202" s="39">
        <f t="shared" si="24"/>
        <v>0.30199999999999999</v>
      </c>
      <c r="L202" s="39">
        <f t="shared" si="25"/>
        <v>40.720905999999999</v>
      </c>
      <c r="M202" s="30">
        <f t="shared" si="26"/>
        <v>1393.7381888323307</v>
      </c>
      <c r="N202" s="30">
        <f>(RedShift*Age*(2*InitialTangentVelocity-UniverseAcceleration*Age))/(2+RedShift)*(1+RedShift)</f>
        <v>4.375322346748073E+25</v>
      </c>
      <c r="O202" s="36">
        <f t="shared" si="27"/>
        <v>1417.9454052837475</v>
      </c>
      <c r="P202" s="36">
        <f t="shared" si="28"/>
        <v>40.758297548309791</v>
      </c>
      <c r="Q202" s="36">
        <f t="shared" si="29"/>
        <v>1.5329677262000459E-2</v>
      </c>
      <c r="R202" s="19">
        <v>1238.9110016251464</v>
      </c>
      <c r="S202" s="36">
        <f t="shared" si="30"/>
        <v>40.46520054765373</v>
      </c>
      <c r="T202" s="36">
        <f t="shared" si="31"/>
        <v>0.71691239813616037</v>
      </c>
      <c r="U202" s="30"/>
    </row>
    <row r="203" spans="1:21" x14ac:dyDescent="0.25">
      <c r="A203" s="35" t="s">
        <v>234</v>
      </c>
      <c r="B203" s="16">
        <v>0.25800000000000001</v>
      </c>
      <c r="C203" s="8">
        <v>0</v>
      </c>
      <c r="D203" s="8">
        <v>21.562999999999999</v>
      </c>
      <c r="E203" s="8">
        <v>5.6000000000000001E-2</v>
      </c>
      <c r="F203" s="8">
        <v>0.91800000000000004</v>
      </c>
      <c r="G203" s="8">
        <v>8.2000000000000003E-2</v>
      </c>
      <c r="H203" s="8">
        <v>2.1999999999999999E-2</v>
      </c>
      <c r="I203" s="8">
        <v>4.3999999999999997E-2</v>
      </c>
      <c r="J203" s="8">
        <v>0.12</v>
      </c>
      <c r="K203" s="39">
        <f t="shared" si="24"/>
        <v>0.30199999999999999</v>
      </c>
      <c r="L203" s="39">
        <f t="shared" si="25"/>
        <v>40.822085999999999</v>
      </c>
      <c r="M203" s="30">
        <f t="shared" si="26"/>
        <v>1460.2163267509777</v>
      </c>
      <c r="N203" s="30">
        <f>(RedShift*Age*(2*InitialTangentVelocity-UniverseAcceleration*Age))/(2+RedShift)*(1+RedShift)</f>
        <v>4.3938944714222992E+25</v>
      </c>
      <c r="O203" s="36">
        <f t="shared" si="27"/>
        <v>1423.9642209871777</v>
      </c>
      <c r="P203" s="36">
        <f t="shared" si="28"/>
        <v>40.767495386029999</v>
      </c>
      <c r="Q203" s="36">
        <f t="shared" si="29"/>
        <v>3.2675487189394066E-2</v>
      </c>
      <c r="R203" s="19">
        <v>1244.4061054572232</v>
      </c>
      <c r="S203" s="36">
        <f t="shared" si="30"/>
        <v>40.474810666152621</v>
      </c>
      <c r="T203" s="36">
        <f t="shared" si="31"/>
        <v>1.322312151866232</v>
      </c>
      <c r="U203" s="30"/>
    </row>
    <row r="204" spans="1:21" x14ac:dyDescent="0.25">
      <c r="A204" s="35" t="s">
        <v>235</v>
      </c>
      <c r="B204" s="16">
        <v>0.25900000000000001</v>
      </c>
      <c r="C204" s="8">
        <v>0</v>
      </c>
      <c r="D204" s="8">
        <v>21.632999999999999</v>
      </c>
      <c r="E204" s="8">
        <v>4.3999999999999997E-2</v>
      </c>
      <c r="F204" s="8">
        <v>1.0489999999999999</v>
      </c>
      <c r="G204" s="8">
        <v>4.7E-2</v>
      </c>
      <c r="H204" s="8">
        <v>7.6999999999999999E-2</v>
      </c>
      <c r="I204" s="8">
        <v>3.7999999999999999E-2</v>
      </c>
      <c r="J204" s="8">
        <v>0.12</v>
      </c>
      <c r="K204" s="39">
        <f t="shared" si="24"/>
        <v>0.249</v>
      </c>
      <c r="L204" s="39">
        <f t="shared" si="25"/>
        <v>40.739193</v>
      </c>
      <c r="M204" s="30">
        <f t="shared" si="26"/>
        <v>1405.5250816027226</v>
      </c>
      <c r="N204" s="30">
        <f>(RedShift*Age*(2*InitialTangentVelocity-UniverseAcceleration*Age))/(2+RedShift)*(1+RedShift)</f>
        <v>4.4124772170003566E+25</v>
      </c>
      <c r="O204" s="36">
        <f t="shared" si="27"/>
        <v>1429.9864786911266</v>
      </c>
      <c r="P204" s="36">
        <f t="shared" si="28"/>
        <v>40.776659654956099</v>
      </c>
      <c r="Q204" s="36">
        <f t="shared" si="29"/>
        <v>2.2640767626317927E-2</v>
      </c>
      <c r="R204" s="19">
        <v>1249.9059134703004</v>
      </c>
      <c r="S204" s="36">
        <f t="shared" si="30"/>
        <v>40.484386613846105</v>
      </c>
      <c r="T204" s="36">
        <f t="shared" si="31"/>
        <v>1.0471814071516237</v>
      </c>
      <c r="U204" s="30"/>
    </row>
    <row r="205" spans="1:21" x14ac:dyDescent="0.25">
      <c r="A205" s="35" t="s">
        <v>236</v>
      </c>
      <c r="B205" s="16">
        <v>0.25900000000000001</v>
      </c>
      <c r="C205" s="8">
        <v>0</v>
      </c>
      <c r="D205" s="8">
        <v>21.536999999999999</v>
      </c>
      <c r="E205" s="8">
        <v>3.9E-2</v>
      </c>
      <c r="F205" s="8">
        <v>1.0649999999999999</v>
      </c>
      <c r="G205" s="8">
        <v>5.5E-2</v>
      </c>
      <c r="H205" s="8">
        <v>6.3E-2</v>
      </c>
      <c r="I205" s="8">
        <v>3.2000000000000001E-2</v>
      </c>
      <c r="J205" s="8">
        <v>0.12</v>
      </c>
      <c r="K205" s="39">
        <f t="shared" si="24"/>
        <v>0.246</v>
      </c>
      <c r="L205" s="39">
        <f t="shared" si="25"/>
        <v>40.689364999999995</v>
      </c>
      <c r="M205" s="30">
        <f t="shared" si="26"/>
        <v>1373.6402249886767</v>
      </c>
      <c r="N205" s="30">
        <f>(RedShift*Age*(2*InitialTangentVelocity-UniverseAcceleration*Age))/(2+RedShift)*(1+RedShift)</f>
        <v>4.4124772170003566E+25</v>
      </c>
      <c r="O205" s="36">
        <f t="shared" si="27"/>
        <v>1429.9864786911266</v>
      </c>
      <c r="P205" s="36">
        <f t="shared" si="28"/>
        <v>40.776659654956099</v>
      </c>
      <c r="Q205" s="36">
        <f t="shared" si="29"/>
        <v>0.12592300852510369</v>
      </c>
      <c r="R205" s="19">
        <v>1249.9059134703004</v>
      </c>
      <c r="S205" s="36">
        <f t="shared" si="30"/>
        <v>40.484386613846105</v>
      </c>
      <c r="T205" s="36">
        <f t="shared" si="31"/>
        <v>0.69429801689227943</v>
      </c>
      <c r="U205" s="30"/>
    </row>
    <row r="206" spans="1:21" x14ac:dyDescent="0.25">
      <c r="A206" s="35" t="s">
        <v>237</v>
      </c>
      <c r="B206" s="16">
        <v>0.25900000000000001</v>
      </c>
      <c r="C206" s="8">
        <v>0</v>
      </c>
      <c r="D206" s="8">
        <v>21.01</v>
      </c>
      <c r="E206" s="8">
        <v>5.2999999999999999E-2</v>
      </c>
      <c r="F206" s="8">
        <v>1.0569999999999999</v>
      </c>
      <c r="G206" s="8">
        <v>4.1000000000000002E-2</v>
      </c>
      <c r="H206" s="8">
        <v>-0.16800000000000001</v>
      </c>
      <c r="I206" s="8">
        <v>3.6999999999999998E-2</v>
      </c>
      <c r="J206" s="8">
        <v>0.12</v>
      </c>
      <c r="K206" s="39">
        <f t="shared" si="24"/>
        <v>0.251</v>
      </c>
      <c r="L206" s="39">
        <f t="shared" si="25"/>
        <v>40.884219000000002</v>
      </c>
      <c r="M206" s="30">
        <f t="shared" si="26"/>
        <v>1502.6014375613963</v>
      </c>
      <c r="N206" s="30">
        <f>(RedShift*Age*(2*InitialTangentVelocity-UniverseAcceleration*Age))/(2+RedShift)*(1+RedShift)</f>
        <v>4.4124772170003566E+25</v>
      </c>
      <c r="O206" s="36">
        <f t="shared" si="27"/>
        <v>1429.9864786911266</v>
      </c>
      <c r="P206" s="36">
        <f t="shared" si="28"/>
        <v>40.776659654956099</v>
      </c>
      <c r="Q206" s="36">
        <f t="shared" si="29"/>
        <v>0.18363220752485473</v>
      </c>
      <c r="R206" s="19">
        <v>1249.9059134703004</v>
      </c>
      <c r="S206" s="36">
        <f t="shared" si="30"/>
        <v>40.484386613846105</v>
      </c>
      <c r="T206" s="36">
        <f t="shared" si="31"/>
        <v>2.5375142778292168</v>
      </c>
      <c r="U206" s="30"/>
    </row>
    <row r="207" spans="1:21" x14ac:dyDescent="0.25">
      <c r="A207" s="35" t="s">
        <v>238</v>
      </c>
      <c r="B207" s="16">
        <v>0.26200000000000001</v>
      </c>
      <c r="C207" s="8">
        <v>0</v>
      </c>
      <c r="D207" s="8">
        <v>21.23</v>
      </c>
      <c r="E207" s="8">
        <v>4.8000000000000001E-2</v>
      </c>
      <c r="F207" s="8">
        <v>0.871</v>
      </c>
      <c r="G207" s="8">
        <v>4.3999999999999997E-2</v>
      </c>
      <c r="H207" s="8">
        <v>-0.09</v>
      </c>
      <c r="I207" s="8">
        <v>4.1000000000000002E-2</v>
      </c>
      <c r="J207" s="8">
        <v>0.12</v>
      </c>
      <c r="K207" s="39">
        <f t="shared" si="24"/>
        <v>0.253</v>
      </c>
      <c r="L207" s="39">
        <f t="shared" si="25"/>
        <v>40.832737000000002</v>
      </c>
      <c r="M207" s="30">
        <f t="shared" si="26"/>
        <v>1467.396233510631</v>
      </c>
      <c r="N207" s="30">
        <f>(RedShift*Age*(2*InitialTangentVelocity-UniverseAcceleration*Age))/(2+RedShift)*(1+RedShift)</f>
        <v>4.468289038296725E+25</v>
      </c>
      <c r="O207" s="36">
        <f t="shared" si="27"/>
        <v>1448.0738581562125</v>
      </c>
      <c r="P207" s="36">
        <f t="shared" si="28"/>
        <v>40.803953566804466</v>
      </c>
      <c r="Q207" s="36">
        <f t="shared" si="29"/>
        <v>1.2943274016495167E-2</v>
      </c>
      <c r="R207" s="19">
        <v>1266.4335051140895</v>
      </c>
      <c r="S207" s="36">
        <f t="shared" si="30"/>
        <v>40.512911959104407</v>
      </c>
      <c r="T207" s="36">
        <f t="shared" si="31"/>
        <v>1.5980261648185186</v>
      </c>
      <c r="U207" s="30"/>
    </row>
    <row r="208" spans="1:21" x14ac:dyDescent="0.25">
      <c r="A208" s="35" t="s">
        <v>239</v>
      </c>
      <c r="B208" s="16">
        <v>0.26200000000000001</v>
      </c>
      <c r="C208" s="8">
        <v>0</v>
      </c>
      <c r="D208" s="8">
        <v>21.286000000000001</v>
      </c>
      <c r="E208" s="8">
        <v>5.2999999999999999E-2</v>
      </c>
      <c r="F208" s="8">
        <v>1.1479999999999999</v>
      </c>
      <c r="G208" s="8">
        <v>4.5999999999999999E-2</v>
      </c>
      <c r="H208" s="8">
        <v>-8.5000000000000006E-2</v>
      </c>
      <c r="I208" s="8">
        <v>4.1000000000000002E-2</v>
      </c>
      <c r="J208" s="8">
        <v>0.12</v>
      </c>
      <c r="K208" s="39">
        <f t="shared" si="24"/>
        <v>0.26</v>
      </c>
      <c r="L208" s="39">
        <f t="shared" si="25"/>
        <v>40.913806000000001</v>
      </c>
      <c r="M208" s="30">
        <f t="shared" si="26"/>
        <v>1523.214972585411</v>
      </c>
      <c r="N208" s="30">
        <f>(RedShift*Age*(2*InitialTangentVelocity-UniverseAcceleration*Age))/(2+RedShift)*(1+RedShift)</f>
        <v>4.468289038296725E+25</v>
      </c>
      <c r="O208" s="36">
        <f t="shared" si="27"/>
        <v>1448.0738581562125</v>
      </c>
      <c r="P208" s="36">
        <f t="shared" si="28"/>
        <v>40.803953566804466</v>
      </c>
      <c r="Q208" s="36">
        <f t="shared" si="29"/>
        <v>0.17851415797306797</v>
      </c>
      <c r="R208" s="19">
        <v>1266.4335051140895</v>
      </c>
      <c r="S208" s="36">
        <f t="shared" si="30"/>
        <v>40.512911959104407</v>
      </c>
      <c r="T208" s="36">
        <f t="shared" si="31"/>
        <v>2.3774560950532235</v>
      </c>
      <c r="U208" s="30"/>
    </row>
    <row r="209" spans="1:21" x14ac:dyDescent="0.25">
      <c r="A209" s="35" t="s">
        <v>240</v>
      </c>
      <c r="B209" s="16">
        <v>0.26300000000000001</v>
      </c>
      <c r="C209" s="8">
        <v>1E-3</v>
      </c>
      <c r="D209" s="8">
        <v>21.696999999999999</v>
      </c>
      <c r="E209" s="8">
        <v>2.5999999999999999E-2</v>
      </c>
      <c r="F209" s="8">
        <v>0.89100000000000001</v>
      </c>
      <c r="G209" s="8">
        <v>1.7999999999999999E-2</v>
      </c>
      <c r="H209" s="8">
        <v>8.8999999999999996E-2</v>
      </c>
      <c r="I209" s="8">
        <v>0.02</v>
      </c>
      <c r="J209" s="8">
        <v>0.12</v>
      </c>
      <c r="K209" s="39">
        <f t="shared" si="24"/>
        <v>0.184</v>
      </c>
      <c r="L209" s="39">
        <f t="shared" si="25"/>
        <v>40.742407</v>
      </c>
      <c r="M209" s="30">
        <f t="shared" si="26"/>
        <v>1407.6069419647372</v>
      </c>
      <c r="N209" s="30">
        <f>(RedShift*Age*(2*InitialTangentVelocity-UniverseAcceleration*Age))/(2+RedShift)*(1+RedShift)</f>
        <v>4.486914126753805E+25</v>
      </c>
      <c r="O209" s="36">
        <f t="shared" si="27"/>
        <v>1454.1098382527073</v>
      </c>
      <c r="P209" s="36">
        <f t="shared" si="28"/>
        <v>40.812986064064141</v>
      </c>
      <c r="Q209" s="36">
        <f t="shared" si="29"/>
        <v>0.14713505092657511</v>
      </c>
      <c r="R209" s="19">
        <v>1271.9520723972896</v>
      </c>
      <c r="S209" s="36">
        <f t="shared" si="30"/>
        <v>40.522353736257202</v>
      </c>
      <c r="T209" s="36">
        <f t="shared" si="31"/>
        <v>1.4302764320610102</v>
      </c>
      <c r="U209" s="30"/>
    </row>
    <row r="210" spans="1:21" x14ac:dyDescent="0.25">
      <c r="A210" s="35" t="s">
        <v>241</v>
      </c>
      <c r="B210" s="16">
        <v>0.26300000000000001</v>
      </c>
      <c r="C210" s="8">
        <v>0</v>
      </c>
      <c r="D210" s="8">
        <v>21.184000000000001</v>
      </c>
      <c r="E210" s="8">
        <v>3.2000000000000001E-2</v>
      </c>
      <c r="F210" s="8">
        <v>1.1679999999999999</v>
      </c>
      <c r="G210" s="8">
        <v>1.7999999999999999E-2</v>
      </c>
      <c r="H210" s="8">
        <v>-6.0000000000000001E-3</v>
      </c>
      <c r="I210" s="8">
        <v>2.1999999999999999E-2</v>
      </c>
      <c r="J210" s="8">
        <v>0.12</v>
      </c>
      <c r="K210" s="39">
        <f t="shared" si="24"/>
        <v>0.192</v>
      </c>
      <c r="L210" s="39">
        <f t="shared" si="25"/>
        <v>40.567475999999999</v>
      </c>
      <c r="M210" s="30">
        <f t="shared" si="26"/>
        <v>1298.6592104378183</v>
      </c>
      <c r="N210" s="30">
        <f>(RedShift*Age*(2*InitialTangentVelocity-UniverseAcceleration*Age))/(2+RedShift)*(1+RedShift)</f>
        <v>4.486914126753805E+25</v>
      </c>
      <c r="O210" s="36">
        <f t="shared" si="27"/>
        <v>1454.1098382527073</v>
      </c>
      <c r="P210" s="36">
        <f t="shared" si="28"/>
        <v>40.812986064064141</v>
      </c>
      <c r="Q210" s="36">
        <f t="shared" si="29"/>
        <v>1.6350692154074178</v>
      </c>
      <c r="R210" s="19">
        <v>1271.9520723972896</v>
      </c>
      <c r="S210" s="36">
        <f t="shared" si="30"/>
        <v>40.522353736257202</v>
      </c>
      <c r="T210" s="36">
        <f t="shared" si="31"/>
        <v>5.5230541592734828E-2</v>
      </c>
      <c r="U210" s="30"/>
    </row>
    <row r="211" spans="1:21" x14ac:dyDescent="0.25">
      <c r="A211" s="35" t="s">
        <v>242</v>
      </c>
      <c r="B211" s="16">
        <v>0.26500000000000001</v>
      </c>
      <c r="C211" s="8">
        <v>0</v>
      </c>
      <c r="D211" s="8">
        <v>21.143999999999998</v>
      </c>
      <c r="E211" s="8">
        <v>3.5999999999999997E-2</v>
      </c>
      <c r="F211" s="8">
        <v>1.1120000000000001</v>
      </c>
      <c r="G211" s="8">
        <v>2.8000000000000001E-2</v>
      </c>
      <c r="H211" s="8">
        <v>-0.156</v>
      </c>
      <c r="I211" s="8">
        <v>3.1E-2</v>
      </c>
      <c r="J211" s="8">
        <v>0.12</v>
      </c>
      <c r="K211" s="39">
        <f t="shared" si="24"/>
        <v>0.215</v>
      </c>
      <c r="L211" s="39">
        <f t="shared" si="25"/>
        <v>40.988743999999997</v>
      </c>
      <c r="M211" s="30">
        <f t="shared" si="26"/>
        <v>1576.6990284001722</v>
      </c>
      <c r="N211" s="30">
        <f>(RedShift*Age*(2*InitialTangentVelocity-UniverseAcceleration*Age))/(2+RedShift)*(1+RedShift)</f>
        <v>4.5241959416735154E+25</v>
      </c>
      <c r="O211" s="36">
        <f t="shared" si="27"/>
        <v>1466.1920516250163</v>
      </c>
      <c r="P211" s="36">
        <f t="shared" si="28"/>
        <v>40.830954304111309</v>
      </c>
      <c r="Q211" s="36">
        <f t="shared" si="29"/>
        <v>0.53861737433520185</v>
      </c>
      <c r="R211" s="19">
        <v>1283.003227685376</v>
      </c>
      <c r="S211" s="36">
        <f t="shared" si="30"/>
        <v>40.541138744712462</v>
      </c>
      <c r="T211" s="36">
        <f t="shared" si="31"/>
        <v>4.3342447714660661</v>
      </c>
      <c r="U211" s="30"/>
    </row>
    <row r="212" spans="1:21" x14ac:dyDescent="0.25">
      <c r="A212" s="35" t="s">
        <v>243</v>
      </c>
      <c r="B212" s="16">
        <v>0.26500000000000001</v>
      </c>
      <c r="C212" s="8">
        <v>0</v>
      </c>
      <c r="D212" s="8">
        <v>21.372</v>
      </c>
      <c r="E212" s="8">
        <v>4.1000000000000002E-2</v>
      </c>
      <c r="F212" s="8">
        <v>1.0549999999999999</v>
      </c>
      <c r="G212" s="8">
        <v>4.1000000000000002E-2</v>
      </c>
      <c r="H212" s="8">
        <v>7.0000000000000001E-3</v>
      </c>
      <c r="I212" s="8">
        <v>3.7999999999999999E-2</v>
      </c>
      <c r="J212" s="8">
        <v>0.12</v>
      </c>
      <c r="K212" s="39">
        <f t="shared" si="24"/>
        <v>0.24</v>
      </c>
      <c r="L212" s="39">
        <f t="shared" si="25"/>
        <v>40.698175000000006</v>
      </c>
      <c r="M212" s="30">
        <f t="shared" si="26"/>
        <v>1379.2246169163113</v>
      </c>
      <c r="N212" s="30">
        <f>(RedShift*Age*(2*InitialTangentVelocity-UniverseAcceleration*Age))/(2+RedShift)*(1+RedShift)</f>
        <v>4.5241959416735154E+25</v>
      </c>
      <c r="O212" s="36">
        <f t="shared" si="27"/>
        <v>1466.1920516250163</v>
      </c>
      <c r="P212" s="36">
        <f t="shared" si="28"/>
        <v>40.830954304111309</v>
      </c>
      <c r="Q212" s="36">
        <f t="shared" si="29"/>
        <v>0.30608235417155855</v>
      </c>
      <c r="R212" s="19">
        <v>1283.003227685376</v>
      </c>
      <c r="S212" s="36">
        <f t="shared" si="30"/>
        <v>40.541138744712462</v>
      </c>
      <c r="T212" s="36">
        <f t="shared" si="31"/>
        <v>0.42813169226969805</v>
      </c>
      <c r="U212" s="30"/>
    </row>
    <row r="213" spans="1:21" x14ac:dyDescent="0.25">
      <c r="A213" s="35" t="s">
        <v>244</v>
      </c>
      <c r="B213" s="16">
        <v>0.26700000000000002</v>
      </c>
      <c r="C213" s="8">
        <v>0</v>
      </c>
      <c r="D213" s="8">
        <v>20.919</v>
      </c>
      <c r="E213" s="8">
        <v>4.3999999999999997E-2</v>
      </c>
      <c r="F213" s="8">
        <v>0.97099999999999997</v>
      </c>
      <c r="G213" s="8">
        <v>3.9E-2</v>
      </c>
      <c r="H213" s="8">
        <v>-0.16600000000000001</v>
      </c>
      <c r="I213" s="8">
        <v>0.03</v>
      </c>
      <c r="J213" s="8">
        <v>0.12</v>
      </c>
      <c r="K213" s="39">
        <f t="shared" si="24"/>
        <v>0.23299999999999998</v>
      </c>
      <c r="L213" s="39">
        <f t="shared" si="25"/>
        <v>40.774316999999996</v>
      </c>
      <c r="M213" s="30">
        <f t="shared" si="26"/>
        <v>1428.4445947044953</v>
      </c>
      <c r="N213" s="30">
        <f>(RedShift*Age*(2*InitialTangentVelocity-UniverseAcceleration*Age))/(2+RedShift)*(1+RedShift)</f>
        <v>4.5615198475613483E+25</v>
      </c>
      <c r="O213" s="36">
        <f t="shared" si="27"/>
        <v>1478.2879057511086</v>
      </c>
      <c r="P213" s="36">
        <f t="shared" si="28"/>
        <v>40.848795119219837</v>
      </c>
      <c r="Q213" s="36">
        <f t="shared" si="29"/>
        <v>0.10217521491507932</v>
      </c>
      <c r="R213" s="19">
        <v>1294.0730391415591</v>
      </c>
      <c r="S213" s="36">
        <f t="shared" si="30"/>
        <v>40.559793945809282</v>
      </c>
      <c r="T213" s="36">
        <f t="shared" si="31"/>
        <v>0.84768812796905446</v>
      </c>
      <c r="U213" s="30"/>
    </row>
    <row r="214" spans="1:21" x14ac:dyDescent="0.25">
      <c r="A214" s="35" t="s">
        <v>245</v>
      </c>
      <c r="B214" s="16">
        <v>0.26800000000000002</v>
      </c>
      <c r="C214" s="8">
        <v>1E-3</v>
      </c>
      <c r="D214" s="8">
        <v>21.748000000000001</v>
      </c>
      <c r="E214" s="8">
        <v>2.5999999999999999E-2</v>
      </c>
      <c r="F214" s="8">
        <v>0.999</v>
      </c>
      <c r="G214" s="8">
        <v>1.4999999999999999E-2</v>
      </c>
      <c r="H214" s="8">
        <v>0.104</v>
      </c>
      <c r="I214" s="8">
        <v>1.9E-2</v>
      </c>
      <c r="J214" s="8">
        <v>0.12</v>
      </c>
      <c r="K214" s="39">
        <f t="shared" si="24"/>
        <v>0.18</v>
      </c>
      <c r="L214" s="39">
        <f t="shared" si="25"/>
        <v>40.762332999999998</v>
      </c>
      <c r="M214" s="30">
        <f t="shared" si="26"/>
        <v>1420.5829568201275</v>
      </c>
      <c r="N214" s="30">
        <f>(RedShift*Age*(2*InitialTangentVelocity-UniverseAcceleration*Age))/(2+RedShift)*(1+RedShift)</f>
        <v>4.5801975498208856E+25</v>
      </c>
      <c r="O214" s="36">
        <f t="shared" si="27"/>
        <v>1484.3409368197458</v>
      </c>
      <c r="P214" s="36">
        <f t="shared" si="28"/>
        <v>40.857668325380509</v>
      </c>
      <c r="Q214" s="36">
        <f t="shared" si="29"/>
        <v>0.2805192674508582</v>
      </c>
      <c r="R214" s="19">
        <v>1299.6149266557127</v>
      </c>
      <c r="S214" s="36">
        <f t="shared" si="30"/>
        <v>40.569073453834804</v>
      </c>
      <c r="T214" s="36">
        <f t="shared" si="31"/>
        <v>1.1527546970363225</v>
      </c>
      <c r="U214" s="30"/>
    </row>
    <row r="215" spans="1:21" x14ac:dyDescent="0.25">
      <c r="A215" s="35" t="s">
        <v>246</v>
      </c>
      <c r="B215" s="16">
        <v>0.27</v>
      </c>
      <c r="C215" s="8">
        <v>0.01</v>
      </c>
      <c r="D215" s="8">
        <v>21.052</v>
      </c>
      <c r="E215" s="8">
        <v>0.03</v>
      </c>
      <c r="F215" s="8">
        <v>1.1240000000000001</v>
      </c>
      <c r="G215" s="8">
        <v>1.4E-2</v>
      </c>
      <c r="H215" s="8">
        <v>-6.3E-2</v>
      </c>
      <c r="I215" s="8">
        <v>0.02</v>
      </c>
      <c r="J215" s="8">
        <v>0.12</v>
      </c>
      <c r="K215" s="39">
        <f t="shared" si="24"/>
        <v>0.184</v>
      </c>
      <c r="L215" s="39">
        <f t="shared" si="25"/>
        <v>40.607417999999996</v>
      </c>
      <c r="M215" s="30">
        <f t="shared" si="26"/>
        <v>1322.7677561875917</v>
      </c>
      <c r="N215" s="30">
        <f>(RedShift*Age*(2*InitialTangentVelocity-UniverseAcceleration*Age))/(2+RedShift)*(1+RedShift)</f>
        <v>4.6175843835909495E+25</v>
      </c>
      <c r="O215" s="36">
        <f t="shared" si="27"/>
        <v>1496.4571844835939</v>
      </c>
      <c r="P215" s="36">
        <f t="shared" si="28"/>
        <v>40.875321478221451</v>
      </c>
      <c r="Q215" s="36">
        <f t="shared" si="29"/>
        <v>2.1199277422954288</v>
      </c>
      <c r="R215" s="19">
        <v>1310.7126367509097</v>
      </c>
      <c r="S215" s="36">
        <f t="shared" si="30"/>
        <v>40.587537432694845</v>
      </c>
      <c r="T215" s="36">
        <f t="shared" si="31"/>
        <v>1.1674059439231981E-2</v>
      </c>
      <c r="U215" s="30"/>
    </row>
    <row r="216" spans="1:21" x14ac:dyDescent="0.25">
      <c r="A216" s="35" t="s">
        <v>247</v>
      </c>
      <c r="B216" s="16">
        <v>0.27200000000000002</v>
      </c>
      <c r="C216" s="8">
        <v>0</v>
      </c>
      <c r="D216" s="8">
        <v>21.698</v>
      </c>
      <c r="E216" s="8">
        <v>4.5999999999999999E-2</v>
      </c>
      <c r="F216" s="8">
        <v>0.82599999999999996</v>
      </c>
      <c r="G216" s="8">
        <v>6.4000000000000001E-2</v>
      </c>
      <c r="H216" s="8">
        <v>-1.7999999999999999E-2</v>
      </c>
      <c r="I216" s="8">
        <v>3.7999999999999999E-2</v>
      </c>
      <c r="J216" s="8">
        <v>0.12</v>
      </c>
      <c r="K216" s="39">
        <f t="shared" si="24"/>
        <v>0.26800000000000002</v>
      </c>
      <c r="L216" s="39">
        <f t="shared" si="25"/>
        <v>41.068762</v>
      </c>
      <c r="M216" s="30">
        <f t="shared" si="26"/>
        <v>1635.8836054419635</v>
      </c>
      <c r="N216" s="30">
        <f>(RedShift*Age*(2*InitialTangentVelocity-UniverseAcceleration*Age))/(2+RedShift)*(1+RedShift)</f>
        <v>4.6550130308070238E+25</v>
      </c>
      <c r="O216" s="36">
        <f t="shared" si="27"/>
        <v>1508.5869829624339</v>
      </c>
      <c r="P216" s="36">
        <f t="shared" si="28"/>
        <v>40.892851780150401</v>
      </c>
      <c r="Q216" s="36">
        <f t="shared" si="29"/>
        <v>0.43083656504140577</v>
      </c>
      <c r="R216" s="19">
        <v>1321.8288889934265</v>
      </c>
      <c r="S216" s="36">
        <f t="shared" si="30"/>
        <v>40.605876196415167</v>
      </c>
      <c r="T216" s="36">
        <f t="shared" si="31"/>
        <v>2.983170906109045</v>
      </c>
      <c r="U216" s="30"/>
    </row>
    <row r="217" spans="1:21" x14ac:dyDescent="0.25">
      <c r="A217" s="35" t="s">
        <v>248</v>
      </c>
      <c r="B217" s="16">
        <v>0.28000000000000003</v>
      </c>
      <c r="C217" s="8">
        <v>0</v>
      </c>
      <c r="D217" s="8">
        <v>21.452999999999999</v>
      </c>
      <c r="E217" s="8">
        <v>4.2999999999999997E-2</v>
      </c>
      <c r="F217" s="8">
        <v>0.98299999999999998</v>
      </c>
      <c r="G217" s="8">
        <v>4.9000000000000002E-2</v>
      </c>
      <c r="H217" s="8">
        <v>-8.8999999999999996E-2</v>
      </c>
      <c r="I217" s="8">
        <v>3.3000000000000002E-2</v>
      </c>
      <c r="J217" s="8">
        <v>0.12</v>
      </c>
      <c r="K217" s="39">
        <f t="shared" si="24"/>
        <v>0.245</v>
      </c>
      <c r="L217" s="39">
        <f t="shared" si="25"/>
        <v>41.069070999999994</v>
      </c>
      <c r="M217" s="30">
        <f t="shared" si="26"/>
        <v>1636.1164078478232</v>
      </c>
      <c r="N217" s="30">
        <f>(RedShift*Age*(2*InitialTangentVelocity-UniverseAcceleration*Age))/(2+RedShift)*(1+RedShift)</f>
        <v>4.8051435534237397E+25</v>
      </c>
      <c r="O217" s="36">
        <f t="shared" si="27"/>
        <v>1557.2409718269205</v>
      </c>
      <c r="P217" s="36">
        <f t="shared" si="28"/>
        <v>40.961779108560506</v>
      </c>
      <c r="Q217" s="36">
        <f t="shared" si="29"/>
        <v>0.19177925812016311</v>
      </c>
      <c r="R217" s="19">
        <v>1366.4784117457959</v>
      </c>
      <c r="S217" s="36">
        <f t="shared" si="30"/>
        <v>40.678013874494894</v>
      </c>
      <c r="T217" s="36">
        <f t="shared" si="31"/>
        <v>2.5476997152571639</v>
      </c>
      <c r="U217" s="30"/>
    </row>
    <row r="218" spans="1:21" x14ac:dyDescent="0.25">
      <c r="A218" s="35" t="s">
        <v>249</v>
      </c>
      <c r="B218" s="16">
        <v>0.28199999999999997</v>
      </c>
      <c r="C218" s="8">
        <v>0</v>
      </c>
      <c r="D218" s="8">
        <v>22.167999999999999</v>
      </c>
      <c r="E218" s="8">
        <v>2.7E-2</v>
      </c>
      <c r="F218" s="8">
        <v>0.98599999999999999</v>
      </c>
      <c r="G218" s="8">
        <v>2.5999999999999999E-2</v>
      </c>
      <c r="H218" s="8">
        <v>0.11700000000000001</v>
      </c>
      <c r="I218" s="8">
        <v>1.9E-2</v>
      </c>
      <c r="J218" s="8">
        <v>0.12</v>
      </c>
      <c r="K218" s="39">
        <f t="shared" si="24"/>
        <v>0.192</v>
      </c>
      <c r="L218" s="39">
        <f t="shared" si="25"/>
        <v>41.139731999999995</v>
      </c>
      <c r="M218" s="30">
        <f t="shared" si="26"/>
        <v>1690.2323127300374</v>
      </c>
      <c r="N218" s="30">
        <f>(RedShift*Age*(2*InitialTangentVelocity-UniverseAcceleration*Age))/(2+RedShift)*(1+RedShift)</f>
        <v>4.8427796207144198E+25</v>
      </c>
      <c r="O218" s="36">
        <f t="shared" si="27"/>
        <v>1569.4379905739925</v>
      </c>
      <c r="P218" s="36">
        <f t="shared" si="28"/>
        <v>40.978720805712157</v>
      </c>
      <c r="Q218" s="36">
        <f t="shared" si="29"/>
        <v>0.70324991010188231</v>
      </c>
      <c r="R218" s="19">
        <v>1377.6866947443082</v>
      </c>
      <c r="S218" s="36">
        <f t="shared" si="30"/>
        <v>40.695752320752561</v>
      </c>
      <c r="T218" s="36">
        <f t="shared" si="31"/>
        <v>5.3471667639066398</v>
      </c>
      <c r="U218" s="30"/>
    </row>
    <row r="219" spans="1:21" x14ac:dyDescent="0.25">
      <c r="A219" s="35" t="s">
        <v>250</v>
      </c>
      <c r="B219" s="16">
        <v>0.28499999999999998</v>
      </c>
      <c r="C219" s="8">
        <v>0</v>
      </c>
      <c r="D219" s="8">
        <v>21.277000000000001</v>
      </c>
      <c r="E219" s="8">
        <v>3.2000000000000001E-2</v>
      </c>
      <c r="F219" s="8">
        <v>1.111</v>
      </c>
      <c r="G219" s="8">
        <v>1.7000000000000001E-2</v>
      </c>
      <c r="H219" s="8">
        <v>-4.2999999999999997E-2</v>
      </c>
      <c r="I219" s="8">
        <v>2.1000000000000001E-2</v>
      </c>
      <c r="J219" s="8">
        <v>0.12</v>
      </c>
      <c r="K219" s="39">
        <f t="shared" si="24"/>
        <v>0.19</v>
      </c>
      <c r="L219" s="39">
        <f t="shared" si="25"/>
        <v>40.767907000000001</v>
      </c>
      <c r="M219" s="30">
        <f t="shared" si="26"/>
        <v>1424.2341664483699</v>
      </c>
      <c r="N219" s="30">
        <f>(RedShift*Age*(2*InitialTangentVelocity-UniverseAcceleration*Age))/(2+RedShift)*(1+RedShift)</f>
        <v>4.899310857767989E+25</v>
      </c>
      <c r="O219" s="36">
        <f t="shared" si="27"/>
        <v>1587.7585168078349</v>
      </c>
      <c r="P219" s="36">
        <f t="shared" si="28"/>
        <v>41.003922254962113</v>
      </c>
      <c r="Q219" s="36">
        <f t="shared" si="29"/>
        <v>1.5430249466712109</v>
      </c>
      <c r="R219" s="19">
        <v>1394.5333629286181</v>
      </c>
      <c r="S219" s="36">
        <f t="shared" si="30"/>
        <v>40.722144544112801</v>
      </c>
      <c r="T219" s="36">
        <f t="shared" si="31"/>
        <v>5.801114595091169E-2</v>
      </c>
      <c r="U219" s="30"/>
    </row>
    <row r="220" spans="1:21" x14ac:dyDescent="0.25">
      <c r="A220" s="35" t="s">
        <v>251</v>
      </c>
      <c r="B220" s="16">
        <v>0.28799999999999998</v>
      </c>
      <c r="C220" s="8">
        <v>0</v>
      </c>
      <c r="D220" s="8">
        <v>21.603999999999999</v>
      </c>
      <c r="E220" s="8">
        <v>4.2999999999999997E-2</v>
      </c>
      <c r="F220" s="8">
        <v>1.0629999999999999</v>
      </c>
      <c r="G220" s="8">
        <v>4.8000000000000001E-2</v>
      </c>
      <c r="H220" s="8">
        <v>-9.6000000000000002E-2</v>
      </c>
      <c r="I220" s="8">
        <v>3.4000000000000002E-2</v>
      </c>
      <c r="J220" s="8">
        <v>0.12</v>
      </c>
      <c r="K220" s="39">
        <f t="shared" si="24"/>
        <v>0.245</v>
      </c>
      <c r="L220" s="39">
        <f t="shared" si="25"/>
        <v>41.253740999999998</v>
      </c>
      <c r="M220" s="30">
        <f t="shared" si="26"/>
        <v>1781.3456599334083</v>
      </c>
      <c r="N220" s="30">
        <f>(RedShift*Age*(2*InitialTangentVelocity-UniverseAcceleration*Age))/(2+RedShift)*(1+RedShift)</f>
        <v>4.9559343345145727E+25</v>
      </c>
      <c r="O220" s="36">
        <f t="shared" si="27"/>
        <v>1606.1089358903703</v>
      </c>
      <c r="P220" s="36">
        <f t="shared" si="28"/>
        <v>41.028874991922528</v>
      </c>
      <c r="Q220" s="36">
        <f t="shared" si="29"/>
        <v>0.84239436216071184</v>
      </c>
      <c r="R220" s="19">
        <v>1411.4209889088722</v>
      </c>
      <c r="S220" s="36">
        <f t="shared" si="30"/>
        <v>40.748282857185089</v>
      </c>
      <c r="T220" s="36">
        <f t="shared" si="31"/>
        <v>4.2563587528179454</v>
      </c>
      <c r="U220" s="30"/>
    </row>
    <row r="221" spans="1:21" x14ac:dyDescent="0.25">
      <c r="A221" s="35" t="s">
        <v>252</v>
      </c>
      <c r="B221" s="16">
        <v>0.28999999999999998</v>
      </c>
      <c r="C221" s="8">
        <v>0</v>
      </c>
      <c r="D221" s="8">
        <v>21.576000000000001</v>
      </c>
      <c r="E221" s="8">
        <v>5.6000000000000001E-2</v>
      </c>
      <c r="F221" s="8">
        <v>0.90100000000000002</v>
      </c>
      <c r="G221" s="8">
        <v>5.0999999999999997E-2</v>
      </c>
      <c r="H221" s="8">
        <v>-7.6999999999999999E-2</v>
      </c>
      <c r="I221" s="8">
        <v>4.2999999999999997E-2</v>
      </c>
      <c r="J221" s="8">
        <v>0.12</v>
      </c>
      <c r="K221" s="39">
        <f t="shared" si="24"/>
        <v>0.27</v>
      </c>
      <c r="L221" s="39">
        <f t="shared" si="25"/>
        <v>41.142457</v>
      </c>
      <c r="M221" s="30">
        <f t="shared" si="26"/>
        <v>1692.3547317039236</v>
      </c>
      <c r="N221" s="30">
        <f>(RedShift*Age*(2*InitialTangentVelocity-UniverseAcceleration*Age))/(2+RedShift)*(1+RedShift)</f>
        <v>4.9937343842668937E+25</v>
      </c>
      <c r="O221" s="36">
        <f t="shared" si="27"/>
        <v>1618.35909773402</v>
      </c>
      <c r="P221" s="36">
        <f t="shared" si="28"/>
        <v>41.045374467903926</v>
      </c>
      <c r="Q221" s="36">
        <f t="shared" si="29"/>
        <v>0.1292869415388927</v>
      </c>
      <c r="R221" s="19">
        <v>1422.7020859567799</v>
      </c>
      <c r="S221" s="36">
        <f t="shared" si="30"/>
        <v>40.765569841354463</v>
      </c>
      <c r="T221" s="36">
        <f t="shared" si="31"/>
        <v>1.9484764108629162</v>
      </c>
      <c r="U221" s="30"/>
    </row>
    <row r="222" spans="1:21" x14ac:dyDescent="0.25">
      <c r="A222" s="35" t="s">
        <v>253</v>
      </c>
      <c r="B222" s="16">
        <v>0.29099999999999998</v>
      </c>
      <c r="C222" s="8">
        <v>0</v>
      </c>
      <c r="D222" s="8">
        <v>21.984000000000002</v>
      </c>
      <c r="E222" s="8">
        <v>4.7E-2</v>
      </c>
      <c r="F222" s="8">
        <v>1.0840000000000001</v>
      </c>
      <c r="G222" s="8">
        <v>3.6999999999999998E-2</v>
      </c>
      <c r="H222" s="8">
        <v>0.14599999999999999</v>
      </c>
      <c r="I222" s="8">
        <v>3.4000000000000002E-2</v>
      </c>
      <c r="J222" s="8">
        <v>0.12</v>
      </c>
      <c r="K222" s="39">
        <f t="shared" si="24"/>
        <v>0.23799999999999999</v>
      </c>
      <c r="L222" s="39">
        <f t="shared" si="25"/>
        <v>40.879367999999999</v>
      </c>
      <c r="M222" s="30">
        <f t="shared" si="26"/>
        <v>1499.2484206079985</v>
      </c>
      <c r="N222" s="30">
        <f>(RedShift*Age*(2*InitialTangentVelocity-UniverseAcceleration*Age))/(2+RedShift)*(1+RedShift)</f>
        <v>5.0126496885983234E+25</v>
      </c>
      <c r="O222" s="36">
        <f t="shared" si="27"/>
        <v>1624.4891303900661</v>
      </c>
      <c r="P222" s="36">
        <f t="shared" si="28"/>
        <v>41.053584048926993</v>
      </c>
      <c r="Q222" s="36">
        <f t="shared" si="29"/>
        <v>0.53582430096272504</v>
      </c>
      <c r="R222" s="19">
        <v>1428.3494216518604</v>
      </c>
      <c r="S222" s="36">
        <f t="shared" si="30"/>
        <v>40.774172316374354</v>
      </c>
      <c r="T222" s="36">
        <f t="shared" si="31"/>
        <v>0.19536282489702042</v>
      </c>
      <c r="U222" s="30"/>
    </row>
    <row r="223" spans="1:21" x14ac:dyDescent="0.25">
      <c r="A223" s="35" t="s">
        <v>254</v>
      </c>
      <c r="B223" s="16">
        <v>0.29399999999999998</v>
      </c>
      <c r="C223" s="8">
        <v>0</v>
      </c>
      <c r="D223" s="8">
        <v>21.821000000000002</v>
      </c>
      <c r="E223" s="8">
        <v>4.4999999999999998E-2</v>
      </c>
      <c r="F223" s="8">
        <v>1.0860000000000001</v>
      </c>
      <c r="G223" s="8">
        <v>5.6000000000000001E-2</v>
      </c>
      <c r="H223" s="8">
        <v>6.4000000000000001E-2</v>
      </c>
      <c r="I223" s="8">
        <v>3.5000000000000003E-2</v>
      </c>
      <c r="J223" s="8">
        <v>0.12</v>
      </c>
      <c r="K223" s="39">
        <f t="shared" si="24"/>
        <v>0.25600000000000001</v>
      </c>
      <c r="L223" s="39">
        <f t="shared" si="25"/>
        <v>40.973321999999996</v>
      </c>
      <c r="M223" s="30">
        <f t="shared" si="26"/>
        <v>1565.5408347094144</v>
      </c>
      <c r="N223" s="30">
        <f>(RedShift*Age*(2*InitialTangentVelocity-UniverseAcceleration*Age))/(2+RedShift)*(1+RedShift)</f>
        <v>5.0694565595588993E+25</v>
      </c>
      <c r="O223" s="36">
        <f t="shared" si="27"/>
        <v>1642.8989834896813</v>
      </c>
      <c r="P223" s="36">
        <f t="shared" si="28"/>
        <v>41.078054304510289</v>
      </c>
      <c r="Q223" s="36">
        <f t="shared" si="29"/>
        <v>0.16737145398005218</v>
      </c>
      <c r="R223" s="19">
        <v>1445.318510587472</v>
      </c>
      <c r="S223" s="36">
        <f t="shared" si="30"/>
        <v>40.799817824208745</v>
      </c>
      <c r="T223" s="36">
        <f t="shared" si="31"/>
        <v>0.45934599330141307</v>
      </c>
      <c r="U223" s="30"/>
    </row>
    <row r="224" spans="1:21" x14ac:dyDescent="0.25">
      <c r="A224" s="35" t="s">
        <v>11</v>
      </c>
      <c r="B224" s="16">
        <v>0.3</v>
      </c>
      <c r="C224" s="8">
        <v>0</v>
      </c>
      <c r="D224" s="8">
        <v>22.02</v>
      </c>
      <c r="E224" s="8">
        <v>9.6000000000000002E-2</v>
      </c>
      <c r="F224" s="8">
        <v>1.1619999999999999</v>
      </c>
      <c r="G224" s="8">
        <v>9.8000000000000004E-2</v>
      </c>
      <c r="H224" s="8">
        <v>0.105</v>
      </c>
      <c r="I224" s="8">
        <v>5.8000000000000003E-2</v>
      </c>
      <c r="J224" s="8">
        <v>0.12</v>
      </c>
      <c r="K224" s="39">
        <f t="shared" si="24"/>
        <v>0.372</v>
      </c>
      <c r="L224" s="39">
        <f t="shared" si="25"/>
        <v>41.055164000000005</v>
      </c>
      <c r="M224" s="30">
        <f t="shared" si="26"/>
        <v>1625.6715296167845</v>
      </c>
      <c r="N224" s="30">
        <f>(RedShift*Age*(2*InitialTangentVelocity-UniverseAcceleration*Age))/(2+RedShift)*(1+RedShift)</f>
        <v>5.1833434196724448E+25</v>
      </c>
      <c r="O224" s="36">
        <f t="shared" si="27"/>
        <v>1679.8072012671023</v>
      </c>
      <c r="P224" s="36">
        <f t="shared" si="28"/>
        <v>41.126297193656875</v>
      </c>
      <c r="Q224" s="36">
        <f t="shared" si="29"/>
        <v>3.6564423920581401E-2</v>
      </c>
      <c r="R224" s="19">
        <v>1479.3780570806223</v>
      </c>
      <c r="S224" s="36">
        <f t="shared" si="30"/>
        <v>40.850395863638703</v>
      </c>
      <c r="T224" s="36">
        <f t="shared" si="31"/>
        <v>0.30299738169789059</v>
      </c>
      <c r="U224" s="30"/>
    </row>
    <row r="225" spans="1:21" x14ac:dyDescent="0.25">
      <c r="A225" s="35" t="s">
        <v>255</v>
      </c>
      <c r="B225" s="16">
        <v>0.30299999999999999</v>
      </c>
      <c r="C225" s="8">
        <v>0</v>
      </c>
      <c r="D225" s="8">
        <v>21.449000000000002</v>
      </c>
      <c r="E225" s="8">
        <v>0.03</v>
      </c>
      <c r="F225" s="8">
        <v>1.052</v>
      </c>
      <c r="G225" s="8">
        <v>1.4999999999999999E-2</v>
      </c>
      <c r="H225" s="8">
        <v>-0.126</v>
      </c>
      <c r="I225" s="8">
        <v>0.02</v>
      </c>
      <c r="J225" s="8">
        <v>0.12</v>
      </c>
      <c r="K225" s="39">
        <f t="shared" si="24"/>
        <v>0.185</v>
      </c>
      <c r="L225" s="39">
        <f t="shared" si="25"/>
        <v>41.191023999999999</v>
      </c>
      <c r="M225" s="30">
        <f t="shared" si="26"/>
        <v>1730.6322800910591</v>
      </c>
      <c r="N225" s="30">
        <f>(RedShift*Age*(2*InitialTangentVelocity-UniverseAcceleration*Age))/(2+RedShift)*(1+RedShift)</f>
        <v>5.2404226972712898E+25</v>
      </c>
      <c r="O225" s="36">
        <f t="shared" si="27"/>
        <v>1698.3053353459211</v>
      </c>
      <c r="P225" s="36">
        <f t="shared" si="28"/>
        <v>41.150078869865638</v>
      </c>
      <c r="Q225" s="36">
        <f t="shared" si="29"/>
        <v>4.8984767909999859E-2</v>
      </c>
      <c r="R225" s="19">
        <v>1496.4682158267644</v>
      </c>
      <c r="S225" s="36">
        <f t="shared" si="30"/>
        <v>40.875337485474645</v>
      </c>
      <c r="T225" s="36">
        <f t="shared" si="31"/>
        <v>2.9118473470610993</v>
      </c>
      <c r="U225" s="30"/>
    </row>
    <row r="226" spans="1:21" x14ac:dyDescent="0.25">
      <c r="A226" s="35" t="s">
        <v>13</v>
      </c>
      <c r="B226" s="16">
        <v>0.30299999999999999</v>
      </c>
      <c r="C226" s="8">
        <v>0</v>
      </c>
      <c r="D226" s="8">
        <v>22.298999999999999</v>
      </c>
      <c r="E226" s="8">
        <v>7.5999999999999998E-2</v>
      </c>
      <c r="F226" s="8">
        <v>1.0149999999999999</v>
      </c>
      <c r="G226" s="8">
        <v>0.17299999999999999</v>
      </c>
      <c r="H226" s="8">
        <v>7.0000000000000007E-2</v>
      </c>
      <c r="I226" s="8">
        <v>6.3E-2</v>
      </c>
      <c r="J226" s="8">
        <v>0.12</v>
      </c>
      <c r="K226" s="39">
        <f t="shared" si="24"/>
        <v>0.432</v>
      </c>
      <c r="L226" s="39">
        <f t="shared" si="25"/>
        <v>41.422105000000002</v>
      </c>
      <c r="M226" s="30">
        <f t="shared" si="26"/>
        <v>1924.956855448326</v>
      </c>
      <c r="N226" s="30">
        <f>(RedShift*Age*(2*InitialTangentVelocity-UniverseAcceleration*Age))/(2+RedShift)*(1+RedShift)</f>
        <v>5.2404226972712898E+25</v>
      </c>
      <c r="O226" s="36">
        <f t="shared" si="27"/>
        <v>1698.3053353459211</v>
      </c>
      <c r="P226" s="36">
        <f t="shared" si="28"/>
        <v>41.150078869865638</v>
      </c>
      <c r="Q226" s="36">
        <f t="shared" si="29"/>
        <v>0.39650964225328988</v>
      </c>
      <c r="R226" s="19">
        <v>1496.4682158267644</v>
      </c>
      <c r="S226" s="36">
        <f t="shared" si="30"/>
        <v>40.875337485474645</v>
      </c>
      <c r="T226" s="36">
        <f t="shared" si="31"/>
        <v>1.6019092664407364</v>
      </c>
      <c r="U226" s="30"/>
    </row>
    <row r="227" spans="1:21" x14ac:dyDescent="0.25">
      <c r="A227" s="35" t="s">
        <v>256</v>
      </c>
      <c r="B227" s="16">
        <v>0.31</v>
      </c>
      <c r="C227" s="8">
        <v>0</v>
      </c>
      <c r="D227" s="8">
        <v>21.797999999999998</v>
      </c>
      <c r="E227" s="8">
        <v>6.9000000000000006E-2</v>
      </c>
      <c r="F227" s="8">
        <v>1.02</v>
      </c>
      <c r="G227" s="8">
        <v>7.5999999999999998E-2</v>
      </c>
      <c r="H227" s="8">
        <v>2E-3</v>
      </c>
      <c r="I227" s="8">
        <v>0.05</v>
      </c>
      <c r="J227" s="8">
        <v>0.12</v>
      </c>
      <c r="K227" s="39">
        <f t="shared" si="24"/>
        <v>0.315</v>
      </c>
      <c r="L227" s="39">
        <f t="shared" si="25"/>
        <v>41.134679999999996</v>
      </c>
      <c r="M227" s="30">
        <f t="shared" si="26"/>
        <v>1686.3045040622094</v>
      </c>
      <c r="N227" s="30">
        <f>(RedShift*Age*(2*InitialTangentVelocity-UniverseAcceleration*Age))/(2+RedShift)*(1+RedShift)</f>
        <v>5.3739574362045216E+25</v>
      </c>
      <c r="O227" s="36">
        <f t="shared" si="27"/>
        <v>1741.5809970024548</v>
      </c>
      <c r="P227" s="36">
        <f t="shared" si="28"/>
        <v>41.204718386601805</v>
      </c>
      <c r="Q227" s="36">
        <f t="shared" si="29"/>
        <v>4.9436891889991466E-2</v>
      </c>
      <c r="R227" s="19">
        <v>1536.5007801017907</v>
      </c>
      <c r="S227" s="36">
        <f t="shared" si="30"/>
        <v>40.932663925447557</v>
      </c>
      <c r="T227" s="36">
        <f t="shared" si="31"/>
        <v>0.4112924603434287</v>
      </c>
      <c r="U227" s="30"/>
    </row>
    <row r="228" spans="1:21" x14ac:dyDescent="0.25">
      <c r="A228" s="35" t="s">
        <v>257</v>
      </c>
      <c r="B228" s="16">
        <v>0.311</v>
      </c>
      <c r="C228" s="8">
        <v>0</v>
      </c>
      <c r="D228" s="8">
        <v>21.795999999999999</v>
      </c>
      <c r="E228" s="8">
        <v>4.9000000000000002E-2</v>
      </c>
      <c r="F228" s="8">
        <v>0.872</v>
      </c>
      <c r="G228" s="8">
        <v>6.8000000000000005E-2</v>
      </c>
      <c r="H228" s="8">
        <v>-0.126</v>
      </c>
      <c r="I228" s="8">
        <v>0.04</v>
      </c>
      <c r="J228" s="8">
        <v>0.12</v>
      </c>
      <c r="K228" s="39">
        <f t="shared" si="24"/>
        <v>0.27700000000000002</v>
      </c>
      <c r="L228" s="39">
        <f t="shared" si="25"/>
        <v>41.511564</v>
      </c>
      <c r="M228" s="30">
        <f t="shared" si="26"/>
        <v>2005.9162656137328</v>
      </c>
      <c r="N228" s="30">
        <f>(RedShift*Age*(2*InitialTangentVelocity-UniverseAcceleration*Age))/(2+RedShift)*(1+RedShift)</f>
        <v>5.3930736095465594E+25</v>
      </c>
      <c r="O228" s="36">
        <f t="shared" si="27"/>
        <v>1747.7761268714794</v>
      </c>
      <c r="P228" s="36">
        <f t="shared" si="28"/>
        <v>41.212429014801401</v>
      </c>
      <c r="Q228" s="36">
        <f t="shared" si="29"/>
        <v>1.1662049468879543</v>
      </c>
      <c r="R228" s="19">
        <v>1542.2374119990202</v>
      </c>
      <c r="S228" s="36">
        <f t="shared" si="30"/>
        <v>40.940756170729628</v>
      </c>
      <c r="T228" s="36">
        <f t="shared" si="31"/>
        <v>4.2463941659131992</v>
      </c>
      <c r="U228" s="30"/>
    </row>
    <row r="229" spans="1:21" x14ac:dyDescent="0.25">
      <c r="A229" s="35" t="s">
        <v>258</v>
      </c>
      <c r="B229" s="16">
        <v>0.311</v>
      </c>
      <c r="C229" s="8">
        <v>0</v>
      </c>
      <c r="D229" s="8">
        <v>21.571000000000002</v>
      </c>
      <c r="E229" s="8">
        <v>5.0999999999999997E-2</v>
      </c>
      <c r="F229" s="8">
        <v>1.0149999999999999</v>
      </c>
      <c r="G229" s="8">
        <v>0.05</v>
      </c>
      <c r="H229" s="8">
        <v>-9.9000000000000005E-2</v>
      </c>
      <c r="I229" s="8">
        <v>3.3000000000000002E-2</v>
      </c>
      <c r="J229" s="8">
        <v>0.12</v>
      </c>
      <c r="K229" s="39">
        <f t="shared" si="24"/>
        <v>0.254</v>
      </c>
      <c r="L229" s="39">
        <f t="shared" si="25"/>
        <v>41.223075000000001</v>
      </c>
      <c r="M229" s="30">
        <f t="shared" si="26"/>
        <v>1756.3659135550945</v>
      </c>
      <c r="N229" s="30">
        <f>(RedShift*Age*(2*InitialTangentVelocity-UniverseAcceleration*Age))/(2+RedShift)*(1+RedShift)</f>
        <v>5.3930736095465594E+25</v>
      </c>
      <c r="O229" s="36">
        <f t="shared" si="27"/>
        <v>1747.7761268714794</v>
      </c>
      <c r="P229" s="36">
        <f t="shared" si="28"/>
        <v>41.212429014801401</v>
      </c>
      <c r="Q229" s="36">
        <f t="shared" si="29"/>
        <v>1.7567270266107022E-3</v>
      </c>
      <c r="R229" s="19">
        <v>1542.2374119990202</v>
      </c>
      <c r="S229" s="36">
        <f t="shared" si="30"/>
        <v>40.940756170729628</v>
      </c>
      <c r="T229" s="36">
        <f t="shared" si="31"/>
        <v>1.2354132519157139</v>
      </c>
      <c r="U229" s="30"/>
    </row>
    <row r="230" spans="1:21" x14ac:dyDescent="0.25">
      <c r="A230" s="35" t="s">
        <v>259</v>
      </c>
      <c r="B230" s="16">
        <v>0.314</v>
      </c>
      <c r="C230" s="8">
        <v>0</v>
      </c>
      <c r="D230" s="8">
        <v>21.597999999999999</v>
      </c>
      <c r="E230" s="8">
        <v>4.2000000000000003E-2</v>
      </c>
      <c r="F230" s="8">
        <v>1.0900000000000001</v>
      </c>
      <c r="G230" s="8">
        <v>5.1999999999999998E-2</v>
      </c>
      <c r="H230" s="8">
        <v>-5.7000000000000002E-2</v>
      </c>
      <c r="I230" s="8">
        <v>3.6999999999999998E-2</v>
      </c>
      <c r="J230" s="8">
        <v>0.12</v>
      </c>
      <c r="K230" s="39">
        <f t="shared" si="24"/>
        <v>0.251</v>
      </c>
      <c r="L230" s="39">
        <f t="shared" si="25"/>
        <v>41.129639999999995</v>
      </c>
      <c r="M230" s="30">
        <f t="shared" si="26"/>
        <v>1682.3951201782916</v>
      </c>
      <c r="N230" s="30">
        <f>(RedShift*Age*(2*InitialTangentVelocity-UniverseAcceleration*Age))/(2+RedShift)*(1+RedShift)</f>
        <v>5.4504815190050481E+25</v>
      </c>
      <c r="O230" s="36">
        <f t="shared" si="27"/>
        <v>1766.3807632828082</v>
      </c>
      <c r="P230" s="36">
        <f t="shared" si="28"/>
        <v>41.235421632018571</v>
      </c>
      <c r="Q230" s="36">
        <f t="shared" si="29"/>
        <v>0.17761231841579539</v>
      </c>
      <c r="R230" s="19">
        <v>1559.4737287646187</v>
      </c>
      <c r="S230" s="36">
        <f t="shared" si="30"/>
        <v>40.964890314674975</v>
      </c>
      <c r="T230" s="36">
        <f t="shared" si="31"/>
        <v>0.43082584109289085</v>
      </c>
      <c r="U230" s="30"/>
    </row>
    <row r="231" spans="1:21" x14ac:dyDescent="0.25">
      <c r="A231" s="35" t="s">
        <v>260</v>
      </c>
      <c r="B231" s="16">
        <v>0.32200000000000001</v>
      </c>
      <c r="C231" s="8">
        <v>0</v>
      </c>
      <c r="D231" s="8">
        <v>21.535</v>
      </c>
      <c r="E231" s="8">
        <v>4.2000000000000003E-2</v>
      </c>
      <c r="F231" s="8">
        <v>1.0249999999999999</v>
      </c>
      <c r="G231" s="8">
        <v>5.6000000000000001E-2</v>
      </c>
      <c r="H231" s="8">
        <v>-0.123</v>
      </c>
      <c r="I231" s="8">
        <v>3.3000000000000002E-2</v>
      </c>
      <c r="J231" s="8">
        <v>0.12</v>
      </c>
      <c r="K231" s="39">
        <f t="shared" si="24"/>
        <v>0.251</v>
      </c>
      <c r="L231" s="39">
        <f t="shared" si="25"/>
        <v>41.263665000000003</v>
      </c>
      <c r="M231" s="30">
        <f t="shared" si="26"/>
        <v>1789.5053453943051</v>
      </c>
      <c r="N231" s="30">
        <f>(RedShift*Age*(2*InitialTangentVelocity-UniverseAcceleration*Age))/(2+RedShift)*(1+RedShift)</f>
        <v>5.6040025493028164E+25</v>
      </c>
      <c r="O231" s="36">
        <f t="shared" si="27"/>
        <v>1816.1335408551715</v>
      </c>
      <c r="P231" s="36">
        <f t="shared" si="28"/>
        <v>41.29573889582683</v>
      </c>
      <c r="Q231" s="36">
        <f t="shared" si="29"/>
        <v>1.6328864518184143E-2</v>
      </c>
      <c r="R231" s="19">
        <v>1605.6300384394551</v>
      </c>
      <c r="S231" s="36">
        <f t="shared" si="30"/>
        <v>41.028227422105886</v>
      </c>
      <c r="T231" s="36">
        <f t="shared" si="31"/>
        <v>0.8798408451397387</v>
      </c>
      <c r="U231" s="30"/>
    </row>
    <row r="232" spans="1:21" x14ac:dyDescent="0.25">
      <c r="A232" s="35" t="s">
        <v>261</v>
      </c>
      <c r="B232" s="16">
        <v>0.32300000000000001</v>
      </c>
      <c r="C232" s="8">
        <v>1E-3</v>
      </c>
      <c r="D232" s="8">
        <v>22.001000000000001</v>
      </c>
      <c r="E232" s="8">
        <v>0.03</v>
      </c>
      <c r="F232" s="8">
        <v>0.98699999999999999</v>
      </c>
      <c r="G232" s="8">
        <v>2.1000000000000001E-2</v>
      </c>
      <c r="H232" s="8">
        <v>-1.2999999999999999E-2</v>
      </c>
      <c r="I232" s="8">
        <v>0.02</v>
      </c>
      <c r="J232" s="8">
        <v>0.12</v>
      </c>
      <c r="K232" s="39">
        <f t="shared" si="24"/>
        <v>0.191</v>
      </c>
      <c r="L232" s="39">
        <f t="shared" si="25"/>
        <v>41.379778999999999</v>
      </c>
      <c r="M232" s="30">
        <f t="shared" si="26"/>
        <v>1887.7992099493317</v>
      </c>
      <c r="N232" s="30">
        <f>(RedShift*Age*(2*InitialTangentVelocity-UniverseAcceleration*Age))/(2+RedShift)*(1+RedShift)</f>
        <v>5.6232367610693231E+25</v>
      </c>
      <c r="O232" s="36">
        <f t="shared" si="27"/>
        <v>1822.3669243723525</v>
      </c>
      <c r="P232" s="36">
        <f t="shared" si="28"/>
        <v>41.303179122204185</v>
      </c>
      <c r="Q232" s="36">
        <f t="shared" si="29"/>
        <v>0.16083827960674668</v>
      </c>
      <c r="R232" s="19">
        <v>1611.4191977025766</v>
      </c>
      <c r="S232" s="36">
        <f t="shared" si="30"/>
        <v>41.036042666611607</v>
      </c>
      <c r="T232" s="36">
        <f t="shared" si="31"/>
        <v>3.2388001121486791</v>
      </c>
      <c r="U232" s="30"/>
    </row>
    <row r="233" spans="1:21" x14ac:dyDescent="0.25">
      <c r="A233" s="35" t="s">
        <v>262</v>
      </c>
      <c r="B233" s="16">
        <v>0.32800000000000001</v>
      </c>
      <c r="C233" s="8">
        <v>0</v>
      </c>
      <c r="D233" s="8">
        <v>21.632999999999999</v>
      </c>
      <c r="E233" s="8">
        <v>4.2000000000000003E-2</v>
      </c>
      <c r="F233" s="8">
        <v>1.0760000000000001</v>
      </c>
      <c r="G233" s="8">
        <v>6.7000000000000004E-2</v>
      </c>
      <c r="H233" s="8">
        <v>-4.1000000000000002E-2</v>
      </c>
      <c r="I233" s="8">
        <v>3.5999999999999997E-2</v>
      </c>
      <c r="J233" s="8">
        <v>0.12</v>
      </c>
      <c r="K233" s="39">
        <f t="shared" si="24"/>
        <v>0.26500000000000001</v>
      </c>
      <c r="L233" s="39">
        <f t="shared" si="25"/>
        <v>41.112501999999992</v>
      </c>
      <c r="M233" s="30">
        <f t="shared" si="26"/>
        <v>1669.1693445721248</v>
      </c>
      <c r="N233" s="30">
        <f>(RedShift*Age*(2*InitialTangentVelocity-UniverseAcceleration*Age))/(2+RedShift)*(1+RedShift)</f>
        <v>5.7195538794867239E+25</v>
      </c>
      <c r="O233" s="36">
        <f t="shared" si="27"/>
        <v>1853.5811766460461</v>
      </c>
      <c r="P233" s="36">
        <f t="shared" si="28"/>
        <v>41.340058052441478</v>
      </c>
      <c r="Q233" s="36">
        <f t="shared" si="29"/>
        <v>0.73736927024211008</v>
      </c>
      <c r="R233" s="19">
        <v>1640.4300186262299</v>
      </c>
      <c r="S233" s="36">
        <f t="shared" si="30"/>
        <v>41.074788539740375</v>
      </c>
      <c r="T233" s="36">
        <f t="shared" si="31"/>
        <v>2.0253543392719474E-2</v>
      </c>
      <c r="U233" s="30"/>
    </row>
    <row r="234" spans="1:21" x14ac:dyDescent="0.25">
      <c r="A234" s="35" t="s">
        <v>263</v>
      </c>
      <c r="B234" s="16">
        <v>0.33200000000000002</v>
      </c>
      <c r="C234" s="8">
        <v>2E-3</v>
      </c>
      <c r="D234" s="8">
        <v>21.866</v>
      </c>
      <c r="E234" s="8">
        <v>3.2000000000000001E-2</v>
      </c>
      <c r="F234" s="8">
        <v>1.048</v>
      </c>
      <c r="G234" s="8">
        <v>0.02</v>
      </c>
      <c r="H234" s="8">
        <v>1.6E-2</v>
      </c>
      <c r="I234" s="8">
        <v>2.1999999999999999E-2</v>
      </c>
      <c r="J234" s="8">
        <v>0.12</v>
      </c>
      <c r="K234" s="39">
        <f t="shared" si="24"/>
        <v>0.19400000000000001</v>
      </c>
      <c r="L234" s="39">
        <f t="shared" si="25"/>
        <v>41.162976</v>
      </c>
      <c r="M234" s="30">
        <f t="shared" si="26"/>
        <v>1708.422175580462</v>
      </c>
      <c r="N234" s="30">
        <f>(RedShift*Age*(2*InitialTangentVelocity-UniverseAcceleration*Age))/(2+RedShift)*(1+RedShift)</f>
        <v>5.7967820941294177E+25</v>
      </c>
      <c r="O234" s="36">
        <f t="shared" si="27"/>
        <v>1878.6091365156233</v>
      </c>
      <c r="P234" s="36">
        <f t="shared" si="28"/>
        <v>41.369182150869051</v>
      </c>
      <c r="Q234" s="36">
        <f t="shared" si="29"/>
        <v>1.129795319806292</v>
      </c>
      <c r="R234" s="19">
        <v>1663.7163831416265</v>
      </c>
      <c r="S234" s="36">
        <f t="shared" si="30"/>
        <v>41.105396466339762</v>
      </c>
      <c r="T234" s="36">
        <f t="shared" si="31"/>
        <v>8.8091260934491225E-2</v>
      </c>
      <c r="U234" s="30"/>
    </row>
    <row r="235" spans="1:21" x14ac:dyDescent="0.25">
      <c r="A235" s="35" t="s">
        <v>264</v>
      </c>
      <c r="B235" s="16">
        <v>0.33700000000000002</v>
      </c>
      <c r="C235" s="8">
        <v>0</v>
      </c>
      <c r="D235" s="8">
        <v>21.957000000000001</v>
      </c>
      <c r="E235" s="8">
        <v>0.03</v>
      </c>
      <c r="F235" s="8">
        <v>1.127</v>
      </c>
      <c r="G235" s="8">
        <v>1.2999999999999999E-2</v>
      </c>
      <c r="H235" s="8">
        <v>-4.0000000000000001E-3</v>
      </c>
      <c r="I235" s="8">
        <v>2.1000000000000001E-2</v>
      </c>
      <c r="J235" s="8">
        <v>0.12</v>
      </c>
      <c r="K235" s="39">
        <f t="shared" si="24"/>
        <v>0.184</v>
      </c>
      <c r="L235" s="39">
        <f t="shared" si="25"/>
        <v>41.328188999999995</v>
      </c>
      <c r="M235" s="30">
        <f t="shared" si="26"/>
        <v>1843.4773245800427</v>
      </c>
      <c r="N235" s="30">
        <f>(RedShift*Age*(2*InitialTangentVelocity-UniverseAcceleration*Age))/(2+RedShift)*(1+RedShift)</f>
        <v>5.8935342054730544E+25</v>
      </c>
      <c r="O235" s="36">
        <f t="shared" si="27"/>
        <v>1909.9643603960251</v>
      </c>
      <c r="P235" s="36">
        <f t="shared" si="28"/>
        <v>41.405126317317823</v>
      </c>
      <c r="Q235" s="36">
        <f t="shared" si="29"/>
        <v>0.17483904761531677</v>
      </c>
      <c r="R235" s="19">
        <v>1692.9209127694885</v>
      </c>
      <c r="S235" s="36">
        <f t="shared" si="30"/>
        <v>41.143183349463527</v>
      </c>
      <c r="T235" s="36">
        <f t="shared" si="31"/>
        <v>1.0109608556953451</v>
      </c>
      <c r="U235" s="30"/>
    </row>
    <row r="236" spans="1:21" x14ac:dyDescent="0.25">
      <c r="A236" s="35" t="s">
        <v>265</v>
      </c>
      <c r="B236" s="16">
        <v>0.34</v>
      </c>
      <c r="C236" s="8">
        <v>0</v>
      </c>
      <c r="D236" s="8">
        <v>21.79</v>
      </c>
      <c r="E236" s="8">
        <v>6.0999999999999999E-2</v>
      </c>
      <c r="F236" s="8">
        <v>1.1910000000000001</v>
      </c>
      <c r="G236" s="8">
        <v>5.3999999999999999E-2</v>
      </c>
      <c r="H236" s="8">
        <v>-0.04</v>
      </c>
      <c r="I236" s="8">
        <v>4.2999999999999997E-2</v>
      </c>
      <c r="J236" s="8">
        <v>0.12</v>
      </c>
      <c r="K236" s="39">
        <f t="shared" si="24"/>
        <v>0.27799999999999997</v>
      </c>
      <c r="L236" s="39">
        <f t="shared" si="25"/>
        <v>41.283276999999998</v>
      </c>
      <c r="M236" s="30">
        <f t="shared" si="26"/>
        <v>1805.7407548140898</v>
      </c>
      <c r="N236" s="30">
        <f>(RedShift*Age*(2*InitialTangentVelocity-UniverseAcceleration*Age))/(2+RedShift)*(1+RedShift)</f>
        <v>5.9517005288257327E+25</v>
      </c>
      <c r="O236" s="36">
        <f t="shared" si="27"/>
        <v>1928.8147820115844</v>
      </c>
      <c r="P236" s="36">
        <f t="shared" si="28"/>
        <v>41.426452628596941</v>
      </c>
      <c r="Q236" s="36">
        <f t="shared" si="29"/>
        <v>0.26524585456407151</v>
      </c>
      <c r="R236" s="19">
        <v>1710.4948815443258</v>
      </c>
      <c r="S236" s="36">
        <f t="shared" si="30"/>
        <v>41.16560889473817</v>
      </c>
      <c r="T236" s="36">
        <f t="shared" si="31"/>
        <v>0.1791545856310309</v>
      </c>
      <c r="U236" s="30"/>
    </row>
    <row r="237" spans="1:21" x14ac:dyDescent="0.25">
      <c r="A237" s="35" t="s">
        <v>266</v>
      </c>
      <c r="B237" s="16">
        <v>0.34</v>
      </c>
      <c r="C237" s="8">
        <v>0</v>
      </c>
      <c r="D237" s="8">
        <v>22.141999999999999</v>
      </c>
      <c r="E237" s="8">
        <v>2.9000000000000001E-2</v>
      </c>
      <c r="F237" s="8">
        <v>1.0589999999999999</v>
      </c>
      <c r="G237" s="8">
        <v>1.4999999999999999E-2</v>
      </c>
      <c r="H237" s="8">
        <v>8.9999999999999993E-3</v>
      </c>
      <c r="I237" s="8">
        <v>0.02</v>
      </c>
      <c r="J237" s="8">
        <v>0.12</v>
      </c>
      <c r="K237" s="39">
        <f t="shared" si="24"/>
        <v>0.184</v>
      </c>
      <c r="L237" s="39">
        <f t="shared" si="25"/>
        <v>41.462502999999998</v>
      </c>
      <c r="M237" s="30">
        <f t="shared" si="26"/>
        <v>1961.103884839318</v>
      </c>
      <c r="N237" s="30">
        <f>(RedShift*Age*(2*InitialTangentVelocity-UniverseAcceleration*Age))/(2+RedShift)*(1+RedShift)</f>
        <v>5.9517005288257327E+25</v>
      </c>
      <c r="O237" s="36">
        <f t="shared" si="27"/>
        <v>1928.8147820115844</v>
      </c>
      <c r="P237" s="36">
        <f t="shared" si="28"/>
        <v>41.426452628596941</v>
      </c>
      <c r="Q237" s="36">
        <f t="shared" si="29"/>
        <v>3.8386970649171737E-2</v>
      </c>
      <c r="R237" s="19">
        <v>1710.4948815443258</v>
      </c>
      <c r="S237" s="36">
        <f t="shared" si="30"/>
        <v>41.16560889473817</v>
      </c>
      <c r="T237" s="36">
        <f t="shared" si="31"/>
        <v>2.603559479537489</v>
      </c>
      <c r="U237" s="30"/>
    </row>
    <row r="238" spans="1:21" x14ac:dyDescent="0.25">
      <c r="A238" s="35" t="s">
        <v>267</v>
      </c>
      <c r="B238" s="16">
        <v>0.34699999999999998</v>
      </c>
      <c r="C238" s="8">
        <v>1E-3</v>
      </c>
      <c r="D238" s="8">
        <v>22.420999999999999</v>
      </c>
      <c r="E238" s="8">
        <v>3.4000000000000002E-2</v>
      </c>
      <c r="F238" s="8">
        <v>0.88</v>
      </c>
      <c r="G238" s="8">
        <v>1.4E-2</v>
      </c>
      <c r="H238" s="8">
        <v>2E-3</v>
      </c>
      <c r="I238" s="8">
        <v>2.4E-2</v>
      </c>
      <c r="J238" s="8">
        <v>0.12</v>
      </c>
      <c r="K238" s="39">
        <f t="shared" si="24"/>
        <v>0.192</v>
      </c>
      <c r="L238" s="39">
        <f t="shared" si="25"/>
        <v>41.737099999999998</v>
      </c>
      <c r="M238" s="30">
        <f t="shared" si="26"/>
        <v>2225.4610619560453</v>
      </c>
      <c r="N238" s="30">
        <f>(RedShift*Age*(2*InitialTangentVelocity-UniverseAcceleration*Age))/(2+RedShift)*(1+RedShift)</f>
        <v>6.087755386827765E+25</v>
      </c>
      <c r="O238" s="36">
        <f t="shared" si="27"/>
        <v>1972.907158637023</v>
      </c>
      <c r="P238" s="36">
        <f t="shared" si="28"/>
        <v>41.475533243188679</v>
      </c>
      <c r="Q238" s="36">
        <f t="shared" si="29"/>
        <v>1.8559344690970052</v>
      </c>
      <c r="R238" s="19">
        <v>1751.6493655608406</v>
      </c>
      <c r="S238" s="36">
        <f t="shared" si="30"/>
        <v>41.217235880615291</v>
      </c>
      <c r="T238" s="36">
        <f t="shared" si="31"/>
        <v>7.3312365078026405</v>
      </c>
      <c r="U238" s="30"/>
    </row>
    <row r="239" spans="1:21" x14ac:dyDescent="0.25">
      <c r="A239" s="35" t="s">
        <v>268</v>
      </c>
      <c r="B239" s="16">
        <v>0.34799999999999998</v>
      </c>
      <c r="C239" s="8">
        <v>1E-3</v>
      </c>
      <c r="D239" s="8">
        <v>22.58</v>
      </c>
      <c r="E239" s="8">
        <v>0.04</v>
      </c>
      <c r="F239" s="8">
        <v>0.84499999999999997</v>
      </c>
      <c r="G239" s="8">
        <v>1.7000000000000001E-2</v>
      </c>
      <c r="H239" s="8">
        <v>0.14199999999999999</v>
      </c>
      <c r="I239" s="8">
        <v>2.8000000000000001E-2</v>
      </c>
      <c r="J239" s="8">
        <v>0.12</v>
      </c>
      <c r="K239" s="39">
        <f t="shared" si="24"/>
        <v>0.20500000000000002</v>
      </c>
      <c r="L239" s="39">
        <f t="shared" si="25"/>
        <v>41.452754999999996</v>
      </c>
      <c r="M239" s="30">
        <f t="shared" si="26"/>
        <v>1952.3199851099714</v>
      </c>
      <c r="N239" s="30">
        <f>(RedShift*Age*(2*InitialTangentVelocity-UniverseAcceleration*Age))/(2+RedShift)*(1+RedShift)</f>
        <v>6.1072297236564148E+25</v>
      </c>
      <c r="O239" s="36">
        <f t="shared" si="27"/>
        <v>1979.2183613870686</v>
      </c>
      <c r="P239" s="36">
        <f t="shared" si="28"/>
        <v>41.482468556463871</v>
      </c>
      <c r="Q239" s="36">
        <f t="shared" si="29"/>
        <v>2.1008814699152702E-2</v>
      </c>
      <c r="R239" s="19">
        <v>1757.5454783008311</v>
      </c>
      <c r="S239" s="36">
        <f t="shared" si="30"/>
        <v>41.224532858273122</v>
      </c>
      <c r="T239" s="36">
        <f t="shared" si="31"/>
        <v>1.2393895532278769</v>
      </c>
      <c r="U239" s="30"/>
    </row>
    <row r="240" spans="1:21" x14ac:dyDescent="0.25">
      <c r="A240" s="35" t="s">
        <v>269</v>
      </c>
      <c r="B240" s="16">
        <v>0.34799999999999998</v>
      </c>
      <c r="C240" s="8">
        <v>1E-3</v>
      </c>
      <c r="D240" s="8">
        <v>22.248999999999999</v>
      </c>
      <c r="E240" s="8">
        <v>3.4000000000000002E-2</v>
      </c>
      <c r="F240" s="8">
        <v>0.98799999999999999</v>
      </c>
      <c r="G240" s="8">
        <v>0.02</v>
      </c>
      <c r="H240" s="8">
        <v>-4.5999999999999999E-2</v>
      </c>
      <c r="I240" s="8">
        <v>2.4E-2</v>
      </c>
      <c r="J240" s="8">
        <v>0.12</v>
      </c>
      <c r="K240" s="39">
        <f t="shared" si="24"/>
        <v>0.19800000000000001</v>
      </c>
      <c r="L240" s="39">
        <f t="shared" si="25"/>
        <v>41.731215999999996</v>
      </c>
      <c r="M240" s="30">
        <f t="shared" si="26"/>
        <v>2219.4389325818279</v>
      </c>
      <c r="N240" s="30">
        <f>(RedShift*Age*(2*InitialTangentVelocity-UniverseAcceleration*Age))/(2+RedShift)*(1+RedShift)</f>
        <v>6.1072297236564148E+25</v>
      </c>
      <c r="O240" s="36">
        <f t="shared" si="27"/>
        <v>1979.2183613870686</v>
      </c>
      <c r="P240" s="36">
        <f t="shared" si="28"/>
        <v>41.482468556463871</v>
      </c>
      <c r="Q240" s="36">
        <f t="shared" si="29"/>
        <v>1.5782902424690768</v>
      </c>
      <c r="R240" s="19">
        <v>1757.5454783008311</v>
      </c>
      <c r="S240" s="36">
        <f t="shared" si="30"/>
        <v>41.224532858273122</v>
      </c>
      <c r="T240" s="36">
        <f t="shared" si="31"/>
        <v>6.5485105119430651</v>
      </c>
      <c r="U240" s="30"/>
    </row>
    <row r="241" spans="1:21" x14ac:dyDescent="0.25">
      <c r="A241" s="35" t="s">
        <v>270</v>
      </c>
      <c r="B241" s="16">
        <v>0.35</v>
      </c>
      <c r="C241" s="8">
        <v>0</v>
      </c>
      <c r="D241" s="8">
        <v>22.062000000000001</v>
      </c>
      <c r="E241" s="8">
        <v>7.3999999999999996E-2</v>
      </c>
      <c r="F241" s="8">
        <v>1.1259999999999999</v>
      </c>
      <c r="G241" s="8">
        <v>7.9000000000000001E-2</v>
      </c>
      <c r="H241" s="8">
        <v>2.1999999999999999E-2</v>
      </c>
      <c r="I241" s="8">
        <v>4.9000000000000002E-2</v>
      </c>
      <c r="J241" s="8">
        <v>0.12</v>
      </c>
      <c r="K241" s="39">
        <f t="shared" si="24"/>
        <v>0.32200000000000001</v>
      </c>
      <c r="L241" s="39">
        <f t="shared" si="25"/>
        <v>41.351662000000005</v>
      </c>
      <c r="M241" s="30">
        <f t="shared" si="26"/>
        <v>1863.5128851335453</v>
      </c>
      <c r="N241" s="30">
        <f>(RedShift*Age*(2*InitialTangentVelocity-UniverseAcceleration*Age))/(2+RedShift)*(1+RedShift)</f>
        <v>6.1462067226721548E+25</v>
      </c>
      <c r="O241" s="36">
        <f t="shared" si="27"/>
        <v>1991.849946510664</v>
      </c>
      <c r="P241" s="36">
        <f t="shared" si="28"/>
        <v>41.496283091480066</v>
      </c>
      <c r="Q241" s="36">
        <f t="shared" si="29"/>
        <v>0.20172119228506188</v>
      </c>
      <c r="R241" s="19">
        <v>1769.35032689798</v>
      </c>
      <c r="S241" s="36">
        <f t="shared" si="30"/>
        <v>41.239069153173531</v>
      </c>
      <c r="T241" s="36">
        <f t="shared" si="31"/>
        <v>0.12226716905684246</v>
      </c>
      <c r="U241" s="30"/>
    </row>
    <row r="242" spans="1:21" x14ac:dyDescent="0.25">
      <c r="A242" s="35" t="s">
        <v>271</v>
      </c>
      <c r="B242" s="16">
        <v>0.35</v>
      </c>
      <c r="C242" s="8">
        <v>0.01</v>
      </c>
      <c r="D242" s="8">
        <v>22.693000000000001</v>
      </c>
      <c r="E242" s="8">
        <v>0.03</v>
      </c>
      <c r="F242" s="8">
        <v>0.93100000000000005</v>
      </c>
      <c r="G242" s="8">
        <v>2.1999999999999999E-2</v>
      </c>
      <c r="H242" s="8">
        <v>5.7000000000000002E-2</v>
      </c>
      <c r="I242" s="8">
        <v>2.1999999999999999E-2</v>
      </c>
      <c r="J242" s="8">
        <v>0.12</v>
      </c>
      <c r="K242" s="39">
        <f t="shared" si="24"/>
        <v>0.19400000000000001</v>
      </c>
      <c r="L242" s="39">
        <f t="shared" si="25"/>
        <v>41.844447000000002</v>
      </c>
      <c r="M242" s="30">
        <f t="shared" si="26"/>
        <v>2338.2416923785149</v>
      </c>
      <c r="N242" s="30">
        <f>(RedShift*Age*(2*InitialTangentVelocity-UniverseAcceleration*Age))/(2+RedShift)*(1+RedShift)</f>
        <v>6.1462067226721548E+25</v>
      </c>
      <c r="O242" s="36">
        <f t="shared" si="27"/>
        <v>1991.849946510664</v>
      </c>
      <c r="P242" s="36">
        <f t="shared" si="28"/>
        <v>41.496283091480066</v>
      </c>
      <c r="Q242" s="36">
        <f t="shared" si="29"/>
        <v>3.220802083002404</v>
      </c>
      <c r="R242" s="19">
        <v>1769.35032689798</v>
      </c>
      <c r="S242" s="36">
        <f t="shared" si="30"/>
        <v>41.239069153173531</v>
      </c>
      <c r="T242" s="36">
        <f t="shared" si="31"/>
        <v>9.7375474925139276</v>
      </c>
      <c r="U242" s="30"/>
    </row>
    <row r="243" spans="1:21" x14ac:dyDescent="0.25">
      <c r="A243" s="35" t="s">
        <v>272</v>
      </c>
      <c r="B243" s="16">
        <v>0.35399999999999998</v>
      </c>
      <c r="C243" s="8">
        <v>0</v>
      </c>
      <c r="D243" s="8">
        <v>22.417000000000002</v>
      </c>
      <c r="E243" s="8">
        <v>3.7999999999999999E-2</v>
      </c>
      <c r="F243" s="8">
        <v>1.1379999999999999</v>
      </c>
      <c r="G243" s="8">
        <v>2.5999999999999999E-2</v>
      </c>
      <c r="H243" s="8">
        <v>5.8000000000000003E-2</v>
      </c>
      <c r="I243" s="8">
        <v>2.4E-2</v>
      </c>
      <c r="J243" s="8">
        <v>0.12</v>
      </c>
      <c r="K243" s="39">
        <f t="shared" si="24"/>
        <v>0.20799999999999999</v>
      </c>
      <c r="L243" s="39">
        <f t="shared" si="25"/>
        <v>41.595746000000005</v>
      </c>
      <c r="M243" s="30">
        <f t="shared" si="26"/>
        <v>2085.2071239919665</v>
      </c>
      <c r="N243" s="30">
        <f>(RedShift*Age*(2*InitialTangentVelocity-UniverseAcceleration*Age))/(2+RedShift)*(1+RedShift)</f>
        <v>6.2242736852172524E+25</v>
      </c>
      <c r="O243" s="36">
        <f t="shared" si="27"/>
        <v>2017.1497260634901</v>
      </c>
      <c r="P243" s="36">
        <f t="shared" si="28"/>
        <v>41.52369067794983</v>
      </c>
      <c r="Q243" s="36">
        <f t="shared" si="29"/>
        <v>0.1200066899906279</v>
      </c>
      <c r="R243" s="19">
        <v>1793.0103703263565</v>
      </c>
      <c r="S243" s="36">
        <f t="shared" si="30"/>
        <v>41.267914007103968</v>
      </c>
      <c r="T243" s="36">
        <f t="shared" si="31"/>
        <v>2.4841395979610614</v>
      </c>
      <c r="U243" s="30"/>
    </row>
    <row r="244" spans="1:21" x14ac:dyDescent="0.25">
      <c r="A244" s="35" t="s">
        <v>273</v>
      </c>
      <c r="B244" s="16">
        <v>0.35499999999999998</v>
      </c>
      <c r="C244" s="8">
        <v>1E-3</v>
      </c>
      <c r="D244" s="8">
        <v>22.951000000000001</v>
      </c>
      <c r="E244" s="8">
        <v>3.2000000000000001E-2</v>
      </c>
      <c r="F244" s="8">
        <v>1.002</v>
      </c>
      <c r="G244" s="8">
        <v>3.3000000000000002E-2</v>
      </c>
      <c r="H244" s="8">
        <v>0.24099999999999999</v>
      </c>
      <c r="I244" s="8">
        <v>2.5999999999999999E-2</v>
      </c>
      <c r="J244" s="8">
        <v>0.12</v>
      </c>
      <c r="K244" s="39">
        <f t="shared" si="24"/>
        <v>0.21099999999999999</v>
      </c>
      <c r="L244" s="39">
        <f t="shared" si="25"/>
        <v>41.536963999999998</v>
      </c>
      <c r="M244" s="30">
        <f t="shared" si="26"/>
        <v>2029.5174977686668</v>
      </c>
      <c r="N244" s="30">
        <f>(RedShift*Age*(2*InitialTangentVelocity-UniverseAcceleration*Age))/(2+RedShift)*(1+RedShift)</f>
        <v>6.2438138901739421E+25</v>
      </c>
      <c r="O244" s="36">
        <f t="shared" si="27"/>
        <v>2023.4822752200646</v>
      </c>
      <c r="P244" s="36">
        <f t="shared" si="28"/>
        <v>41.530497022615364</v>
      </c>
      <c r="Q244" s="36">
        <f t="shared" si="29"/>
        <v>9.3937235222386482E-4</v>
      </c>
      <c r="R244" s="19">
        <v>1798.9358395865763</v>
      </c>
      <c r="S244" s="36">
        <f t="shared" si="30"/>
        <v>41.275078370895613</v>
      </c>
      <c r="T244" s="36">
        <f t="shared" si="31"/>
        <v>1.5404883702387417</v>
      </c>
      <c r="U244" s="30"/>
    </row>
    <row r="245" spans="1:21" x14ac:dyDescent="0.25">
      <c r="A245" s="35" t="s">
        <v>274</v>
      </c>
      <c r="B245" s="16">
        <v>0.35699999999999998</v>
      </c>
      <c r="C245" s="8">
        <v>2E-3</v>
      </c>
      <c r="D245" s="8">
        <v>22.437000000000001</v>
      </c>
      <c r="E245" s="8">
        <v>3.1E-2</v>
      </c>
      <c r="F245" s="8">
        <v>1.01</v>
      </c>
      <c r="G245" s="8">
        <v>1.7000000000000001E-2</v>
      </c>
      <c r="H245" s="8">
        <v>8.1000000000000003E-2</v>
      </c>
      <c r="I245" s="8">
        <v>2.3E-2</v>
      </c>
      <c r="J245" s="8">
        <v>0.12</v>
      </c>
      <c r="K245" s="39">
        <f t="shared" si="24"/>
        <v>0.191</v>
      </c>
      <c r="L245" s="39">
        <f t="shared" si="25"/>
        <v>41.524940000000001</v>
      </c>
      <c r="M245" s="30">
        <f t="shared" si="26"/>
        <v>2018.310594928427</v>
      </c>
      <c r="N245" s="30">
        <f>(RedShift*Age*(2*InitialTangentVelocity-UniverseAcceleration*Age))/(2+RedShift)*(1+RedShift)</f>
        <v>6.2829223736484449E+25</v>
      </c>
      <c r="O245" s="36">
        <f t="shared" si="27"/>
        <v>2036.1564715547647</v>
      </c>
      <c r="P245" s="36">
        <f t="shared" si="28"/>
        <v>41.544055744850368</v>
      </c>
      <c r="Q245" s="36">
        <f t="shared" si="29"/>
        <v>1.0016493549638083E-2</v>
      </c>
      <c r="R245" s="19">
        <v>1810.7992918104371</v>
      </c>
      <c r="S245" s="36">
        <f t="shared" si="30"/>
        <v>41.289351579870214</v>
      </c>
      <c r="T245" s="36">
        <f t="shared" si="31"/>
        <v>1.5213920588593781</v>
      </c>
      <c r="U245" s="30"/>
    </row>
    <row r="246" spans="1:21" x14ac:dyDescent="0.25">
      <c r="A246" s="35" t="s">
        <v>275</v>
      </c>
      <c r="B246" s="16">
        <v>0.35799999999999998</v>
      </c>
      <c r="C246" s="8">
        <v>1E-3</v>
      </c>
      <c r="D246" s="8">
        <v>22.536999999999999</v>
      </c>
      <c r="E246" s="8">
        <v>0.03</v>
      </c>
      <c r="F246" s="8">
        <v>0.96</v>
      </c>
      <c r="G246" s="8">
        <v>1.2999999999999999E-2</v>
      </c>
      <c r="H246" s="8">
        <v>0.11</v>
      </c>
      <c r="I246" s="8">
        <v>2.1000000000000001E-2</v>
      </c>
      <c r="J246" s="8">
        <v>0.12</v>
      </c>
      <c r="K246" s="39">
        <f t="shared" si="24"/>
        <v>0.184</v>
      </c>
      <c r="L246" s="39">
        <f t="shared" si="25"/>
        <v>41.526820000000001</v>
      </c>
      <c r="M246" s="30">
        <f t="shared" si="26"/>
        <v>2020.0587483606037</v>
      </c>
      <c r="N246" s="30">
        <f>(RedShift*Age*(2*InitialTangentVelocity-UniverseAcceleration*Age))/(2+RedShift)*(1+RedShift)</f>
        <v>6.3024906283549275E+25</v>
      </c>
      <c r="O246" s="36">
        <f t="shared" si="27"/>
        <v>2042.4981110161639</v>
      </c>
      <c r="P246" s="36">
        <f t="shared" si="28"/>
        <v>41.550808317758779</v>
      </c>
      <c r="Q246" s="36">
        <f t="shared" si="29"/>
        <v>1.6996673821364872E-2</v>
      </c>
      <c r="R246" s="19">
        <v>1816.7372644037046</v>
      </c>
      <c r="S246" s="36">
        <f t="shared" si="30"/>
        <v>41.296460622037841</v>
      </c>
      <c r="T246" s="36">
        <f t="shared" si="31"/>
        <v>1.5673866675068815</v>
      </c>
      <c r="U246" s="30"/>
    </row>
    <row r="247" spans="1:21" x14ac:dyDescent="0.25">
      <c r="A247" s="35" t="s">
        <v>276</v>
      </c>
      <c r="B247" s="16">
        <v>0.36899999999999999</v>
      </c>
      <c r="C247" s="8">
        <v>0</v>
      </c>
      <c r="D247" s="8">
        <v>22.166</v>
      </c>
      <c r="E247" s="8">
        <v>2.9000000000000001E-2</v>
      </c>
      <c r="F247" s="8">
        <v>1.071</v>
      </c>
      <c r="G247" s="8">
        <v>1.0999999999999999E-2</v>
      </c>
      <c r="H247" s="8">
        <v>-0.06</v>
      </c>
      <c r="I247" s="8">
        <v>1.9E-2</v>
      </c>
      <c r="J247" s="8">
        <v>0.12</v>
      </c>
      <c r="K247" s="39">
        <f t="shared" si="24"/>
        <v>0.17899999999999999</v>
      </c>
      <c r="L247" s="39">
        <f t="shared" si="25"/>
        <v>41.704236999999999</v>
      </c>
      <c r="M247" s="30">
        <f t="shared" si="26"/>
        <v>2192.0345749955786</v>
      </c>
      <c r="N247" s="30">
        <f>(RedShift*Age*(2*InitialTangentVelocity-UniverseAcceleration*Age))/(2+RedShift)*(1+RedShift)</f>
        <v>6.5183543570454369E+25</v>
      </c>
      <c r="O247" s="36">
        <f t="shared" si="27"/>
        <v>2112.4547811782195</v>
      </c>
      <c r="P247" s="36">
        <f t="shared" si="28"/>
        <v>41.623937106463771</v>
      </c>
      <c r="Q247" s="36">
        <f t="shared" si="29"/>
        <v>0.20124443375455167</v>
      </c>
      <c r="R247" s="19">
        <v>1882.3282180116573</v>
      </c>
      <c r="S247" s="36">
        <f t="shared" si="30"/>
        <v>41.373476764008529</v>
      </c>
      <c r="T247" s="36">
        <f t="shared" si="31"/>
        <v>3.4144481668216566</v>
      </c>
      <c r="U247" s="30"/>
    </row>
    <row r="248" spans="1:21" x14ac:dyDescent="0.25">
      <c r="A248" s="35" t="s">
        <v>277</v>
      </c>
      <c r="B248" s="16">
        <v>0.36899999999999999</v>
      </c>
      <c r="C248" s="8">
        <v>2E-3</v>
      </c>
      <c r="D248" s="8">
        <v>22.491</v>
      </c>
      <c r="E248" s="8">
        <v>6.5000000000000002E-2</v>
      </c>
      <c r="F248" s="8">
        <v>0.88200000000000001</v>
      </c>
      <c r="G248" s="8">
        <v>0.05</v>
      </c>
      <c r="H248" s="8">
        <v>1.4999999999999999E-2</v>
      </c>
      <c r="I248" s="8">
        <v>0.03</v>
      </c>
      <c r="J248" s="8">
        <v>0.12</v>
      </c>
      <c r="K248" s="39">
        <f t="shared" si="24"/>
        <v>0.26500000000000001</v>
      </c>
      <c r="L248" s="39">
        <f t="shared" si="25"/>
        <v>41.766704000000004</v>
      </c>
      <c r="M248" s="30">
        <f t="shared" si="26"/>
        <v>2256.0088552477791</v>
      </c>
      <c r="N248" s="30">
        <f>(RedShift*Age*(2*InitialTangentVelocity-UniverseAcceleration*Age))/(2+RedShift)*(1+RedShift)</f>
        <v>6.5183543570454369E+25</v>
      </c>
      <c r="O248" s="36">
        <f t="shared" si="27"/>
        <v>2112.4547811782195</v>
      </c>
      <c r="P248" s="36">
        <f t="shared" si="28"/>
        <v>41.623937106463771</v>
      </c>
      <c r="Q248" s="36">
        <f t="shared" si="29"/>
        <v>0.29024401409734707</v>
      </c>
      <c r="R248" s="19">
        <v>1882.3282180116573</v>
      </c>
      <c r="S248" s="36">
        <f t="shared" si="30"/>
        <v>41.373476764008529</v>
      </c>
      <c r="T248" s="36">
        <f t="shared" si="31"/>
        <v>2.2018890583908148</v>
      </c>
      <c r="U248" s="30"/>
    </row>
    <row r="249" spans="1:21" x14ac:dyDescent="0.25">
      <c r="A249" s="35" t="s">
        <v>278</v>
      </c>
      <c r="B249" s="16">
        <v>0.37</v>
      </c>
      <c r="C249" s="8">
        <v>0.01</v>
      </c>
      <c r="D249" s="8">
        <v>22.663</v>
      </c>
      <c r="E249" s="8">
        <v>3.1E-2</v>
      </c>
      <c r="F249" s="8">
        <v>0.90200000000000002</v>
      </c>
      <c r="G249" s="8">
        <v>1.7999999999999999E-2</v>
      </c>
      <c r="H249" s="8">
        <v>9.6000000000000002E-2</v>
      </c>
      <c r="I249" s="8">
        <v>0.02</v>
      </c>
      <c r="J249" s="8">
        <v>0.12</v>
      </c>
      <c r="K249" s="39">
        <f t="shared" si="24"/>
        <v>0.189</v>
      </c>
      <c r="L249" s="39">
        <f t="shared" si="25"/>
        <v>41.688113999999999</v>
      </c>
      <c r="M249" s="30">
        <f t="shared" si="26"/>
        <v>2175.8191761280586</v>
      </c>
      <c r="N249" s="30">
        <f>(RedShift*Age*(2*InitialTangentVelocity-UniverseAcceleration*Age))/(2+RedShift)*(1+RedShift)</f>
        <v>6.5380337473693757E+25</v>
      </c>
      <c r="O249" s="36">
        <f t="shared" si="27"/>
        <v>2118.8324372403731</v>
      </c>
      <c r="P249" s="36">
        <f t="shared" si="28"/>
        <v>41.630483064678828</v>
      </c>
      <c r="Q249" s="36">
        <f t="shared" si="29"/>
        <v>9.2979611600823714E-2</v>
      </c>
      <c r="R249" s="19">
        <v>1888.3157397047237</v>
      </c>
      <c r="S249" s="36">
        <f t="shared" si="30"/>
        <v>41.380373065665097</v>
      </c>
      <c r="T249" s="36">
        <f t="shared" si="31"/>
        <v>2.6512270839371328</v>
      </c>
      <c r="U249" s="30"/>
    </row>
    <row r="250" spans="1:21" x14ac:dyDescent="0.25">
      <c r="A250" s="35" t="s">
        <v>279</v>
      </c>
      <c r="B250" s="16">
        <v>0.371</v>
      </c>
      <c r="C250" s="8">
        <v>0</v>
      </c>
      <c r="D250" s="8">
        <v>22.292999999999999</v>
      </c>
      <c r="E250" s="8">
        <v>4.8000000000000001E-2</v>
      </c>
      <c r="F250" s="8">
        <v>1.054</v>
      </c>
      <c r="G250" s="8">
        <v>0.03</v>
      </c>
      <c r="H250" s="8">
        <v>-1.7999999999999999E-2</v>
      </c>
      <c r="I250" s="8">
        <v>3.5999999999999997E-2</v>
      </c>
      <c r="J250" s="8">
        <v>0.12</v>
      </c>
      <c r="K250" s="39">
        <f t="shared" si="24"/>
        <v>0.23399999999999999</v>
      </c>
      <c r="L250" s="39">
        <f t="shared" si="25"/>
        <v>41.697277999999997</v>
      </c>
      <c r="M250" s="30">
        <f t="shared" si="26"/>
        <v>2185.0209231047397</v>
      </c>
      <c r="N250" s="30">
        <f>(RedShift*Age*(2*InitialTangentVelocity-UniverseAcceleration*Age))/(2+RedShift)*(1+RedShift)</f>
        <v>6.557722322885407E+25</v>
      </c>
      <c r="O250" s="36">
        <f t="shared" si="27"/>
        <v>2125.2130700205585</v>
      </c>
      <c r="P250" s="36">
        <f t="shared" si="28"/>
        <v>41.637012390744189</v>
      </c>
      <c r="Q250" s="36">
        <f t="shared" si="29"/>
        <v>6.6329601486114928E-2</v>
      </c>
      <c r="R250" s="19">
        <v>1894.30735717018</v>
      </c>
      <c r="S250" s="36">
        <f t="shared" si="30"/>
        <v>41.387252229971281</v>
      </c>
      <c r="T250" s="36">
        <f t="shared" si="31"/>
        <v>1.7553506114745097</v>
      </c>
      <c r="U250" s="30"/>
    </row>
    <row r="251" spans="1:21" x14ac:dyDescent="0.25">
      <c r="A251" s="35" t="s">
        <v>280</v>
      </c>
      <c r="B251" s="16">
        <v>0.372</v>
      </c>
      <c r="C251" s="8">
        <v>1E-3</v>
      </c>
      <c r="D251" s="8">
        <v>22.22</v>
      </c>
      <c r="E251" s="8">
        <v>3.1E-2</v>
      </c>
      <c r="F251" s="8">
        <v>1.02</v>
      </c>
      <c r="G251" s="8">
        <v>1.2E-2</v>
      </c>
      <c r="H251" s="8">
        <v>-4.1000000000000002E-2</v>
      </c>
      <c r="I251" s="8">
        <v>0.02</v>
      </c>
      <c r="J251" s="8">
        <v>0.12</v>
      </c>
      <c r="K251" s="39">
        <f t="shared" si="24"/>
        <v>0.183</v>
      </c>
      <c r="L251" s="39">
        <f t="shared" si="25"/>
        <v>41.691269999999996</v>
      </c>
      <c r="M251" s="30">
        <f t="shared" si="26"/>
        <v>2178.9837928394013</v>
      </c>
      <c r="N251" s="30">
        <f>(RedShift*Age*(2*InitialTangentVelocity-UniverseAcceleration*Age))/(2+RedShift)*(1+RedShift)</f>
        <v>6.577420071976512E+25</v>
      </c>
      <c r="O251" s="36">
        <f t="shared" si="27"/>
        <v>2131.5966757539563</v>
      </c>
      <c r="P251" s="36">
        <f t="shared" si="28"/>
        <v>41.643525171414367</v>
      </c>
      <c r="Q251" s="36">
        <f t="shared" si="29"/>
        <v>6.8069176645197918E-2</v>
      </c>
      <c r="R251" s="19">
        <v>1900.3030653101061</v>
      </c>
      <c r="S251" s="36">
        <f t="shared" si="30"/>
        <v>41.394114344489822</v>
      </c>
      <c r="T251" s="36">
        <f t="shared" si="31"/>
        <v>2.6367309743999918</v>
      </c>
      <c r="U251" s="30"/>
    </row>
    <row r="252" spans="1:21" x14ac:dyDescent="0.25">
      <c r="A252" s="35" t="s">
        <v>281</v>
      </c>
      <c r="B252" s="16">
        <v>0.373</v>
      </c>
      <c r="C252" s="8">
        <v>1E-3</v>
      </c>
      <c r="D252" s="8">
        <v>22.463000000000001</v>
      </c>
      <c r="E252" s="8">
        <v>3.1E-2</v>
      </c>
      <c r="F252" s="8">
        <v>0.92400000000000004</v>
      </c>
      <c r="G252" s="8">
        <v>1.2E-2</v>
      </c>
      <c r="H252" s="8">
        <v>-2.1999999999999999E-2</v>
      </c>
      <c r="I252" s="8">
        <v>0.02</v>
      </c>
      <c r="J252" s="8">
        <v>0.12</v>
      </c>
      <c r="K252" s="39">
        <f t="shared" si="24"/>
        <v>0.183</v>
      </c>
      <c r="L252" s="39">
        <f t="shared" si="25"/>
        <v>41.860688000000003</v>
      </c>
      <c r="M252" s="30">
        <f t="shared" si="26"/>
        <v>2355.7955658232663</v>
      </c>
      <c r="N252" s="30">
        <f>(RedShift*Age*(2*InitialTangentVelocity-UniverseAcceleration*Age))/(2+RedShift)*(1+RedShift)</f>
        <v>6.5971269830452499E+25</v>
      </c>
      <c r="O252" s="36">
        <f t="shared" si="27"/>
        <v>2137.9832506820917</v>
      </c>
      <c r="P252" s="36">
        <f t="shared" si="28"/>
        <v>41.650021492752856</v>
      </c>
      <c r="Q252" s="36">
        <f t="shared" si="29"/>
        <v>1.3252225290606563</v>
      </c>
      <c r="R252" s="19">
        <v>1906.3028590326169</v>
      </c>
      <c r="S252" s="36">
        <f t="shared" si="30"/>
        <v>41.400959496091446</v>
      </c>
      <c r="T252" s="36">
        <f t="shared" si="31"/>
        <v>6.3110363792887441</v>
      </c>
      <c r="U252" s="30"/>
    </row>
    <row r="253" spans="1:21" x14ac:dyDescent="0.25">
      <c r="A253" s="35" t="s">
        <v>282</v>
      </c>
      <c r="B253" s="16">
        <v>0.375</v>
      </c>
      <c r="C253" s="8">
        <v>1E-3</v>
      </c>
      <c r="D253" s="8">
        <v>22.145</v>
      </c>
      <c r="E253" s="8">
        <v>3.1E-2</v>
      </c>
      <c r="F253" s="8">
        <v>0.91100000000000003</v>
      </c>
      <c r="G253" s="8">
        <v>1.4E-2</v>
      </c>
      <c r="H253" s="8">
        <v>-0.12</v>
      </c>
      <c r="I253" s="8">
        <v>2.1999999999999999E-2</v>
      </c>
      <c r="J253" s="8">
        <v>0.12</v>
      </c>
      <c r="K253" s="39">
        <f t="shared" si="24"/>
        <v>0.187</v>
      </c>
      <c r="L253" s="39">
        <f t="shared" si="25"/>
        <v>41.847516999999996</v>
      </c>
      <c r="M253" s="30">
        <f t="shared" si="26"/>
        <v>2341.549806597654</v>
      </c>
      <c r="N253" s="30">
        <f>(RedShift*Age*(2*InitialTangentVelocity-UniverseAcceleration*Age))/(2+RedShift)*(1+RedShift)</f>
        <v>6.6365682448235252E+25</v>
      </c>
      <c r="O253" s="36">
        <f t="shared" si="27"/>
        <v>2150.7652931203284</v>
      </c>
      <c r="P253" s="36">
        <f t="shared" si="28"/>
        <v>41.662965098277915</v>
      </c>
      <c r="Q253" s="36">
        <f t="shared" si="29"/>
        <v>0.97398851637840977</v>
      </c>
      <c r="R253" s="19">
        <v>1918.3146828880169</v>
      </c>
      <c r="S253" s="36">
        <f t="shared" si="30"/>
        <v>41.414599254610778</v>
      </c>
      <c r="T253" s="36">
        <f t="shared" si="31"/>
        <v>5.3595405723035912</v>
      </c>
      <c r="U253" s="30"/>
    </row>
    <row r="254" spans="1:21" x14ac:dyDescent="0.25">
      <c r="A254" s="35" t="s">
        <v>283</v>
      </c>
      <c r="B254" s="16">
        <v>0.38100000000000001</v>
      </c>
      <c r="C254" s="8">
        <v>0</v>
      </c>
      <c r="D254" s="8">
        <v>21.943000000000001</v>
      </c>
      <c r="E254" s="8">
        <v>4.2999999999999997E-2</v>
      </c>
      <c r="F254" s="8">
        <v>1.1240000000000001</v>
      </c>
      <c r="G254" s="8">
        <v>0.05</v>
      </c>
      <c r="H254" s="8">
        <v>-4.9000000000000002E-2</v>
      </c>
      <c r="I254" s="8">
        <v>3.6999999999999998E-2</v>
      </c>
      <c r="J254" s="8">
        <v>0.12</v>
      </c>
      <c r="K254" s="39">
        <f t="shared" si="24"/>
        <v>0.25</v>
      </c>
      <c r="L254" s="39">
        <f t="shared" si="25"/>
        <v>41.454598000000004</v>
      </c>
      <c r="M254" s="30">
        <f t="shared" si="26"/>
        <v>1953.9776866182442</v>
      </c>
      <c r="N254" s="30">
        <f>(RedShift*Age*(2*InitialTangentVelocity-UniverseAcceleration*Age))/(2+RedShift)*(1+RedShift)</f>
        <v>6.7551107175266035E+25</v>
      </c>
      <c r="O254" s="36">
        <f t="shared" si="27"/>
        <v>2189.1822921844623</v>
      </c>
      <c r="P254" s="36">
        <f t="shared" si="28"/>
        <v>41.701409632859196</v>
      </c>
      <c r="Q254" s="36">
        <f t="shared" si="29"/>
        <v>0.97465571383392802</v>
      </c>
      <c r="R254" s="19">
        <v>1954.4476807511412</v>
      </c>
      <c r="S254" s="36">
        <f t="shared" si="30"/>
        <v>41.45512024576459</v>
      </c>
      <c r="T254" s="36">
        <f t="shared" si="31"/>
        <v>4.3638502180433184E-6</v>
      </c>
      <c r="U254" s="30"/>
    </row>
    <row r="255" spans="1:21" x14ac:dyDescent="0.25">
      <c r="A255" s="35" t="s">
        <v>284</v>
      </c>
      <c r="B255" s="16">
        <v>0.39300000000000002</v>
      </c>
      <c r="C255" s="8">
        <v>0</v>
      </c>
      <c r="D255" s="8">
        <v>22.439</v>
      </c>
      <c r="E255" s="8">
        <v>6.5000000000000002E-2</v>
      </c>
      <c r="F255" s="8">
        <v>1.27</v>
      </c>
      <c r="G255" s="8">
        <v>0.10100000000000001</v>
      </c>
      <c r="H255" s="8">
        <v>0.14399999999999999</v>
      </c>
      <c r="I255" s="8">
        <v>5.2999999999999999E-2</v>
      </c>
      <c r="J255" s="8">
        <v>0.12</v>
      </c>
      <c r="K255" s="39">
        <f t="shared" si="24"/>
        <v>0.33899999999999997</v>
      </c>
      <c r="L255" s="39">
        <f t="shared" si="25"/>
        <v>41.36797</v>
      </c>
      <c r="M255" s="30">
        <f t="shared" si="26"/>
        <v>1877.5607592796741</v>
      </c>
      <c r="N255" s="30">
        <f>(RedShift*Age*(2*InitialTangentVelocity-UniverseAcceleration*Age))/(2+RedShift)*(1+RedShift)</f>
        <v>6.9931715313246974E+25</v>
      </c>
      <c r="O255" s="36">
        <f t="shared" si="27"/>
        <v>2266.3325477202638</v>
      </c>
      <c r="P255" s="36">
        <f t="shared" si="28"/>
        <v>41.776618179542105</v>
      </c>
      <c r="Q255" s="36">
        <f t="shared" si="29"/>
        <v>1.4531141796806204</v>
      </c>
      <c r="R255" s="19">
        <v>2027.1489177923543</v>
      </c>
      <c r="S255" s="36">
        <f t="shared" si="30"/>
        <v>41.534428269365094</v>
      </c>
      <c r="T255" s="36">
        <f t="shared" si="31"/>
        <v>0.24110785182884129</v>
      </c>
      <c r="U255" s="30"/>
    </row>
    <row r="256" spans="1:21" x14ac:dyDescent="0.25">
      <c r="A256" s="35" t="s">
        <v>285</v>
      </c>
      <c r="B256" s="16">
        <v>0.39500000000000002</v>
      </c>
      <c r="C256" s="8">
        <v>0</v>
      </c>
      <c r="D256" s="8">
        <v>22.271999999999998</v>
      </c>
      <c r="E256" s="8">
        <v>5.2999999999999999E-2</v>
      </c>
      <c r="F256" s="8">
        <v>1.1100000000000001</v>
      </c>
      <c r="G256" s="8">
        <v>4.5999999999999999E-2</v>
      </c>
      <c r="H256" s="8">
        <v>-8.7999999999999995E-2</v>
      </c>
      <c r="I256" s="8">
        <v>4.1000000000000002E-2</v>
      </c>
      <c r="J256" s="8">
        <v>0.12</v>
      </c>
      <c r="K256" s="39">
        <f t="shared" si="24"/>
        <v>0.26</v>
      </c>
      <c r="L256" s="39">
        <f t="shared" si="25"/>
        <v>41.90361</v>
      </c>
      <c r="M256" s="30">
        <f t="shared" si="26"/>
        <v>2402.8242150142287</v>
      </c>
      <c r="N256" s="30">
        <f>(RedShift*Age*(2*InitialTangentVelocity-UniverseAcceleration*Age))/(2+RedShift)*(1+RedShift)</f>
        <v>7.032973778702983E+25</v>
      </c>
      <c r="O256" s="36">
        <f t="shared" si="27"/>
        <v>2279.2315776241871</v>
      </c>
      <c r="P256" s="36">
        <f t="shared" si="28"/>
        <v>41.788942266039811</v>
      </c>
      <c r="Q256" s="36">
        <f t="shared" si="29"/>
        <v>0.19450723685746693</v>
      </c>
      <c r="R256" s="19">
        <v>2039.32174373765</v>
      </c>
      <c r="S256" s="36">
        <f t="shared" si="30"/>
        <v>41.547428749063698</v>
      </c>
      <c r="T256" s="36">
        <f t="shared" si="31"/>
        <v>1.8767024189134482</v>
      </c>
      <c r="U256" s="30"/>
    </row>
    <row r="257" spans="1:21" x14ac:dyDescent="0.25">
      <c r="A257" s="35" t="s">
        <v>286</v>
      </c>
      <c r="B257" s="16">
        <v>0.40200000000000002</v>
      </c>
      <c r="C257" s="8">
        <v>1E-3</v>
      </c>
      <c r="D257" s="8">
        <v>22.614999999999998</v>
      </c>
      <c r="E257" s="8">
        <v>3.4000000000000002E-2</v>
      </c>
      <c r="F257" s="8">
        <v>0.93200000000000005</v>
      </c>
      <c r="G257" s="8">
        <v>1.6E-2</v>
      </c>
      <c r="H257" s="8">
        <v>2.8000000000000001E-2</v>
      </c>
      <c r="I257" s="8">
        <v>2.1999999999999999E-2</v>
      </c>
      <c r="J257" s="8">
        <v>0.12</v>
      </c>
      <c r="K257" s="39">
        <f t="shared" si="24"/>
        <v>0.192</v>
      </c>
      <c r="L257" s="39">
        <f t="shared" si="25"/>
        <v>41.857363999999997</v>
      </c>
      <c r="M257" s="30">
        <f t="shared" si="26"/>
        <v>2352.19217024009</v>
      </c>
      <c r="N257" s="30">
        <f>(RedShift*Age*(2*InitialTangentVelocity-UniverseAcceleration*Age))/(2+RedShift)*(1+RedShift)</f>
        <v>7.1725614283102311E+25</v>
      </c>
      <c r="O257" s="36">
        <f t="shared" si="27"/>
        <v>2324.4688540369898</v>
      </c>
      <c r="P257" s="36">
        <f t="shared" si="28"/>
        <v>41.83161865685345</v>
      </c>
      <c r="Q257" s="36">
        <f t="shared" si="29"/>
        <v>1.7980216301362428E-2</v>
      </c>
      <c r="R257" s="19">
        <v>2082.0514345972879</v>
      </c>
      <c r="S257" s="36">
        <f t="shared" si="30"/>
        <v>41.59245727017101</v>
      </c>
      <c r="T257" s="36">
        <f t="shared" si="31"/>
        <v>1.9036343182695206</v>
      </c>
      <c r="U257" s="30"/>
    </row>
    <row r="258" spans="1:21" x14ac:dyDescent="0.25">
      <c r="A258" s="35" t="s">
        <v>287</v>
      </c>
      <c r="B258" s="16">
        <v>0.40400000000000003</v>
      </c>
      <c r="C258" s="8">
        <v>1E-3</v>
      </c>
      <c r="D258" s="8">
        <v>22.614999999999998</v>
      </c>
      <c r="E258" s="8">
        <v>0.03</v>
      </c>
      <c r="F258" s="8">
        <v>0.96299999999999997</v>
      </c>
      <c r="G258" s="8">
        <v>1.2E-2</v>
      </c>
      <c r="H258" s="8">
        <v>-3.5999999999999997E-2</v>
      </c>
      <c r="I258" s="8">
        <v>0.02</v>
      </c>
      <c r="J258" s="8">
        <v>0.12</v>
      </c>
      <c r="K258" s="39">
        <f t="shared" si="24"/>
        <v>0.182</v>
      </c>
      <c r="L258" s="39">
        <f t="shared" si="25"/>
        <v>42.062241</v>
      </c>
      <c r="M258" s="30">
        <f t="shared" si="26"/>
        <v>2584.9265068886411</v>
      </c>
      <c r="N258" s="30">
        <f>(RedShift*Age*(2*InitialTangentVelocity-UniverseAcceleration*Age))/(2+RedShift)*(1+RedShift)</f>
        <v>7.212523186362184E+25</v>
      </c>
      <c r="O258" s="36">
        <f t="shared" si="27"/>
        <v>2337.4195778297044</v>
      </c>
      <c r="P258" s="36">
        <f t="shared" si="28"/>
        <v>41.843683386480791</v>
      </c>
      <c r="Q258" s="36">
        <f t="shared" si="29"/>
        <v>1.4420791700039872</v>
      </c>
      <c r="R258" s="19">
        <v>2094.2954122132587</v>
      </c>
      <c r="S258" s="36">
        <f t="shared" si="30"/>
        <v>41.60518970678396</v>
      </c>
      <c r="T258" s="36">
        <f t="shared" si="31"/>
        <v>6.3064812411077877</v>
      </c>
      <c r="U258" s="30"/>
    </row>
    <row r="259" spans="1:21" x14ac:dyDescent="0.25">
      <c r="A259" s="35" t="s">
        <v>288</v>
      </c>
      <c r="B259" s="16">
        <v>0.40699999999999997</v>
      </c>
      <c r="C259" s="8">
        <v>1E-3</v>
      </c>
      <c r="D259" s="8">
        <v>22.808</v>
      </c>
      <c r="E259" s="8">
        <v>3.2000000000000001E-2</v>
      </c>
      <c r="F259" s="8">
        <v>0.89100000000000001</v>
      </c>
      <c r="G259" s="8">
        <v>1.2999999999999999E-2</v>
      </c>
      <c r="H259" s="8">
        <v>-2.3E-2</v>
      </c>
      <c r="I259" s="8">
        <v>2.1000000000000001E-2</v>
      </c>
      <c r="J259" s="8">
        <v>0.12</v>
      </c>
      <c r="K259" s="39">
        <f t="shared" si="24"/>
        <v>0.186</v>
      </c>
      <c r="L259" s="39">
        <f t="shared" si="25"/>
        <v>42.203966999999999</v>
      </c>
      <c r="M259" s="30">
        <f t="shared" si="26"/>
        <v>2759.2649227798406</v>
      </c>
      <c r="N259" s="30">
        <f>(RedShift*Age*(2*InitialTangentVelocity-UniverseAcceleration*Age))/(2+RedShift)*(1+RedShift)</f>
        <v>7.2725318032273524E+25</v>
      </c>
      <c r="O259" s="36">
        <f t="shared" si="27"/>
        <v>2356.867046111588</v>
      </c>
      <c r="P259" s="36">
        <f t="shared" si="28"/>
        <v>41.861675420537019</v>
      </c>
      <c r="Q259" s="36">
        <f t="shared" si="29"/>
        <v>3.3866205738022215</v>
      </c>
      <c r="R259" s="19">
        <v>2112.6908101756885</v>
      </c>
      <c r="S259" s="36">
        <f t="shared" si="30"/>
        <v>41.624179716071083</v>
      </c>
      <c r="T259" s="36">
        <f t="shared" si="31"/>
        <v>9.7165364379023274</v>
      </c>
      <c r="U259" s="30"/>
    </row>
    <row r="260" spans="1:21" x14ac:dyDescent="0.25">
      <c r="A260" s="35" t="s">
        <v>289</v>
      </c>
      <c r="B260" s="16">
        <v>0.41099999999999998</v>
      </c>
      <c r="C260" s="8">
        <v>1E-3</v>
      </c>
      <c r="D260" s="8">
        <v>22.562000000000001</v>
      </c>
      <c r="E260" s="8">
        <v>3.1E-2</v>
      </c>
      <c r="F260" s="8">
        <v>1.04</v>
      </c>
      <c r="G260" s="8">
        <v>1.2999999999999999E-2</v>
      </c>
      <c r="H260" s="8">
        <v>-5.0000000000000001E-3</v>
      </c>
      <c r="I260" s="8">
        <v>0.02</v>
      </c>
      <c r="J260" s="8">
        <v>0.12</v>
      </c>
      <c r="K260" s="39">
        <f t="shared" si="24"/>
        <v>0.184</v>
      </c>
      <c r="L260" s="39">
        <f t="shared" si="25"/>
        <v>41.92353</v>
      </c>
      <c r="M260" s="30">
        <f t="shared" si="26"/>
        <v>2424.9679329721316</v>
      </c>
      <c r="N260" s="30">
        <f>(RedShift*Age*(2*InitialTangentVelocity-UniverseAcceleration*Age))/(2+RedShift)*(1+RedShift)</f>
        <v>7.3526659948991122E+25</v>
      </c>
      <c r="O260" s="36">
        <f t="shared" si="27"/>
        <v>2382.8367689987599</v>
      </c>
      <c r="P260" s="36">
        <f t="shared" si="28"/>
        <v>41.885471464877156</v>
      </c>
      <c r="Q260" s="36">
        <f t="shared" si="29"/>
        <v>4.2782729669680317E-2</v>
      </c>
      <c r="R260" s="19">
        <v>2137.2727412365907</v>
      </c>
      <c r="S260" s="36">
        <f t="shared" si="30"/>
        <v>41.649299734020879</v>
      </c>
      <c r="T260" s="36">
        <f t="shared" si="31"/>
        <v>2.2212381491900786</v>
      </c>
      <c r="U260" s="30"/>
    </row>
    <row r="261" spans="1:21" x14ac:dyDescent="0.25">
      <c r="A261" s="35" t="s">
        <v>290</v>
      </c>
      <c r="B261" s="16">
        <v>0.41499999999999998</v>
      </c>
      <c r="C261" s="8">
        <v>2E-3</v>
      </c>
      <c r="D261" s="8">
        <v>22.559000000000001</v>
      </c>
      <c r="E261" s="8">
        <v>3.4000000000000002E-2</v>
      </c>
      <c r="F261" s="8">
        <v>1.034</v>
      </c>
      <c r="G261" s="8">
        <v>1.7999999999999999E-2</v>
      </c>
      <c r="H261" s="8">
        <v>-1.2E-2</v>
      </c>
      <c r="I261" s="8">
        <v>2.5000000000000001E-2</v>
      </c>
      <c r="J261" s="8">
        <v>0.12</v>
      </c>
      <c r="K261" s="39">
        <f t="shared" si="24"/>
        <v>0.19700000000000001</v>
      </c>
      <c r="L261" s="39">
        <f t="shared" si="25"/>
        <v>41.941558000000001</v>
      </c>
      <c r="M261" s="30">
        <f t="shared" si="26"/>
        <v>2445.1843077940916</v>
      </c>
      <c r="N261" s="30">
        <f>(RedShift*Age*(2*InitialTangentVelocity-UniverseAcceleration*Age))/(2+RedShift)*(1+RedShift)</f>
        <v>7.4329397792848625E+25</v>
      </c>
      <c r="O261" s="36">
        <f t="shared" si="27"/>
        <v>2408.8517308035998</v>
      </c>
      <c r="P261" s="36">
        <f t="shared" si="28"/>
        <v>41.909050346036693</v>
      </c>
      <c r="Q261" s="36">
        <f t="shared" si="29"/>
        <v>2.7229445906829138E-2</v>
      </c>
      <c r="R261" s="19">
        <v>2161.9169398601312</v>
      </c>
      <c r="S261" s="36">
        <f t="shared" si="30"/>
        <v>41.674195022431164</v>
      </c>
      <c r="T261" s="36">
        <f t="shared" si="31"/>
        <v>1.8419171268127075</v>
      </c>
      <c r="U261" s="30"/>
    </row>
    <row r="262" spans="1:21" x14ac:dyDescent="0.25">
      <c r="A262" s="35" t="s">
        <v>291</v>
      </c>
      <c r="B262" s="16">
        <v>0.41699999999999998</v>
      </c>
      <c r="C262" s="8">
        <v>1E-3</v>
      </c>
      <c r="D262" s="8">
        <v>22.488</v>
      </c>
      <c r="E262" s="8">
        <v>3.4000000000000002E-2</v>
      </c>
      <c r="F262" s="8">
        <v>1.125</v>
      </c>
      <c r="G262" s="8">
        <v>2.1999999999999999E-2</v>
      </c>
      <c r="H262" s="8">
        <v>2.1000000000000001E-2</v>
      </c>
      <c r="I262" s="8">
        <v>2.1999999999999999E-2</v>
      </c>
      <c r="J262" s="8">
        <v>0.12</v>
      </c>
      <c r="K262" s="39">
        <f t="shared" si="24"/>
        <v>0.19800000000000001</v>
      </c>
      <c r="L262" s="39">
        <f t="shared" si="25"/>
        <v>41.780645</v>
      </c>
      <c r="M262" s="30">
        <f t="shared" si="26"/>
        <v>2270.5391778768308</v>
      </c>
      <c r="N262" s="30">
        <f>(RedShift*Age*(2*InitialTangentVelocity-UniverseAcceleration*Age))/(2+RedShift)*(1+RedShift)</f>
        <v>7.4731288021659745E+25</v>
      </c>
      <c r="O262" s="36">
        <f t="shared" si="27"/>
        <v>2421.876106111506</v>
      </c>
      <c r="P262" s="36">
        <f t="shared" si="28"/>
        <v>41.920759612680179</v>
      </c>
      <c r="Q262" s="36">
        <f t="shared" si="29"/>
        <v>0.50076789833987878</v>
      </c>
      <c r="R262" s="19">
        <v>2174.2622926311897</v>
      </c>
      <c r="S262" s="36">
        <f t="shared" si="30"/>
        <v>41.68655967062621</v>
      </c>
      <c r="T262" s="36">
        <f t="shared" si="31"/>
        <v>0.225794541459407</v>
      </c>
      <c r="U262" s="30"/>
    </row>
    <row r="263" spans="1:21" x14ac:dyDescent="0.25">
      <c r="A263" s="35" t="s">
        <v>292</v>
      </c>
      <c r="B263" s="16">
        <v>0.41899999999999998</v>
      </c>
      <c r="C263" s="8">
        <v>1E-3</v>
      </c>
      <c r="D263" s="8">
        <v>22.965</v>
      </c>
      <c r="E263" s="8">
        <v>3.3000000000000002E-2</v>
      </c>
      <c r="F263" s="8">
        <v>0.97</v>
      </c>
      <c r="G263" s="8">
        <v>2.5000000000000001E-2</v>
      </c>
      <c r="H263" s="8">
        <v>4.4999999999999998E-2</v>
      </c>
      <c r="I263" s="8">
        <v>2.5000000000000001E-2</v>
      </c>
      <c r="J263" s="8">
        <v>0.12</v>
      </c>
      <c r="K263" s="39">
        <f t="shared" ref="K263:K326" si="32">PeakMagnitudeError+StretchError+ColorError+ScatterError</f>
        <v>0.20300000000000001</v>
      </c>
      <c r="L263" s="39">
        <f t="shared" ref="L263:L326" si="33">PeakMagnitude+α*(Stretch-1)-β*Color-Mb</f>
        <v>42.159739999999999</v>
      </c>
      <c r="M263" s="30">
        <f t="shared" ref="M263:M326" si="34">10^((ObservedDistanceModuli-25)/5)</f>
        <v>2703.634626590987</v>
      </c>
      <c r="N263" s="30">
        <f>(RedShift*Age*(2*InitialTangentVelocity-UniverseAcceleration*Age))/(2+RedShift)*(1+RedShift)</f>
        <v>7.513352463903178E+25</v>
      </c>
      <c r="O263" s="36">
        <f t="shared" ref="O263:O326" si="35">N263/Mpc</f>
        <v>2434.911707108161</v>
      </c>
      <c r="P263" s="36">
        <f t="shared" ref="P263:P326" si="36">(LOG10(T2LuminousDistance)*5+25)</f>
        <v>41.932416088921791</v>
      </c>
      <c r="Q263" s="36">
        <f t="shared" ref="Q263:Q326" si="37">(ObservedDistanceModuli-T2DistanceModuli)^2/TotalError^2</f>
        <v>1.2540018090197114</v>
      </c>
      <c r="R263" s="19">
        <v>2186.623096234583</v>
      </c>
      <c r="S263" s="36">
        <f t="shared" ref="S263:S326" si="38">(LOG10(ΛCDMLuminousDistance)*5+25)</f>
        <v>41.698869655170043</v>
      </c>
      <c r="T263" s="36">
        <f t="shared" ref="T263:T326" si="39">(ObservedDistanceModuli-ΛCDMDistanceModuli)^2/TotalError^2</f>
        <v>5.1542496722483673</v>
      </c>
      <c r="U263" s="30"/>
    </row>
    <row r="264" spans="1:21" x14ac:dyDescent="0.25">
      <c r="A264" s="35" t="s">
        <v>293</v>
      </c>
      <c r="B264" s="16">
        <v>0.42399999999999999</v>
      </c>
      <c r="C264" s="8">
        <v>1E-3</v>
      </c>
      <c r="D264" s="8">
        <v>22.753</v>
      </c>
      <c r="E264" s="8">
        <v>4.7E-2</v>
      </c>
      <c r="F264" s="8">
        <v>1.131</v>
      </c>
      <c r="G264" s="8">
        <v>1.7000000000000001E-2</v>
      </c>
      <c r="H264" s="8">
        <v>0.124</v>
      </c>
      <c r="I264" s="8">
        <v>2.3E-2</v>
      </c>
      <c r="J264" s="8">
        <v>0.12</v>
      </c>
      <c r="K264" s="39">
        <f t="shared" si="32"/>
        <v>0.20699999999999999</v>
      </c>
      <c r="L264" s="39">
        <f t="shared" si="33"/>
        <v>41.724136999999999</v>
      </c>
      <c r="M264" s="30">
        <f t="shared" si="34"/>
        <v>2212.2153425669367</v>
      </c>
      <c r="N264" s="30">
        <f>(RedShift*Age*(2*InitialTangentVelocity-UniverseAcceleration*Age))/(2+RedShift)*(1+RedShift)</f>
        <v>7.6140626005745374E+25</v>
      </c>
      <c r="O264" s="36">
        <f t="shared" si="35"/>
        <v>2467.5496396401008</v>
      </c>
      <c r="P264" s="36">
        <f t="shared" si="36"/>
        <v>41.961329490608946</v>
      </c>
      <c r="Q264" s="36">
        <f t="shared" si="37"/>
        <v>1.3129892786593775</v>
      </c>
      <c r="R264" s="19">
        <v>2217.5924503192637</v>
      </c>
      <c r="S264" s="36">
        <f t="shared" si="38"/>
        <v>41.729408672003743</v>
      </c>
      <c r="T264" s="36">
        <f t="shared" si="39"/>
        <v>6.4856882809531257E-4</v>
      </c>
      <c r="U264" s="30"/>
    </row>
    <row r="265" spans="1:21" x14ac:dyDescent="0.25">
      <c r="A265" s="35" t="s">
        <v>294</v>
      </c>
      <c r="B265" s="16">
        <v>0.42699999999999999</v>
      </c>
      <c r="C265" s="8">
        <v>1E-3</v>
      </c>
      <c r="D265" s="8">
        <v>23.407</v>
      </c>
      <c r="E265" s="8">
        <v>3.6999999999999998E-2</v>
      </c>
      <c r="F265" s="8">
        <v>1.1000000000000001</v>
      </c>
      <c r="G265" s="8">
        <v>2.3E-2</v>
      </c>
      <c r="H265" s="8">
        <v>0.193</v>
      </c>
      <c r="I265" s="8">
        <v>2.5999999999999999E-2</v>
      </c>
      <c r="J265" s="8">
        <v>0.12</v>
      </c>
      <c r="K265" s="39">
        <f t="shared" si="32"/>
        <v>0.20599999999999999</v>
      </c>
      <c r="L265" s="39">
        <f t="shared" si="33"/>
        <v>42.157610000000005</v>
      </c>
      <c r="M265" s="30">
        <f t="shared" si="34"/>
        <v>2700.9839282564585</v>
      </c>
      <c r="N265" s="30">
        <f>(RedShift*Age*(2*InitialTangentVelocity-UniverseAcceleration*Age))/(2+RedShift)*(1+RedShift)</f>
        <v>7.6745917867377256E+25</v>
      </c>
      <c r="O265" s="36">
        <f t="shared" si="35"/>
        <v>2487.1658129420398</v>
      </c>
      <c r="P265" s="36">
        <f t="shared" si="36"/>
        <v>41.978523697651021</v>
      </c>
      <c r="Q265" s="36">
        <f t="shared" si="37"/>
        <v>0.75577113038533339</v>
      </c>
      <c r="R265" s="19">
        <v>2236.2200507366765</v>
      </c>
      <c r="S265" s="36">
        <f t="shared" si="38"/>
        <v>41.747572685961224</v>
      </c>
      <c r="T265" s="36">
        <f t="shared" si="39"/>
        <v>3.9619803681812247</v>
      </c>
      <c r="U265" s="30"/>
    </row>
    <row r="266" spans="1:21" x14ac:dyDescent="0.25">
      <c r="A266" s="35" t="s">
        <v>295</v>
      </c>
      <c r="B266" s="16">
        <v>0.435</v>
      </c>
      <c r="C266" s="8">
        <v>1E-3</v>
      </c>
      <c r="D266" s="8">
        <v>22.582000000000001</v>
      </c>
      <c r="E266" s="8">
        <v>3.5000000000000003E-2</v>
      </c>
      <c r="F266" s="8">
        <v>1.085</v>
      </c>
      <c r="G266" s="8">
        <v>2.5999999999999999E-2</v>
      </c>
      <c r="H266" s="8">
        <v>-1.4999999999999999E-2</v>
      </c>
      <c r="I266" s="8">
        <v>2.1999999999999999E-2</v>
      </c>
      <c r="J266" s="8">
        <v>0.12</v>
      </c>
      <c r="K266" s="39">
        <f t="shared" si="32"/>
        <v>0.20299999999999999</v>
      </c>
      <c r="L266" s="39">
        <f t="shared" si="33"/>
        <v>41.981445000000001</v>
      </c>
      <c r="M266" s="30">
        <f t="shared" si="34"/>
        <v>2490.5140723268805</v>
      </c>
      <c r="N266" s="30">
        <f>(RedShift*Age*(2*InitialTangentVelocity-UniverseAcceleration*Age))/(2+RedShift)*(1+RedShift)</f>
        <v>7.836378514330094E+25</v>
      </c>
      <c r="O266" s="36">
        <f t="shared" si="35"/>
        <v>2539.5973205762134</v>
      </c>
      <c r="P266" s="36">
        <f t="shared" si="36"/>
        <v>42.023824300982319</v>
      </c>
      <c r="Q266" s="36">
        <f t="shared" si="37"/>
        <v>4.3582837529421915E-2</v>
      </c>
      <c r="R266" s="19">
        <v>2286.0611572291796</v>
      </c>
      <c r="S266" s="36">
        <f t="shared" si="38"/>
        <v>41.795439222798251</v>
      </c>
      <c r="T266" s="36">
        <f t="shared" si="39"/>
        <v>0.83957749890623412</v>
      </c>
      <c r="U266" s="30"/>
    </row>
    <row r="267" spans="1:21" x14ac:dyDescent="0.25">
      <c r="A267" s="35" t="s">
        <v>296</v>
      </c>
      <c r="B267" s="16">
        <v>0.437</v>
      </c>
      <c r="C267" s="8">
        <v>1E-3</v>
      </c>
      <c r="D267" s="8">
        <v>22.521000000000001</v>
      </c>
      <c r="E267" s="8">
        <v>3.1E-2</v>
      </c>
      <c r="F267" s="8">
        <v>0.96</v>
      </c>
      <c r="G267" s="8">
        <v>1.2999999999999999E-2</v>
      </c>
      <c r="H267" s="8">
        <v>-2.7E-2</v>
      </c>
      <c r="I267" s="8">
        <v>1.9E-2</v>
      </c>
      <c r="J267" s="8">
        <v>0.12</v>
      </c>
      <c r="K267" s="39">
        <f t="shared" si="32"/>
        <v>0.183</v>
      </c>
      <c r="L267" s="39">
        <f t="shared" si="33"/>
        <v>41.939630000000001</v>
      </c>
      <c r="M267" s="30">
        <f t="shared" si="34"/>
        <v>2443.0142488615443</v>
      </c>
      <c r="N267" s="30">
        <f>(RedShift*Age*(2*InitialTangentVelocity-UniverseAcceleration*Age))/(2+RedShift)*(1+RedShift)</f>
        <v>7.8769100964711321E+25</v>
      </c>
      <c r="O267" s="36">
        <f t="shared" si="35"/>
        <v>2552.7327117796708</v>
      </c>
      <c r="P267" s="36">
        <f t="shared" si="36"/>
        <v>42.035026718211952</v>
      </c>
      <c r="Q267" s="36">
        <f t="shared" si="37"/>
        <v>0.27174695707875535</v>
      </c>
      <c r="R267" s="19">
        <v>2298.5592981404257</v>
      </c>
      <c r="S267" s="36">
        <f t="shared" si="38"/>
        <v>41.807278560712227</v>
      </c>
      <c r="T267" s="36">
        <f t="shared" si="39"/>
        <v>0.52306439372765201</v>
      </c>
      <c r="U267" s="30"/>
    </row>
    <row r="268" spans="1:21" x14ac:dyDescent="0.25">
      <c r="A268" s="35" t="s">
        <v>297</v>
      </c>
      <c r="B268" s="16">
        <v>0.442</v>
      </c>
      <c r="C268" s="8">
        <v>1E-3</v>
      </c>
      <c r="D268" s="8">
        <v>23.007999999999999</v>
      </c>
      <c r="E268" s="8">
        <v>4.5999999999999999E-2</v>
      </c>
      <c r="F268" s="8">
        <v>0.82899999999999996</v>
      </c>
      <c r="G268" s="8">
        <v>2.7E-2</v>
      </c>
      <c r="H268" s="8">
        <v>0.03</v>
      </c>
      <c r="I268" s="8">
        <v>3.6999999999999998E-2</v>
      </c>
      <c r="J268" s="8">
        <v>0.12</v>
      </c>
      <c r="K268" s="39">
        <f t="shared" si="32"/>
        <v>0.22999999999999998</v>
      </c>
      <c r="L268" s="39">
        <f t="shared" si="33"/>
        <v>42.228962999999993</v>
      </c>
      <c r="M268" s="30">
        <f t="shared" si="34"/>
        <v>2791.2105631395025</v>
      </c>
      <c r="N268" s="30">
        <f>(RedShift*Age*(2*InitialTangentVelocity-UniverseAcceleration*Age))/(2+RedShift)*(1+RedShift)</f>
        <v>7.9783867146234151E+25</v>
      </c>
      <c r="O268" s="36">
        <f t="shared" si="35"/>
        <v>2585.6190440426431</v>
      </c>
      <c r="P268" s="36">
        <f t="shared" si="36"/>
        <v>42.062822689230529</v>
      </c>
      <c r="Q268" s="36">
        <f t="shared" si="37"/>
        <v>0.52178833388608781</v>
      </c>
      <c r="R268" s="19">
        <v>2329.8705011229695</v>
      </c>
      <c r="S268" s="36">
        <f t="shared" si="38"/>
        <v>41.836658913690904</v>
      </c>
      <c r="T268" s="36">
        <f t="shared" si="39"/>
        <v>2.9093099458376024</v>
      </c>
      <c r="U268" s="30"/>
    </row>
    <row r="269" spans="1:21" x14ac:dyDescent="0.25">
      <c r="A269" s="35" t="s">
        <v>298</v>
      </c>
      <c r="B269" s="16">
        <v>0.442</v>
      </c>
      <c r="C269" s="8">
        <v>0</v>
      </c>
      <c r="D269" s="8">
        <v>22.684999999999999</v>
      </c>
      <c r="E269" s="8">
        <v>3.1E-2</v>
      </c>
      <c r="F269" s="8">
        <v>1.1220000000000001</v>
      </c>
      <c r="G269" s="8">
        <v>2.4E-2</v>
      </c>
      <c r="H269" s="8">
        <v>2.1000000000000001E-2</v>
      </c>
      <c r="I269" s="8">
        <v>0.02</v>
      </c>
      <c r="J269" s="8">
        <v>0.12</v>
      </c>
      <c r="K269" s="39">
        <f t="shared" si="32"/>
        <v>0.19500000000000001</v>
      </c>
      <c r="L269" s="39">
        <f t="shared" si="33"/>
        <v>41.977204</v>
      </c>
      <c r="M269" s="30">
        <f t="shared" si="34"/>
        <v>2485.6547139896479</v>
      </c>
      <c r="N269" s="30">
        <f>(RedShift*Age*(2*InitialTangentVelocity-UniverseAcceleration*Age))/(2+RedShift)*(1+RedShift)</f>
        <v>7.9783867146234151E+25</v>
      </c>
      <c r="O269" s="36">
        <f t="shared" si="35"/>
        <v>2585.6190440426431</v>
      </c>
      <c r="P269" s="36">
        <f t="shared" si="36"/>
        <v>42.062822689230529</v>
      </c>
      <c r="Q269" s="36">
        <f t="shared" si="37"/>
        <v>0.19278264156617686</v>
      </c>
      <c r="R269" s="19">
        <v>2329.8705011229695</v>
      </c>
      <c r="S269" s="36">
        <f t="shared" si="38"/>
        <v>41.836658913690904</v>
      </c>
      <c r="T269" s="36">
        <f t="shared" si="39"/>
        <v>0.51947196017439334</v>
      </c>
      <c r="U269" s="30"/>
    </row>
    <row r="270" spans="1:21" x14ac:dyDescent="0.25">
      <c r="A270" s="35" t="s">
        <v>299</v>
      </c>
      <c r="B270" s="16">
        <v>0.44900000000000001</v>
      </c>
      <c r="C270" s="8">
        <v>1E-3</v>
      </c>
      <c r="D270" s="8">
        <v>22.654</v>
      </c>
      <c r="E270" s="8">
        <v>4.8000000000000001E-2</v>
      </c>
      <c r="F270" s="8">
        <v>1.0660000000000001</v>
      </c>
      <c r="G270" s="8">
        <v>3.3000000000000002E-2</v>
      </c>
      <c r="H270" s="8">
        <v>-5.2999999999999999E-2</v>
      </c>
      <c r="I270" s="8">
        <v>0.04</v>
      </c>
      <c r="J270" s="8">
        <v>0.12</v>
      </c>
      <c r="K270" s="39">
        <f t="shared" si="32"/>
        <v>0.24099999999999999</v>
      </c>
      <c r="L270" s="39">
        <f t="shared" si="33"/>
        <v>42.169592000000002</v>
      </c>
      <c r="M270" s="30">
        <f t="shared" si="34"/>
        <v>2715.9289224478985</v>
      </c>
      <c r="N270" s="30">
        <f>(RedShift*Age*(2*InitialTangentVelocity-UniverseAcceleration*Age))/(2+RedShift)*(1+RedShift)</f>
        <v>8.120806344839148E+25</v>
      </c>
      <c r="O270" s="36">
        <f t="shared" si="35"/>
        <v>2631.7741028662977</v>
      </c>
      <c r="P270" s="36">
        <f t="shared" si="36"/>
        <v>42.101243045361258</v>
      </c>
      <c r="Q270" s="36">
        <f t="shared" si="37"/>
        <v>8.0432148210413251E-2</v>
      </c>
      <c r="R270" s="19">
        <v>2373.8633110592295</v>
      </c>
      <c r="S270" s="36">
        <f t="shared" si="38"/>
        <v>41.87727854158112</v>
      </c>
      <c r="T270" s="36">
        <f t="shared" si="39"/>
        <v>1.4711722933972764</v>
      </c>
      <c r="U270" s="30"/>
    </row>
    <row r="271" spans="1:21" x14ac:dyDescent="0.25">
      <c r="A271" s="35" t="s">
        <v>300</v>
      </c>
      <c r="B271" s="16">
        <v>0.45</v>
      </c>
      <c r="C271" s="8">
        <v>0.01</v>
      </c>
      <c r="D271" s="8">
        <v>22.916</v>
      </c>
      <c r="E271" s="8">
        <v>3.5999999999999997E-2</v>
      </c>
      <c r="F271" s="8">
        <v>0.83099999999999996</v>
      </c>
      <c r="G271" s="8">
        <v>2.1000000000000001E-2</v>
      </c>
      <c r="H271" s="8">
        <v>4.2000000000000003E-2</v>
      </c>
      <c r="I271" s="8">
        <v>3.3000000000000002E-2</v>
      </c>
      <c r="J271" s="8">
        <v>0.12</v>
      </c>
      <c r="K271" s="39">
        <f t="shared" si="32"/>
        <v>0.21</v>
      </c>
      <c r="L271" s="39">
        <f t="shared" si="33"/>
        <v>42.099696999999999</v>
      </c>
      <c r="M271" s="30">
        <f t="shared" si="34"/>
        <v>2629.9009986988353</v>
      </c>
      <c r="N271" s="30">
        <f>(RedShift*Age*(2*InitialTangentVelocity-UniverseAcceleration*Age))/(2+RedShift)*(1+RedShift)</f>
        <v>8.1411853867853697E+25</v>
      </c>
      <c r="O271" s="36">
        <f t="shared" si="35"/>
        <v>2638.3785005772929</v>
      </c>
      <c r="P271" s="36">
        <f t="shared" si="36"/>
        <v>42.106685496841273</v>
      </c>
      <c r="Q271" s="36">
        <f t="shared" si="37"/>
        <v>1.1074623152039025E-3</v>
      </c>
      <c r="R271" s="19">
        <v>2380.1628819421226</v>
      </c>
      <c r="S271" s="36">
        <f t="shared" si="38"/>
        <v>41.883033390972003</v>
      </c>
      <c r="T271" s="36">
        <f t="shared" si="39"/>
        <v>1.0644698294112596</v>
      </c>
      <c r="U271" s="30"/>
    </row>
    <row r="272" spans="1:21" x14ac:dyDescent="0.25">
      <c r="A272" s="35" t="s">
        <v>301</v>
      </c>
      <c r="B272" s="16">
        <v>0.45100000000000001</v>
      </c>
      <c r="C272" s="8">
        <v>1E-3</v>
      </c>
      <c r="D272" s="8">
        <v>23.259</v>
      </c>
      <c r="E272" s="8">
        <v>3.3000000000000002E-2</v>
      </c>
      <c r="F272" s="8">
        <v>0.97599999999999998</v>
      </c>
      <c r="G272" s="8">
        <v>1.4999999999999999E-2</v>
      </c>
      <c r="H272" s="8">
        <v>0.223</v>
      </c>
      <c r="I272" s="8">
        <v>2.4E-2</v>
      </c>
      <c r="J272" s="8">
        <v>0.12</v>
      </c>
      <c r="K272" s="39">
        <f t="shared" si="32"/>
        <v>0.192</v>
      </c>
      <c r="L272" s="39">
        <f t="shared" si="33"/>
        <v>41.897481999999997</v>
      </c>
      <c r="M272" s="30">
        <f t="shared" si="34"/>
        <v>2396.052888046861</v>
      </c>
      <c r="N272" s="30">
        <f>(RedShift*Age*(2*InitialTangentVelocity-UniverseAcceleration*Age))/(2+RedShift)*(1+RedShift)</f>
        <v>8.1615727432102615E+25</v>
      </c>
      <c r="O272" s="36">
        <f t="shared" si="35"/>
        <v>2644.9855928273173</v>
      </c>
      <c r="P272" s="36">
        <f t="shared" si="36"/>
        <v>42.112116553930434</v>
      </c>
      <c r="Q272" s="36">
        <f t="shared" si="37"/>
        <v>1.2496742551247282</v>
      </c>
      <c r="R272" s="19">
        <v>2386.4661598739426</v>
      </c>
      <c r="S272" s="36">
        <f t="shared" si="38"/>
        <v>41.888776402218184</v>
      </c>
      <c r="T272" s="36">
        <f t="shared" si="39"/>
        <v>2.0558656884412429E-3</v>
      </c>
      <c r="U272" s="30"/>
    </row>
    <row r="273" spans="1:21" x14ac:dyDescent="0.25">
      <c r="A273" s="35" t="s">
        <v>302</v>
      </c>
      <c r="B273" s="16">
        <v>0.46100000000000002</v>
      </c>
      <c r="C273" s="8">
        <v>1E-3</v>
      </c>
      <c r="D273" s="8">
        <v>22.593</v>
      </c>
      <c r="E273" s="8">
        <v>5.8999999999999997E-2</v>
      </c>
      <c r="F273" s="8">
        <v>1.208</v>
      </c>
      <c r="G273" s="8">
        <v>7.4999999999999997E-2</v>
      </c>
      <c r="H273" s="8">
        <v>1.2E-2</v>
      </c>
      <c r="I273" s="8">
        <v>3.9E-2</v>
      </c>
      <c r="J273" s="8">
        <v>0.12</v>
      </c>
      <c r="K273" s="39">
        <f t="shared" si="32"/>
        <v>0.29300000000000004</v>
      </c>
      <c r="L273" s="39">
        <f t="shared" si="33"/>
        <v>41.926016000000004</v>
      </c>
      <c r="M273" s="30">
        <f t="shared" si="34"/>
        <v>2427.7457359067516</v>
      </c>
      <c r="N273" s="30">
        <f>(RedShift*Age*(2*InitialTangentVelocity-UniverseAcceleration*Age))/(2+RedShift)*(1+RedShift)</f>
        <v>8.3659013739784465E+25</v>
      </c>
      <c r="O273" s="36">
        <f t="shared" si="35"/>
        <v>2711.2039923427278</v>
      </c>
      <c r="P273" s="36">
        <f t="shared" si="36"/>
        <v>42.165810976718056</v>
      </c>
      <c r="Q273" s="36">
        <f t="shared" si="37"/>
        <v>0.66979965822794796</v>
      </c>
      <c r="R273" s="19">
        <v>2449.7018146846394</v>
      </c>
      <c r="S273" s="36">
        <f t="shared" si="38"/>
        <v>41.945566119540395</v>
      </c>
      <c r="T273" s="36">
        <f t="shared" si="39"/>
        <v>4.4520865012238273E-3</v>
      </c>
      <c r="U273" s="30"/>
    </row>
    <row r="274" spans="1:21" x14ac:dyDescent="0.25">
      <c r="A274" s="35" t="s">
        <v>303</v>
      </c>
      <c r="B274" s="16">
        <v>0.46100000000000002</v>
      </c>
      <c r="C274" s="8">
        <v>1E-3</v>
      </c>
      <c r="D274" s="8">
        <v>22.981999999999999</v>
      </c>
      <c r="E274" s="8">
        <v>3.2000000000000001E-2</v>
      </c>
      <c r="F274" s="8">
        <v>0.91300000000000003</v>
      </c>
      <c r="G274" s="8">
        <v>1.4E-2</v>
      </c>
      <c r="H274" s="8">
        <v>-2.1000000000000001E-2</v>
      </c>
      <c r="I274" s="8">
        <v>2.1000000000000001E-2</v>
      </c>
      <c r="J274" s="8">
        <v>0.12</v>
      </c>
      <c r="K274" s="39">
        <f t="shared" si="32"/>
        <v>0.187</v>
      </c>
      <c r="L274" s="39">
        <f t="shared" si="33"/>
        <v>42.374940999999993</v>
      </c>
      <c r="M274" s="30">
        <f t="shared" si="34"/>
        <v>2985.3015056692202</v>
      </c>
      <c r="N274" s="30">
        <f>(RedShift*Age*(2*InitialTangentVelocity-UniverseAcceleration*Age))/(2+RedShift)*(1+RedShift)</f>
        <v>8.3659013739784465E+25</v>
      </c>
      <c r="O274" s="36">
        <f t="shared" si="35"/>
        <v>2711.2039923427278</v>
      </c>
      <c r="P274" s="36">
        <f t="shared" si="36"/>
        <v>42.165810976718056</v>
      </c>
      <c r="Q274" s="36">
        <f t="shared" si="37"/>
        <v>1.2506896576368576</v>
      </c>
      <c r="R274" s="19">
        <v>2449.7018146846394</v>
      </c>
      <c r="S274" s="36">
        <f t="shared" si="38"/>
        <v>41.945566119540395</v>
      </c>
      <c r="T274" s="36">
        <f t="shared" si="39"/>
        <v>5.272177870962679</v>
      </c>
      <c r="U274" s="30"/>
    </row>
    <row r="275" spans="1:21" x14ac:dyDescent="0.25">
      <c r="A275" s="35" t="s">
        <v>304</v>
      </c>
      <c r="B275" s="16">
        <v>0.46800000000000003</v>
      </c>
      <c r="C275" s="8">
        <v>2E-3</v>
      </c>
      <c r="D275" s="8">
        <v>23.817</v>
      </c>
      <c r="E275" s="8">
        <v>4.1000000000000002E-2</v>
      </c>
      <c r="F275" s="8">
        <v>1.048</v>
      </c>
      <c r="G275" s="8">
        <v>3.7999999999999999E-2</v>
      </c>
      <c r="H275" s="8">
        <v>0.158</v>
      </c>
      <c r="I275" s="8">
        <v>0.04</v>
      </c>
      <c r="J275" s="8">
        <v>0.12</v>
      </c>
      <c r="K275" s="39">
        <f t="shared" si="32"/>
        <v>0.23899999999999999</v>
      </c>
      <c r="L275" s="39">
        <f t="shared" si="33"/>
        <v>42.669516000000002</v>
      </c>
      <c r="M275" s="30">
        <f t="shared" si="34"/>
        <v>3419.0322712886586</v>
      </c>
      <c r="N275" s="30">
        <f>(RedShift*Age*(2*InitialTangentVelocity-UniverseAcceleration*Age))/(2+RedShift)*(1+RedShift)</f>
        <v>8.5094201242376237E+25</v>
      </c>
      <c r="O275" s="36">
        <f t="shared" si="35"/>
        <v>2757.7152517138957</v>
      </c>
      <c r="P275" s="36">
        <f t="shared" si="36"/>
        <v>42.202747105077201</v>
      </c>
      <c r="Q275" s="36">
        <f t="shared" si="37"/>
        <v>3.8142399689685527</v>
      </c>
      <c r="R275" s="19">
        <v>2494.1846151021073</v>
      </c>
      <c r="S275" s="36">
        <f t="shared" si="38"/>
        <v>41.984642980180858</v>
      </c>
      <c r="T275" s="36">
        <f t="shared" si="39"/>
        <v>8.2115343442200359</v>
      </c>
      <c r="U275" s="30"/>
    </row>
    <row r="276" spans="1:21" x14ac:dyDescent="0.25">
      <c r="A276" s="35" t="s">
        <v>305</v>
      </c>
      <c r="B276" s="16">
        <v>0.47</v>
      </c>
      <c r="C276" s="8">
        <v>0.02</v>
      </c>
      <c r="D276" s="8">
        <v>23.042999999999999</v>
      </c>
      <c r="E276" s="8">
        <v>3.5999999999999997E-2</v>
      </c>
      <c r="F276" s="8">
        <v>0.83199999999999996</v>
      </c>
      <c r="G276" s="8">
        <v>1.4999999999999999E-2</v>
      </c>
      <c r="H276" s="8">
        <v>-5.7000000000000002E-2</v>
      </c>
      <c r="I276" s="8">
        <v>3.1E-2</v>
      </c>
      <c r="J276" s="8">
        <v>0.12</v>
      </c>
      <c r="K276" s="39">
        <f t="shared" si="32"/>
        <v>0.20199999999999999</v>
      </c>
      <c r="L276" s="39">
        <f t="shared" si="33"/>
        <v>42.536714000000003</v>
      </c>
      <c r="M276" s="30">
        <f t="shared" si="34"/>
        <v>3216.198166380821</v>
      </c>
      <c r="N276" s="30">
        <f>(RedShift*Age*(2*InitialTangentVelocity-UniverseAcceleration*Age))/(2+RedShift)*(1+RedShift)</f>
        <v>8.5504988351488567E+25</v>
      </c>
      <c r="O276" s="36">
        <f t="shared" si="35"/>
        <v>2771.0279552761494</v>
      </c>
      <c r="P276" s="36">
        <f t="shared" si="36"/>
        <v>42.213204535733482</v>
      </c>
      <c r="Q276" s="36">
        <f t="shared" si="37"/>
        <v>2.5649047512501695</v>
      </c>
      <c r="R276" s="19">
        <v>2506.9266786291846</v>
      </c>
      <c r="S276" s="36">
        <f t="shared" si="38"/>
        <v>41.995708160552127</v>
      </c>
      <c r="T276" s="36">
        <f t="shared" si="39"/>
        <v>7.1730055464342168</v>
      </c>
      <c r="U276" s="30"/>
    </row>
    <row r="277" spans="1:21" x14ac:dyDescent="0.25">
      <c r="A277" s="35" t="s">
        <v>306</v>
      </c>
      <c r="B277" s="16">
        <v>0.47</v>
      </c>
      <c r="C277" s="8">
        <v>0.01</v>
      </c>
      <c r="D277" s="8">
        <v>22.641999999999999</v>
      </c>
      <c r="E277" s="8">
        <v>3.3000000000000002E-2</v>
      </c>
      <c r="F277" s="8">
        <v>1.1599999999999999</v>
      </c>
      <c r="G277" s="8">
        <v>1.7999999999999999E-2</v>
      </c>
      <c r="H277" s="8">
        <v>-2.5999999999999999E-2</v>
      </c>
      <c r="I277" s="8">
        <v>2.4E-2</v>
      </c>
      <c r="J277" s="8">
        <v>0.12</v>
      </c>
      <c r="K277" s="39">
        <f t="shared" si="32"/>
        <v>0.19500000000000001</v>
      </c>
      <c r="L277" s="39">
        <f t="shared" si="33"/>
        <v>42.0869</v>
      </c>
      <c r="M277" s="30">
        <f t="shared" si="34"/>
        <v>2614.4479496607073</v>
      </c>
      <c r="N277" s="30">
        <f>(RedShift*Age*(2*InitialTangentVelocity-UniverseAcceleration*Age))/(2+RedShift)*(1+RedShift)</f>
        <v>8.5504988351488567E+25</v>
      </c>
      <c r="O277" s="36">
        <f t="shared" si="35"/>
        <v>2771.0279552761494</v>
      </c>
      <c r="P277" s="36">
        <f t="shared" si="36"/>
        <v>42.213204535733482</v>
      </c>
      <c r="Q277" s="36">
        <f t="shared" si="37"/>
        <v>0.41953545685339577</v>
      </c>
      <c r="R277" s="19">
        <v>2506.9266786291846</v>
      </c>
      <c r="S277" s="36">
        <f t="shared" si="38"/>
        <v>41.995708160552127</v>
      </c>
      <c r="T277" s="36">
        <f t="shared" si="39"/>
        <v>0.21869695152890697</v>
      </c>
      <c r="U277" s="30"/>
    </row>
    <row r="278" spans="1:21" x14ac:dyDescent="0.25">
      <c r="A278" s="35" t="s">
        <v>307</v>
      </c>
      <c r="B278" s="16">
        <v>0.47</v>
      </c>
      <c r="C278" s="8">
        <v>0.01</v>
      </c>
      <c r="D278" s="8">
        <v>23.521000000000001</v>
      </c>
      <c r="E278" s="8">
        <v>3.4000000000000002E-2</v>
      </c>
      <c r="F278" s="8">
        <v>0.78700000000000003</v>
      </c>
      <c r="G278" s="8">
        <v>1.7000000000000001E-2</v>
      </c>
      <c r="H278" s="8">
        <v>0.108</v>
      </c>
      <c r="I278" s="8">
        <v>2.8000000000000001E-2</v>
      </c>
      <c r="J278" s="8">
        <v>0.12</v>
      </c>
      <c r="K278" s="39">
        <f t="shared" si="32"/>
        <v>0.19900000000000001</v>
      </c>
      <c r="L278" s="39">
        <f t="shared" si="33"/>
        <v>42.491649000000002</v>
      </c>
      <c r="M278" s="30">
        <f t="shared" si="34"/>
        <v>3150.1395986102743</v>
      </c>
      <c r="N278" s="30">
        <f>(RedShift*Age*(2*InitialTangentVelocity-UniverseAcceleration*Age))/(2+RedShift)*(1+RedShift)</f>
        <v>8.5504988351488567E+25</v>
      </c>
      <c r="O278" s="36">
        <f t="shared" si="35"/>
        <v>2771.0279552761494</v>
      </c>
      <c r="P278" s="36">
        <f t="shared" si="36"/>
        <v>42.213204535733482</v>
      </c>
      <c r="Q278" s="36">
        <f t="shared" si="37"/>
        <v>1.9578121683964977</v>
      </c>
      <c r="R278" s="19">
        <v>2506.9266786291846</v>
      </c>
      <c r="S278" s="36">
        <f t="shared" si="38"/>
        <v>41.995708160552127</v>
      </c>
      <c r="T278" s="36">
        <f t="shared" si="39"/>
        <v>6.2108864986304289</v>
      </c>
      <c r="U278" s="30"/>
    </row>
    <row r="279" spans="1:21" x14ac:dyDescent="0.25">
      <c r="A279" s="35" t="s">
        <v>308</v>
      </c>
      <c r="B279" s="16">
        <v>0.47199999999999998</v>
      </c>
      <c r="C279" s="8">
        <v>1E-3</v>
      </c>
      <c r="D279" s="8">
        <v>23.771000000000001</v>
      </c>
      <c r="E279" s="8">
        <v>3.5000000000000003E-2</v>
      </c>
      <c r="F279" s="8">
        <v>1.0449999999999999</v>
      </c>
      <c r="G279" s="8">
        <v>2.7E-2</v>
      </c>
      <c r="H279" s="8">
        <v>0.184</v>
      </c>
      <c r="I279" s="8">
        <v>3.2000000000000001E-2</v>
      </c>
      <c r="J279" s="8">
        <v>0.12</v>
      </c>
      <c r="K279" s="39">
        <f t="shared" si="32"/>
        <v>0.214</v>
      </c>
      <c r="L279" s="39">
        <f t="shared" si="33"/>
        <v>42.541695000000004</v>
      </c>
      <c r="M279" s="30">
        <f t="shared" si="34"/>
        <v>3223.5840629455174</v>
      </c>
      <c r="N279" s="30">
        <f>(RedShift*Age*(2*InitialTangentVelocity-UniverseAcceleration*Age))/(2+RedShift)*(1+RedShift)</f>
        <v>8.5916100026299784E+25</v>
      </c>
      <c r="O279" s="36">
        <f t="shared" si="35"/>
        <v>2784.3511772963589</v>
      </c>
      <c r="P279" s="36">
        <f t="shared" si="36"/>
        <v>42.223620049706291</v>
      </c>
      <c r="Q279" s="36">
        <f t="shared" si="37"/>
        <v>2.2091814569907449</v>
      </c>
      <c r="R279" s="19">
        <v>2519.6832057629631</v>
      </c>
      <c r="S279" s="36">
        <f t="shared" si="38"/>
        <v>42.006729706610855</v>
      </c>
      <c r="T279" s="36">
        <f t="shared" si="39"/>
        <v>6.2491891241798054</v>
      </c>
      <c r="U279" s="30"/>
    </row>
    <row r="280" spans="1:21" x14ac:dyDescent="0.25">
      <c r="A280" s="35" t="s">
        <v>309</v>
      </c>
      <c r="B280" s="16">
        <v>0.47399999999999998</v>
      </c>
      <c r="C280" s="8">
        <v>1E-3</v>
      </c>
      <c r="D280" s="8">
        <v>22.719000000000001</v>
      </c>
      <c r="E280" s="8">
        <v>3.5000000000000003E-2</v>
      </c>
      <c r="F280" s="8">
        <v>0.98899999999999999</v>
      </c>
      <c r="G280" s="8">
        <v>0.02</v>
      </c>
      <c r="H280" s="8">
        <v>-9.6000000000000002E-2</v>
      </c>
      <c r="I280" s="8">
        <v>2.1999999999999999E-2</v>
      </c>
      <c r="J280" s="8">
        <v>0.12</v>
      </c>
      <c r="K280" s="39">
        <f t="shared" si="32"/>
        <v>0.19700000000000001</v>
      </c>
      <c r="L280" s="39">
        <f t="shared" si="33"/>
        <v>42.357863000000002</v>
      </c>
      <c r="M280" s="30">
        <f t="shared" si="34"/>
        <v>2961.9150604736251</v>
      </c>
      <c r="N280" s="30">
        <f>(RedShift*Age*(2*InitialTangentVelocity-UniverseAcceleration*Age))/(2+RedShift)*(1+RedShift)</f>
        <v>8.6327535479665941E+25</v>
      </c>
      <c r="O280" s="36">
        <f t="shared" si="35"/>
        <v>2797.6848922649251</v>
      </c>
      <c r="P280" s="36">
        <f t="shared" si="36"/>
        <v>42.233993988132418</v>
      </c>
      <c r="Q280" s="36">
        <f t="shared" si="37"/>
        <v>0.39536015102299743</v>
      </c>
      <c r="R280" s="19">
        <v>2532.4541605704121</v>
      </c>
      <c r="S280" s="36">
        <f t="shared" si="38"/>
        <v>42.017707965143828</v>
      </c>
      <c r="T280" s="36">
        <f t="shared" si="39"/>
        <v>2.9814076048855944</v>
      </c>
      <c r="U280" s="30"/>
    </row>
    <row r="281" spans="1:21" x14ac:dyDescent="0.25">
      <c r="A281" s="35" t="s">
        <v>310</v>
      </c>
      <c r="B281" s="16">
        <v>0.47899999999999998</v>
      </c>
      <c r="C281" s="8">
        <v>1E-3</v>
      </c>
      <c r="D281" s="8">
        <v>22.677</v>
      </c>
      <c r="E281" s="8">
        <v>3.4000000000000002E-2</v>
      </c>
      <c r="F281" s="8">
        <v>1.133</v>
      </c>
      <c r="G281" s="8">
        <v>1.4999999999999999E-2</v>
      </c>
      <c r="H281" s="8">
        <v>-1.2E-2</v>
      </c>
      <c r="I281" s="8">
        <v>2.1999999999999999E-2</v>
      </c>
      <c r="J281" s="8">
        <v>0.12</v>
      </c>
      <c r="K281" s="39">
        <f t="shared" si="32"/>
        <v>0.191</v>
      </c>
      <c r="L281" s="39">
        <f t="shared" si="33"/>
        <v>42.074111000000002</v>
      </c>
      <c r="M281" s="30">
        <f t="shared" si="34"/>
        <v>2599.0952766774994</v>
      </c>
      <c r="N281" s="30">
        <f>(RedShift*Age*(2*InitialTangentVelocity-UniverseAcceleration*Age))/(2+RedShift)*(1+RedShift)</f>
        <v>8.7357535501548225E+25</v>
      </c>
      <c r="O281" s="36">
        <f t="shared" si="35"/>
        <v>2831.0649196714917</v>
      </c>
      <c r="P281" s="36">
        <f t="shared" si="36"/>
        <v>42.259749141830511</v>
      </c>
      <c r="Q281" s="36">
        <f t="shared" si="37"/>
        <v>0.94464295667016274</v>
      </c>
      <c r="R281" s="19">
        <v>2564.4444337116006</v>
      </c>
      <c r="S281" s="36">
        <f t="shared" si="38"/>
        <v>42.044966466133687</v>
      </c>
      <c r="T281" s="36">
        <f t="shared" si="39"/>
        <v>2.3283458630103192E-2</v>
      </c>
      <c r="U281" s="30"/>
    </row>
    <row r="282" spans="1:21" x14ac:dyDescent="0.25">
      <c r="A282" s="35" t="s">
        <v>311</v>
      </c>
      <c r="B282" s="16">
        <v>0.48</v>
      </c>
      <c r="C282" s="8">
        <v>0.01</v>
      </c>
      <c r="D282" s="8">
        <v>22.940999999999999</v>
      </c>
      <c r="E282" s="8">
        <v>3.5999999999999997E-2</v>
      </c>
      <c r="F282" s="8">
        <v>0.98499999999999999</v>
      </c>
      <c r="G282" s="8">
        <v>2.4E-2</v>
      </c>
      <c r="H282" s="8">
        <v>-1.4999999999999999E-2</v>
      </c>
      <c r="I282" s="8">
        <v>2.3E-2</v>
      </c>
      <c r="J282" s="8">
        <v>0.12</v>
      </c>
      <c r="K282" s="39">
        <f t="shared" si="32"/>
        <v>0.20299999999999999</v>
      </c>
      <c r="L282" s="39">
        <f t="shared" si="33"/>
        <v>42.325744999999998</v>
      </c>
      <c r="M282" s="30">
        <f t="shared" si="34"/>
        <v>2918.4281116911343</v>
      </c>
      <c r="N282" s="30">
        <f>(RedShift*Age*(2*InitialTangentVelocity-UniverseAcceleration*Age))/(2+RedShift)*(1+RedShift)</f>
        <v>8.7563776677741932E+25</v>
      </c>
      <c r="O282" s="36">
        <f t="shared" si="35"/>
        <v>2837.7487409991145</v>
      </c>
      <c r="P282" s="36">
        <f t="shared" si="36"/>
        <v>42.264869698333982</v>
      </c>
      <c r="Q282" s="36">
        <f t="shared" si="37"/>
        <v>8.9927014800855298E-2</v>
      </c>
      <c r="R282" s="19">
        <v>2570.8532331352421</v>
      </c>
      <c r="S282" s="36">
        <f t="shared" si="38"/>
        <v>42.050386420050401</v>
      </c>
      <c r="T282" s="36">
        <f t="shared" si="39"/>
        <v>1.8399463115304513</v>
      </c>
      <c r="U282" s="30"/>
    </row>
    <row r="283" spans="1:21" x14ac:dyDescent="0.25">
      <c r="A283" s="35" t="s">
        <v>312</v>
      </c>
      <c r="B283" s="16">
        <v>0.49</v>
      </c>
      <c r="C283" s="8">
        <v>0.01</v>
      </c>
      <c r="D283" s="8">
        <v>22.879000000000001</v>
      </c>
      <c r="E283" s="8">
        <v>3.5999999999999997E-2</v>
      </c>
      <c r="F283" s="8">
        <v>1.054</v>
      </c>
      <c r="G283" s="8">
        <v>1.9E-2</v>
      </c>
      <c r="H283" s="8">
        <v>-3.4000000000000002E-2</v>
      </c>
      <c r="I283" s="8">
        <v>2.3E-2</v>
      </c>
      <c r="J283" s="8">
        <v>0.12</v>
      </c>
      <c r="K283" s="39">
        <f t="shared" si="32"/>
        <v>0.19799999999999998</v>
      </c>
      <c r="L283" s="39">
        <f t="shared" si="33"/>
        <v>42.333358000000004</v>
      </c>
      <c r="M283" s="30">
        <f t="shared" si="34"/>
        <v>2928.6778325172259</v>
      </c>
      <c r="N283" s="30">
        <f>(RedShift*Age*(2*InitialTangentVelocity-UniverseAcceleration*Age))/(2+RedShift)*(1+RedShift)</f>
        <v>8.9630581511858303E+25</v>
      </c>
      <c r="O283" s="36">
        <f t="shared" si="35"/>
        <v>2904.7293240487656</v>
      </c>
      <c r="P283" s="36">
        <f t="shared" si="36"/>
        <v>42.315528345337597</v>
      </c>
      <c r="Q283" s="36">
        <f t="shared" si="37"/>
        <v>8.1087793434518277E-3</v>
      </c>
      <c r="R283" s="19">
        <v>2635.1369147671503</v>
      </c>
      <c r="S283" s="36">
        <f t="shared" si="38"/>
        <v>42.104015924655755</v>
      </c>
      <c r="T283" s="36">
        <f t="shared" si="39"/>
        <v>1.3416433915724719</v>
      </c>
      <c r="U283" s="30"/>
    </row>
    <row r="284" spans="1:21" x14ac:dyDescent="0.25">
      <c r="A284" s="35" t="s">
        <v>313</v>
      </c>
      <c r="B284" s="16">
        <v>0.496</v>
      </c>
      <c r="C284" s="8">
        <v>1E-3</v>
      </c>
      <c r="D284" s="8">
        <v>22.992000000000001</v>
      </c>
      <c r="E284" s="8">
        <v>3.5000000000000003E-2</v>
      </c>
      <c r="F284" s="8">
        <v>0.92500000000000004</v>
      </c>
      <c r="G284" s="8">
        <v>1.2999999999999999E-2</v>
      </c>
      <c r="H284" s="8">
        <v>-6.2E-2</v>
      </c>
      <c r="I284" s="8">
        <v>2.8000000000000001E-2</v>
      </c>
      <c r="J284" s="8">
        <v>0.12</v>
      </c>
      <c r="K284" s="39">
        <f t="shared" si="32"/>
        <v>0.19600000000000001</v>
      </c>
      <c r="L284" s="39">
        <f t="shared" si="33"/>
        <v>42.515034999999997</v>
      </c>
      <c r="M284" s="30">
        <f t="shared" si="34"/>
        <v>3184.2488453399665</v>
      </c>
      <c r="N284" s="30">
        <f>(RedShift*Age*(2*InitialTangentVelocity-UniverseAcceleration*Age))/(2+RedShift)*(1+RedShift)</f>
        <v>9.087447225356301E+25</v>
      </c>
      <c r="O284" s="36">
        <f t="shared" si="35"/>
        <v>2945.041077608731</v>
      </c>
      <c r="P284" s="36">
        <f t="shared" si="36"/>
        <v>42.34545678365361</v>
      </c>
      <c r="Q284" s="36">
        <f t="shared" si="37"/>
        <v>0.74856235576900754</v>
      </c>
      <c r="R284" s="19">
        <v>2673.8767084093988</v>
      </c>
      <c r="S284" s="36">
        <f t="shared" si="38"/>
        <v>42.135706891047349</v>
      </c>
      <c r="T284" s="36">
        <f t="shared" si="39"/>
        <v>3.7455699250726928</v>
      </c>
      <c r="U284" s="30"/>
    </row>
    <row r="285" spans="1:21" x14ac:dyDescent="0.25">
      <c r="A285" s="35" t="s">
        <v>314</v>
      </c>
      <c r="B285" s="16">
        <v>0.499</v>
      </c>
      <c r="C285" s="8">
        <v>1E-3</v>
      </c>
      <c r="D285" s="8">
        <v>23.108000000000001</v>
      </c>
      <c r="E285" s="8">
        <v>3.7999999999999999E-2</v>
      </c>
      <c r="F285" s="8">
        <v>1.01</v>
      </c>
      <c r="G285" s="8">
        <v>3.3000000000000002E-2</v>
      </c>
      <c r="H285" s="8">
        <v>-1.2999999999999999E-2</v>
      </c>
      <c r="I285" s="8">
        <v>3.1E-2</v>
      </c>
      <c r="J285" s="8">
        <v>0.12</v>
      </c>
      <c r="K285" s="39">
        <f t="shared" si="32"/>
        <v>0.222</v>
      </c>
      <c r="L285" s="39">
        <f t="shared" si="33"/>
        <v>42.490160000000003</v>
      </c>
      <c r="M285" s="30">
        <f t="shared" si="34"/>
        <v>3147.9802573133466</v>
      </c>
      <c r="N285" s="30">
        <f>(RedShift*Age*(2*InitialTangentVelocity-UniverseAcceleration*Age))/(2+RedShift)*(1+RedShift)</f>
        <v>9.1497480437245043E+25</v>
      </c>
      <c r="O285" s="36">
        <f t="shared" si="35"/>
        <v>2965.2313978068005</v>
      </c>
      <c r="P285" s="36">
        <f t="shared" si="36"/>
        <v>42.36029295033844</v>
      </c>
      <c r="Q285" s="36">
        <f t="shared" si="37"/>
        <v>0.34220945109566642</v>
      </c>
      <c r="R285" s="19">
        <v>2693.2939271632945</v>
      </c>
      <c r="S285" s="36">
        <f t="shared" si="38"/>
        <v>42.151418759221279</v>
      </c>
      <c r="T285" s="36">
        <f t="shared" si="39"/>
        <v>2.3282531491824798</v>
      </c>
      <c r="U285" s="30"/>
    </row>
    <row r="286" spans="1:21" x14ac:dyDescent="0.25">
      <c r="A286" s="35" t="s">
        <v>315</v>
      </c>
      <c r="B286" s="16">
        <v>0.499</v>
      </c>
      <c r="C286" s="8">
        <v>1E-3</v>
      </c>
      <c r="D286" s="8">
        <v>23.273</v>
      </c>
      <c r="E286" s="8">
        <v>3.9E-2</v>
      </c>
      <c r="F286" s="8">
        <v>1.054</v>
      </c>
      <c r="G286" s="8">
        <v>3.9E-2</v>
      </c>
      <c r="H286" s="8">
        <v>3.5999999999999997E-2</v>
      </c>
      <c r="I286" s="8">
        <v>3.5999999999999997E-2</v>
      </c>
      <c r="J286" s="8">
        <v>0.12</v>
      </c>
      <c r="K286" s="39">
        <f t="shared" si="32"/>
        <v>0.23399999999999999</v>
      </c>
      <c r="L286" s="39">
        <f t="shared" si="33"/>
        <v>42.508257999999998</v>
      </c>
      <c r="M286" s="30">
        <f t="shared" si="34"/>
        <v>3174.3265386572898</v>
      </c>
      <c r="N286" s="30">
        <f>(RedShift*Age*(2*InitialTangentVelocity-UniverseAcceleration*Age))/(2+RedShift)*(1+RedShift)</f>
        <v>9.1497480437245043E+25</v>
      </c>
      <c r="O286" s="36">
        <f t="shared" si="35"/>
        <v>2965.2313978068005</v>
      </c>
      <c r="P286" s="36">
        <f t="shared" si="36"/>
        <v>42.36029295033844</v>
      </c>
      <c r="Q286" s="36">
        <f t="shared" si="37"/>
        <v>0.39984030830132267</v>
      </c>
      <c r="R286" s="19">
        <v>2693.2939271632945</v>
      </c>
      <c r="S286" s="36">
        <f t="shared" si="38"/>
        <v>42.151418759221279</v>
      </c>
      <c r="T286" s="36">
        <f t="shared" si="39"/>
        <v>2.3254847644008394</v>
      </c>
      <c r="U286" s="30"/>
    </row>
    <row r="287" spans="1:21" x14ac:dyDescent="0.25">
      <c r="A287" s="35" t="s">
        <v>316</v>
      </c>
      <c r="B287" s="16">
        <v>0.504</v>
      </c>
      <c r="C287" s="8">
        <v>1E-3</v>
      </c>
      <c r="D287" s="8">
        <v>23.012</v>
      </c>
      <c r="E287" s="8">
        <v>3.5000000000000003E-2</v>
      </c>
      <c r="F287" s="8">
        <v>1.137</v>
      </c>
      <c r="G287" s="8">
        <v>0.02</v>
      </c>
      <c r="H287" s="8">
        <v>1.7000000000000001E-2</v>
      </c>
      <c r="I287" s="8">
        <v>2.8000000000000001E-2</v>
      </c>
      <c r="J287" s="8">
        <v>0.12</v>
      </c>
      <c r="K287" s="39">
        <f t="shared" si="32"/>
        <v>0.20300000000000001</v>
      </c>
      <c r="L287" s="39">
        <f t="shared" si="33"/>
        <v>42.318928999999997</v>
      </c>
      <c r="M287" s="30">
        <f t="shared" si="34"/>
        <v>2909.2818664007996</v>
      </c>
      <c r="N287" s="30">
        <f>(RedShift*Age*(2*InitialTangentVelocity-UniverseAcceleration*Age))/(2+RedShift)*(1+RedShift)</f>
        <v>9.2537393144249046E+25</v>
      </c>
      <c r="O287" s="36">
        <f t="shared" si="35"/>
        <v>2998.9326734599749</v>
      </c>
      <c r="P287" s="36">
        <f t="shared" si="36"/>
        <v>42.384833579426129</v>
      </c>
      <c r="Q287" s="36">
        <f t="shared" si="37"/>
        <v>0.10539963574304889</v>
      </c>
      <c r="R287" s="19">
        <v>2725.7256602949683</v>
      </c>
      <c r="S287" s="36">
        <f t="shared" si="38"/>
        <v>42.177410713443948</v>
      </c>
      <c r="T287" s="36">
        <f t="shared" si="39"/>
        <v>0.48599639471378014</v>
      </c>
      <c r="U287" s="30"/>
    </row>
    <row r="288" spans="1:21" x14ac:dyDescent="0.25">
      <c r="A288" s="35" t="s">
        <v>317</v>
      </c>
      <c r="B288" s="16">
        <v>0.50900000000000001</v>
      </c>
      <c r="C288" s="8">
        <v>1E-3</v>
      </c>
      <c r="D288" s="8">
        <v>23.558</v>
      </c>
      <c r="E288" s="8">
        <v>3.6999999999999998E-2</v>
      </c>
      <c r="F288" s="8">
        <v>1.095</v>
      </c>
      <c r="G288" s="8">
        <v>0.02</v>
      </c>
      <c r="H288" s="8">
        <v>0.185</v>
      </c>
      <c r="I288" s="8">
        <v>2.7E-2</v>
      </c>
      <c r="J288" s="8">
        <v>0.12</v>
      </c>
      <c r="K288" s="39">
        <f t="shared" si="32"/>
        <v>0.20399999999999999</v>
      </c>
      <c r="L288" s="39">
        <f t="shared" si="33"/>
        <v>42.332915</v>
      </c>
      <c r="M288" s="30">
        <f t="shared" si="34"/>
        <v>2928.0804167075535</v>
      </c>
      <c r="N288" s="30">
        <f>(RedShift*Age*(2*InitialTangentVelocity-UniverseAcceleration*Age))/(2+RedShift)*(1+RedShift)</f>
        <v>9.3579252878238234E+25</v>
      </c>
      <c r="O288" s="36">
        <f t="shared" si="35"/>
        <v>3032.6970479604756</v>
      </c>
      <c r="P288" s="36">
        <f t="shared" si="36"/>
        <v>42.409145142601034</v>
      </c>
      <c r="Q288" s="36">
        <f t="shared" si="37"/>
        <v>0.13963462708991645</v>
      </c>
      <c r="R288" s="19">
        <v>2758.2440540656225</v>
      </c>
      <c r="S288" s="36">
        <f t="shared" si="38"/>
        <v>42.203163453225088</v>
      </c>
      <c r="T288" s="36">
        <f t="shared" si="39"/>
        <v>0.40454305772977284</v>
      </c>
      <c r="U288" s="30"/>
    </row>
    <row r="289" spans="1:21" x14ac:dyDescent="0.25">
      <c r="A289" s="35" t="s">
        <v>318</v>
      </c>
      <c r="B289" s="16">
        <v>0.51</v>
      </c>
      <c r="C289" s="8">
        <v>0.01</v>
      </c>
      <c r="D289" s="8">
        <v>22.913</v>
      </c>
      <c r="E289" s="8">
        <v>3.6999999999999998E-2</v>
      </c>
      <c r="F289" s="8">
        <v>1.099</v>
      </c>
      <c r="G289" s="8">
        <v>2.5999999999999999E-2</v>
      </c>
      <c r="H289" s="8">
        <v>-0.1</v>
      </c>
      <c r="I289" s="8">
        <v>2.8000000000000001E-2</v>
      </c>
      <c r="J289" s="8">
        <v>0.12</v>
      </c>
      <c r="K289" s="39">
        <f t="shared" si="32"/>
        <v>0.21099999999999999</v>
      </c>
      <c r="L289" s="39">
        <f t="shared" si="33"/>
        <v>42.580552999999995</v>
      </c>
      <c r="M289" s="30">
        <f t="shared" si="34"/>
        <v>3281.7885844009561</v>
      </c>
      <c r="N289" s="30">
        <f>(RedShift*Age*(2*InitialTangentVelocity-UniverseAcceleration*Age))/(2+RedShift)*(1+RedShift)</f>
        <v>9.3787857444339818E+25</v>
      </c>
      <c r="O289" s="36">
        <f t="shared" si="35"/>
        <v>3039.4574615387983</v>
      </c>
      <c r="P289" s="36">
        <f t="shared" si="36"/>
        <v>42.413980348162681</v>
      </c>
      <c r="Q289" s="36">
        <f t="shared" si="37"/>
        <v>0.62322158846645026</v>
      </c>
      <c r="R289" s="19">
        <v>2764.7580849338487</v>
      </c>
      <c r="S289" s="36">
        <f t="shared" si="38"/>
        <v>42.208285683674404</v>
      </c>
      <c r="T289" s="36">
        <f t="shared" si="39"/>
        <v>3.1127547630164929</v>
      </c>
      <c r="U289" s="30"/>
    </row>
    <row r="290" spans="1:21" x14ac:dyDescent="0.25">
      <c r="A290" s="35" t="s">
        <v>319</v>
      </c>
      <c r="B290" s="16">
        <v>0.51300000000000001</v>
      </c>
      <c r="C290" s="8">
        <v>1E-3</v>
      </c>
      <c r="D290" s="8">
        <v>23.783000000000001</v>
      </c>
      <c r="E290" s="8">
        <v>0.04</v>
      </c>
      <c r="F290" s="8">
        <v>1.1539999999999999</v>
      </c>
      <c r="G290" s="8">
        <v>2.5000000000000001E-2</v>
      </c>
      <c r="H290" s="8">
        <v>0.17100000000000001</v>
      </c>
      <c r="I290" s="8">
        <v>3.1E-2</v>
      </c>
      <c r="J290" s="8">
        <v>0.12</v>
      </c>
      <c r="K290" s="39">
        <f t="shared" si="32"/>
        <v>0.216</v>
      </c>
      <c r="L290" s="39">
        <f t="shared" si="33"/>
        <v>42.610408000000007</v>
      </c>
      <c r="M290" s="30">
        <f t="shared" si="34"/>
        <v>3327.2206288367711</v>
      </c>
      <c r="N290" s="30">
        <f>(RedShift*Age*(2*InitialTangentVelocity-UniverseAcceleration*Age))/(2+RedShift)*(1+RedShift)</f>
        <v>9.4414134715057162E+25</v>
      </c>
      <c r="O290" s="36">
        <f t="shared" si="35"/>
        <v>3059.7537256325131</v>
      </c>
      <c r="P290" s="36">
        <f t="shared" si="36"/>
        <v>42.428432361324482</v>
      </c>
      <c r="Q290" s="36">
        <f t="shared" si="37"/>
        <v>0.70977222803851681</v>
      </c>
      <c r="R290" s="19">
        <v>2784.3208049605328</v>
      </c>
      <c r="S290" s="36">
        <f t="shared" si="38"/>
        <v>42.223596362662242</v>
      </c>
      <c r="T290" s="36">
        <f t="shared" si="39"/>
        <v>3.2069453613666479</v>
      </c>
      <c r="U290" s="30"/>
    </row>
    <row r="291" spans="1:21" x14ac:dyDescent="0.25">
      <c r="A291" s="35" t="s">
        <v>320</v>
      </c>
      <c r="B291" s="16">
        <v>0.51500000000000001</v>
      </c>
      <c r="C291" s="8">
        <v>2E-3</v>
      </c>
      <c r="D291" s="8">
        <v>23.57</v>
      </c>
      <c r="E291" s="8">
        <v>4.1000000000000002E-2</v>
      </c>
      <c r="F291" s="8">
        <v>1.0920000000000001</v>
      </c>
      <c r="G291" s="8">
        <v>2.4E-2</v>
      </c>
      <c r="H291" s="8">
        <v>0.11899999999999999</v>
      </c>
      <c r="I291" s="8">
        <v>3.3000000000000002E-2</v>
      </c>
      <c r="J291" s="8">
        <v>0.12</v>
      </c>
      <c r="K291" s="39">
        <f t="shared" si="32"/>
        <v>0.218</v>
      </c>
      <c r="L291" s="39">
        <f t="shared" si="33"/>
        <v>42.551054000000001</v>
      </c>
      <c r="M291" s="30">
        <f t="shared" si="34"/>
        <v>3237.5076254187084</v>
      </c>
      <c r="N291" s="30">
        <f>(RedShift*Age*(2*InitialTangentVelocity-UniverseAcceleration*Age))/(2+RedShift)*(1+RedShift)</f>
        <v>9.4832038284264131E+25</v>
      </c>
      <c r="O291" s="36">
        <f t="shared" si="35"/>
        <v>3073.2970579597672</v>
      </c>
      <c r="P291" s="36">
        <f t="shared" si="36"/>
        <v>42.438022701050187</v>
      </c>
      <c r="Q291" s="36">
        <f t="shared" si="37"/>
        <v>0.26883415836802776</v>
      </c>
      <c r="R291" s="19">
        <v>2797.3797653206225</v>
      </c>
      <c r="S291" s="36">
        <f t="shared" si="38"/>
        <v>42.233757145564134</v>
      </c>
      <c r="T291" s="36">
        <f t="shared" si="39"/>
        <v>2.118451599926261</v>
      </c>
      <c r="U291" s="30"/>
    </row>
    <row r="292" spans="1:21" x14ac:dyDescent="0.25">
      <c r="A292" s="35" t="s">
        <v>321</v>
      </c>
      <c r="B292" s="16">
        <v>0.51500000000000001</v>
      </c>
      <c r="C292" s="8">
        <v>1E-3</v>
      </c>
      <c r="D292" s="8">
        <v>23.564</v>
      </c>
      <c r="E292" s="8">
        <v>6.9000000000000006E-2</v>
      </c>
      <c r="F292" s="8">
        <v>1.1659999999999999</v>
      </c>
      <c r="G292" s="8">
        <v>4.9000000000000002E-2</v>
      </c>
      <c r="H292" s="8">
        <v>0.16</v>
      </c>
      <c r="I292" s="8">
        <v>0.04</v>
      </c>
      <c r="J292" s="8">
        <v>0.12</v>
      </c>
      <c r="K292" s="39">
        <f t="shared" si="32"/>
        <v>0.27800000000000002</v>
      </c>
      <c r="L292" s="39">
        <f t="shared" si="33"/>
        <v>42.427601999999993</v>
      </c>
      <c r="M292" s="30">
        <f t="shared" si="34"/>
        <v>3058.5839131906846</v>
      </c>
      <c r="N292" s="30">
        <f>(RedShift*Age*(2*InitialTangentVelocity-UniverseAcceleration*Age))/(2+RedShift)*(1+RedShift)</f>
        <v>9.4832038284264131E+25</v>
      </c>
      <c r="O292" s="36">
        <f t="shared" si="35"/>
        <v>3073.2970579597672</v>
      </c>
      <c r="P292" s="36">
        <f t="shared" si="36"/>
        <v>42.438022701050187</v>
      </c>
      <c r="Q292" s="36">
        <f t="shared" si="37"/>
        <v>1.405090450513813E-3</v>
      </c>
      <c r="R292" s="19">
        <v>2797.3797653206225</v>
      </c>
      <c r="S292" s="36">
        <f t="shared" si="38"/>
        <v>42.233757145564134</v>
      </c>
      <c r="T292" s="36">
        <f t="shared" si="39"/>
        <v>0.48620448723227933</v>
      </c>
      <c r="U292" s="30"/>
    </row>
    <row r="293" spans="1:21" x14ac:dyDescent="0.25">
      <c r="A293" s="35" t="s">
        <v>322</v>
      </c>
      <c r="B293" s="16">
        <v>0.51600000000000001</v>
      </c>
      <c r="C293" s="8">
        <v>1E-3</v>
      </c>
      <c r="D293" s="8">
        <v>22.902000000000001</v>
      </c>
      <c r="E293" s="8">
        <v>3.6999999999999998E-2</v>
      </c>
      <c r="F293" s="8">
        <v>1.169</v>
      </c>
      <c r="G293" s="8">
        <v>1.9E-2</v>
      </c>
      <c r="H293" s="8">
        <v>-3.4000000000000002E-2</v>
      </c>
      <c r="I293" s="8">
        <v>2.5000000000000001E-2</v>
      </c>
      <c r="J293" s="8">
        <v>0.12</v>
      </c>
      <c r="K293" s="39">
        <f t="shared" si="32"/>
        <v>0.20099999999999998</v>
      </c>
      <c r="L293" s="39">
        <f t="shared" si="33"/>
        <v>42.373263000000001</v>
      </c>
      <c r="M293" s="30">
        <f t="shared" si="34"/>
        <v>2982.99551231331</v>
      </c>
      <c r="N293" s="30">
        <f>(RedShift*Age*(2*InitialTangentVelocity-UniverseAcceleration*Age))/(2+RedShift)*(1+RedShift)</f>
        <v>9.5041105409770928E+25</v>
      </c>
      <c r="O293" s="36">
        <f t="shared" si="35"/>
        <v>3080.0724620675028</v>
      </c>
      <c r="P293" s="36">
        <f t="shared" si="36"/>
        <v>42.442804669362417</v>
      </c>
      <c r="Q293" s="36">
        <f t="shared" si="37"/>
        <v>0.11970109100545774</v>
      </c>
      <c r="R293" s="19">
        <v>2803.914376881185</v>
      </c>
      <c r="S293" s="36">
        <f t="shared" si="38"/>
        <v>42.238823737243813</v>
      </c>
      <c r="T293" s="36">
        <f t="shared" si="39"/>
        <v>0.4473630694890614</v>
      </c>
      <c r="U293" s="30"/>
    </row>
    <row r="294" spans="1:21" x14ac:dyDescent="0.25">
      <c r="A294" s="35" t="s">
        <v>323</v>
      </c>
      <c r="B294" s="16">
        <v>0.51900000000000002</v>
      </c>
      <c r="C294" s="8">
        <v>1E-3</v>
      </c>
      <c r="D294" s="8">
        <v>22.913</v>
      </c>
      <c r="E294" s="8">
        <v>3.5999999999999997E-2</v>
      </c>
      <c r="F294" s="8">
        <v>1.08</v>
      </c>
      <c r="G294" s="8">
        <v>1.6E-2</v>
      </c>
      <c r="H294" s="8">
        <v>-8.2000000000000003E-2</v>
      </c>
      <c r="I294" s="8">
        <v>2.4E-2</v>
      </c>
      <c r="J294" s="8">
        <v>0.12</v>
      </c>
      <c r="K294" s="39">
        <f t="shared" si="32"/>
        <v>0.19600000000000001</v>
      </c>
      <c r="L294" s="39">
        <f t="shared" si="33"/>
        <v>42.521419999999999</v>
      </c>
      <c r="M294" s="30">
        <f t="shared" si="34"/>
        <v>3193.6255932948761</v>
      </c>
      <c r="N294" s="30">
        <f>(RedShift*Age*(2*InitialTangentVelocity-UniverseAcceleration*Age))/(2+RedShift)*(1+RedShift)</f>
        <v>9.5668767050983744E+25</v>
      </c>
      <c r="O294" s="36">
        <f t="shared" si="35"/>
        <v>3100.4135905535454</v>
      </c>
      <c r="P294" s="36">
        <f t="shared" si="36"/>
        <v>42.457098159677997</v>
      </c>
      <c r="Q294" s="36">
        <f t="shared" si="37"/>
        <v>0.1076972912955305</v>
      </c>
      <c r="R294" s="19">
        <v>2823.5386863536387</v>
      </c>
      <c r="S294" s="36">
        <f t="shared" si="38"/>
        <v>42.253968712719384</v>
      </c>
      <c r="T294" s="36">
        <f t="shared" si="39"/>
        <v>1.861989563412586</v>
      </c>
      <c r="U294" s="30"/>
    </row>
    <row r="295" spans="1:21" x14ac:dyDescent="0.25">
      <c r="A295" s="35" t="s">
        <v>324</v>
      </c>
      <c r="B295" s="16">
        <v>0.52200000000000002</v>
      </c>
      <c r="C295" s="8">
        <v>1E-3</v>
      </c>
      <c r="D295" s="8">
        <v>23.327000000000002</v>
      </c>
      <c r="E295" s="8">
        <v>3.7999999999999999E-2</v>
      </c>
      <c r="F295" s="8">
        <v>1.133</v>
      </c>
      <c r="G295" s="8">
        <v>2.7E-2</v>
      </c>
      <c r="H295" s="8">
        <v>3.6999999999999998E-2</v>
      </c>
      <c r="I295" s="8">
        <v>3.4000000000000002E-2</v>
      </c>
      <c r="J295" s="8">
        <v>0.12</v>
      </c>
      <c r="K295" s="39">
        <f t="shared" si="32"/>
        <v>0.219</v>
      </c>
      <c r="L295" s="39">
        <f t="shared" si="33"/>
        <v>42.570740999999998</v>
      </c>
      <c r="M295" s="30">
        <f t="shared" si="34"/>
        <v>3266.9929703735665</v>
      </c>
      <c r="N295" s="30">
        <f>(RedShift*Age*(2*InitialTangentVelocity-UniverseAcceleration*Age))/(2+RedShift)*(1+RedShift)</f>
        <v>9.6297117172986426E+25</v>
      </c>
      <c r="O295" s="36">
        <f t="shared" si="35"/>
        <v>3120.7770311824488</v>
      </c>
      <c r="P295" s="36">
        <f t="shared" si="36"/>
        <v>42.471313704611106</v>
      </c>
      <c r="Q295" s="36">
        <f t="shared" si="37"/>
        <v>0.20612137087112575</v>
      </c>
      <c r="R295" s="19">
        <v>2843.1936195074222</v>
      </c>
      <c r="S295" s="36">
        <f t="shared" si="38"/>
        <v>42.269032179247908</v>
      </c>
      <c r="T295" s="36">
        <f t="shared" si="39"/>
        <v>1.8979631892499478</v>
      </c>
      <c r="U295" s="30"/>
    </row>
    <row r="296" spans="1:21" x14ac:dyDescent="0.25">
      <c r="A296" s="35" t="s">
        <v>325</v>
      </c>
      <c r="B296" s="16">
        <v>0.53100000000000003</v>
      </c>
      <c r="C296" s="8">
        <v>1E-3</v>
      </c>
      <c r="D296" s="8">
        <v>23.300999999999998</v>
      </c>
      <c r="E296" s="8">
        <v>4.4999999999999998E-2</v>
      </c>
      <c r="F296" s="8">
        <v>1.099</v>
      </c>
      <c r="G296" s="8">
        <v>5.1999999999999998E-2</v>
      </c>
      <c r="H296" s="8">
        <v>0.06</v>
      </c>
      <c r="I296" s="8">
        <v>3.2000000000000001E-2</v>
      </c>
      <c r="J296" s="8">
        <v>0.12</v>
      </c>
      <c r="K296" s="39">
        <f t="shared" si="32"/>
        <v>0.249</v>
      </c>
      <c r="L296" s="39">
        <f t="shared" si="33"/>
        <v>42.467753000000002</v>
      </c>
      <c r="M296" s="30">
        <f t="shared" si="34"/>
        <v>3115.6638833367306</v>
      </c>
      <c r="N296" s="30">
        <f>(RedShift*Age*(2*InitialTangentVelocity-UniverseAcceleration*Age))/(2+RedShift)*(1+RedShift)</f>
        <v>9.8186273941998801E+25</v>
      </c>
      <c r="O296" s="36">
        <f t="shared" si="35"/>
        <v>3182.0004325273285</v>
      </c>
      <c r="P296" s="36">
        <f t="shared" si="36"/>
        <v>42.513501171719724</v>
      </c>
      <c r="Q296" s="36">
        <f t="shared" si="37"/>
        <v>3.3755829997858477E-2</v>
      </c>
      <c r="R296" s="19">
        <v>2902.3410294080063</v>
      </c>
      <c r="S296" s="36">
        <f t="shared" si="38"/>
        <v>42.313742206753098</v>
      </c>
      <c r="T296" s="36">
        <f t="shared" si="39"/>
        <v>0.38256357859616225</v>
      </c>
      <c r="U296" s="30"/>
    </row>
    <row r="297" spans="1:21" x14ac:dyDescent="0.25">
      <c r="A297" s="35" t="s">
        <v>326</v>
      </c>
      <c r="B297" s="16">
        <v>0.53200000000000003</v>
      </c>
      <c r="C297" s="8">
        <v>1E-3</v>
      </c>
      <c r="D297" s="8">
        <v>23.468</v>
      </c>
      <c r="E297" s="8">
        <v>0.05</v>
      </c>
      <c r="F297" s="8">
        <v>0.94399999999999995</v>
      </c>
      <c r="G297" s="8">
        <v>0.04</v>
      </c>
      <c r="H297" s="8">
        <v>8.8999999999999996E-2</v>
      </c>
      <c r="I297" s="8">
        <v>4.5999999999999999E-2</v>
      </c>
      <c r="J297" s="8">
        <v>0.12</v>
      </c>
      <c r="K297" s="39">
        <f t="shared" si="32"/>
        <v>0.25600000000000001</v>
      </c>
      <c r="L297" s="39">
        <f t="shared" si="33"/>
        <v>42.521197999999998</v>
      </c>
      <c r="M297" s="30">
        <f t="shared" si="34"/>
        <v>3193.2991103801555</v>
      </c>
      <c r="N297" s="30">
        <f>(RedShift*Age*(2*InitialTangentVelocity-UniverseAcceleration*Age))/(2+RedShift)*(1+RedShift)</f>
        <v>9.8396558519998018E+25</v>
      </c>
      <c r="O297" s="36">
        <f t="shared" si="35"/>
        <v>3188.8152915833166</v>
      </c>
      <c r="P297" s="36">
        <f t="shared" si="36"/>
        <v>42.518146819843921</v>
      </c>
      <c r="Q297" s="36">
        <f t="shared" si="37"/>
        <v>1.4205475379703726E-4</v>
      </c>
      <c r="R297" s="19">
        <v>2908.9297819061057</v>
      </c>
      <c r="S297" s="36">
        <f t="shared" si="38"/>
        <v>42.318666190115039</v>
      </c>
      <c r="T297" s="36">
        <f t="shared" si="39"/>
        <v>0.6259023134655366</v>
      </c>
      <c r="U297" s="30"/>
    </row>
    <row r="298" spans="1:21" x14ac:dyDescent="0.25">
      <c r="A298" s="35" t="s">
        <v>327</v>
      </c>
      <c r="B298" s="16">
        <v>0.53400000000000003</v>
      </c>
      <c r="C298" s="8">
        <v>1E-3</v>
      </c>
      <c r="D298" s="8">
        <v>23.006</v>
      </c>
      <c r="E298" s="8">
        <v>4.4999999999999998E-2</v>
      </c>
      <c r="F298" s="8">
        <v>1.113</v>
      </c>
      <c r="G298" s="8">
        <v>3.5999999999999997E-2</v>
      </c>
      <c r="H298" s="8">
        <v>-3.5999999999999997E-2</v>
      </c>
      <c r="I298" s="8">
        <v>3.2000000000000001E-2</v>
      </c>
      <c r="J298" s="8">
        <v>0.12</v>
      </c>
      <c r="K298" s="39">
        <f t="shared" si="32"/>
        <v>0.23299999999999998</v>
      </c>
      <c r="L298" s="39">
        <f t="shared" si="33"/>
        <v>42.475290999999999</v>
      </c>
      <c r="M298" s="30">
        <f t="shared" si="34"/>
        <v>3126.4983225057972</v>
      </c>
      <c r="N298" s="30">
        <f>(RedShift*Age*(2*InitialTangentVelocity-UniverseAcceleration*Age))/(2+RedShift)*(1+RedShift)</f>
        <v>9.8817353563393877E+25</v>
      </c>
      <c r="O298" s="36">
        <f t="shared" si="35"/>
        <v>3202.4523302072889</v>
      </c>
      <c r="P298" s="36">
        <f t="shared" si="36"/>
        <v>42.527413369082822</v>
      </c>
      <c r="Q298" s="36">
        <f t="shared" si="37"/>
        <v>5.0042206686549573E-2</v>
      </c>
      <c r="R298" s="19">
        <v>2922.1173279836808</v>
      </c>
      <c r="S298" s="36">
        <f t="shared" si="38"/>
        <v>42.328488248054541</v>
      </c>
      <c r="T298" s="36">
        <f t="shared" si="39"/>
        <v>0.39696896201366161</v>
      </c>
      <c r="U298" s="30"/>
    </row>
    <row r="299" spans="1:21" x14ac:dyDescent="0.25">
      <c r="A299" s="35" t="s">
        <v>328</v>
      </c>
      <c r="B299" s="16">
        <v>0.53600000000000003</v>
      </c>
      <c r="C299" s="8">
        <v>1E-3</v>
      </c>
      <c r="D299" s="8">
        <v>23.303000000000001</v>
      </c>
      <c r="E299" s="8">
        <v>0.04</v>
      </c>
      <c r="F299" s="8">
        <v>1.0589999999999999</v>
      </c>
      <c r="G299" s="8">
        <v>2.1000000000000001E-2</v>
      </c>
      <c r="H299" s="8">
        <v>8.1000000000000003E-2</v>
      </c>
      <c r="I299" s="8">
        <v>2.9000000000000001E-2</v>
      </c>
      <c r="J299" s="8">
        <v>0.12</v>
      </c>
      <c r="K299" s="39">
        <f t="shared" si="32"/>
        <v>0.21</v>
      </c>
      <c r="L299" s="39">
        <f t="shared" si="33"/>
        <v>42.398143000000005</v>
      </c>
      <c r="M299" s="30">
        <f t="shared" si="34"/>
        <v>3017.3702217575596</v>
      </c>
      <c r="N299" s="30">
        <f>(RedShift*Age*(2*InitialTangentVelocity-UniverseAcceleration*Age))/(2+RedShift)*(1+RedShift)</f>
        <v>9.9238449196170901E+25</v>
      </c>
      <c r="O299" s="36">
        <f t="shared" si="35"/>
        <v>3216.0991102696771</v>
      </c>
      <c r="P299" s="36">
        <f t="shared" si="36"/>
        <v>42.536647119505183</v>
      </c>
      <c r="Q299" s="36">
        <f t="shared" si="37"/>
        <v>0.43499753106359945</v>
      </c>
      <c r="R299" s="19">
        <v>2935.3182346612375</v>
      </c>
      <c r="S299" s="36">
        <f t="shared" si="38"/>
        <v>42.338275962441372</v>
      </c>
      <c r="T299" s="36">
        <f t="shared" si="39"/>
        <v>8.127125138427875E-2</v>
      </c>
      <c r="U299" s="30"/>
    </row>
    <row r="300" spans="1:21" x14ac:dyDescent="0.25">
      <c r="A300" s="35" t="s">
        <v>329</v>
      </c>
      <c r="B300" s="16">
        <v>0.53700000000000003</v>
      </c>
      <c r="C300" s="8">
        <v>1E-3</v>
      </c>
      <c r="D300" s="8">
        <v>22.916</v>
      </c>
      <c r="E300" s="8">
        <v>3.6999999999999998E-2</v>
      </c>
      <c r="F300" s="8">
        <v>1.1000000000000001</v>
      </c>
      <c r="G300" s="8">
        <v>1.7000000000000001E-2</v>
      </c>
      <c r="H300" s="8">
        <v>-0.114</v>
      </c>
      <c r="I300" s="8">
        <v>2.5000000000000001E-2</v>
      </c>
      <c r="J300" s="8">
        <v>0.12</v>
      </c>
      <c r="K300" s="39">
        <f t="shared" si="32"/>
        <v>0.19900000000000001</v>
      </c>
      <c r="L300" s="39">
        <f t="shared" si="33"/>
        <v>42.627520000000004</v>
      </c>
      <c r="M300" s="30">
        <f t="shared" si="34"/>
        <v>3353.543931644434</v>
      </c>
      <c r="N300" s="30">
        <f>(RedShift*Age*(2*InitialTangentVelocity-UniverseAcceleration*Age))/(2+RedShift)*(1+RedShift)</f>
        <v>9.9449109511423149E+25</v>
      </c>
      <c r="O300" s="36">
        <f t="shared" si="35"/>
        <v>3222.92614614075</v>
      </c>
      <c r="P300" s="36">
        <f t="shared" si="36"/>
        <v>42.541251768500189</v>
      </c>
      <c r="Q300" s="36">
        <f t="shared" si="37"/>
        <v>0.18792979384625966</v>
      </c>
      <c r="R300" s="19">
        <v>2941.9236879308828</v>
      </c>
      <c r="S300" s="36">
        <f t="shared" si="38"/>
        <v>42.343157015750279</v>
      </c>
      <c r="T300" s="36">
        <f t="shared" si="39"/>
        <v>2.0419258809476872</v>
      </c>
      <c r="U300" s="30"/>
    </row>
    <row r="301" spans="1:21" x14ac:dyDescent="0.25">
      <c r="A301" s="35" t="s">
        <v>330</v>
      </c>
      <c r="B301" s="16">
        <v>0.55000000000000004</v>
      </c>
      <c r="C301" s="8">
        <v>1.7999999999999999E-2</v>
      </c>
      <c r="D301" s="8">
        <v>23.347000000000001</v>
      </c>
      <c r="E301" s="8">
        <v>4.2999999999999997E-2</v>
      </c>
      <c r="F301" s="8">
        <v>1.095</v>
      </c>
      <c r="G301" s="8">
        <v>2.9000000000000001E-2</v>
      </c>
      <c r="H301" s="8">
        <v>0.13400000000000001</v>
      </c>
      <c r="I301" s="8">
        <v>3.7999999999999999E-2</v>
      </c>
      <c r="J301" s="8">
        <v>0.12</v>
      </c>
      <c r="K301" s="39">
        <f t="shared" si="32"/>
        <v>0.22999999999999998</v>
      </c>
      <c r="L301" s="39">
        <f t="shared" si="33"/>
        <v>42.281545000000001</v>
      </c>
      <c r="M301" s="30">
        <f t="shared" si="34"/>
        <v>2859.6244390709139</v>
      </c>
      <c r="N301" s="30">
        <f>(RedShift*Age*(2*InitialTangentVelocity-UniverseAcceleration*Age))/(2+RedShift)*(1+RedShift)</f>
        <v>1.0219447571767467E+26</v>
      </c>
      <c r="O301" s="36">
        <f t="shared" si="35"/>
        <v>3311.8974056153552</v>
      </c>
      <c r="P301" s="36">
        <f t="shared" si="36"/>
        <v>42.600384374765241</v>
      </c>
      <c r="Q301" s="36">
        <f t="shared" si="37"/>
        <v>1.9217116616387349</v>
      </c>
      <c r="R301" s="19">
        <v>3028.0959236695635</v>
      </c>
      <c r="S301" s="36">
        <f t="shared" si="38"/>
        <v>42.405848142879492</v>
      </c>
      <c r="T301" s="36">
        <f t="shared" si="39"/>
        <v>0.29208452419128716</v>
      </c>
      <c r="U301" s="30"/>
    </row>
    <row r="302" spans="1:21" x14ac:dyDescent="0.25">
      <c r="A302" s="35" t="s">
        <v>331</v>
      </c>
      <c r="B302" s="16">
        <v>0.55200000000000005</v>
      </c>
      <c r="C302" s="8">
        <v>0</v>
      </c>
      <c r="D302" s="8">
        <v>23.503</v>
      </c>
      <c r="E302" s="8">
        <v>3.9E-2</v>
      </c>
      <c r="F302" s="8">
        <v>0.93500000000000005</v>
      </c>
      <c r="G302" s="8">
        <v>1.7000000000000001E-2</v>
      </c>
      <c r="H302" s="8">
        <v>9.6000000000000002E-2</v>
      </c>
      <c r="I302" s="8">
        <v>3.4000000000000002E-2</v>
      </c>
      <c r="J302" s="8">
        <v>0.12</v>
      </c>
      <c r="K302" s="39">
        <f t="shared" si="32"/>
        <v>0.21</v>
      </c>
      <c r="L302" s="39">
        <f t="shared" si="33"/>
        <v>42.532965000000004</v>
      </c>
      <c r="M302" s="30">
        <f t="shared" si="34"/>
        <v>3210.6502605768587</v>
      </c>
      <c r="N302" s="30">
        <f>(RedShift*Age*(2*InitialTangentVelocity-UniverseAcceleration*Age))/(2+RedShift)*(1+RedShift)</f>
        <v>1.0261795067032639E+26</v>
      </c>
      <c r="O302" s="36">
        <f t="shared" si="35"/>
        <v>3325.6212941835097</v>
      </c>
      <c r="P302" s="36">
        <f t="shared" si="36"/>
        <v>42.609363961623558</v>
      </c>
      <c r="Q302" s="36">
        <f t="shared" si="37"/>
        <v>0.13235377181762334</v>
      </c>
      <c r="R302" s="19">
        <v>3041.4025373793984</v>
      </c>
      <c r="S302" s="36">
        <f t="shared" si="38"/>
        <v>42.415369519650625</v>
      </c>
      <c r="T302" s="36">
        <f t="shared" si="39"/>
        <v>0.31357589565989347</v>
      </c>
      <c r="U302" s="30"/>
    </row>
    <row r="303" spans="1:21" x14ac:dyDescent="0.25">
      <c r="A303" s="35" t="s">
        <v>332</v>
      </c>
      <c r="B303" s="16">
        <v>0.55200000000000005</v>
      </c>
      <c r="C303" s="8">
        <v>1E-3</v>
      </c>
      <c r="D303" s="8">
        <v>23.446999999999999</v>
      </c>
      <c r="E303" s="8">
        <v>4.2999999999999997E-2</v>
      </c>
      <c r="F303" s="8">
        <v>1.05</v>
      </c>
      <c r="G303" s="8">
        <v>4.9000000000000002E-2</v>
      </c>
      <c r="H303" s="8">
        <v>-2E-3</v>
      </c>
      <c r="I303" s="8">
        <v>3.6999999999999998E-2</v>
      </c>
      <c r="J303" s="8">
        <v>0.12</v>
      </c>
      <c r="K303" s="39">
        <f t="shared" si="32"/>
        <v>0.249</v>
      </c>
      <c r="L303" s="39">
        <f t="shared" si="33"/>
        <v>42.800609999999999</v>
      </c>
      <c r="M303" s="30">
        <f t="shared" si="34"/>
        <v>3631.800633075281</v>
      </c>
      <c r="N303" s="30">
        <f>(RedShift*Age*(2*InitialTangentVelocity-UniverseAcceleration*Age))/(2+RedShift)*(1+RedShift)</f>
        <v>1.0261795067032639E+26</v>
      </c>
      <c r="O303" s="36">
        <f t="shared" si="35"/>
        <v>3325.6212941835097</v>
      </c>
      <c r="P303" s="36">
        <f t="shared" si="36"/>
        <v>42.609363961623558</v>
      </c>
      <c r="Q303" s="36">
        <f t="shared" si="37"/>
        <v>0.58991060135615891</v>
      </c>
      <c r="R303" s="19">
        <v>3041.4025373793984</v>
      </c>
      <c r="S303" s="36">
        <f t="shared" si="38"/>
        <v>42.415369519650625</v>
      </c>
      <c r="T303" s="36">
        <f t="shared" si="39"/>
        <v>2.3936747423399054</v>
      </c>
      <c r="U303" s="30"/>
    </row>
    <row r="304" spans="1:21" x14ac:dyDescent="0.25">
      <c r="A304" s="35" t="s">
        <v>333</v>
      </c>
      <c r="B304" s="16">
        <v>0.55200000000000005</v>
      </c>
      <c r="C304" s="8">
        <v>1E-3</v>
      </c>
      <c r="D304" s="8">
        <v>23.231000000000002</v>
      </c>
      <c r="E304" s="8">
        <v>5.0999999999999997E-2</v>
      </c>
      <c r="F304" s="8">
        <v>1.0980000000000001</v>
      </c>
      <c r="G304" s="8">
        <v>2.5999999999999999E-2</v>
      </c>
      <c r="H304" s="8">
        <v>-2.8000000000000001E-2</v>
      </c>
      <c r="I304" s="8">
        <v>0.03</v>
      </c>
      <c r="J304" s="8">
        <v>0.12</v>
      </c>
      <c r="K304" s="39">
        <f t="shared" si="32"/>
        <v>0.22699999999999998</v>
      </c>
      <c r="L304" s="39">
        <f t="shared" si="33"/>
        <v>42.673045999999999</v>
      </c>
      <c r="M304" s="30">
        <f t="shared" si="34"/>
        <v>3424.5948559969233</v>
      </c>
      <c r="N304" s="30">
        <f>(RedShift*Age*(2*InitialTangentVelocity-UniverseAcceleration*Age))/(2+RedShift)*(1+RedShift)</f>
        <v>1.0261795067032639E+26</v>
      </c>
      <c r="O304" s="36">
        <f t="shared" si="35"/>
        <v>3325.6212941835097</v>
      </c>
      <c r="P304" s="36">
        <f t="shared" si="36"/>
        <v>42.609363961623558</v>
      </c>
      <c r="Q304" s="36">
        <f t="shared" si="37"/>
        <v>7.8701352864961105E-2</v>
      </c>
      <c r="R304" s="19">
        <v>3041.4025373793984</v>
      </c>
      <c r="S304" s="36">
        <f t="shared" si="38"/>
        <v>42.415369519650625</v>
      </c>
      <c r="T304" s="36">
        <f t="shared" si="39"/>
        <v>1.2885398227258749</v>
      </c>
      <c r="U304" s="30"/>
    </row>
    <row r="305" spans="1:21" x14ac:dyDescent="0.25">
      <c r="A305" s="35" t="s">
        <v>334</v>
      </c>
      <c r="B305" s="16">
        <v>0.55900000000000005</v>
      </c>
      <c r="C305" s="8">
        <v>1E-3</v>
      </c>
      <c r="D305" s="8">
        <v>23.556000000000001</v>
      </c>
      <c r="E305" s="8">
        <v>4.1000000000000002E-2</v>
      </c>
      <c r="F305" s="8">
        <v>0.95299999999999996</v>
      </c>
      <c r="G305" s="8">
        <v>2.5999999999999999E-2</v>
      </c>
      <c r="H305" s="8">
        <v>2.3E-2</v>
      </c>
      <c r="I305" s="8">
        <v>3.5000000000000003E-2</v>
      </c>
      <c r="J305" s="8">
        <v>0.12</v>
      </c>
      <c r="K305" s="39">
        <f t="shared" si="32"/>
        <v>0.222</v>
      </c>
      <c r="L305" s="39">
        <f t="shared" si="33"/>
        <v>42.817101000000001</v>
      </c>
      <c r="M305" s="30">
        <f t="shared" si="34"/>
        <v>3659.4869266520218</v>
      </c>
      <c r="N305" s="30">
        <f>(RedShift*Age*(2*InitialTangentVelocity-UniverseAcceleration*Age))/(2+RedShift)*(1+RedShift)</f>
        <v>1.0410242588205523E+26</v>
      </c>
      <c r="O305" s="36">
        <f t="shared" si="35"/>
        <v>3373.7298594254048</v>
      </c>
      <c r="P305" s="36">
        <f t="shared" si="36"/>
        <v>42.640551524552734</v>
      </c>
      <c r="Q305" s="36">
        <f t="shared" si="37"/>
        <v>0.63245104457237877</v>
      </c>
      <c r="R305" s="19">
        <v>3088.0783816736866</v>
      </c>
      <c r="S305" s="36">
        <f t="shared" si="38"/>
        <v>42.448441575378645</v>
      </c>
      <c r="T305" s="36">
        <f t="shared" si="39"/>
        <v>2.7576854833647677</v>
      </c>
      <c r="U305" s="30"/>
    </row>
    <row r="306" spans="1:21" x14ac:dyDescent="0.25">
      <c r="A306" s="35" t="s">
        <v>335</v>
      </c>
      <c r="B306" s="16">
        <v>0.56000000000000005</v>
      </c>
      <c r="C306" s="8">
        <v>2E-3</v>
      </c>
      <c r="D306" s="8">
        <v>23.715</v>
      </c>
      <c r="E306" s="8">
        <v>3.9E-2</v>
      </c>
      <c r="F306" s="8">
        <v>1.042</v>
      </c>
      <c r="G306" s="8">
        <v>2.3E-2</v>
      </c>
      <c r="H306" s="8">
        <v>0.14299999999999999</v>
      </c>
      <c r="I306" s="8">
        <v>3.3000000000000002E-2</v>
      </c>
      <c r="J306" s="8">
        <v>0.12</v>
      </c>
      <c r="K306" s="39">
        <f t="shared" si="32"/>
        <v>0.215</v>
      </c>
      <c r="L306" s="39">
        <f t="shared" si="33"/>
        <v>42.613584000000003</v>
      </c>
      <c r="M306" s="30">
        <f t="shared" si="34"/>
        <v>3332.0905890916347</v>
      </c>
      <c r="N306" s="30">
        <f>(RedShift*Age*(2*InitialTangentVelocity-UniverseAcceleration*Age))/(2+RedShift)*(1+RedShift)</f>
        <v>1.0431478632090796E+26</v>
      </c>
      <c r="O306" s="36">
        <f t="shared" si="35"/>
        <v>3380.6119925500439</v>
      </c>
      <c r="P306" s="36">
        <f t="shared" si="36"/>
        <v>42.644976638856406</v>
      </c>
      <c r="Q306" s="36">
        <f t="shared" si="37"/>
        <v>2.1319584085852418E-2</v>
      </c>
      <c r="R306" s="19">
        <v>3094.7593468883738</v>
      </c>
      <c r="S306" s="36">
        <f t="shared" si="38"/>
        <v>42.453134416406016</v>
      </c>
      <c r="T306" s="36">
        <f t="shared" si="39"/>
        <v>0.55692955923166876</v>
      </c>
      <c r="U306" s="30"/>
    </row>
    <row r="307" spans="1:21" x14ac:dyDescent="0.25">
      <c r="A307" s="35" t="s">
        <v>336</v>
      </c>
      <c r="B307" s="16">
        <v>0.56000000000000005</v>
      </c>
      <c r="C307" s="8">
        <v>1E-3</v>
      </c>
      <c r="D307" s="8">
        <v>24.154</v>
      </c>
      <c r="E307" s="8">
        <v>4.8000000000000001E-2</v>
      </c>
      <c r="F307" s="8">
        <v>1.075</v>
      </c>
      <c r="G307" s="8">
        <v>3.5999999999999997E-2</v>
      </c>
      <c r="H307" s="8">
        <v>0.16400000000000001</v>
      </c>
      <c r="I307" s="8">
        <v>4.2000000000000003E-2</v>
      </c>
      <c r="J307" s="8">
        <v>0.12</v>
      </c>
      <c r="K307" s="39">
        <f t="shared" si="32"/>
        <v>0.246</v>
      </c>
      <c r="L307" s="39">
        <f t="shared" si="33"/>
        <v>42.991704999999996</v>
      </c>
      <c r="M307" s="30">
        <f t="shared" si="34"/>
        <v>3965.893066300805</v>
      </c>
      <c r="N307" s="30">
        <f>(RedShift*Age*(2*InitialTangentVelocity-UniverseAcceleration*Age))/(2+RedShift)*(1+RedShift)</f>
        <v>1.0431478632090796E+26</v>
      </c>
      <c r="O307" s="36">
        <f t="shared" si="35"/>
        <v>3380.6119925500439</v>
      </c>
      <c r="P307" s="36">
        <f t="shared" si="36"/>
        <v>42.644976638856406</v>
      </c>
      <c r="Q307" s="36">
        <f t="shared" si="37"/>
        <v>1.986591255557538</v>
      </c>
      <c r="R307" s="19">
        <v>3094.7593468883738</v>
      </c>
      <c r="S307" s="36">
        <f t="shared" si="38"/>
        <v>42.453134416406016</v>
      </c>
      <c r="T307" s="36">
        <f t="shared" si="39"/>
        <v>4.7930840358378024</v>
      </c>
      <c r="U307" s="30"/>
    </row>
    <row r="308" spans="1:21" x14ac:dyDescent="0.25">
      <c r="A308" s="35" t="s">
        <v>337</v>
      </c>
      <c r="B308" s="16">
        <v>0.56299999999999994</v>
      </c>
      <c r="C308" s="8">
        <v>1E-3</v>
      </c>
      <c r="D308" s="8">
        <v>23.495999999999999</v>
      </c>
      <c r="E308" s="8">
        <v>4.1000000000000002E-2</v>
      </c>
      <c r="F308" s="8">
        <v>0.98099999999999998</v>
      </c>
      <c r="G308" s="8">
        <v>2.1000000000000001E-2</v>
      </c>
      <c r="H308" s="8">
        <v>-5.0000000000000001E-3</v>
      </c>
      <c r="I308" s="8">
        <v>2.9000000000000001E-2</v>
      </c>
      <c r="J308" s="8">
        <v>0.12</v>
      </c>
      <c r="K308" s="39">
        <f t="shared" si="32"/>
        <v>0.21099999999999999</v>
      </c>
      <c r="L308" s="39">
        <f t="shared" si="33"/>
        <v>42.848856999999995</v>
      </c>
      <c r="M308" s="30">
        <f t="shared" si="34"/>
        <v>3713.3971520576524</v>
      </c>
      <c r="N308" s="30">
        <f>(RedShift*Age*(2*InitialTangentVelocity-UniverseAcceleration*Age))/(2+RedShift)*(1+RedShift)</f>
        <v>1.0495230458128201E+26</v>
      </c>
      <c r="O308" s="36">
        <f t="shared" si="35"/>
        <v>3401.2725523086574</v>
      </c>
      <c r="P308" s="36">
        <f t="shared" si="36"/>
        <v>42.658207172043788</v>
      </c>
      <c r="Q308" s="36">
        <f t="shared" si="37"/>
        <v>0.81640926528450419</v>
      </c>
      <c r="R308" s="19">
        <v>3114.8216361082837</v>
      </c>
      <c r="S308" s="36">
        <f t="shared" si="38"/>
        <v>42.467165913608738</v>
      </c>
      <c r="T308" s="36">
        <f t="shared" si="39"/>
        <v>3.2723453073951143</v>
      </c>
      <c r="U308" s="30"/>
    </row>
    <row r="309" spans="1:21" x14ac:dyDescent="0.25">
      <c r="A309" s="35" t="s">
        <v>338</v>
      </c>
      <c r="B309" s="16">
        <v>0.56599999999999995</v>
      </c>
      <c r="C309" s="8">
        <v>1E-3</v>
      </c>
      <c r="D309" s="8">
        <v>23.317</v>
      </c>
      <c r="E309" s="8">
        <v>0.04</v>
      </c>
      <c r="F309" s="8">
        <v>1.129</v>
      </c>
      <c r="G309" s="8">
        <v>2.5000000000000001E-2</v>
      </c>
      <c r="H309" s="8">
        <v>1.7999999999999999E-2</v>
      </c>
      <c r="I309" s="8">
        <v>3.6999999999999998E-2</v>
      </c>
      <c r="J309" s="8">
        <v>0.12</v>
      </c>
      <c r="K309" s="39">
        <f t="shared" si="32"/>
        <v>0.222</v>
      </c>
      <c r="L309" s="39">
        <f t="shared" si="33"/>
        <v>42.619623000000004</v>
      </c>
      <c r="M309" s="30">
        <f t="shared" si="34"/>
        <v>3341.370238186948</v>
      </c>
      <c r="N309" s="30">
        <f>(RedShift*Age*(2*InitialTangentVelocity-UniverseAcceleration*Age))/(2+RedShift)*(1+RedShift)</f>
        <v>1.0559047646941798E+26</v>
      </c>
      <c r="O309" s="36">
        <f t="shared" si="35"/>
        <v>3421.9542947004202</v>
      </c>
      <c r="P309" s="36">
        <f t="shared" si="36"/>
        <v>42.671371022968771</v>
      </c>
      <c r="Q309" s="36">
        <f t="shared" si="37"/>
        <v>5.4335238235045234E-2</v>
      </c>
      <c r="R309" s="19">
        <v>3134.9129324769142</v>
      </c>
      <c r="S309" s="36">
        <f t="shared" si="38"/>
        <v>42.481127417269207</v>
      </c>
      <c r="T309" s="36">
        <f t="shared" si="39"/>
        <v>0.38919378370146934</v>
      </c>
      <c r="U309" s="30"/>
    </row>
    <row r="310" spans="1:21" x14ac:dyDescent="0.25">
      <c r="A310" s="35" t="s">
        <v>339</v>
      </c>
      <c r="B310" s="16">
        <v>0.57099999999999995</v>
      </c>
      <c r="C310" s="8">
        <v>1E-3</v>
      </c>
      <c r="D310" s="8">
        <v>23.314</v>
      </c>
      <c r="E310" s="8">
        <v>7.5999999999999998E-2</v>
      </c>
      <c r="F310" s="8">
        <v>1.238</v>
      </c>
      <c r="G310" s="8">
        <v>0.57199999999999995</v>
      </c>
      <c r="H310" s="8">
        <v>3.9E-2</v>
      </c>
      <c r="I310" s="8">
        <v>6.3E-2</v>
      </c>
      <c r="J310" s="8">
        <v>0.12</v>
      </c>
      <c r="K310" s="39">
        <f t="shared" si="32"/>
        <v>0.83099999999999985</v>
      </c>
      <c r="L310" s="39">
        <f t="shared" si="33"/>
        <v>42.566915999999999</v>
      </c>
      <c r="M310" s="30">
        <f t="shared" si="34"/>
        <v>3261.2433008931666</v>
      </c>
      <c r="N310" s="30">
        <f>(RedShift*Age*(2*InitialTangentVelocity-UniverseAcceleration*Age))/(2+RedShift)*(1+RedShift)</f>
        <v>1.0665554257458134E+26</v>
      </c>
      <c r="O310" s="36">
        <f t="shared" si="35"/>
        <v>3456.470736472128</v>
      </c>
      <c r="P310" s="36">
        <f t="shared" si="36"/>
        <v>42.693164421827149</v>
      </c>
      <c r="Q310" s="36">
        <f t="shared" si="37"/>
        <v>2.3080747412387755E-2</v>
      </c>
      <c r="R310" s="19">
        <v>3168.4625973989746</v>
      </c>
      <c r="S310" s="36">
        <f t="shared" si="38"/>
        <v>42.504242923979625</v>
      </c>
      <c r="T310" s="36">
        <f t="shared" si="39"/>
        <v>5.6880050536529062E-3</v>
      </c>
      <c r="U310" s="30"/>
    </row>
    <row r="311" spans="1:21" x14ac:dyDescent="0.25">
      <c r="A311" s="35" t="s">
        <v>340</v>
      </c>
      <c r="B311" s="16">
        <v>0.57399999999999995</v>
      </c>
      <c r="C311" s="8">
        <v>4.0000000000000001E-3</v>
      </c>
      <c r="D311" s="8">
        <v>23.655999999999999</v>
      </c>
      <c r="E311" s="8">
        <v>4.7E-2</v>
      </c>
      <c r="F311" s="8">
        <v>1.024</v>
      </c>
      <c r="G311" s="8">
        <v>4.2999999999999997E-2</v>
      </c>
      <c r="H311" s="8">
        <v>4.4999999999999998E-2</v>
      </c>
      <c r="I311" s="8">
        <v>3.9E-2</v>
      </c>
      <c r="J311" s="8">
        <v>0.12</v>
      </c>
      <c r="K311" s="39">
        <f t="shared" si="32"/>
        <v>0.249</v>
      </c>
      <c r="L311" s="39">
        <f t="shared" si="33"/>
        <v>42.858677999999998</v>
      </c>
      <c r="M311" s="30">
        <f t="shared" si="34"/>
        <v>3730.2299095080707</v>
      </c>
      <c r="N311" s="30">
        <f>(RedShift*Age*(2*InitialTangentVelocity-UniverseAcceleration*Age))/(2+RedShift)*(1+RedShift)</f>
        <v>1.0729544630420135E+26</v>
      </c>
      <c r="O311" s="36">
        <f t="shared" si="35"/>
        <v>3477.2086040240588</v>
      </c>
      <c r="P311" s="36">
        <f t="shared" si="36"/>
        <v>42.706153727875602</v>
      </c>
      <c r="Q311" s="36">
        <f t="shared" si="37"/>
        <v>0.37521416730498974</v>
      </c>
      <c r="R311" s="19">
        <v>3188.6307261861925</v>
      </c>
      <c r="S311" s="36">
        <f t="shared" si="38"/>
        <v>42.518021133584369</v>
      </c>
      <c r="T311" s="36">
        <f t="shared" si="39"/>
        <v>1.871697240949584</v>
      </c>
      <c r="U311" s="30"/>
    </row>
    <row r="312" spans="1:21" x14ac:dyDescent="0.25">
      <c r="A312" s="35" t="s">
        <v>341</v>
      </c>
      <c r="B312" s="16">
        <v>0.57599999999999996</v>
      </c>
      <c r="C312" s="8">
        <v>2E-3</v>
      </c>
      <c r="D312" s="8">
        <v>23.512</v>
      </c>
      <c r="E312" s="8">
        <v>4.1000000000000002E-2</v>
      </c>
      <c r="F312" s="8">
        <v>0.86099999999999999</v>
      </c>
      <c r="G312" s="8">
        <v>1.7999999999999999E-2</v>
      </c>
      <c r="H312" s="8">
        <v>-3.9E-2</v>
      </c>
      <c r="I312" s="8">
        <v>3.4000000000000002E-2</v>
      </c>
      <c r="J312" s="8">
        <v>0.12</v>
      </c>
      <c r="K312" s="39">
        <f t="shared" si="32"/>
        <v>0.21299999999999999</v>
      </c>
      <c r="L312" s="39">
        <f t="shared" si="33"/>
        <v>42.953637000000001</v>
      </c>
      <c r="M312" s="30">
        <f t="shared" si="34"/>
        <v>3896.9730285921996</v>
      </c>
      <c r="N312" s="30">
        <f>(RedShift*Age*(2*InitialTangentVelocity-UniverseAcceleration*Age))/(2+RedShift)*(1+RedShift)</f>
        <v>1.0772240742070909E+26</v>
      </c>
      <c r="O312" s="36">
        <f t="shared" si="35"/>
        <v>3491.0454714685097</v>
      </c>
      <c r="P312" s="36">
        <f t="shared" si="36"/>
        <v>42.714777528057212</v>
      </c>
      <c r="Q312" s="36">
        <f t="shared" si="37"/>
        <v>1.2575513530557825</v>
      </c>
      <c r="R312" s="19">
        <v>3202.0920510087217</v>
      </c>
      <c r="S312" s="36">
        <f t="shared" si="38"/>
        <v>42.527169062448763</v>
      </c>
      <c r="T312" s="36">
        <f t="shared" si="39"/>
        <v>4.0087923859729324</v>
      </c>
      <c r="U312" s="30"/>
    </row>
    <row r="313" spans="1:21" x14ac:dyDescent="0.25">
      <c r="A313" s="35" t="s">
        <v>342</v>
      </c>
      <c r="B313" s="16">
        <v>0.57899999999999996</v>
      </c>
      <c r="C313" s="8">
        <v>0</v>
      </c>
      <c r="D313" s="8">
        <v>23.321999999999999</v>
      </c>
      <c r="E313" s="8">
        <v>3.7999999999999999E-2</v>
      </c>
      <c r="F313" s="8">
        <v>1.161</v>
      </c>
      <c r="G313" s="8">
        <v>2.5000000000000001E-2</v>
      </c>
      <c r="H313" s="8">
        <v>3.5000000000000003E-2</v>
      </c>
      <c r="I313" s="8">
        <v>2.5999999999999999E-2</v>
      </c>
      <c r="J313" s="8">
        <v>0.12</v>
      </c>
      <c r="K313" s="39">
        <f t="shared" si="32"/>
        <v>0.20899999999999999</v>
      </c>
      <c r="L313" s="39">
        <f t="shared" si="33"/>
        <v>42.576116999999996</v>
      </c>
      <c r="M313" s="30">
        <f t="shared" si="34"/>
        <v>3275.0912143251744</v>
      </c>
      <c r="N313" s="30">
        <f>(RedShift*Age*(2*InitialTangentVelocity-UniverseAcceleration*Age))/(2+RedShift)*(1+RedShift)</f>
        <v>1.0836338537191853E+26</v>
      </c>
      <c r="O313" s="36">
        <f t="shared" si="35"/>
        <v>3511.8181521712499</v>
      </c>
      <c r="P313" s="36">
        <f t="shared" si="36"/>
        <v>42.727660096601305</v>
      </c>
      <c r="Q313" s="36">
        <f t="shared" si="37"/>
        <v>0.52575055808048166</v>
      </c>
      <c r="R313" s="19">
        <v>3222.3078188916197</v>
      </c>
      <c r="S313" s="36">
        <f t="shared" si="38"/>
        <v>42.540835125575221</v>
      </c>
      <c r="T313" s="36">
        <f t="shared" si="39"/>
        <v>2.8497760191516546E-2</v>
      </c>
      <c r="U313" s="30"/>
    </row>
    <row r="314" spans="1:21" x14ac:dyDescent="0.25">
      <c r="A314" s="35" t="s">
        <v>343</v>
      </c>
      <c r="B314" s="16">
        <v>0.57999999999999996</v>
      </c>
      <c r="C314" s="8">
        <v>0.01</v>
      </c>
      <c r="D314" s="8">
        <v>23.521000000000001</v>
      </c>
      <c r="E314" s="8">
        <v>5.8999999999999997E-2</v>
      </c>
      <c r="F314" s="8">
        <v>0.94599999999999995</v>
      </c>
      <c r="G314" s="8">
        <v>5.7000000000000002E-2</v>
      </c>
      <c r="H314" s="8">
        <v>-5.3999999999999999E-2</v>
      </c>
      <c r="I314" s="8">
        <v>0.05</v>
      </c>
      <c r="J314" s="8">
        <v>0.12</v>
      </c>
      <c r="K314" s="39">
        <f t="shared" si="32"/>
        <v>0.28599999999999998</v>
      </c>
      <c r="L314" s="39">
        <f t="shared" si="33"/>
        <v>43.022081999999997</v>
      </c>
      <c r="M314" s="30">
        <f t="shared" si="34"/>
        <v>4021.7623118537799</v>
      </c>
      <c r="N314" s="30">
        <f>(RedShift*Age*(2*InitialTangentVelocity-UniverseAcceleration*Age))/(2+RedShift)*(1+RedShift)</f>
        <v>1.0857718736346658E+26</v>
      </c>
      <c r="O314" s="36">
        <f t="shared" si="35"/>
        <v>3518.7470028371076</v>
      </c>
      <c r="P314" s="36">
        <f t="shared" si="36"/>
        <v>42.731940211382991</v>
      </c>
      <c r="Q314" s="36">
        <f t="shared" si="37"/>
        <v>1.0291732786673644</v>
      </c>
      <c r="R314" s="19">
        <v>3229.0527341828883</v>
      </c>
      <c r="S314" s="36">
        <f t="shared" si="38"/>
        <v>42.545375688042803</v>
      </c>
      <c r="T314" s="36">
        <f t="shared" si="39"/>
        <v>2.7782398633164211</v>
      </c>
      <c r="U314" s="30"/>
    </row>
    <row r="315" spans="1:21" x14ac:dyDescent="0.25">
      <c r="A315" s="35" t="s">
        <v>344</v>
      </c>
      <c r="B315" s="16">
        <v>0.57999999999999996</v>
      </c>
      <c r="C315" s="8">
        <v>0.01</v>
      </c>
      <c r="D315" s="8">
        <v>23.335999999999999</v>
      </c>
      <c r="E315" s="8">
        <v>0.04</v>
      </c>
      <c r="F315" s="8">
        <v>1.095</v>
      </c>
      <c r="G315" s="8">
        <v>3.5999999999999997E-2</v>
      </c>
      <c r="H315" s="8">
        <v>0.01</v>
      </c>
      <c r="I315" s="8">
        <v>0.04</v>
      </c>
      <c r="J315" s="8">
        <v>0.12</v>
      </c>
      <c r="K315" s="39">
        <f t="shared" si="32"/>
        <v>0.23599999999999999</v>
      </c>
      <c r="L315" s="39">
        <f t="shared" si="33"/>
        <v>42.658664999999999</v>
      </c>
      <c r="M315" s="30">
        <f t="shared" si="34"/>
        <v>3401.9897439357542</v>
      </c>
      <c r="N315" s="30">
        <f>(RedShift*Age*(2*InitialTangentVelocity-UniverseAcceleration*Age))/(2+RedShift)*(1+RedShift)</f>
        <v>1.0857718736346658E+26</v>
      </c>
      <c r="O315" s="36">
        <f t="shared" si="35"/>
        <v>3518.7470028371076</v>
      </c>
      <c r="P315" s="36">
        <f t="shared" si="36"/>
        <v>42.731940211382991</v>
      </c>
      <c r="Q315" s="36">
        <f t="shared" si="37"/>
        <v>9.6402912295714682E-2</v>
      </c>
      <c r="R315" s="19">
        <v>3229.0527341828883</v>
      </c>
      <c r="S315" s="36">
        <f t="shared" si="38"/>
        <v>42.545375688042803</v>
      </c>
      <c r="T315" s="36">
        <f t="shared" si="39"/>
        <v>0.23043788070480617</v>
      </c>
      <c r="U315" s="30"/>
    </row>
    <row r="316" spans="1:21" x14ac:dyDescent="0.25">
      <c r="A316" s="35" t="s">
        <v>345</v>
      </c>
      <c r="B316" s="16">
        <v>0.57999999999999996</v>
      </c>
      <c r="C316" s="8">
        <v>0.01</v>
      </c>
      <c r="D316" s="8">
        <v>23.303999999999998</v>
      </c>
      <c r="E316" s="8">
        <v>3.9E-2</v>
      </c>
      <c r="F316" s="8">
        <v>1.0780000000000001</v>
      </c>
      <c r="G316" s="8">
        <v>1.7000000000000001E-2</v>
      </c>
      <c r="H316" s="8">
        <v>-2.7E-2</v>
      </c>
      <c r="I316" s="8">
        <v>2.9000000000000001E-2</v>
      </c>
      <c r="J316" s="8">
        <v>0.12</v>
      </c>
      <c r="K316" s="39">
        <f t="shared" si="32"/>
        <v>0.20500000000000002</v>
      </c>
      <c r="L316" s="39">
        <f t="shared" si="33"/>
        <v>42.739975999999999</v>
      </c>
      <c r="M316" s="30">
        <f t="shared" si="34"/>
        <v>3531.7926628887976</v>
      </c>
      <c r="N316" s="30">
        <f>(RedShift*Age*(2*InitialTangentVelocity-UniverseAcceleration*Age))/(2+RedShift)*(1+RedShift)</f>
        <v>1.0857718736346658E+26</v>
      </c>
      <c r="O316" s="36">
        <f t="shared" si="35"/>
        <v>3518.7470028371076</v>
      </c>
      <c r="P316" s="36">
        <f t="shared" si="36"/>
        <v>42.731940211382991</v>
      </c>
      <c r="Q316" s="36">
        <f t="shared" si="37"/>
        <v>1.5365591599578985E-3</v>
      </c>
      <c r="R316" s="19">
        <v>3229.0527341828883</v>
      </c>
      <c r="S316" s="36">
        <f t="shared" si="38"/>
        <v>42.545375688042803</v>
      </c>
      <c r="T316" s="36">
        <f t="shared" si="39"/>
        <v>0.90111318057912682</v>
      </c>
      <c r="U316" s="30"/>
    </row>
    <row r="317" spans="1:21" x14ac:dyDescent="0.25">
      <c r="A317" s="35" t="s">
        <v>346</v>
      </c>
      <c r="B317" s="16">
        <v>0.58199999999999996</v>
      </c>
      <c r="C317" s="8">
        <v>5.0000000000000001E-3</v>
      </c>
      <c r="D317" s="8">
        <v>23.584</v>
      </c>
      <c r="E317" s="8">
        <v>4.2000000000000003E-2</v>
      </c>
      <c r="F317" s="8">
        <v>1.0980000000000001</v>
      </c>
      <c r="G317" s="8">
        <v>3.3000000000000002E-2</v>
      </c>
      <c r="H317" s="8">
        <v>1E-3</v>
      </c>
      <c r="I317" s="8">
        <v>0.04</v>
      </c>
      <c r="J317" s="8">
        <v>0.12</v>
      </c>
      <c r="K317" s="39">
        <f t="shared" si="32"/>
        <v>0.23500000000000001</v>
      </c>
      <c r="L317" s="39">
        <f t="shared" si="33"/>
        <v>42.935276000000002</v>
      </c>
      <c r="M317" s="30">
        <f t="shared" si="34"/>
        <v>3864.1608845996634</v>
      </c>
      <c r="N317" s="30">
        <f>(RedShift*Age*(2*InitialTangentVelocity-UniverseAcceleration*Age))/(2+RedShift)*(1+RedShift)</f>
        <v>1.0900500486096376E+26</v>
      </c>
      <c r="O317" s="36">
        <f t="shared" si="35"/>
        <v>3532.6116236993162</v>
      </c>
      <c r="P317" s="36">
        <f t="shared" si="36"/>
        <v>42.740479468018066</v>
      </c>
      <c r="Q317" s="36">
        <f t="shared" si="37"/>
        <v>0.68711070841447563</v>
      </c>
      <c r="R317" s="19">
        <v>3242.5520305632735</v>
      </c>
      <c r="S317" s="36">
        <f t="shared" si="38"/>
        <v>42.55443476789042</v>
      </c>
      <c r="T317" s="36">
        <f t="shared" si="39"/>
        <v>2.6263475613353395</v>
      </c>
      <c r="U317" s="30"/>
    </row>
    <row r="318" spans="1:21" x14ac:dyDescent="0.25">
      <c r="A318" s="35" t="s">
        <v>347</v>
      </c>
      <c r="B318" s="16">
        <v>0.58399999999999996</v>
      </c>
      <c r="C318" s="8">
        <v>1E-3</v>
      </c>
      <c r="D318" s="8">
        <v>23.271999999999998</v>
      </c>
      <c r="E318" s="8">
        <v>4.1000000000000002E-2</v>
      </c>
      <c r="F318" s="8">
        <v>1.028</v>
      </c>
      <c r="G318" s="8">
        <v>2.1000000000000001E-2</v>
      </c>
      <c r="H318" s="8">
        <v>-7.9000000000000001E-2</v>
      </c>
      <c r="I318" s="8">
        <v>3.6999999999999998E-2</v>
      </c>
      <c r="J318" s="8">
        <v>0.12</v>
      </c>
      <c r="K318" s="39">
        <f t="shared" si="32"/>
        <v>0.219</v>
      </c>
      <c r="L318" s="39">
        <f t="shared" si="33"/>
        <v>42.863385999999998</v>
      </c>
      <c r="M318" s="30">
        <f t="shared" si="34"/>
        <v>3738.3262473797135</v>
      </c>
      <c r="N318" s="30">
        <f>(RedShift*Age*(2*InitialTangentVelocity-UniverseAcceleration*Age))/(2+RedShift)*(1+RedShift)</f>
        <v>1.0943310649346649E+26</v>
      </c>
      <c r="O318" s="36">
        <f t="shared" si="35"/>
        <v>3546.4854527499438</v>
      </c>
      <c r="P318" s="36">
        <f t="shared" si="36"/>
        <v>42.748990913826475</v>
      </c>
      <c r="Q318" s="36">
        <f t="shared" si="37"/>
        <v>0.27285160319108981</v>
      </c>
      <c r="R318" s="19">
        <v>3256.0639223061885</v>
      </c>
      <c r="S318" s="36">
        <f t="shared" si="38"/>
        <v>42.563464611356622</v>
      </c>
      <c r="T318" s="36">
        <f t="shared" si="39"/>
        <v>1.8755413641452698</v>
      </c>
      <c r="U318" s="30"/>
    </row>
    <row r="319" spans="1:21" x14ac:dyDescent="0.25">
      <c r="A319" s="35" t="s">
        <v>348</v>
      </c>
      <c r="B319" s="16">
        <v>0.58499999999999996</v>
      </c>
      <c r="C319" s="8">
        <v>1E-3</v>
      </c>
      <c r="D319" s="8">
        <v>23.344999999999999</v>
      </c>
      <c r="E319" s="8">
        <v>4.2999999999999997E-2</v>
      </c>
      <c r="F319" s="8">
        <v>1.034</v>
      </c>
      <c r="G319" s="8">
        <v>1.9E-2</v>
      </c>
      <c r="H319" s="8">
        <v>-5.1999999999999998E-2</v>
      </c>
      <c r="I319" s="8">
        <v>2.9000000000000001E-2</v>
      </c>
      <c r="J319" s="8">
        <v>0.12</v>
      </c>
      <c r="K319" s="39">
        <f t="shared" si="32"/>
        <v>0.21099999999999999</v>
      </c>
      <c r="L319" s="39">
        <f t="shared" si="33"/>
        <v>42.852757999999994</v>
      </c>
      <c r="M319" s="30">
        <f t="shared" si="34"/>
        <v>3720.0741799904995</v>
      </c>
      <c r="N319" s="30">
        <f>(RedShift*Age*(2*InitialTangentVelocity-UniverseAcceleration*Age))/(2+RedShift)*(1+RedShift)</f>
        <v>1.0964726365425086E+26</v>
      </c>
      <c r="O319" s="36">
        <f t="shared" si="35"/>
        <v>3553.4258136668595</v>
      </c>
      <c r="P319" s="36">
        <f t="shared" si="36"/>
        <v>42.753236264642283</v>
      </c>
      <c r="Q319" s="36">
        <f t="shared" si="37"/>
        <v>0.22246975154669538</v>
      </c>
      <c r="R319" s="19">
        <v>3262.8245818213541</v>
      </c>
      <c r="S319" s="36">
        <f t="shared" si="38"/>
        <v>42.567968627911362</v>
      </c>
      <c r="T319" s="36">
        <f t="shared" si="39"/>
        <v>1.8217242751653648</v>
      </c>
      <c r="U319" s="30"/>
    </row>
    <row r="320" spans="1:21" x14ac:dyDescent="0.25">
      <c r="A320" s="35" t="s">
        <v>349</v>
      </c>
      <c r="B320" s="16">
        <v>0.58499999999999996</v>
      </c>
      <c r="C320" s="8">
        <v>1E-3</v>
      </c>
      <c r="D320" s="8">
        <v>23.745999999999999</v>
      </c>
      <c r="E320" s="8">
        <v>4.4999999999999998E-2</v>
      </c>
      <c r="F320" s="8">
        <v>1.034</v>
      </c>
      <c r="G320" s="8">
        <v>2.3E-2</v>
      </c>
      <c r="H320" s="8">
        <v>0.02</v>
      </c>
      <c r="I320" s="8">
        <v>3.4000000000000002E-2</v>
      </c>
      <c r="J320" s="8">
        <v>0.12</v>
      </c>
      <c r="K320" s="39">
        <f t="shared" si="32"/>
        <v>0.222</v>
      </c>
      <c r="L320" s="39">
        <f t="shared" si="33"/>
        <v>43.028397999999996</v>
      </c>
      <c r="M320" s="30">
        <f t="shared" si="34"/>
        <v>4033.4771409928926</v>
      </c>
      <c r="N320" s="30">
        <f>(RedShift*Age*(2*InitialTangentVelocity-UniverseAcceleration*Age))/(2+RedShift)*(1+RedShift)</f>
        <v>1.0964726365425086E+26</v>
      </c>
      <c r="O320" s="36">
        <f t="shared" si="35"/>
        <v>3553.4258136668595</v>
      </c>
      <c r="P320" s="36">
        <f t="shared" si="36"/>
        <v>42.753236264642283</v>
      </c>
      <c r="Q320" s="36">
        <f t="shared" si="37"/>
        <v>1.5362791292319653</v>
      </c>
      <c r="R320" s="19">
        <v>3262.8245818213541</v>
      </c>
      <c r="S320" s="36">
        <f t="shared" si="38"/>
        <v>42.567968627911362</v>
      </c>
      <c r="T320" s="36">
        <f t="shared" si="39"/>
        <v>4.3015016370816701</v>
      </c>
      <c r="U320" s="30"/>
    </row>
    <row r="321" spans="1:21" x14ac:dyDescent="0.25">
      <c r="A321" s="35" t="s">
        <v>350</v>
      </c>
      <c r="B321" s="16">
        <v>0.58499999999999996</v>
      </c>
      <c r="C321" s="8">
        <v>1E-3</v>
      </c>
      <c r="D321" s="8">
        <v>23.559000000000001</v>
      </c>
      <c r="E321" s="8">
        <v>4.4999999999999998E-2</v>
      </c>
      <c r="F321" s="8">
        <v>0.94</v>
      </c>
      <c r="G321" s="8">
        <v>3.3000000000000002E-2</v>
      </c>
      <c r="H321" s="8">
        <v>-6.4000000000000001E-2</v>
      </c>
      <c r="I321" s="8">
        <v>3.9E-2</v>
      </c>
      <c r="J321" s="8">
        <v>0.12</v>
      </c>
      <c r="K321" s="39">
        <f t="shared" si="32"/>
        <v>0.23699999999999999</v>
      </c>
      <c r="L321" s="39">
        <f t="shared" si="33"/>
        <v>43.090500000000006</v>
      </c>
      <c r="M321" s="30">
        <f t="shared" si="34"/>
        <v>4150.4960033471361</v>
      </c>
      <c r="N321" s="30">
        <f>(RedShift*Age*(2*InitialTangentVelocity-UniverseAcceleration*Age))/(2+RedShift)*(1+RedShift)</f>
        <v>1.0964726365425086E+26</v>
      </c>
      <c r="O321" s="36">
        <f t="shared" si="35"/>
        <v>3553.4258136668595</v>
      </c>
      <c r="P321" s="36">
        <f t="shared" si="36"/>
        <v>42.753236264642283</v>
      </c>
      <c r="Q321" s="36">
        <f t="shared" si="37"/>
        <v>2.0250819346515763</v>
      </c>
      <c r="R321" s="19">
        <v>3262.8245818213541</v>
      </c>
      <c r="S321" s="36">
        <f t="shared" si="38"/>
        <v>42.567968627911362</v>
      </c>
      <c r="T321" s="36">
        <f t="shared" si="39"/>
        <v>4.861027164749955</v>
      </c>
      <c r="U321" s="30"/>
    </row>
    <row r="322" spans="1:21" x14ac:dyDescent="0.25">
      <c r="A322" s="35" t="s">
        <v>351</v>
      </c>
      <c r="B322" s="16">
        <v>0.58699999999999997</v>
      </c>
      <c r="C322" s="8">
        <v>1E-3</v>
      </c>
      <c r="D322" s="8">
        <v>24.102</v>
      </c>
      <c r="E322" s="8">
        <v>0.05</v>
      </c>
      <c r="F322" s="8">
        <v>1.1259999999999999</v>
      </c>
      <c r="G322" s="8">
        <v>3.4000000000000002E-2</v>
      </c>
      <c r="H322" s="8">
        <v>0.155</v>
      </c>
      <c r="I322" s="8">
        <v>0.04</v>
      </c>
      <c r="J322" s="8">
        <v>0.12</v>
      </c>
      <c r="K322" s="39">
        <f t="shared" si="32"/>
        <v>0.24399999999999999</v>
      </c>
      <c r="L322" s="39">
        <f t="shared" si="33"/>
        <v>42.975372</v>
      </c>
      <c r="M322" s="30">
        <f t="shared" si="34"/>
        <v>3936.1750121180416</v>
      </c>
      <c r="N322" s="30">
        <f>(RedShift*Age*(2*InitialTangentVelocity-UniverseAcceleration*Age))/(2+RedShift)*(1+RedShift)</f>
        <v>1.1007579025381277E+26</v>
      </c>
      <c r="O322" s="36">
        <f t="shared" si="35"/>
        <v>3567.3134149619345</v>
      </c>
      <c r="P322" s="36">
        <f t="shared" si="36"/>
        <v>42.761706335041936</v>
      </c>
      <c r="Q322" s="36">
        <f t="shared" si="37"/>
        <v>0.7668136317853369</v>
      </c>
      <c r="R322" s="19">
        <v>3276.3553089529323</v>
      </c>
      <c r="S322" s="36">
        <f t="shared" si="38"/>
        <v>42.576954966586918</v>
      </c>
      <c r="T322" s="36">
        <f t="shared" si="39"/>
        <v>2.666220984172285</v>
      </c>
      <c r="U322" s="30"/>
    </row>
    <row r="323" spans="1:21" x14ac:dyDescent="0.25">
      <c r="A323" s="35" t="s">
        <v>352</v>
      </c>
      <c r="B323" s="16">
        <v>0.58899999999999997</v>
      </c>
      <c r="C323" s="8">
        <v>1E-3</v>
      </c>
      <c r="D323" s="8">
        <v>23.626999999999999</v>
      </c>
      <c r="E323" s="8">
        <v>4.3999999999999997E-2</v>
      </c>
      <c r="F323" s="8">
        <v>1.0289999999999999</v>
      </c>
      <c r="G323" s="8">
        <v>0.03</v>
      </c>
      <c r="H323" s="8">
        <v>1.7999999999999999E-2</v>
      </c>
      <c r="I323" s="8">
        <v>4.1000000000000002E-2</v>
      </c>
      <c r="J323" s="8">
        <v>0.12</v>
      </c>
      <c r="K323" s="39">
        <f t="shared" si="32"/>
        <v>0.23499999999999999</v>
      </c>
      <c r="L323" s="39">
        <f t="shared" si="33"/>
        <v>42.914923000000002</v>
      </c>
      <c r="M323" s="30">
        <f t="shared" si="34"/>
        <v>3828.1116866467532</v>
      </c>
      <c r="N323" s="30">
        <f>(RedShift*Age*(2*InitialTangentVelocity-UniverseAcceleration*Age))/(2+RedShift)*(1+RedShift)</f>
        <v>1.1050459934408379E+26</v>
      </c>
      <c r="O323" s="36">
        <f t="shared" si="35"/>
        <v>3581.2101711574091</v>
      </c>
      <c r="P323" s="36">
        <f t="shared" si="36"/>
        <v>42.770149046410381</v>
      </c>
      <c r="Q323" s="36">
        <f t="shared" si="37"/>
        <v>0.37952915596142267</v>
      </c>
      <c r="R323" s="19">
        <v>3289.8985547022598</v>
      </c>
      <c r="S323" s="36">
        <f t="shared" si="38"/>
        <v>42.585912532588353</v>
      </c>
      <c r="T323" s="36">
        <f t="shared" si="39"/>
        <v>1.9601247200802512</v>
      </c>
      <c r="U323" s="30"/>
    </row>
    <row r="324" spans="1:21" x14ac:dyDescent="0.25">
      <c r="A324" s="35" t="s">
        <v>353</v>
      </c>
      <c r="B324" s="16">
        <v>0.59</v>
      </c>
      <c r="C324" s="8">
        <v>0.01</v>
      </c>
      <c r="D324" s="8">
        <v>23.402999999999999</v>
      </c>
      <c r="E324" s="8">
        <v>4.2000000000000003E-2</v>
      </c>
      <c r="F324" s="8">
        <v>1.163</v>
      </c>
      <c r="G324" s="8">
        <v>2.1999999999999999E-2</v>
      </c>
      <c r="H324" s="8">
        <v>4.1000000000000002E-2</v>
      </c>
      <c r="I324" s="8">
        <v>3.1E-2</v>
      </c>
      <c r="J324" s="8">
        <v>0.12</v>
      </c>
      <c r="K324" s="39">
        <f t="shared" si="32"/>
        <v>0.215</v>
      </c>
      <c r="L324" s="39">
        <f t="shared" si="33"/>
        <v>42.638631000000004</v>
      </c>
      <c r="M324" s="30">
        <f t="shared" si="34"/>
        <v>3370.747336334462</v>
      </c>
      <c r="N324" s="30">
        <f>(RedShift*Age*(2*InitialTangentVelocity-UniverseAcceleration*Age))/(2+RedShift)*(1+RedShift)</f>
        <v>1.1071910961872941E+26</v>
      </c>
      <c r="O324" s="36">
        <f t="shared" si="35"/>
        <v>3588.1619757152143</v>
      </c>
      <c r="P324" s="36">
        <f t="shared" si="36"/>
        <v>42.77436019801906</v>
      </c>
      <c r="Q324" s="36">
        <f t="shared" si="37"/>
        <v>0.39853791660132626</v>
      </c>
      <c r="R324" s="19">
        <v>3296.6748625102528</v>
      </c>
      <c r="S324" s="36">
        <f t="shared" si="38"/>
        <v>42.590380582878822</v>
      </c>
      <c r="T324" s="36">
        <f t="shared" si="39"/>
        <v>5.036458090574375E-2</v>
      </c>
      <c r="U324" s="30"/>
    </row>
    <row r="325" spans="1:21" x14ac:dyDescent="0.25">
      <c r="A325" s="35" t="s">
        <v>354</v>
      </c>
      <c r="B325" s="16">
        <v>0.59</v>
      </c>
      <c r="C325" s="8">
        <v>0.01</v>
      </c>
      <c r="D325" s="8">
        <v>23.388000000000002</v>
      </c>
      <c r="E325" s="8">
        <v>4.2999999999999997E-2</v>
      </c>
      <c r="F325" s="8">
        <v>1.01</v>
      </c>
      <c r="G325" s="8">
        <v>2.9000000000000001E-2</v>
      </c>
      <c r="H325" s="8">
        <v>-4.8000000000000001E-2</v>
      </c>
      <c r="I325" s="8">
        <v>3.5000000000000003E-2</v>
      </c>
      <c r="J325" s="8">
        <v>0.12</v>
      </c>
      <c r="K325" s="39">
        <f t="shared" si="32"/>
        <v>0.22699999999999998</v>
      </c>
      <c r="L325" s="39">
        <f t="shared" si="33"/>
        <v>42.879710000000003</v>
      </c>
      <c r="M325" s="30">
        <f t="shared" si="34"/>
        <v>3766.5349357510981</v>
      </c>
      <c r="N325" s="30">
        <f>(RedShift*Age*(2*InitialTangentVelocity-UniverseAcceleration*Age))/(2+RedShift)*(1+RedShift)</f>
        <v>1.1071910961872941E+26</v>
      </c>
      <c r="O325" s="36">
        <f t="shared" si="35"/>
        <v>3588.1619757152143</v>
      </c>
      <c r="P325" s="36">
        <f t="shared" si="36"/>
        <v>42.77436019801906</v>
      </c>
      <c r="Q325" s="36">
        <f t="shared" si="37"/>
        <v>0.21538513802759202</v>
      </c>
      <c r="R325" s="19">
        <v>3296.6748625102528</v>
      </c>
      <c r="S325" s="36">
        <f t="shared" si="38"/>
        <v>42.590380582878822</v>
      </c>
      <c r="T325" s="36">
        <f t="shared" si="39"/>
        <v>1.6245514489255015</v>
      </c>
      <c r="U325" s="30"/>
    </row>
    <row r="326" spans="1:21" x14ac:dyDescent="0.25">
      <c r="A326" s="35" t="s">
        <v>355</v>
      </c>
      <c r="B326" s="16">
        <v>0.59199999999999997</v>
      </c>
      <c r="C326" s="8">
        <v>2E-3</v>
      </c>
      <c r="D326" s="8">
        <v>23.413</v>
      </c>
      <c r="E326" s="8">
        <v>4.7E-2</v>
      </c>
      <c r="F326" s="8">
        <v>1.0980000000000001</v>
      </c>
      <c r="G326" s="8">
        <v>5.1999999999999998E-2</v>
      </c>
      <c r="H326" s="8">
        <v>4.5999999999999999E-2</v>
      </c>
      <c r="I326" s="8">
        <v>4.4999999999999998E-2</v>
      </c>
      <c r="J326" s="8">
        <v>0.12</v>
      </c>
      <c r="K326" s="39">
        <f t="shared" si="32"/>
        <v>0.26400000000000001</v>
      </c>
      <c r="L326" s="39">
        <f t="shared" si="33"/>
        <v>42.623426000000002</v>
      </c>
      <c r="M326" s="30">
        <f t="shared" si="34"/>
        <v>3347.227261669907</v>
      </c>
      <c r="N326" s="30">
        <f>(RedShift*Age*(2*InitialTangentVelocity-UniverseAcceleration*Age))/(2+RedShift)*(1+RedShift)</f>
        <v>1.1114834121913375E+26</v>
      </c>
      <c r="O326" s="36">
        <f t="shared" si="35"/>
        <v>3602.0724245315923</v>
      </c>
      <c r="P326" s="36">
        <f t="shared" si="36"/>
        <v>42.782762203242413</v>
      </c>
      <c r="Q326" s="36">
        <f t="shared" si="37"/>
        <v>0.36426804499120347</v>
      </c>
      <c r="R326" s="19">
        <v>3310.2368289443289</v>
      </c>
      <c r="S326" s="36">
        <f t="shared" si="38"/>
        <v>42.599295331150941</v>
      </c>
      <c r="T326" s="36">
        <f t="shared" si="39"/>
        <v>8.3547001133930689E-3</v>
      </c>
      <c r="U326" s="30"/>
    </row>
    <row r="327" spans="1:21" x14ac:dyDescent="0.25">
      <c r="A327" s="35" t="s">
        <v>356</v>
      </c>
      <c r="B327" s="16">
        <v>0.6</v>
      </c>
      <c r="C327" s="8">
        <v>0.01</v>
      </c>
      <c r="D327" s="8">
        <v>23.853999999999999</v>
      </c>
      <c r="E327" s="8">
        <v>5.0999999999999997E-2</v>
      </c>
      <c r="F327" s="8">
        <v>1.02</v>
      </c>
      <c r="G327" s="8">
        <v>4.2999999999999997E-2</v>
      </c>
      <c r="H327" s="8">
        <v>9.6000000000000002E-2</v>
      </c>
      <c r="I327" s="8">
        <v>3.6999999999999998E-2</v>
      </c>
      <c r="J327" s="8">
        <v>0.12</v>
      </c>
      <c r="K327" s="39">
        <f t="shared" ref="K327:K390" si="40">PeakMagnitudeError+StretchError+ColorError+ScatterError</f>
        <v>0.251</v>
      </c>
      <c r="L327" s="39">
        <f t="shared" ref="L327:L390" si="41">PeakMagnitude+α*(Stretch-1)-β*Color-Mb</f>
        <v>42.896459999999998</v>
      </c>
      <c r="M327" s="30">
        <f t="shared" ref="M327:M390" si="42">10^((ObservedDistanceModuli-25)/5)</f>
        <v>3795.7010499840922</v>
      </c>
      <c r="N327" s="30">
        <f>(RedShift*Age*(2*InitialTangentVelocity-UniverseAcceleration*Age))/(2+RedShift)*(1+RedShift)</f>
        <v>1.1286806973014555E+26</v>
      </c>
      <c r="O327" s="36">
        <f t="shared" ref="O327:O390" si="43">N327/Mpc</f>
        <v>3657.8050299780693</v>
      </c>
      <c r="P327" s="36">
        <f t="shared" ref="P327:P390" si="44">(LOG10(T2LuminousDistance)*5+25)</f>
        <v>42.816102763956096</v>
      </c>
      <c r="Q327" s="36">
        <f t="shared" ref="Q327:Q390" si="45">(ObservedDistanceModuli-T2DistanceModuli)^2/TotalError^2</f>
        <v>0.10249496650236316</v>
      </c>
      <c r="R327" s="19">
        <v>3364.6088161095827</v>
      </c>
      <c r="S327" s="36">
        <f t="shared" ref="S327:S390" si="46">(LOG10(ΛCDMLuminousDistance)*5+25)</f>
        <v>42.634672892754438</v>
      </c>
      <c r="T327" s="36">
        <f t="shared" ref="T327:T390" si="47">(ObservedDistanceModuli-ΛCDMDistanceModuli)^2/TotalError^2</f>
        <v>1.0878000273011272</v>
      </c>
      <c r="U327" s="30"/>
    </row>
    <row r="328" spans="1:21" x14ac:dyDescent="0.25">
      <c r="A328" s="35" t="s">
        <v>357</v>
      </c>
      <c r="B328" s="16">
        <v>0.60499999999999998</v>
      </c>
      <c r="C328" s="8">
        <v>1E-3</v>
      </c>
      <c r="D328" s="8">
        <v>23.832000000000001</v>
      </c>
      <c r="E328" s="8">
        <v>4.7E-2</v>
      </c>
      <c r="F328" s="8">
        <v>0.83899999999999997</v>
      </c>
      <c r="G328" s="8">
        <v>2.3E-2</v>
      </c>
      <c r="H328" s="8">
        <v>-5.3999999999999999E-2</v>
      </c>
      <c r="I328" s="8">
        <v>3.5000000000000003E-2</v>
      </c>
      <c r="J328" s="8">
        <v>0.12</v>
      </c>
      <c r="K328" s="39">
        <f t="shared" si="40"/>
        <v>0.22500000000000001</v>
      </c>
      <c r="L328" s="39">
        <f t="shared" si="41"/>
        <v>43.317352999999997</v>
      </c>
      <c r="M328" s="30">
        <f t="shared" si="42"/>
        <v>4607.5557632419032</v>
      </c>
      <c r="N328" s="30">
        <f>(RedShift*Age*(2*InitialTangentVelocity-UniverseAcceleration*Age))/(2+RedShift)*(1+RedShift)</f>
        <v>1.1394516365373396E+26</v>
      </c>
      <c r="O328" s="36">
        <f t="shared" si="43"/>
        <v>3692.7112667984566</v>
      </c>
      <c r="P328" s="36">
        <f t="shared" si="44"/>
        <v>42.836726757401422</v>
      </c>
      <c r="Q328" s="36">
        <f t="shared" si="45"/>
        <v>4.5629942730750477</v>
      </c>
      <c r="R328" s="19">
        <v>3398.6915441149126</v>
      </c>
      <c r="S328" s="36">
        <f t="shared" si="46"/>
        <v>42.656558755001839</v>
      </c>
      <c r="T328" s="36">
        <f t="shared" si="47"/>
        <v>8.6251661081024285</v>
      </c>
      <c r="U328" s="30"/>
    </row>
    <row r="329" spans="1:21" x14ac:dyDescent="0.25">
      <c r="A329" s="35" t="s">
        <v>358</v>
      </c>
      <c r="B329" s="16">
        <v>0.60799999999999998</v>
      </c>
      <c r="C329" s="8">
        <v>1E-3</v>
      </c>
      <c r="D329" s="8">
        <v>23.952999999999999</v>
      </c>
      <c r="E329" s="8">
        <v>4.3999999999999997E-2</v>
      </c>
      <c r="F329" s="8">
        <v>1.044</v>
      </c>
      <c r="G329" s="8">
        <v>4.2999999999999997E-2</v>
      </c>
      <c r="H329" s="8">
        <v>7.2999999999999995E-2</v>
      </c>
      <c r="I329" s="8">
        <v>3.6999999999999998E-2</v>
      </c>
      <c r="J329" s="8">
        <v>0.12</v>
      </c>
      <c r="K329" s="39">
        <f t="shared" si="40"/>
        <v>0.24399999999999999</v>
      </c>
      <c r="L329" s="39">
        <f t="shared" si="41"/>
        <v>43.070977999999997</v>
      </c>
      <c r="M329" s="30">
        <f t="shared" si="42"/>
        <v>4113.3493874307205</v>
      </c>
      <c r="N329" s="30">
        <f>(RedShift*Age*(2*InitialTangentVelocity-UniverseAcceleration*Age))/(2+RedShift)*(1+RedShift)</f>
        <v>1.1459225067264901E+26</v>
      </c>
      <c r="O329" s="36">
        <f t="shared" si="43"/>
        <v>3713.6819289022742</v>
      </c>
      <c r="P329" s="36">
        <f t="shared" si="44"/>
        <v>42.849023521738765</v>
      </c>
      <c r="Q329" s="36">
        <f t="shared" si="45"/>
        <v>0.82746221479803117</v>
      </c>
      <c r="R329" s="19">
        <v>3419.177951427147</v>
      </c>
      <c r="S329" s="36">
        <f t="shared" si="46"/>
        <v>42.66960852140285</v>
      </c>
      <c r="T329" s="36">
        <f t="shared" si="47"/>
        <v>2.7058831354028721</v>
      </c>
      <c r="U329" s="30"/>
    </row>
    <row r="330" spans="1:21" x14ac:dyDescent="0.25">
      <c r="A330" s="35" t="s">
        <v>359</v>
      </c>
      <c r="B330" s="16">
        <v>0.61</v>
      </c>
      <c r="C330" s="8">
        <v>0.02</v>
      </c>
      <c r="D330" s="8">
        <v>23.268000000000001</v>
      </c>
      <c r="E330" s="8">
        <v>5.6000000000000001E-2</v>
      </c>
      <c r="F330" s="8">
        <v>1.127</v>
      </c>
      <c r="G330" s="8">
        <v>2.3E-2</v>
      </c>
      <c r="H330" s="8">
        <v>-0.06</v>
      </c>
      <c r="I330" s="8">
        <v>3.2000000000000001E-2</v>
      </c>
      <c r="J330" s="8">
        <v>0.12</v>
      </c>
      <c r="K330" s="39">
        <f t="shared" si="40"/>
        <v>0.23099999999999998</v>
      </c>
      <c r="L330" s="39">
        <f t="shared" si="41"/>
        <v>42.814469000000003</v>
      </c>
      <c r="M330" s="30">
        <f t="shared" si="42"/>
        <v>3655.0540198994481</v>
      </c>
      <c r="N330" s="30">
        <f>(RedShift*Age*(2*InitialTangentVelocity-UniverseAcceleration*Age))/(2+RedShift)*(1+RedShift)</f>
        <v>1.1502398680281666E+26</v>
      </c>
      <c r="O330" s="36">
        <f t="shared" si="43"/>
        <v>3727.6735440005582</v>
      </c>
      <c r="P330" s="36">
        <f t="shared" si="44"/>
        <v>42.857189357134018</v>
      </c>
      <c r="Q330" s="36">
        <f t="shared" si="45"/>
        <v>3.4201550076982321E-2</v>
      </c>
      <c r="R330" s="19">
        <v>3432.8508153278067</v>
      </c>
      <c r="S330" s="36">
        <f t="shared" si="46"/>
        <v>42.678274651431522</v>
      </c>
      <c r="T330" s="36">
        <f t="shared" si="47"/>
        <v>0.3476115624143617</v>
      </c>
      <c r="U330" s="30"/>
    </row>
    <row r="331" spans="1:21" x14ac:dyDescent="0.25">
      <c r="A331" s="35" t="s">
        <v>360</v>
      </c>
      <c r="B331" s="16">
        <v>0.61</v>
      </c>
      <c r="C331" s="8">
        <v>0.02</v>
      </c>
      <c r="D331" s="8">
        <v>23.577000000000002</v>
      </c>
      <c r="E331" s="8">
        <v>4.2000000000000003E-2</v>
      </c>
      <c r="F331" s="8">
        <v>0.90600000000000003</v>
      </c>
      <c r="G331" s="8">
        <v>1.9E-2</v>
      </c>
      <c r="H331" s="8">
        <v>-9.7000000000000003E-2</v>
      </c>
      <c r="I331" s="8">
        <v>3.2000000000000001E-2</v>
      </c>
      <c r="J331" s="8">
        <v>0.12</v>
      </c>
      <c r="K331" s="39">
        <f t="shared" si="40"/>
        <v>0.21299999999999999</v>
      </c>
      <c r="L331" s="39">
        <f t="shared" si="41"/>
        <v>43.206792</v>
      </c>
      <c r="M331" s="30">
        <f t="shared" si="42"/>
        <v>4378.8331776725863</v>
      </c>
      <c r="N331" s="30">
        <f>(RedShift*Age*(2*InitialTangentVelocity-UniverseAcceleration*Age))/(2+RedShift)*(1+RedShift)</f>
        <v>1.1502398680281666E+26</v>
      </c>
      <c r="O331" s="36">
        <f t="shared" si="43"/>
        <v>3727.6735440005582</v>
      </c>
      <c r="P331" s="36">
        <f t="shared" si="44"/>
        <v>42.857189357134018</v>
      </c>
      <c r="Q331" s="36">
        <f t="shared" si="45"/>
        <v>2.6939541955714077</v>
      </c>
      <c r="R331" s="19">
        <v>3432.8508153278067</v>
      </c>
      <c r="S331" s="36">
        <f t="shared" si="46"/>
        <v>42.678274651431522</v>
      </c>
      <c r="T331" s="36">
        <f t="shared" si="47"/>
        <v>6.1568601410181856</v>
      </c>
      <c r="U331" s="30"/>
    </row>
    <row r="332" spans="1:21" x14ac:dyDescent="0.25">
      <c r="A332" s="35" t="s">
        <v>361</v>
      </c>
      <c r="B332" s="16">
        <v>0.61199999999999999</v>
      </c>
      <c r="C332" s="8">
        <v>2E-3</v>
      </c>
      <c r="D332" s="8">
        <v>23.3</v>
      </c>
      <c r="E332" s="8">
        <v>4.7E-2</v>
      </c>
      <c r="F332" s="8">
        <v>1.048</v>
      </c>
      <c r="G332" s="8">
        <v>6.6000000000000003E-2</v>
      </c>
      <c r="H332" s="8">
        <v>-5.3999999999999999E-2</v>
      </c>
      <c r="I332" s="8">
        <v>0.04</v>
      </c>
      <c r="J332" s="8">
        <v>0.12</v>
      </c>
      <c r="K332" s="39">
        <f t="shared" si="40"/>
        <v>0.27300000000000002</v>
      </c>
      <c r="L332" s="39">
        <f t="shared" si="41"/>
        <v>42.816075999999995</v>
      </c>
      <c r="M332" s="30">
        <f t="shared" si="42"/>
        <v>3657.7599468678718</v>
      </c>
      <c r="N332" s="30">
        <f>(RedShift*Age*(2*InitialTangentVelocity-UniverseAcceleration*Age))/(2+RedShift)*(1+RedShift)</f>
        <v>1.1545599802116333E+26</v>
      </c>
      <c r="O332" s="36">
        <f t="shared" si="43"/>
        <v>3741.6740740995801</v>
      </c>
      <c r="P332" s="36">
        <f t="shared" si="44"/>
        <v>42.865329773670325</v>
      </c>
      <c r="Q332" s="36">
        <f t="shared" si="45"/>
        <v>3.2550204896994082E-2</v>
      </c>
      <c r="R332" s="19">
        <v>3446.535851869337</v>
      </c>
      <c r="S332" s="36">
        <f t="shared" si="46"/>
        <v>42.686914002556705</v>
      </c>
      <c r="T332" s="36">
        <f t="shared" si="47"/>
        <v>0.22384335739833588</v>
      </c>
      <c r="U332" s="30"/>
    </row>
    <row r="333" spans="1:21" x14ac:dyDescent="0.25">
      <c r="A333" s="35" t="s">
        <v>362</v>
      </c>
      <c r="B333" s="16">
        <v>0.61299999999999999</v>
      </c>
      <c r="C333" s="8">
        <v>2E-3</v>
      </c>
      <c r="D333" s="8">
        <v>24.045999999999999</v>
      </c>
      <c r="E333" s="8">
        <v>5.3999999999999999E-2</v>
      </c>
      <c r="F333" s="8">
        <v>0.98699999999999999</v>
      </c>
      <c r="G333" s="8">
        <v>5.6000000000000001E-2</v>
      </c>
      <c r="H333" s="8">
        <v>2.5000000000000001E-2</v>
      </c>
      <c r="I333" s="8">
        <v>0.04</v>
      </c>
      <c r="J333" s="8">
        <v>0.12</v>
      </c>
      <c r="K333" s="39">
        <f t="shared" si="40"/>
        <v>0.27</v>
      </c>
      <c r="L333" s="39">
        <f t="shared" si="41"/>
        <v>43.305838999999999</v>
      </c>
      <c r="M333" s="30">
        <f t="shared" si="42"/>
        <v>4583.1893492763138</v>
      </c>
      <c r="N333" s="30">
        <f>(RedShift*Age*(2*InitialTangentVelocity-UniverseAcceleration*Age))/(2+RedShift)*(1+RedShift)</f>
        <v>1.1567210659100982E+26</v>
      </c>
      <c r="O333" s="36">
        <f t="shared" si="43"/>
        <v>3748.6776758772648</v>
      </c>
      <c r="P333" s="36">
        <f t="shared" si="44"/>
        <v>42.869390499512598</v>
      </c>
      <c r="Q333" s="36">
        <f t="shared" si="45"/>
        <v>2.612994424934171</v>
      </c>
      <c r="R333" s="19">
        <v>3453.3829256449071</v>
      </c>
      <c r="S333" s="36">
        <f t="shared" si="46"/>
        <v>42.691223687105023</v>
      </c>
      <c r="T333" s="36">
        <f t="shared" si="47"/>
        <v>5.181783029423725</v>
      </c>
      <c r="U333" s="30"/>
    </row>
    <row r="334" spans="1:21" x14ac:dyDescent="0.25">
      <c r="A334" s="35" t="s">
        <v>363</v>
      </c>
      <c r="B334" s="16">
        <v>0.61699999999999999</v>
      </c>
      <c r="C334" s="8">
        <v>1E-3</v>
      </c>
      <c r="D334" s="8">
        <v>24.074000000000002</v>
      </c>
      <c r="E334" s="8">
        <v>4.5999999999999999E-2</v>
      </c>
      <c r="F334" s="8">
        <v>1.0069999999999999</v>
      </c>
      <c r="G334" s="8">
        <v>0.03</v>
      </c>
      <c r="H334" s="8">
        <v>0.111</v>
      </c>
      <c r="I334" s="8">
        <v>3.5000000000000003E-2</v>
      </c>
      <c r="J334" s="8">
        <v>0.12</v>
      </c>
      <c r="K334" s="39">
        <f t="shared" si="40"/>
        <v>0.23099999999999998</v>
      </c>
      <c r="L334" s="39">
        <f t="shared" si="41"/>
        <v>43.067599000000001</v>
      </c>
      <c r="M334" s="30">
        <f t="shared" si="42"/>
        <v>4106.9536353623489</v>
      </c>
      <c r="N334" s="30">
        <f>(RedShift*Age*(2*InitialTangentVelocity-UniverseAcceleration*Age))/(2+RedShift)*(1+RedShift)</f>
        <v>1.1653722543887638E+26</v>
      </c>
      <c r="O334" s="36">
        <f t="shared" si="43"/>
        <v>3776.7142683415545</v>
      </c>
      <c r="P334" s="36">
        <f t="shared" si="44"/>
        <v>42.885570645111152</v>
      </c>
      <c r="Q334" s="36">
        <f t="shared" si="45"/>
        <v>0.62094642123537835</v>
      </c>
      <c r="R334" s="19">
        <v>3480.8015048630582</v>
      </c>
      <c r="S334" s="36">
        <f t="shared" si="46"/>
        <v>42.708396290221252</v>
      </c>
      <c r="T334" s="36">
        <f t="shared" si="47"/>
        <v>2.4179941663836222</v>
      </c>
      <c r="U334" s="30"/>
    </row>
    <row r="335" spans="1:21" x14ac:dyDescent="0.25">
      <c r="A335" s="35" t="s">
        <v>364</v>
      </c>
      <c r="B335" s="16">
        <v>0.62</v>
      </c>
      <c r="C335" s="8">
        <v>1.9E-2</v>
      </c>
      <c r="D335" s="8">
        <v>23.597000000000001</v>
      </c>
      <c r="E335" s="8">
        <v>4.5999999999999999E-2</v>
      </c>
      <c r="F335" s="8">
        <v>0.99099999999999999</v>
      </c>
      <c r="G335" s="8">
        <v>8.3000000000000004E-2</v>
      </c>
      <c r="H335" s="8">
        <v>-1.9E-2</v>
      </c>
      <c r="I335" s="8">
        <v>4.5999999999999999E-2</v>
      </c>
      <c r="J335" s="8">
        <v>0.12</v>
      </c>
      <c r="K335" s="39">
        <f t="shared" si="40"/>
        <v>0.29499999999999998</v>
      </c>
      <c r="L335" s="39">
        <f t="shared" si="41"/>
        <v>42.995147000000003</v>
      </c>
      <c r="M335" s="30">
        <f t="shared" si="42"/>
        <v>3972.1843865939791</v>
      </c>
      <c r="N335" s="30">
        <f>(RedShift*Age*(2*InitialTangentVelocity-UniverseAcceleration*Age))/(2+RedShift)*(1+RedShift)</f>
        <v>1.1718678117688106E+26</v>
      </c>
      <c r="O335" s="36">
        <f t="shared" si="43"/>
        <v>3797.7649361823819</v>
      </c>
      <c r="P335" s="36">
        <f t="shared" si="44"/>
        <v>42.897640402218038</v>
      </c>
      <c r="Q335" s="36">
        <f t="shared" si="45"/>
        <v>0.109250636150692</v>
      </c>
      <c r="R335" s="19">
        <v>3501.3971348740615</v>
      </c>
      <c r="S335" s="36">
        <f t="shared" si="46"/>
        <v>42.721206860170319</v>
      </c>
      <c r="T335" s="36">
        <f t="shared" si="47"/>
        <v>0.86231772720375222</v>
      </c>
      <c r="U335" s="30"/>
    </row>
    <row r="336" spans="1:21" x14ac:dyDescent="0.25">
      <c r="A336" s="35" t="s">
        <v>365</v>
      </c>
      <c r="B336" s="16">
        <v>0.62</v>
      </c>
      <c r="C336" s="8">
        <v>0.01</v>
      </c>
      <c r="D336" s="8">
        <v>23.757000000000001</v>
      </c>
      <c r="E336" s="8">
        <v>0.05</v>
      </c>
      <c r="F336" s="8">
        <v>0.93600000000000005</v>
      </c>
      <c r="G336" s="8">
        <v>2.5000000000000001E-2</v>
      </c>
      <c r="H336" s="8">
        <v>1.9E-2</v>
      </c>
      <c r="I336" s="8">
        <v>0.05</v>
      </c>
      <c r="J336" s="8">
        <v>0.12</v>
      </c>
      <c r="K336" s="39">
        <f t="shared" si="40"/>
        <v>0.245</v>
      </c>
      <c r="L336" s="39">
        <f t="shared" si="41"/>
        <v>43.028121999999996</v>
      </c>
      <c r="M336" s="30">
        <f t="shared" si="42"/>
        <v>4032.9645077486703</v>
      </c>
      <c r="N336" s="30">
        <f>(RedShift*Age*(2*InitialTangentVelocity-UniverseAcceleration*Age))/(2+RedShift)*(1+RedShift)</f>
        <v>1.1718678117688106E+26</v>
      </c>
      <c r="O336" s="36">
        <f t="shared" si="43"/>
        <v>3797.7649361823819</v>
      </c>
      <c r="P336" s="36">
        <f t="shared" si="44"/>
        <v>42.897640402218038</v>
      </c>
      <c r="Q336" s="36">
        <f t="shared" si="45"/>
        <v>0.28363927296514518</v>
      </c>
      <c r="R336" s="19">
        <v>3501.3971348740615</v>
      </c>
      <c r="S336" s="36">
        <f t="shared" si="46"/>
        <v>42.721206860170319</v>
      </c>
      <c r="T336" s="36">
        <f t="shared" si="47"/>
        <v>1.5692945115646821</v>
      </c>
      <c r="U336" s="30"/>
    </row>
    <row r="337" spans="1:21" x14ac:dyDescent="0.25">
      <c r="A337" s="35" t="s">
        <v>366</v>
      </c>
      <c r="B337" s="16">
        <v>0.627</v>
      </c>
      <c r="C337" s="8">
        <v>0</v>
      </c>
      <c r="D337" s="8">
        <v>23.39</v>
      </c>
      <c r="E337" s="8">
        <v>4.2999999999999997E-2</v>
      </c>
      <c r="F337" s="8">
        <v>1.1299999999999999</v>
      </c>
      <c r="G337" s="8">
        <v>2.1999999999999999E-2</v>
      </c>
      <c r="H337" s="8">
        <v>-4.4999999999999998E-2</v>
      </c>
      <c r="I337" s="8">
        <v>0.04</v>
      </c>
      <c r="J337" s="8">
        <v>0.12</v>
      </c>
      <c r="K337" s="39">
        <f t="shared" si="40"/>
        <v>0.22500000000000001</v>
      </c>
      <c r="L337" s="39">
        <f t="shared" si="41"/>
        <v>42.889960000000002</v>
      </c>
      <c r="M337" s="30">
        <f t="shared" si="42"/>
        <v>3784.3561361126726</v>
      </c>
      <c r="N337" s="30">
        <f>(RedShift*Age*(2*InitialTangentVelocity-UniverseAcceleration*Age))/(2+RedShift)*(1+RedShift)</f>
        <v>1.187047871760141E+26</v>
      </c>
      <c r="O337" s="36">
        <f t="shared" si="43"/>
        <v>3846.9601602385856</v>
      </c>
      <c r="P337" s="36">
        <f t="shared" si="44"/>
        <v>42.925588443519871</v>
      </c>
      <c r="Q337" s="36">
        <f t="shared" si="45"/>
        <v>2.5074291114044103E-2</v>
      </c>
      <c r="R337" s="19">
        <v>3549.5586609370084</v>
      </c>
      <c r="S337" s="36">
        <f t="shared" si="46"/>
        <v>42.750871789169764</v>
      </c>
      <c r="T337" s="36">
        <f t="shared" si="47"/>
        <v>0.38213393366828013</v>
      </c>
      <c r="U337" s="30"/>
    </row>
    <row r="338" spans="1:21" x14ac:dyDescent="0.25">
      <c r="A338" s="35" t="s">
        <v>367</v>
      </c>
      <c r="B338" s="16">
        <v>0.629</v>
      </c>
      <c r="C338" s="8">
        <v>2E-3</v>
      </c>
      <c r="D338" s="8">
        <v>23.501000000000001</v>
      </c>
      <c r="E338" s="8">
        <v>4.4999999999999998E-2</v>
      </c>
      <c r="F338" s="8">
        <v>1.115</v>
      </c>
      <c r="G338" s="8">
        <v>2.4E-2</v>
      </c>
      <c r="H338" s="8">
        <v>0.01</v>
      </c>
      <c r="I338" s="8">
        <v>4.1000000000000002E-2</v>
      </c>
      <c r="J338" s="8">
        <v>0.12</v>
      </c>
      <c r="K338" s="39">
        <f t="shared" si="40"/>
        <v>0.23</v>
      </c>
      <c r="L338" s="39">
        <f t="shared" si="41"/>
        <v>42.826605000000001</v>
      </c>
      <c r="M338" s="30">
        <f t="shared" si="42"/>
        <v>3675.5387014709868</v>
      </c>
      <c r="N338" s="30">
        <f>(RedShift*Age*(2*InitialTangentVelocity-UniverseAcceleration*Age))/(2+RedShift)*(1+RedShift)</f>
        <v>1.1913911134404391E+26</v>
      </c>
      <c r="O338" s="36">
        <f t="shared" si="43"/>
        <v>3861.0356479319503</v>
      </c>
      <c r="P338" s="36">
        <f t="shared" si="44"/>
        <v>42.93351905684942</v>
      </c>
      <c r="Q338" s="36">
        <f t="shared" si="45"/>
        <v>0.21607968907373959</v>
      </c>
      <c r="R338" s="19">
        <v>3563.3459807777394</v>
      </c>
      <c r="S338" s="36">
        <f t="shared" si="46"/>
        <v>42.759289959703153</v>
      </c>
      <c r="T338" s="36">
        <f t="shared" si="47"/>
        <v>8.5658121931307993E-2</v>
      </c>
      <c r="U338" s="30"/>
    </row>
    <row r="339" spans="1:21" x14ac:dyDescent="0.25">
      <c r="A339" s="35" t="s">
        <v>368</v>
      </c>
      <c r="B339" s="16">
        <v>0.63</v>
      </c>
      <c r="C339" s="8">
        <v>1E-3</v>
      </c>
      <c r="D339" s="8">
        <v>23.611999999999998</v>
      </c>
      <c r="E339" s="8">
        <v>5.8000000000000003E-2</v>
      </c>
      <c r="F339" s="8">
        <v>0.90100000000000002</v>
      </c>
      <c r="G339" s="8">
        <v>3.1E-2</v>
      </c>
      <c r="H339" s="8">
        <v>4.4999999999999998E-2</v>
      </c>
      <c r="I339" s="8">
        <v>5.3999999999999999E-2</v>
      </c>
      <c r="J339" s="8">
        <v>0.12</v>
      </c>
      <c r="K339" s="39">
        <f t="shared" si="40"/>
        <v>0.26300000000000001</v>
      </c>
      <c r="L339" s="39">
        <f t="shared" si="41"/>
        <v>42.796596999999998</v>
      </c>
      <c r="M339" s="30">
        <f t="shared" si="42"/>
        <v>3625.0950645360404</v>
      </c>
      <c r="N339" s="30">
        <f>(RedShift*Age*(2*InitialTangentVelocity-UniverseAcceleration*Age))/(2+RedShift)*(1+RedShift)</f>
        <v>1.193563744040339E+26</v>
      </c>
      <c r="O339" s="36">
        <f t="shared" si="43"/>
        <v>3868.0766641871219</v>
      </c>
      <c r="P339" s="36">
        <f t="shared" si="44"/>
        <v>42.937475365451249</v>
      </c>
      <c r="Q339" s="36">
        <f t="shared" si="45"/>
        <v>0.28693076164489972</v>
      </c>
      <c r="R339" s="19">
        <v>3570.2441032843344</v>
      </c>
      <c r="S339" s="36">
        <f t="shared" si="46"/>
        <v>42.763489552669071</v>
      </c>
      <c r="T339" s="36">
        <f t="shared" si="47"/>
        <v>1.5846738694648144E-2</v>
      </c>
      <c r="U339" s="30"/>
    </row>
    <row r="340" spans="1:21" x14ac:dyDescent="0.25">
      <c r="A340" s="35" t="s">
        <v>369</v>
      </c>
      <c r="B340" s="16">
        <v>0.63200000000000001</v>
      </c>
      <c r="C340" s="8">
        <v>1E-3</v>
      </c>
      <c r="D340" s="8">
        <v>23.715</v>
      </c>
      <c r="E340" s="8">
        <v>4.2999999999999997E-2</v>
      </c>
      <c r="F340" s="8">
        <v>0.96699999999999997</v>
      </c>
      <c r="G340" s="8">
        <v>2.5000000000000001E-2</v>
      </c>
      <c r="H340" s="8">
        <v>-1E-3</v>
      </c>
      <c r="I340" s="8">
        <v>3.4000000000000002E-2</v>
      </c>
      <c r="J340" s="8">
        <v>0.12</v>
      </c>
      <c r="K340" s="39">
        <f t="shared" si="40"/>
        <v>0.222</v>
      </c>
      <c r="L340" s="39">
        <f t="shared" si="41"/>
        <v>43.053279000000003</v>
      </c>
      <c r="M340" s="30">
        <f t="shared" si="42"/>
        <v>4079.9590109521814</v>
      </c>
      <c r="N340" s="30">
        <f>(RedShift*Age*(2*InitialTangentVelocity-UniverseAcceleration*Age))/(2+RedShift)*(1+RedShift)</f>
        <v>1.1979110209231678E+26</v>
      </c>
      <c r="O340" s="36">
        <f t="shared" si="43"/>
        <v>3882.1652290812826</v>
      </c>
      <c r="P340" s="36">
        <f t="shared" si="44"/>
        <v>42.945370077403886</v>
      </c>
      <c r="Q340" s="36">
        <f t="shared" si="45"/>
        <v>0.23627009933963883</v>
      </c>
      <c r="R340" s="19">
        <v>3584.0492554983816</v>
      </c>
      <c r="S340" s="36">
        <f t="shared" si="46"/>
        <v>42.771869847645974</v>
      </c>
      <c r="T340" s="36">
        <f t="shared" si="47"/>
        <v>1.6068320556085867</v>
      </c>
      <c r="U340" s="30"/>
    </row>
    <row r="341" spans="1:21" x14ac:dyDescent="0.25">
      <c r="A341" s="35" t="s">
        <v>370</v>
      </c>
      <c r="B341" s="16">
        <v>0.63400000000000001</v>
      </c>
      <c r="C341" s="8">
        <v>1E-3</v>
      </c>
      <c r="D341" s="8">
        <v>23.733000000000001</v>
      </c>
      <c r="E341" s="8">
        <v>4.7E-2</v>
      </c>
      <c r="F341" s="8">
        <v>1.0189999999999999</v>
      </c>
      <c r="G341" s="8">
        <v>4.1000000000000002E-2</v>
      </c>
      <c r="H341" s="8">
        <v>-8.0000000000000002E-3</v>
      </c>
      <c r="I341" s="8">
        <v>5.2999999999999999E-2</v>
      </c>
      <c r="J341" s="8">
        <v>0.12</v>
      </c>
      <c r="K341" s="39">
        <f t="shared" si="40"/>
        <v>0.26100000000000001</v>
      </c>
      <c r="L341" s="39">
        <f t="shared" si="41"/>
        <v>43.100833000000002</v>
      </c>
      <c r="M341" s="30">
        <f t="shared" si="42"/>
        <v>4170.2932969311623</v>
      </c>
      <c r="N341" s="30">
        <f>(RedShift*Age*(2*InitialTangentVelocity-UniverseAcceleration*Age))/(2+RedShift)*(1+RedShift)</f>
        <v>1.2022609802816648E+26</v>
      </c>
      <c r="O341" s="36">
        <f t="shared" si="43"/>
        <v>3896.2624872870383</v>
      </c>
      <c r="P341" s="36">
        <f t="shared" si="44"/>
        <v>42.953241035874164</v>
      </c>
      <c r="Q341" s="36">
        <f t="shared" si="45"/>
        <v>0.31977492806216018</v>
      </c>
      <c r="R341" s="19">
        <v>3597.8662600795774</v>
      </c>
      <c r="S341" s="36">
        <f t="shared" si="46"/>
        <v>42.780225078553833</v>
      </c>
      <c r="T341" s="36">
        <f t="shared" si="47"/>
        <v>1.5089244035471046</v>
      </c>
      <c r="U341" s="30"/>
    </row>
    <row r="342" spans="1:21" x14ac:dyDescent="0.25">
      <c r="A342" s="35" t="s">
        <v>371</v>
      </c>
      <c r="B342" s="16">
        <v>0.63900000000000001</v>
      </c>
      <c r="C342" s="8">
        <v>1E-3</v>
      </c>
      <c r="D342" s="8">
        <v>24.024000000000001</v>
      </c>
      <c r="E342" s="8">
        <v>6.2E-2</v>
      </c>
      <c r="F342" s="8">
        <v>0.84299999999999997</v>
      </c>
      <c r="G342" s="8">
        <v>3.7999999999999999E-2</v>
      </c>
      <c r="H342" s="8">
        <v>9.4E-2</v>
      </c>
      <c r="I342" s="8">
        <v>7.0999999999999994E-2</v>
      </c>
      <c r="J342" s="8">
        <v>0.12</v>
      </c>
      <c r="K342" s="39">
        <f t="shared" si="40"/>
        <v>0.29099999999999998</v>
      </c>
      <c r="L342" s="39">
        <f t="shared" si="41"/>
        <v>43.046700999999999</v>
      </c>
      <c r="M342" s="30">
        <f t="shared" si="42"/>
        <v>4067.6183699216904</v>
      </c>
      <c r="N342" s="30">
        <f>(RedShift*Age*(2*InitialTangentVelocity-UniverseAcceleration*Age))/(2+RedShift)*(1+RedShift)</f>
        <v>1.213147574485281E+26</v>
      </c>
      <c r="O342" s="36">
        <f t="shared" si="43"/>
        <v>3931.5435363317547</v>
      </c>
      <c r="P342" s="36">
        <f t="shared" si="44"/>
        <v>42.972815446156588</v>
      </c>
      <c r="Q342" s="36">
        <f t="shared" si="45"/>
        <v>6.4466350973034922E-2</v>
      </c>
      <c r="R342" s="19">
        <v>3632.4604381110885</v>
      </c>
      <c r="S342" s="36">
        <f t="shared" si="46"/>
        <v>42.801004465017385</v>
      </c>
      <c r="T342" s="36">
        <f t="shared" si="47"/>
        <v>0.71287286761448976</v>
      </c>
      <c r="U342" s="30"/>
    </row>
    <row r="343" spans="1:21" x14ac:dyDescent="0.25">
      <c r="A343" s="35" t="s">
        <v>372</v>
      </c>
      <c r="B343" s="16">
        <v>0.64</v>
      </c>
      <c r="C343" s="8">
        <v>1E-3</v>
      </c>
      <c r="D343" s="8">
        <v>23.672000000000001</v>
      </c>
      <c r="E343" s="8">
        <v>5.8999999999999997E-2</v>
      </c>
      <c r="F343" s="8">
        <v>0.99399999999999999</v>
      </c>
      <c r="G343" s="8">
        <v>2.5999999999999999E-2</v>
      </c>
      <c r="H343" s="8">
        <v>-6.3E-2</v>
      </c>
      <c r="I343" s="8">
        <v>4.2999999999999997E-2</v>
      </c>
      <c r="J343" s="8">
        <v>0.12</v>
      </c>
      <c r="K343" s="39">
        <f t="shared" si="40"/>
        <v>0.248</v>
      </c>
      <c r="L343" s="39">
        <f t="shared" si="41"/>
        <v>43.208308000000002</v>
      </c>
      <c r="M343" s="30">
        <f t="shared" si="42"/>
        <v>4381.8913002881336</v>
      </c>
      <c r="N343" s="30">
        <f>(RedShift*Age*(2*InitialTangentVelocity-UniverseAcceleration*Age))/(2+RedShift)*(1+RedShift)</f>
        <v>1.2153268922458098E+26</v>
      </c>
      <c r="O343" s="36">
        <f t="shared" si="43"/>
        <v>3938.6062241986083</v>
      </c>
      <c r="P343" s="36">
        <f t="shared" si="44"/>
        <v>42.976712814421113</v>
      </c>
      <c r="Q343" s="36">
        <f t="shared" si="45"/>
        <v>0.87207872631569172</v>
      </c>
      <c r="R343" s="19">
        <v>3639.388102374362</v>
      </c>
      <c r="S343" s="36">
        <f t="shared" si="46"/>
        <v>42.80514185491964</v>
      </c>
      <c r="T343" s="36">
        <f t="shared" si="47"/>
        <v>2.642802753299947</v>
      </c>
      <c r="U343" s="30"/>
    </row>
    <row r="344" spans="1:21" x14ac:dyDescent="0.25">
      <c r="A344" s="35" t="s">
        <v>373</v>
      </c>
      <c r="B344" s="16">
        <v>0.64</v>
      </c>
      <c r="C344" s="8">
        <v>0.02</v>
      </c>
      <c r="D344" s="8">
        <v>23.895</v>
      </c>
      <c r="E344" s="8">
        <v>5.6000000000000001E-2</v>
      </c>
      <c r="F344" s="8">
        <v>1.0549999999999999</v>
      </c>
      <c r="G344" s="8">
        <v>0.06</v>
      </c>
      <c r="H344" s="8">
        <v>6.8000000000000005E-2</v>
      </c>
      <c r="I344" s="8">
        <v>5.0999999999999997E-2</v>
      </c>
      <c r="J344" s="8">
        <v>0.12</v>
      </c>
      <c r="K344" s="39">
        <f t="shared" si="40"/>
        <v>0.28699999999999998</v>
      </c>
      <c r="L344" s="39">
        <f t="shared" si="41"/>
        <v>43.030245000000001</v>
      </c>
      <c r="M344" s="30">
        <f t="shared" si="42"/>
        <v>4036.9093750224647</v>
      </c>
      <c r="N344" s="30">
        <f>(RedShift*Age*(2*InitialTangentVelocity-UniverseAcceleration*Age))/(2+RedShift)*(1+RedShift)</f>
        <v>1.2153268922458098E+26</v>
      </c>
      <c r="O344" s="36">
        <f t="shared" si="43"/>
        <v>3938.6062241986083</v>
      </c>
      <c r="P344" s="36">
        <f t="shared" si="44"/>
        <v>42.976712814421113</v>
      </c>
      <c r="Q344" s="36">
        <f t="shared" si="45"/>
        <v>3.4790939465727387E-2</v>
      </c>
      <c r="R344" s="19">
        <v>3639.388102374362</v>
      </c>
      <c r="S344" s="36">
        <f t="shared" si="46"/>
        <v>42.80514185491964</v>
      </c>
      <c r="T344" s="36">
        <f t="shared" si="47"/>
        <v>0.61517592692724221</v>
      </c>
      <c r="U344" s="30"/>
    </row>
    <row r="345" spans="1:21" x14ac:dyDescent="0.25">
      <c r="A345" s="35" t="s">
        <v>374</v>
      </c>
      <c r="B345" s="16">
        <v>0.64300000000000002</v>
      </c>
      <c r="C345" s="8">
        <v>1E-3</v>
      </c>
      <c r="D345" s="8">
        <v>23.62</v>
      </c>
      <c r="E345" s="8">
        <v>5.8000000000000003E-2</v>
      </c>
      <c r="F345" s="8">
        <v>1.071</v>
      </c>
      <c r="G345" s="8">
        <v>5.0999999999999997E-2</v>
      </c>
      <c r="H345" s="8">
        <v>-3.4000000000000002E-2</v>
      </c>
      <c r="I345" s="8">
        <v>5.0999999999999997E-2</v>
      </c>
      <c r="J345" s="8">
        <v>0.12</v>
      </c>
      <c r="K345" s="39">
        <f t="shared" si="40"/>
        <v>0.28000000000000003</v>
      </c>
      <c r="L345" s="39">
        <f t="shared" si="41"/>
        <v>43.076857000000004</v>
      </c>
      <c r="M345" s="30">
        <f t="shared" si="42"/>
        <v>4124.5008742960472</v>
      </c>
      <c r="N345" s="30">
        <f>(RedShift*Age*(2*InitialTangentVelocity-UniverseAcceleration*Age))/(2+RedShift)*(1+RedShift)</f>
        <v>1.2218688297534786E+26</v>
      </c>
      <c r="O345" s="36">
        <f t="shared" si="43"/>
        <v>3959.8071997965476</v>
      </c>
      <c r="P345" s="36">
        <f t="shared" si="44"/>
        <v>42.988370204750211</v>
      </c>
      <c r="Q345" s="36">
        <f t="shared" si="45"/>
        <v>9.987133843850439E-2</v>
      </c>
      <c r="R345" s="19">
        <v>3660.1886886777261</v>
      </c>
      <c r="S345" s="36">
        <f t="shared" si="46"/>
        <v>42.817517372790718</v>
      </c>
      <c r="T345" s="36">
        <f t="shared" si="47"/>
        <v>0.85787043674810526</v>
      </c>
      <c r="U345" s="30"/>
    </row>
    <row r="346" spans="1:21" x14ac:dyDescent="0.25">
      <c r="A346" s="35" t="s">
        <v>375</v>
      </c>
      <c r="B346" s="16">
        <v>0.64300000000000002</v>
      </c>
      <c r="C346" s="8">
        <v>1E-3</v>
      </c>
      <c r="D346" s="8">
        <v>23.8</v>
      </c>
      <c r="E346" s="8">
        <v>0.06</v>
      </c>
      <c r="F346" s="8">
        <v>0.97799999999999998</v>
      </c>
      <c r="G346" s="8">
        <v>2.5999999999999999E-2</v>
      </c>
      <c r="H346" s="8">
        <v>-1.0999999999999999E-2</v>
      </c>
      <c r="I346" s="8">
        <v>5.0999999999999997E-2</v>
      </c>
      <c r="J346" s="8">
        <v>0.12</v>
      </c>
      <c r="K346" s="39">
        <f t="shared" si="40"/>
        <v>0.25700000000000001</v>
      </c>
      <c r="L346" s="39">
        <f t="shared" si="41"/>
        <v>43.171196000000002</v>
      </c>
      <c r="M346" s="30">
        <f t="shared" si="42"/>
        <v>4307.6380054327328</v>
      </c>
      <c r="N346" s="30">
        <f>(RedShift*Age*(2*InitialTangentVelocity-UniverseAcceleration*Age))/(2+RedShift)*(1+RedShift)</f>
        <v>1.2218688297534786E+26</v>
      </c>
      <c r="O346" s="36">
        <f t="shared" si="43"/>
        <v>3959.8071997965476</v>
      </c>
      <c r="P346" s="36">
        <f t="shared" si="44"/>
        <v>42.988370204750211</v>
      </c>
      <c r="Q346" s="36">
        <f t="shared" si="45"/>
        <v>0.50606778919769257</v>
      </c>
      <c r="R346" s="19">
        <v>3660.1886886777261</v>
      </c>
      <c r="S346" s="36">
        <f t="shared" si="46"/>
        <v>42.817517372790718</v>
      </c>
      <c r="T346" s="36">
        <f t="shared" si="47"/>
        <v>1.8938753250563021</v>
      </c>
      <c r="U346" s="30"/>
    </row>
    <row r="347" spans="1:21" x14ac:dyDescent="0.25">
      <c r="A347" s="35" t="s">
        <v>376</v>
      </c>
      <c r="B347" s="16">
        <v>0.64700000000000002</v>
      </c>
      <c r="C347" s="8">
        <v>0</v>
      </c>
      <c r="D347" s="8">
        <v>23.896000000000001</v>
      </c>
      <c r="E347" s="8">
        <v>4.2999999999999997E-2</v>
      </c>
      <c r="F347" s="8">
        <v>1.04</v>
      </c>
      <c r="G347" s="8">
        <v>2.1999999999999999E-2</v>
      </c>
      <c r="H347" s="8">
        <v>3.5000000000000003E-2</v>
      </c>
      <c r="I347" s="8">
        <v>3.9E-2</v>
      </c>
      <c r="J347" s="8">
        <v>0.12</v>
      </c>
      <c r="K347" s="39">
        <f t="shared" si="40"/>
        <v>0.224</v>
      </c>
      <c r="L347" s="39">
        <f t="shared" si="41"/>
        <v>43.132330000000003</v>
      </c>
      <c r="M347" s="30">
        <f t="shared" si="42"/>
        <v>4231.2238306000663</v>
      </c>
      <c r="N347" s="30">
        <f>(RedShift*Age*(2*InitialTangentVelocity-UniverseAcceleration*Age))/(2+RedShift)*(1+RedShift)</f>
        <v>1.2306006815277664E+26</v>
      </c>
      <c r="O347" s="36">
        <f t="shared" si="43"/>
        <v>3988.1052041988341</v>
      </c>
      <c r="P347" s="36">
        <f t="shared" si="44"/>
        <v>43.003833031297873</v>
      </c>
      <c r="Q347" s="36">
        <f t="shared" si="45"/>
        <v>0.32907108907916605</v>
      </c>
      <c r="R347" s="19">
        <v>3687.9637235861478</v>
      </c>
      <c r="S347" s="36">
        <f t="shared" si="46"/>
        <v>42.833933202466739</v>
      </c>
      <c r="T347" s="36">
        <f t="shared" si="47"/>
        <v>1.7745665014769636</v>
      </c>
      <c r="U347" s="30"/>
    </row>
    <row r="348" spans="1:21" x14ac:dyDescent="0.25">
      <c r="A348" s="35" t="s">
        <v>377</v>
      </c>
      <c r="B348" s="16">
        <v>0.64800000000000002</v>
      </c>
      <c r="C348" s="8">
        <v>0</v>
      </c>
      <c r="D348" s="8">
        <v>23.965</v>
      </c>
      <c r="E348" s="8">
        <v>4.4999999999999998E-2</v>
      </c>
      <c r="F348" s="8">
        <v>0.97899999999999998</v>
      </c>
      <c r="G348" s="8">
        <v>2.5999999999999999E-2</v>
      </c>
      <c r="H348" s="8">
        <v>8.5000000000000006E-2</v>
      </c>
      <c r="I348" s="8">
        <v>3.9E-2</v>
      </c>
      <c r="J348" s="8">
        <v>0.12</v>
      </c>
      <c r="K348" s="39">
        <f t="shared" si="40"/>
        <v>0.22999999999999998</v>
      </c>
      <c r="L348" s="39">
        <f t="shared" si="41"/>
        <v>43.035862999999999</v>
      </c>
      <c r="M348" s="30">
        <f t="shared" si="42"/>
        <v>4047.3671270657592</v>
      </c>
      <c r="N348" s="30">
        <f>(RedShift*Age*(2*InitialTangentVelocity-UniverseAcceleration*Age))/(2+RedShift)*(1+RedShift)</f>
        <v>1.2327852945480217E+26</v>
      </c>
      <c r="O348" s="36">
        <f t="shared" si="43"/>
        <v>3995.18505283375</v>
      </c>
      <c r="P348" s="36">
        <f t="shared" si="44"/>
        <v>43.007684500932484</v>
      </c>
      <c r="Q348" s="36">
        <f t="shared" si="45"/>
        <v>1.5009977499015854E-2</v>
      </c>
      <c r="R348" s="19">
        <v>3694.914765988146</v>
      </c>
      <c r="S348" s="36">
        <f t="shared" si="46"/>
        <v>42.838022122872133</v>
      </c>
      <c r="T348" s="36">
        <f t="shared" si="47"/>
        <v>0.73990572141254463</v>
      </c>
      <c r="U348" s="30"/>
    </row>
    <row r="349" spans="1:21" x14ac:dyDescent="0.25">
      <c r="A349" s="35" t="s">
        <v>378</v>
      </c>
      <c r="B349" s="16">
        <v>0.66300000000000003</v>
      </c>
      <c r="C349" s="8">
        <v>1E-3</v>
      </c>
      <c r="D349" s="8">
        <v>24.058</v>
      </c>
      <c r="E349" s="8">
        <v>4.5999999999999999E-2</v>
      </c>
      <c r="F349" s="8">
        <v>1.028</v>
      </c>
      <c r="G349" s="8">
        <v>4.1000000000000002E-2</v>
      </c>
      <c r="H349" s="8">
        <v>0.1</v>
      </c>
      <c r="I349" s="8">
        <v>4.3999999999999997E-2</v>
      </c>
      <c r="J349" s="8">
        <v>0.12</v>
      </c>
      <c r="K349" s="39">
        <f t="shared" si="40"/>
        <v>0.251</v>
      </c>
      <c r="L349" s="39">
        <f t="shared" si="41"/>
        <v>43.089116000000004</v>
      </c>
      <c r="M349" s="30">
        <f t="shared" si="42"/>
        <v>4147.85150450116</v>
      </c>
      <c r="N349" s="30">
        <f>(RedShift*Age*(2*InitialTangentVelocity-UniverseAcceleration*Age))/(2+RedShift)*(1+RedShift)</f>
        <v>1.2656330986871473E+26</v>
      </c>
      <c r="O349" s="36">
        <f t="shared" si="43"/>
        <v>4101.6375362430035</v>
      </c>
      <c r="P349" s="36">
        <f t="shared" si="44"/>
        <v>43.064786394539098</v>
      </c>
      <c r="Q349" s="36">
        <f t="shared" si="45"/>
        <v>9.3955604178243678E-3</v>
      </c>
      <c r="R349" s="19">
        <v>3799.5272295189898</v>
      </c>
      <c r="S349" s="36">
        <f t="shared" si="46"/>
        <v>42.898647806262289</v>
      </c>
      <c r="T349" s="36">
        <f t="shared" si="47"/>
        <v>0.57583423795983668</v>
      </c>
      <c r="U349" s="30"/>
    </row>
    <row r="350" spans="1:21" x14ac:dyDescent="0.25">
      <c r="A350" s="35" t="s">
        <v>379</v>
      </c>
      <c r="B350" s="16">
        <v>0.66400000000000003</v>
      </c>
      <c r="C350" s="8">
        <v>1E-3</v>
      </c>
      <c r="D350" s="8">
        <v>23.501000000000001</v>
      </c>
      <c r="E350" s="8">
        <v>4.9000000000000002E-2</v>
      </c>
      <c r="F350" s="8">
        <v>1.0449999999999999</v>
      </c>
      <c r="G350" s="8">
        <v>2.5999999999999999E-2</v>
      </c>
      <c r="H350" s="8">
        <v>-0.14099999999999999</v>
      </c>
      <c r="I350" s="8">
        <v>3.9E-2</v>
      </c>
      <c r="J350" s="8">
        <v>0.12</v>
      </c>
      <c r="K350" s="39">
        <f t="shared" si="40"/>
        <v>0.23399999999999999</v>
      </c>
      <c r="L350" s="39">
        <f t="shared" si="41"/>
        <v>43.288944999999998</v>
      </c>
      <c r="M350" s="30">
        <f t="shared" si="42"/>
        <v>4547.6705995943357</v>
      </c>
      <c r="N350" s="30">
        <f>(RedShift*Age*(2*InitialTangentVelocity-UniverseAcceleration*Age))/(2+RedShift)*(1+RedShift)</f>
        <v>1.2678281594432444E+26</v>
      </c>
      <c r="O350" s="36">
        <f t="shared" si="43"/>
        <v>4108.7512436838733</v>
      </c>
      <c r="P350" s="36">
        <f t="shared" si="44"/>
        <v>43.068549242734633</v>
      </c>
      <c r="Q350" s="36">
        <f t="shared" si="45"/>
        <v>0.88710442363528541</v>
      </c>
      <c r="R350" s="19">
        <v>3806.5243587738846</v>
      </c>
      <c r="S350" s="36">
        <f t="shared" si="46"/>
        <v>42.902643066413411</v>
      </c>
      <c r="T350" s="36">
        <f t="shared" si="47"/>
        <v>2.7253485260562496</v>
      </c>
      <c r="U350" s="30"/>
    </row>
    <row r="351" spans="1:21" x14ac:dyDescent="0.25">
      <c r="A351" s="35" t="s">
        <v>380</v>
      </c>
      <c r="B351" s="16">
        <v>0.67</v>
      </c>
      <c r="C351" s="8">
        <v>0.02</v>
      </c>
      <c r="D351" s="8">
        <v>24.106000000000002</v>
      </c>
      <c r="E351" s="8">
        <v>6.0999999999999999E-2</v>
      </c>
      <c r="F351" s="8">
        <v>1.0840000000000001</v>
      </c>
      <c r="G351" s="8">
        <v>4.7E-2</v>
      </c>
      <c r="H351" s="8">
        <v>5.2999999999999999E-2</v>
      </c>
      <c r="I351" s="8">
        <v>4.3999999999999997E-2</v>
      </c>
      <c r="J351" s="8">
        <v>0.12</v>
      </c>
      <c r="K351" s="39">
        <f t="shared" si="40"/>
        <v>0.27200000000000002</v>
      </c>
      <c r="L351" s="39">
        <f t="shared" si="41"/>
        <v>43.292457999999996</v>
      </c>
      <c r="M351" s="30">
        <f t="shared" si="42"/>
        <v>4555.0337586415835</v>
      </c>
      <c r="N351" s="30">
        <f>(RedShift*Age*(2*InitialTangentVelocity-UniverseAcceleration*Age))/(2+RedShift)*(1+RedShift)</f>
        <v>1.281012080113747E+26</v>
      </c>
      <c r="O351" s="36">
        <f t="shared" si="43"/>
        <v>4151.4774207671662</v>
      </c>
      <c r="P351" s="36">
        <f t="shared" si="44"/>
        <v>43.091013401031518</v>
      </c>
      <c r="Q351" s="36">
        <f t="shared" si="45"/>
        <v>0.54849597823274265</v>
      </c>
      <c r="R351" s="19">
        <v>3848.5668892974372</v>
      </c>
      <c r="S351" s="36">
        <f t="shared" si="46"/>
        <v>42.926495195675784</v>
      </c>
      <c r="T351" s="36">
        <f t="shared" si="47"/>
        <v>1.8102397024875871</v>
      </c>
      <c r="U351" s="30"/>
    </row>
    <row r="352" spans="1:21" x14ac:dyDescent="0.25">
      <c r="A352" s="35" t="s">
        <v>381</v>
      </c>
      <c r="B352" s="16">
        <v>0.67900000000000005</v>
      </c>
      <c r="C352" s="8">
        <v>1E-3</v>
      </c>
      <c r="D352" s="8">
        <v>24.088000000000001</v>
      </c>
      <c r="E352" s="8">
        <v>5.3999999999999999E-2</v>
      </c>
      <c r="F352" s="8">
        <v>1.0840000000000001</v>
      </c>
      <c r="G352" s="8">
        <v>0.04</v>
      </c>
      <c r="H352" s="8">
        <v>-1.9E-2</v>
      </c>
      <c r="I352" s="8">
        <v>5.1999999999999998E-2</v>
      </c>
      <c r="J352" s="8">
        <v>0.12</v>
      </c>
      <c r="K352" s="39">
        <f t="shared" si="40"/>
        <v>0.26600000000000001</v>
      </c>
      <c r="L352" s="39">
        <f t="shared" si="41"/>
        <v>43.499818000000005</v>
      </c>
      <c r="M352" s="30">
        <f t="shared" si="42"/>
        <v>5011.4522883198833</v>
      </c>
      <c r="N352" s="30">
        <f>(RedShift*Age*(2*InitialTangentVelocity-UniverseAcceleration*Age))/(2+RedShift)*(1+RedShift)</f>
        <v>1.3008312741709618E+26</v>
      </c>
      <c r="O352" s="36">
        <f t="shared" si="43"/>
        <v>4215.7070544323105</v>
      </c>
      <c r="P352" s="36">
        <f t="shared" si="44"/>
        <v>43.12435212266405</v>
      </c>
      <c r="Q352" s="36">
        <f t="shared" si="45"/>
        <v>1.9924052383353847</v>
      </c>
      <c r="R352" s="19">
        <v>3911.8215341446171</v>
      </c>
      <c r="S352" s="36">
        <f t="shared" si="46"/>
        <v>42.961895165516232</v>
      </c>
      <c r="T352" s="36">
        <f t="shared" si="47"/>
        <v>4.0895609681024414</v>
      </c>
      <c r="U352" s="30"/>
    </row>
    <row r="353" spans="1:21" x14ac:dyDescent="0.25">
      <c r="A353" s="35" t="s">
        <v>382</v>
      </c>
      <c r="B353" s="16">
        <v>0.68</v>
      </c>
      <c r="C353" s="8">
        <v>0.02</v>
      </c>
      <c r="D353" s="8">
        <v>23.521000000000001</v>
      </c>
      <c r="E353" s="8">
        <v>5.0999999999999997E-2</v>
      </c>
      <c r="F353" s="8">
        <v>1.0669999999999999</v>
      </c>
      <c r="G353" s="8">
        <v>2.9000000000000001E-2</v>
      </c>
      <c r="H353" s="8">
        <v>-0.113</v>
      </c>
      <c r="I353" s="8">
        <v>3.9E-2</v>
      </c>
      <c r="J353" s="8">
        <v>0.12</v>
      </c>
      <c r="K353" s="39">
        <f t="shared" si="40"/>
        <v>0.23899999999999999</v>
      </c>
      <c r="L353" s="39">
        <f t="shared" si="41"/>
        <v>43.224539</v>
      </c>
      <c r="M353" s="30">
        <f t="shared" si="42"/>
        <v>4414.7671262810118</v>
      </c>
      <c r="N353" s="30">
        <f>(RedShift*Age*(2*InitialTangentVelocity-UniverseAcceleration*Age))/(2+RedShift)*(1+RedShift)</f>
        <v>1.3030365960636956E+26</v>
      </c>
      <c r="O353" s="36">
        <f t="shared" si="43"/>
        <v>4222.8540159522945</v>
      </c>
      <c r="P353" s="36">
        <f t="shared" si="44"/>
        <v>43.128030340628897</v>
      </c>
      <c r="Q353" s="36">
        <f t="shared" si="45"/>
        <v>0.16305599225517217</v>
      </c>
      <c r="R353" s="19">
        <v>3918.8638751424987</v>
      </c>
      <c r="S353" s="36">
        <f t="shared" si="46"/>
        <v>42.965800890877105</v>
      </c>
      <c r="T353" s="36">
        <f t="shared" si="47"/>
        <v>1.1719929467707331</v>
      </c>
      <c r="U353" s="30"/>
    </row>
    <row r="354" spans="1:21" x14ac:dyDescent="0.25">
      <c r="A354" s="35" t="s">
        <v>383</v>
      </c>
      <c r="B354" s="16">
        <v>0.68300000000000005</v>
      </c>
      <c r="C354" s="8">
        <v>1E-3</v>
      </c>
      <c r="D354" s="8">
        <v>24.067</v>
      </c>
      <c r="E354" s="8">
        <v>7.2999999999999995E-2</v>
      </c>
      <c r="F354" s="8">
        <v>1.0820000000000001</v>
      </c>
      <c r="G354" s="8">
        <v>5.7000000000000002E-2</v>
      </c>
      <c r="H354" s="8">
        <v>6.0000000000000001E-3</v>
      </c>
      <c r="I354" s="8">
        <v>6.2E-2</v>
      </c>
      <c r="J354" s="8">
        <v>0.12</v>
      </c>
      <c r="K354" s="39">
        <f t="shared" si="40"/>
        <v>0.312</v>
      </c>
      <c r="L354" s="39">
        <f t="shared" si="41"/>
        <v>43.400273999999996</v>
      </c>
      <c r="M354" s="30">
        <f t="shared" si="42"/>
        <v>4786.9049047418457</v>
      </c>
      <c r="N354" s="30">
        <f>(RedShift*Age*(2*InitialTangentVelocity-UniverseAcceleration*Age))/(2+RedShift)*(1+RedShift)</f>
        <v>1.3096563702621901E+26</v>
      </c>
      <c r="O354" s="36">
        <f t="shared" si="43"/>
        <v>4244.307243085942</v>
      </c>
      <c r="P354" s="36">
        <f t="shared" si="44"/>
        <v>43.139034073539428</v>
      </c>
      <c r="Q354" s="36">
        <f t="shared" si="45"/>
        <v>0.70108377688530599</v>
      </c>
      <c r="R354" s="19">
        <v>3940.007667710468</v>
      </c>
      <c r="S354" s="36">
        <f t="shared" si="46"/>
        <v>42.977485335068359</v>
      </c>
      <c r="T354" s="36">
        <f t="shared" si="47"/>
        <v>1.8362739890971853</v>
      </c>
      <c r="U354" s="30"/>
    </row>
    <row r="355" spans="1:21" x14ac:dyDescent="0.25">
      <c r="A355" s="35" t="s">
        <v>384</v>
      </c>
      <c r="B355" s="16">
        <v>0.68700000000000006</v>
      </c>
      <c r="C355" s="8">
        <v>1E-3</v>
      </c>
      <c r="D355" s="8">
        <v>24.120999999999999</v>
      </c>
      <c r="E355" s="8">
        <v>5.6000000000000001E-2</v>
      </c>
      <c r="F355" s="8">
        <v>0.9</v>
      </c>
      <c r="G355" s="8">
        <v>4.2999999999999997E-2</v>
      </c>
      <c r="H355" s="8">
        <v>-0.01</v>
      </c>
      <c r="I355" s="8">
        <v>5.7000000000000002E-2</v>
      </c>
      <c r="J355" s="8">
        <v>0.12</v>
      </c>
      <c r="K355" s="39">
        <f t="shared" si="40"/>
        <v>0.27600000000000002</v>
      </c>
      <c r="L355" s="39">
        <f t="shared" si="41"/>
        <v>43.477599999999995</v>
      </c>
      <c r="M355" s="30">
        <f t="shared" si="42"/>
        <v>4960.4377052981727</v>
      </c>
      <c r="N355" s="30">
        <f>(RedShift*Age*(2*InitialTangentVelocity-UniverseAcceleration*Age))/(2+RedShift)*(1+RedShift)</f>
        <v>1.3184915959496352E+26</v>
      </c>
      <c r="O355" s="36">
        <f t="shared" si="43"/>
        <v>4272.9402595252195</v>
      </c>
      <c r="P355" s="36">
        <f t="shared" si="44"/>
        <v>43.153634104689878</v>
      </c>
      <c r="Q355" s="36">
        <f t="shared" si="45"/>
        <v>1.3777817334079718</v>
      </c>
      <c r="R355" s="19">
        <v>3968.2383960418406</v>
      </c>
      <c r="S355" s="36">
        <f t="shared" si="46"/>
        <v>42.992988774789055</v>
      </c>
      <c r="T355" s="36">
        <f t="shared" si="47"/>
        <v>3.0829662833497302</v>
      </c>
      <c r="U355" s="30"/>
    </row>
    <row r="356" spans="1:21" x14ac:dyDescent="0.25">
      <c r="A356" s="35" t="s">
        <v>385</v>
      </c>
      <c r="B356" s="16">
        <v>0.69</v>
      </c>
      <c r="C356" s="8">
        <v>0.01</v>
      </c>
      <c r="D356" s="8">
        <v>24.376999999999999</v>
      </c>
      <c r="E356" s="8">
        <v>5.0999999999999997E-2</v>
      </c>
      <c r="F356" s="8">
        <v>1.006</v>
      </c>
      <c r="G356" s="8">
        <v>0.04</v>
      </c>
      <c r="H356" s="8">
        <v>0.14899999999999999</v>
      </c>
      <c r="I356" s="8">
        <v>4.8000000000000001E-2</v>
      </c>
      <c r="J356" s="8">
        <v>0.12</v>
      </c>
      <c r="K356" s="39">
        <f t="shared" si="40"/>
        <v>0.25900000000000001</v>
      </c>
      <c r="L356" s="39">
        <f t="shared" si="41"/>
        <v>43.251511999999998</v>
      </c>
      <c r="M356" s="30">
        <f t="shared" si="42"/>
        <v>4469.9472701919149</v>
      </c>
      <c r="N356" s="30">
        <f>(RedShift*Age*(2*InitialTangentVelocity-UniverseAcceleration*Age))/(2+RedShift)*(1+RedShift)</f>
        <v>1.3251246355794572E+26</v>
      </c>
      <c r="O356" s="36">
        <f t="shared" si="43"/>
        <v>4294.4364769940003</v>
      </c>
      <c r="P356" s="36">
        <f t="shared" si="44"/>
        <v>43.164530915354945</v>
      </c>
      <c r="Q356" s="36">
        <f t="shared" si="45"/>
        <v>0.11278467950731119</v>
      </c>
      <c r="R356" s="19">
        <v>3989.4405801050166</v>
      </c>
      <c r="S356" s="36">
        <f t="shared" si="46"/>
        <v>43.004560004741109</v>
      </c>
      <c r="T356" s="36">
        <f t="shared" si="47"/>
        <v>0.90912908218939292</v>
      </c>
      <c r="U356" s="30"/>
    </row>
    <row r="357" spans="1:21" x14ac:dyDescent="0.25">
      <c r="A357" s="35" t="s">
        <v>386</v>
      </c>
      <c r="B357" s="16">
        <v>0.69</v>
      </c>
      <c r="C357" s="8">
        <v>0.01</v>
      </c>
      <c r="D357" s="8">
        <v>23.611000000000001</v>
      </c>
      <c r="E357" s="8">
        <v>4.3999999999999997E-2</v>
      </c>
      <c r="F357" s="8">
        <v>1.0349999999999999</v>
      </c>
      <c r="G357" s="8">
        <v>2.7E-2</v>
      </c>
      <c r="H357" s="8">
        <v>-7.6999999999999999E-2</v>
      </c>
      <c r="I357" s="8">
        <v>3.9E-2</v>
      </c>
      <c r="J357" s="8">
        <v>0.12</v>
      </c>
      <c r="K357" s="39">
        <f t="shared" si="40"/>
        <v>0.22999999999999998</v>
      </c>
      <c r="L357" s="39">
        <f t="shared" si="41"/>
        <v>43.197154999999995</v>
      </c>
      <c r="M357" s="30">
        <f t="shared" si="42"/>
        <v>4359.442963781441</v>
      </c>
      <c r="N357" s="30">
        <f>(RedShift*Age*(2*InitialTangentVelocity-UniverseAcceleration*Age))/(2+RedShift)*(1+RedShift)</f>
        <v>1.3251246355794572E+26</v>
      </c>
      <c r="O357" s="36">
        <f t="shared" si="43"/>
        <v>4294.4364769940003</v>
      </c>
      <c r="P357" s="36">
        <f t="shared" si="44"/>
        <v>43.164530915354945</v>
      </c>
      <c r="Q357" s="36">
        <f t="shared" si="45"/>
        <v>2.0119676728306359E-2</v>
      </c>
      <c r="R357" s="19">
        <v>3989.4405801050166</v>
      </c>
      <c r="S357" s="36">
        <f t="shared" si="46"/>
        <v>43.004560004741109</v>
      </c>
      <c r="T357" s="36">
        <f t="shared" si="47"/>
        <v>0.70118775423006707</v>
      </c>
      <c r="U357" s="30"/>
    </row>
    <row r="358" spans="1:21" x14ac:dyDescent="0.25">
      <c r="A358" s="35" t="s">
        <v>387</v>
      </c>
      <c r="B358" s="16">
        <v>0.69499999999999995</v>
      </c>
      <c r="C358" s="8">
        <v>1E-3</v>
      </c>
      <c r="D358" s="8">
        <v>24.045000000000002</v>
      </c>
      <c r="E358" s="8">
        <v>6.0999999999999999E-2</v>
      </c>
      <c r="F358" s="8">
        <v>0.81799999999999995</v>
      </c>
      <c r="G358" s="8">
        <v>4.2000000000000003E-2</v>
      </c>
      <c r="H358" s="8">
        <v>-7.0999999999999994E-2</v>
      </c>
      <c r="I358" s="8">
        <v>6.9000000000000006E-2</v>
      </c>
      <c r="J358" s="8">
        <v>0.12</v>
      </c>
      <c r="K358" s="39">
        <f t="shared" si="40"/>
        <v>0.29200000000000004</v>
      </c>
      <c r="L358" s="39">
        <f t="shared" si="41"/>
        <v>43.580476000000004</v>
      </c>
      <c r="M358" s="30">
        <f t="shared" si="42"/>
        <v>5201.0999532253527</v>
      </c>
      <c r="N358" s="30">
        <f>(RedShift*Age*(2*InitialTangentVelocity-UniverseAcceleration*Age))/(2+RedShift)*(1+RedShift)</f>
        <v>1.3361922556973648E+26</v>
      </c>
      <c r="O358" s="36">
        <f t="shared" si="43"/>
        <v>4330.3041910728889</v>
      </c>
      <c r="P358" s="36">
        <f t="shared" si="44"/>
        <v>43.182592026644627</v>
      </c>
      <c r="Q358" s="36">
        <f t="shared" si="45"/>
        <v>1.8567233094044646</v>
      </c>
      <c r="R358" s="19">
        <v>4024.8327907882626</v>
      </c>
      <c r="S358" s="36">
        <f t="shared" si="46"/>
        <v>43.023739212902797</v>
      </c>
      <c r="T358" s="36">
        <f t="shared" si="47"/>
        <v>3.635248758061099</v>
      </c>
      <c r="U358" s="30"/>
    </row>
    <row r="359" spans="1:21" x14ac:dyDescent="0.25">
      <c r="A359" s="35" t="s">
        <v>388</v>
      </c>
      <c r="B359" s="16">
        <v>0.69799999999999995</v>
      </c>
      <c r="C359" s="8">
        <v>1E-3</v>
      </c>
      <c r="D359" s="8">
        <v>24.474</v>
      </c>
      <c r="E359" s="8">
        <v>5.3999999999999999E-2</v>
      </c>
      <c r="F359" s="8">
        <v>0.73299999999999998</v>
      </c>
      <c r="G359" s="8">
        <v>4.5999999999999999E-2</v>
      </c>
      <c r="H359" s="8">
        <v>-1.4999999999999999E-2</v>
      </c>
      <c r="I359" s="8">
        <v>5.7000000000000002E-2</v>
      </c>
      <c r="J359" s="8">
        <v>0.12</v>
      </c>
      <c r="K359" s="39">
        <f t="shared" si="40"/>
        <v>0.27700000000000002</v>
      </c>
      <c r="L359" s="39">
        <f t="shared" si="41"/>
        <v>43.821700999999997</v>
      </c>
      <c r="M359" s="30">
        <f t="shared" si="42"/>
        <v>5812.1953143098754</v>
      </c>
      <c r="N359" s="30">
        <f>(RedShift*Age*(2*InitialTangentVelocity-UniverseAcceleration*Age))/(2+RedShift)*(1+RedShift)</f>
        <v>1.3428403294985608E+26</v>
      </c>
      <c r="O359" s="36">
        <f t="shared" si="43"/>
        <v>4351.8491309729152</v>
      </c>
      <c r="P359" s="36">
        <f t="shared" si="44"/>
        <v>43.193369154588389</v>
      </c>
      <c r="Q359" s="36">
        <f t="shared" si="45"/>
        <v>5.1453936315911495</v>
      </c>
      <c r="R359" s="19">
        <v>4046.1011155112174</v>
      </c>
      <c r="S359" s="36">
        <f t="shared" si="46"/>
        <v>43.035183659796061</v>
      </c>
      <c r="T359" s="36">
        <f t="shared" si="47"/>
        <v>8.0622649381781848</v>
      </c>
      <c r="U359" s="30"/>
    </row>
    <row r="360" spans="1:21" x14ac:dyDescent="0.25">
      <c r="A360" s="35" t="s">
        <v>389</v>
      </c>
      <c r="B360" s="16">
        <v>0.69899999999999995</v>
      </c>
      <c r="C360" s="8">
        <v>1E-3</v>
      </c>
      <c r="D360" s="8">
        <v>23.594999999999999</v>
      </c>
      <c r="E360" s="8">
        <v>4.5999999999999999E-2</v>
      </c>
      <c r="F360" s="8">
        <v>1.101</v>
      </c>
      <c r="G360" s="8">
        <v>2.5000000000000001E-2</v>
      </c>
      <c r="H360" s="8">
        <v>-9.2999999999999999E-2</v>
      </c>
      <c r="I360" s="8">
        <v>4.2000000000000003E-2</v>
      </c>
      <c r="J360" s="8">
        <v>0.12</v>
      </c>
      <c r="K360" s="39">
        <f t="shared" si="40"/>
        <v>0.23300000000000001</v>
      </c>
      <c r="L360" s="39">
        <f t="shared" si="41"/>
        <v>43.240937000000002</v>
      </c>
      <c r="M360" s="30">
        <f t="shared" si="42"/>
        <v>4448.2316923829812</v>
      </c>
      <c r="N360" s="30">
        <f>(RedShift*Age*(2*InitialTangentVelocity-UniverseAcceleration*Age))/(2+RedShift)*(1+RedShift)</f>
        <v>1.3450576002181962E+26</v>
      </c>
      <c r="O360" s="36">
        <f t="shared" si="43"/>
        <v>4359.0348160036747</v>
      </c>
      <c r="P360" s="36">
        <f t="shared" si="44"/>
        <v>43.196951688903397</v>
      </c>
      <c r="Q360" s="36">
        <f t="shared" si="45"/>
        <v>3.5637193395810736E-2</v>
      </c>
      <c r="R360" s="19">
        <v>4053.19603725156</v>
      </c>
      <c r="S360" s="36">
        <f t="shared" si="46"/>
        <v>43.038988046882253</v>
      </c>
      <c r="T360" s="36">
        <f t="shared" si="47"/>
        <v>0.7512273142875191</v>
      </c>
      <c r="U360" s="30"/>
    </row>
    <row r="361" spans="1:21" x14ac:dyDescent="0.25">
      <c r="A361" s="35" t="s">
        <v>390</v>
      </c>
      <c r="B361" s="16">
        <v>0.7</v>
      </c>
      <c r="C361" s="8">
        <v>0.02</v>
      </c>
      <c r="D361" s="8">
        <v>24.245999999999999</v>
      </c>
      <c r="E361" s="8">
        <v>0.06</v>
      </c>
      <c r="F361" s="8">
        <v>0.80600000000000005</v>
      </c>
      <c r="G361" s="8">
        <v>4.2000000000000003E-2</v>
      </c>
      <c r="H361" s="8">
        <v>2.1000000000000001E-2</v>
      </c>
      <c r="I361" s="8">
        <v>6.6000000000000003E-2</v>
      </c>
      <c r="J361" s="8">
        <v>0.12</v>
      </c>
      <c r="K361" s="39">
        <f t="shared" si="40"/>
        <v>0.28800000000000003</v>
      </c>
      <c r="L361" s="39">
        <f t="shared" si="41"/>
        <v>43.491752000000005</v>
      </c>
      <c r="M361" s="30">
        <f t="shared" si="42"/>
        <v>4992.8716276656269</v>
      </c>
      <c r="N361" s="30">
        <f>(RedShift*Age*(2*InitialTangentVelocity-UniverseAcceleration*Age))/(2+RedShift)*(1+RedShift)</f>
        <v>1.3472754928436352E+26</v>
      </c>
      <c r="O361" s="36">
        <f t="shared" si="43"/>
        <v>4366.2225164938818</v>
      </c>
      <c r="P361" s="36">
        <f t="shared" si="44"/>
        <v>43.200529324780057</v>
      </c>
      <c r="Q361" s="36">
        <f t="shared" si="45"/>
        <v>1.0225049016476624</v>
      </c>
      <c r="R361" s="19">
        <v>4060.2936936639262</v>
      </c>
      <c r="S361" s="36">
        <f t="shared" si="46"/>
        <v>43.042787242916113</v>
      </c>
      <c r="T361" s="36">
        <f t="shared" si="47"/>
        <v>2.4301860665436759</v>
      </c>
      <c r="U361" s="30"/>
    </row>
    <row r="362" spans="1:21" x14ac:dyDescent="0.25">
      <c r="A362" s="35" t="s">
        <v>391</v>
      </c>
      <c r="B362" s="16">
        <v>0.7</v>
      </c>
      <c r="C362" s="8">
        <v>0.01</v>
      </c>
      <c r="D362" s="8">
        <v>23.760999999999999</v>
      </c>
      <c r="E362" s="8">
        <v>0.06</v>
      </c>
      <c r="F362" s="8">
        <v>1.0649999999999999</v>
      </c>
      <c r="G362" s="8">
        <v>4.4999999999999998E-2</v>
      </c>
      <c r="H362" s="8">
        <v>-8.1000000000000003E-2</v>
      </c>
      <c r="I362" s="8">
        <v>5.5E-2</v>
      </c>
      <c r="J362" s="8">
        <v>0.12</v>
      </c>
      <c r="K362" s="39">
        <f t="shared" si="40"/>
        <v>0.28000000000000003</v>
      </c>
      <c r="L362" s="39">
        <f t="shared" si="41"/>
        <v>43.364085000000003</v>
      </c>
      <c r="M362" s="30">
        <f t="shared" si="42"/>
        <v>4707.7891104045893</v>
      </c>
      <c r="N362" s="30">
        <f>(RedShift*Age*(2*InitialTangentVelocity-UniverseAcceleration*Age))/(2+RedShift)*(1+RedShift)</f>
        <v>1.3472754928436352E+26</v>
      </c>
      <c r="O362" s="36">
        <f t="shared" si="43"/>
        <v>4366.2225164938818</v>
      </c>
      <c r="P362" s="36">
        <f t="shared" si="44"/>
        <v>43.200529324780057</v>
      </c>
      <c r="Q362" s="36">
        <f t="shared" si="45"/>
        <v>0.34120483286546621</v>
      </c>
      <c r="R362" s="19">
        <v>4060.2936936639262</v>
      </c>
      <c r="S362" s="36">
        <f t="shared" si="46"/>
        <v>43.042787242916113</v>
      </c>
      <c r="T362" s="36">
        <f t="shared" si="47"/>
        <v>1.3167378661624809</v>
      </c>
      <c r="U362" s="30"/>
    </row>
    <row r="363" spans="1:21" x14ac:dyDescent="0.25">
      <c r="A363" s="35" t="s">
        <v>392</v>
      </c>
      <c r="B363" s="16">
        <v>0.7</v>
      </c>
      <c r="C363" s="8">
        <v>1E-3</v>
      </c>
      <c r="D363" s="8">
        <v>23.960999999999999</v>
      </c>
      <c r="E363" s="8">
        <v>0.05</v>
      </c>
      <c r="F363" s="8">
        <v>1.054</v>
      </c>
      <c r="G363" s="8">
        <v>3.5000000000000003E-2</v>
      </c>
      <c r="H363" s="8">
        <v>-1.2E-2</v>
      </c>
      <c r="I363" s="8">
        <v>4.2000000000000003E-2</v>
      </c>
      <c r="J363" s="8">
        <v>0.12</v>
      </c>
      <c r="K363" s="39">
        <f t="shared" si="40"/>
        <v>0.247</v>
      </c>
      <c r="L363" s="39">
        <f t="shared" si="41"/>
        <v>43.346497999999997</v>
      </c>
      <c r="M363" s="30">
        <f t="shared" si="42"/>
        <v>4669.8141845185783</v>
      </c>
      <c r="N363" s="30">
        <f>(RedShift*Age*(2*InitialTangentVelocity-UniverseAcceleration*Age))/(2+RedShift)*(1+RedShift)</f>
        <v>1.3472754928436352E+26</v>
      </c>
      <c r="O363" s="36">
        <f t="shared" si="43"/>
        <v>4366.2225164938818</v>
      </c>
      <c r="P363" s="36">
        <f t="shared" si="44"/>
        <v>43.200529324780057</v>
      </c>
      <c r="Q363" s="36">
        <f t="shared" si="45"/>
        <v>0.34924116352447027</v>
      </c>
      <c r="R363" s="19">
        <v>4060.2936936639262</v>
      </c>
      <c r="S363" s="36">
        <f t="shared" si="46"/>
        <v>43.042787242916113</v>
      </c>
      <c r="T363" s="36">
        <f t="shared" si="47"/>
        <v>1.5119117502084298</v>
      </c>
      <c r="U363" s="30"/>
    </row>
    <row r="364" spans="1:21" x14ac:dyDescent="0.25">
      <c r="A364" s="35" t="s">
        <v>393</v>
      </c>
      <c r="B364" s="16">
        <v>0.70099999999999996</v>
      </c>
      <c r="C364" s="8">
        <v>1E-3</v>
      </c>
      <c r="D364" s="8">
        <v>23.73</v>
      </c>
      <c r="E364" s="8">
        <v>4.7E-2</v>
      </c>
      <c r="F364" s="8">
        <v>1.077</v>
      </c>
      <c r="G364" s="8">
        <v>2.9000000000000001E-2</v>
      </c>
      <c r="H364" s="8">
        <v>-5.8000000000000003E-2</v>
      </c>
      <c r="I364" s="8">
        <v>4.3999999999999997E-2</v>
      </c>
      <c r="J364" s="8">
        <v>0.12</v>
      </c>
      <c r="K364" s="39">
        <f t="shared" si="40"/>
        <v>0.24</v>
      </c>
      <c r="L364" s="39">
        <f t="shared" si="41"/>
        <v>43.262858999999999</v>
      </c>
      <c r="M364" s="30">
        <f t="shared" si="42"/>
        <v>4493.3660537810711</v>
      </c>
      <c r="N364" s="30">
        <f>(RedShift*Age*(2*InitialTangentVelocity-UniverseAcceleration*Age))/(2+RedShift)*(1+RedShift)</f>
        <v>1.3494940066841283E+26</v>
      </c>
      <c r="O364" s="36">
        <f t="shared" si="43"/>
        <v>4373.4122302049727</v>
      </c>
      <c r="P364" s="36">
        <f t="shared" si="44"/>
        <v>43.204102075571228</v>
      </c>
      <c r="Q364" s="36">
        <f t="shared" si="45"/>
        <v>5.9937086255699101E-2</v>
      </c>
      <c r="R364" s="19">
        <v>4067.3940815090182</v>
      </c>
      <c r="S364" s="36">
        <f t="shared" si="46"/>
        <v>43.046581261744421</v>
      </c>
      <c r="T364" s="36">
        <f t="shared" si="47"/>
        <v>0.81208437612757023</v>
      </c>
      <c r="U364" s="30"/>
    </row>
    <row r="365" spans="1:21" x14ac:dyDescent="0.25">
      <c r="A365" s="35" t="s">
        <v>394</v>
      </c>
      <c r="B365" s="16">
        <v>0.70099999999999996</v>
      </c>
      <c r="C365" s="8">
        <v>1E-3</v>
      </c>
      <c r="D365" s="8">
        <v>24.103000000000002</v>
      </c>
      <c r="E365" s="8">
        <v>4.9000000000000002E-2</v>
      </c>
      <c r="F365" s="8">
        <v>1.012</v>
      </c>
      <c r="G365" s="8">
        <v>3.4000000000000002E-2</v>
      </c>
      <c r="H365" s="8">
        <v>5.8999999999999997E-2</v>
      </c>
      <c r="I365" s="8">
        <v>4.5999999999999999E-2</v>
      </c>
      <c r="J365" s="8">
        <v>0.12</v>
      </c>
      <c r="K365" s="39">
        <f t="shared" si="40"/>
        <v>0.249</v>
      </c>
      <c r="L365" s="39">
        <f t="shared" si="41"/>
        <v>43.260094000000002</v>
      </c>
      <c r="M365" s="30">
        <f t="shared" si="42"/>
        <v>4487.6481591316551</v>
      </c>
      <c r="N365" s="30">
        <f>(RedShift*Age*(2*InitialTangentVelocity-UniverseAcceleration*Age))/(2+RedShift)*(1+RedShift)</f>
        <v>1.3494940066841283E+26</v>
      </c>
      <c r="O365" s="36">
        <f t="shared" si="43"/>
        <v>4373.4122302049727</v>
      </c>
      <c r="P365" s="36">
        <f t="shared" si="44"/>
        <v>43.204102075571228</v>
      </c>
      <c r="Q365" s="36">
        <f t="shared" si="45"/>
        <v>5.0565242516048922E-2</v>
      </c>
      <c r="R365" s="19">
        <v>4067.3940815090182</v>
      </c>
      <c r="S365" s="36">
        <f t="shared" si="46"/>
        <v>43.046581261744421</v>
      </c>
      <c r="T365" s="36">
        <f t="shared" si="47"/>
        <v>0.73527345361197671</v>
      </c>
      <c r="U365" s="30"/>
    </row>
    <row r="366" spans="1:21" x14ac:dyDescent="0.25">
      <c r="A366" s="35" t="s">
        <v>395</v>
      </c>
      <c r="B366" s="16">
        <v>0.70199999999999996</v>
      </c>
      <c r="C366" s="8">
        <v>1E-3</v>
      </c>
      <c r="D366" s="8">
        <v>23.867000000000001</v>
      </c>
      <c r="E366" s="8">
        <v>4.8000000000000001E-2</v>
      </c>
      <c r="F366" s="8">
        <v>0.99399999999999999</v>
      </c>
      <c r="G366" s="8">
        <v>3.3000000000000002E-2</v>
      </c>
      <c r="H366" s="8">
        <v>-3.0000000000000001E-3</v>
      </c>
      <c r="I366" s="8">
        <v>4.2999999999999997E-2</v>
      </c>
      <c r="J366" s="8">
        <v>0.12</v>
      </c>
      <c r="K366" s="39">
        <f t="shared" si="40"/>
        <v>0.24399999999999999</v>
      </c>
      <c r="L366" s="39">
        <f t="shared" si="41"/>
        <v>43.215508</v>
      </c>
      <c r="M366" s="30">
        <f t="shared" si="42"/>
        <v>4396.4445499493486</v>
      </c>
      <c r="N366" s="30">
        <f>(RedShift*Age*(2*InitialTangentVelocity-UniverseAcceleration*Age))/(2+RedShift)*(1+RedShift)</f>
        <v>1.3517131410499467E+26</v>
      </c>
      <c r="O366" s="36">
        <f t="shared" si="43"/>
        <v>4380.6039549016878</v>
      </c>
      <c r="P366" s="36">
        <f t="shared" si="44"/>
        <v>43.207669954574158</v>
      </c>
      <c r="Q366" s="36">
        <f t="shared" si="45"/>
        <v>1.0318959301526135E-3</v>
      </c>
      <c r="R366" s="19">
        <v>4074.4971975524054</v>
      </c>
      <c r="S366" s="36">
        <f t="shared" si="46"/>
        <v>43.05037011715757</v>
      </c>
      <c r="T366" s="36">
        <f t="shared" si="47"/>
        <v>0.45805093304353856</v>
      </c>
      <c r="U366" s="30"/>
    </row>
    <row r="367" spans="1:21" x14ac:dyDescent="0.25">
      <c r="A367" s="35" t="s">
        <v>396</v>
      </c>
      <c r="B367" s="16">
        <v>0.70299999999999996</v>
      </c>
      <c r="C367" s="8">
        <v>0</v>
      </c>
      <c r="D367" s="8">
        <v>23.92</v>
      </c>
      <c r="E367" s="8">
        <v>4.8000000000000001E-2</v>
      </c>
      <c r="F367" s="8">
        <v>1.0049999999999999</v>
      </c>
      <c r="G367" s="8">
        <v>2.8000000000000001E-2</v>
      </c>
      <c r="H367" s="8">
        <v>-7.8E-2</v>
      </c>
      <c r="I367" s="8">
        <v>4.4999999999999998E-2</v>
      </c>
      <c r="J367" s="8">
        <v>0.12</v>
      </c>
      <c r="K367" s="39">
        <f t="shared" si="40"/>
        <v>0.24099999999999999</v>
      </c>
      <c r="L367" s="39">
        <f t="shared" si="41"/>
        <v>43.504874999999998</v>
      </c>
      <c r="M367" s="30">
        <f t="shared" si="42"/>
        <v>5023.1367319071851</v>
      </c>
      <c r="N367" s="30">
        <f>(RedShift*Age*(2*InitialTangentVelocity-UniverseAcceleration*Age))/(2+RedShift)*(1+RedShift)</f>
        <v>1.3539328952523826E+26</v>
      </c>
      <c r="O367" s="36">
        <f t="shared" si="43"/>
        <v>4387.797688352076</v>
      </c>
      <c r="P367" s="36">
        <f t="shared" si="44"/>
        <v>43.211232975030839</v>
      </c>
      <c r="Q367" s="36">
        <f t="shared" si="45"/>
        <v>1.4845756586144938</v>
      </c>
      <c r="R367" s="19">
        <v>4081.6030385645031</v>
      </c>
      <c r="S367" s="36">
        <f t="shared" si="46"/>
        <v>43.054153822889859</v>
      </c>
      <c r="T367" s="36">
        <f t="shared" si="47"/>
        <v>3.4976942458902194</v>
      </c>
      <c r="U367" s="30"/>
    </row>
    <row r="368" spans="1:21" x14ac:dyDescent="0.25">
      <c r="A368" s="35" t="s">
        <v>397</v>
      </c>
      <c r="B368" s="16">
        <v>0.71499999999999997</v>
      </c>
      <c r="C368" s="8">
        <v>1E-3</v>
      </c>
      <c r="D368" s="8">
        <v>24.001000000000001</v>
      </c>
      <c r="E368" s="8">
        <v>5.2999999999999999E-2</v>
      </c>
      <c r="F368" s="8">
        <v>0.91100000000000003</v>
      </c>
      <c r="G368" s="8">
        <v>3.2000000000000001E-2</v>
      </c>
      <c r="H368" s="8">
        <v>-4.2999999999999997E-2</v>
      </c>
      <c r="I368" s="8">
        <v>4.9000000000000002E-2</v>
      </c>
      <c r="J368" s="8">
        <v>0.12</v>
      </c>
      <c r="K368" s="39">
        <f t="shared" si="40"/>
        <v>0.254</v>
      </c>
      <c r="L368" s="39">
        <f t="shared" si="41"/>
        <v>43.462507000000002</v>
      </c>
      <c r="M368" s="30">
        <f t="shared" si="42"/>
        <v>4926.0793132736962</v>
      </c>
      <c r="N368" s="30">
        <f>(RedShift*Age*(2*InitialTangentVelocity-UniverseAcceleration*Age))/(2+RedShift)*(1+RedShift)</f>
        <v>1.3806180436333796E+26</v>
      </c>
      <c r="O368" s="36">
        <f t="shared" si="43"/>
        <v>4474.2783646027583</v>
      </c>
      <c r="P368" s="36">
        <f t="shared" si="44"/>
        <v>43.253614999887361</v>
      </c>
      <c r="Q368" s="36">
        <f t="shared" si="45"/>
        <v>0.67635730223602886</v>
      </c>
      <c r="R368" s="19">
        <v>4167.0845093021308</v>
      </c>
      <c r="S368" s="36">
        <f t="shared" si="46"/>
        <v>43.099161540625033</v>
      </c>
      <c r="T368" s="36">
        <f t="shared" si="47"/>
        <v>2.0463128967761057</v>
      </c>
      <c r="U368" s="30"/>
    </row>
    <row r="369" spans="1:21" x14ac:dyDescent="0.25">
      <c r="A369" s="35" t="s">
        <v>398</v>
      </c>
      <c r="B369" s="16">
        <v>0.71799999999999997</v>
      </c>
      <c r="C369" s="8">
        <v>1E-3</v>
      </c>
      <c r="D369" s="8">
        <v>23.753</v>
      </c>
      <c r="E369" s="8">
        <v>4.9000000000000002E-2</v>
      </c>
      <c r="F369" s="8">
        <v>0.92700000000000005</v>
      </c>
      <c r="G369" s="8">
        <v>2.1000000000000001E-2</v>
      </c>
      <c r="H369" s="8">
        <v>-9.6000000000000002E-2</v>
      </c>
      <c r="I369" s="8">
        <v>0.04</v>
      </c>
      <c r="J369" s="8">
        <v>0.12</v>
      </c>
      <c r="K369" s="39">
        <f t="shared" si="40"/>
        <v>0.23</v>
      </c>
      <c r="L369" s="39">
        <f t="shared" si="41"/>
        <v>43.382749000000004</v>
      </c>
      <c r="M369" s="30">
        <f t="shared" si="42"/>
        <v>4748.4273743715876</v>
      </c>
      <c r="N369" s="30">
        <f>(RedShift*Age*(2*InitialTangentVelocity-UniverseAcceleration*Age))/(2+RedShift)*(1+RedShift)</f>
        <v>1.3873031234635645E+26</v>
      </c>
      <c r="O369" s="36">
        <f t="shared" si="43"/>
        <v>4495.9432328751745</v>
      </c>
      <c r="P369" s="36">
        <f t="shared" si="44"/>
        <v>43.264104095317585</v>
      </c>
      <c r="Q369" s="36">
        <f t="shared" si="45"/>
        <v>0.26609855211909983</v>
      </c>
      <c r="R369" s="19">
        <v>4188.515468661124</v>
      </c>
      <c r="S369" s="36">
        <f t="shared" si="46"/>
        <v>43.11030061839999</v>
      </c>
      <c r="T369" s="36">
        <f t="shared" si="47"/>
        <v>1.4031780838651629</v>
      </c>
      <c r="U369" s="30"/>
    </row>
    <row r="370" spans="1:21" x14ac:dyDescent="0.25">
      <c r="A370" s="35" t="s">
        <v>399</v>
      </c>
      <c r="B370" s="16">
        <v>0.72</v>
      </c>
      <c r="C370" s="8">
        <v>5.0000000000000001E-3</v>
      </c>
      <c r="D370" s="8">
        <v>23.925999999999998</v>
      </c>
      <c r="E370" s="8">
        <v>5.6000000000000001E-2</v>
      </c>
      <c r="F370" s="8">
        <v>1.034</v>
      </c>
      <c r="G370" s="8">
        <v>4.2000000000000003E-2</v>
      </c>
      <c r="H370" s="8">
        <v>-2.1000000000000001E-2</v>
      </c>
      <c r="I370" s="8">
        <v>5.1999999999999998E-2</v>
      </c>
      <c r="J370" s="8">
        <v>0.12</v>
      </c>
      <c r="K370" s="39">
        <f t="shared" si="40"/>
        <v>0.27</v>
      </c>
      <c r="L370" s="39">
        <f t="shared" si="41"/>
        <v>43.336727999999994</v>
      </c>
      <c r="M370" s="30">
        <f t="shared" si="42"/>
        <v>4648.8507124385005</v>
      </c>
      <c r="N370" s="30">
        <f>(RedShift*Age*(2*InitialTangentVelocity-UniverseAcceleration*Age))/(2+RedShift)*(1+RedShift)</f>
        <v>1.3917628892459859E+26</v>
      </c>
      <c r="O370" s="36">
        <f t="shared" si="43"/>
        <v>4510.3963494656045</v>
      </c>
      <c r="P370" s="36">
        <f t="shared" si="44"/>
        <v>43.271073535135429</v>
      </c>
      <c r="Q370" s="36">
        <f t="shared" si="45"/>
        <v>5.9129063877261898E-2</v>
      </c>
      <c r="R370" s="19">
        <v>4202.8161499161697</v>
      </c>
      <c r="S370" s="36">
        <f t="shared" si="46"/>
        <v>43.117701962133694</v>
      </c>
      <c r="T370" s="36">
        <f t="shared" si="47"/>
        <v>0.65805768536913301</v>
      </c>
      <c r="U370" s="30"/>
    </row>
    <row r="371" spans="1:21" x14ac:dyDescent="0.25">
      <c r="A371" s="35" t="s">
        <v>400</v>
      </c>
      <c r="B371" s="16">
        <v>0.72099999999999997</v>
      </c>
      <c r="C371" s="8">
        <v>1.0999999999999999E-2</v>
      </c>
      <c r="D371" s="8">
        <v>23.904</v>
      </c>
      <c r="E371" s="8">
        <v>0.05</v>
      </c>
      <c r="F371" s="8">
        <v>1.03</v>
      </c>
      <c r="G371" s="8">
        <v>4.3999999999999997E-2</v>
      </c>
      <c r="H371" s="8">
        <v>-4.0000000000000001E-3</v>
      </c>
      <c r="I371" s="8">
        <v>5.1999999999999998E-2</v>
      </c>
      <c r="J371" s="8">
        <v>0.12</v>
      </c>
      <c r="K371" s="39">
        <f t="shared" si="40"/>
        <v>0.26600000000000001</v>
      </c>
      <c r="L371" s="39">
        <f t="shared" si="41"/>
        <v>43.260930000000002</v>
      </c>
      <c r="M371" s="30">
        <f t="shared" si="42"/>
        <v>4489.3762014129725</v>
      </c>
      <c r="N371" s="30">
        <f>(RedShift*Age*(2*InitialTangentVelocity-UniverseAcceleration*Age))/(2+RedShift)*(1+RedShift)</f>
        <v>1.3939936838909606E+26</v>
      </c>
      <c r="O371" s="36">
        <f t="shared" si="43"/>
        <v>4517.6258625535356</v>
      </c>
      <c r="P371" s="36">
        <f t="shared" si="44"/>
        <v>43.274551304948503</v>
      </c>
      <c r="Q371" s="36">
        <f t="shared" si="45"/>
        <v>2.6222503886603504E-3</v>
      </c>
      <c r="R371" s="19">
        <v>4209.9704936044254</v>
      </c>
      <c r="S371" s="36">
        <f t="shared" si="46"/>
        <v>43.121395260045702</v>
      </c>
      <c r="T371" s="36">
        <f t="shared" si="47"/>
        <v>0.27517021389160057</v>
      </c>
      <c r="U371" s="30"/>
    </row>
    <row r="372" spans="1:21" x14ac:dyDescent="0.25">
      <c r="A372" s="35" t="s">
        <v>401</v>
      </c>
      <c r="B372" s="16">
        <v>0.72199999999999998</v>
      </c>
      <c r="C372" s="8">
        <v>1E-3</v>
      </c>
      <c r="D372" s="8">
        <v>24.259</v>
      </c>
      <c r="E372" s="8">
        <v>5.6000000000000001E-2</v>
      </c>
      <c r="F372" s="8">
        <v>0.89600000000000002</v>
      </c>
      <c r="G372" s="8">
        <v>3.3000000000000002E-2</v>
      </c>
      <c r="H372" s="8">
        <v>-1.4E-2</v>
      </c>
      <c r="I372" s="8">
        <v>0.05</v>
      </c>
      <c r="J372" s="8">
        <v>0.12</v>
      </c>
      <c r="K372" s="39">
        <f t="shared" si="40"/>
        <v>0.25900000000000001</v>
      </c>
      <c r="L372" s="39">
        <f t="shared" si="41"/>
        <v>43.627532000000002</v>
      </c>
      <c r="M372" s="30">
        <f t="shared" si="42"/>
        <v>5315.0383197885913</v>
      </c>
      <c r="N372" s="30">
        <f>(RedShift*Age*(2*InitialTangentVelocity-UniverseAcceleration*Age))/(2+RedShift)*(1+RedShift)</f>
        <v>1.3962250854785587E+26</v>
      </c>
      <c r="O372" s="36">
        <f t="shared" si="43"/>
        <v>4524.8573426085522</v>
      </c>
      <c r="P372" s="36">
        <f t="shared" si="44"/>
        <v>43.278024457712135</v>
      </c>
      <c r="Q372" s="36">
        <f t="shared" si="45"/>
        <v>1.8210152221360025</v>
      </c>
      <c r="R372" s="19">
        <v>4217.1275018135784</v>
      </c>
      <c r="S372" s="36">
        <f t="shared" si="46"/>
        <v>43.125083658971604</v>
      </c>
      <c r="T372" s="36">
        <f t="shared" si="47"/>
        <v>3.7634253425290183</v>
      </c>
      <c r="U372" s="30"/>
    </row>
    <row r="373" spans="1:21" x14ac:dyDescent="0.25">
      <c r="A373" s="35" t="s">
        <v>402</v>
      </c>
      <c r="B373" s="16">
        <v>0.72499999999999998</v>
      </c>
      <c r="C373" s="8">
        <v>0</v>
      </c>
      <c r="D373" s="8">
        <v>23.898</v>
      </c>
      <c r="E373" s="8">
        <v>5.1999999999999998E-2</v>
      </c>
      <c r="F373" s="8">
        <v>1.0960000000000001</v>
      </c>
      <c r="G373" s="8">
        <v>6.2E-2</v>
      </c>
      <c r="H373" s="8">
        <v>-4.3999999999999997E-2</v>
      </c>
      <c r="I373" s="8">
        <v>4.7E-2</v>
      </c>
      <c r="J373" s="8">
        <v>0.12</v>
      </c>
      <c r="K373" s="39">
        <f t="shared" si="40"/>
        <v>0.28099999999999997</v>
      </c>
      <c r="L373" s="39">
        <f t="shared" si="41"/>
        <v>43.389831999999998</v>
      </c>
      <c r="M373" s="30">
        <f t="shared" si="42"/>
        <v>4763.9412826221014</v>
      </c>
      <c r="N373" s="30">
        <f>(RedShift*Age*(2*InitialTangentVelocity-UniverseAcceleration*Age))/(2+RedShift)*(1+RedShift)</f>
        <v>1.4029229252151549E+26</v>
      </c>
      <c r="O373" s="36">
        <f t="shared" si="43"/>
        <v>4546.5635629214212</v>
      </c>
      <c r="P373" s="36">
        <f t="shared" si="44"/>
        <v>43.288416335450464</v>
      </c>
      <c r="Q373" s="36">
        <f t="shared" si="45"/>
        <v>0.13025591134894143</v>
      </c>
      <c r="R373" s="19">
        <v>4238.6144822522692</v>
      </c>
      <c r="S373" s="36">
        <f t="shared" si="46"/>
        <v>43.136119588332505</v>
      </c>
      <c r="T373" s="36">
        <f t="shared" si="47"/>
        <v>0.81521241922133103</v>
      </c>
      <c r="U373" s="30"/>
    </row>
    <row r="374" spans="1:21" x14ac:dyDescent="0.25">
      <c r="A374" s="35" t="s">
        <v>403</v>
      </c>
      <c r="B374" s="16">
        <v>0.72699999999999998</v>
      </c>
      <c r="C374" s="8">
        <v>0.02</v>
      </c>
      <c r="D374" s="8">
        <v>23.959</v>
      </c>
      <c r="E374" s="8">
        <v>5.6000000000000001E-2</v>
      </c>
      <c r="F374" s="8">
        <v>0.92300000000000004</v>
      </c>
      <c r="G374" s="8">
        <v>0.04</v>
      </c>
      <c r="H374" s="8">
        <v>-5.7000000000000002E-2</v>
      </c>
      <c r="I374" s="8">
        <v>5.1999999999999998E-2</v>
      </c>
      <c r="J374" s="8">
        <v>0.12</v>
      </c>
      <c r="K374" s="39">
        <f t="shared" si="40"/>
        <v>0.26800000000000002</v>
      </c>
      <c r="L374" s="39">
        <f t="shared" si="41"/>
        <v>43.466090999999999</v>
      </c>
      <c r="M374" s="30">
        <f t="shared" si="42"/>
        <v>4934.21648599744</v>
      </c>
      <c r="N374" s="30">
        <f>(RedShift*Age*(2*InitialTangentVelocity-UniverseAcceleration*Age))/(2+RedShift)*(1+RedShift)</f>
        <v>1.407391174186269E+26</v>
      </c>
      <c r="O374" s="36">
        <f t="shared" si="43"/>
        <v>4561.0441716540881</v>
      </c>
      <c r="P374" s="36">
        <f t="shared" si="44"/>
        <v>43.295321391036673</v>
      </c>
      <c r="Q374" s="36">
        <f t="shared" si="45"/>
        <v>0.40602388262262257</v>
      </c>
      <c r="R374" s="19">
        <v>4252.9524011558733</v>
      </c>
      <c r="S374" s="36">
        <f t="shared" si="46"/>
        <v>43.143452610688584</v>
      </c>
      <c r="T374" s="36">
        <f t="shared" si="47"/>
        <v>1.4493140211832247</v>
      </c>
      <c r="U374" s="30"/>
    </row>
    <row r="375" spans="1:21" x14ac:dyDescent="0.25">
      <c r="A375" s="35" t="s">
        <v>404</v>
      </c>
      <c r="B375" s="16">
        <v>0.73199999999999998</v>
      </c>
      <c r="C375" s="8">
        <v>1E-3</v>
      </c>
      <c r="D375" s="8">
        <v>24.219000000000001</v>
      </c>
      <c r="E375" s="8">
        <v>6.3E-2</v>
      </c>
      <c r="F375" s="8">
        <v>0.84899999999999998</v>
      </c>
      <c r="G375" s="8">
        <v>4.2999999999999997E-2</v>
      </c>
      <c r="H375" s="8">
        <v>-9.0999999999999998E-2</v>
      </c>
      <c r="I375" s="8">
        <v>6.4000000000000001E-2</v>
      </c>
      <c r="J375" s="8">
        <v>0.12</v>
      </c>
      <c r="K375" s="39">
        <f t="shared" si="40"/>
        <v>0.28999999999999998</v>
      </c>
      <c r="L375" s="39">
        <f t="shared" si="41"/>
        <v>43.821633000000006</v>
      </c>
      <c r="M375" s="30">
        <f t="shared" si="42"/>
        <v>5812.0133073493835</v>
      </c>
      <c r="N375" s="30">
        <f>(RedShift*Age*(2*InitialTangentVelocity-UniverseAcceleration*Age))/(2+RedShift)*(1+RedShift)</f>
        <v>1.4185723365728531E+26</v>
      </c>
      <c r="O375" s="36">
        <f t="shared" si="43"/>
        <v>4597.2798511659576</v>
      </c>
      <c r="P375" s="36">
        <f t="shared" si="44"/>
        <v>43.312504707263464</v>
      </c>
      <c r="Q375" s="36">
        <f t="shared" si="45"/>
        <v>3.0821833348968526</v>
      </c>
      <c r="R375" s="19">
        <v>4288.8434454578983</v>
      </c>
      <c r="S375" s="36">
        <f t="shared" si="46"/>
        <v>43.161700967946757</v>
      </c>
      <c r="T375" s="36">
        <f t="shared" si="47"/>
        <v>5.1784814141489868</v>
      </c>
      <c r="U375" s="30"/>
    </row>
    <row r="376" spans="1:21" x14ac:dyDescent="0.25">
      <c r="A376" s="35" t="s">
        <v>405</v>
      </c>
      <c r="B376" s="16">
        <v>0.73199999999999998</v>
      </c>
      <c r="C376" s="8">
        <v>1E-3</v>
      </c>
      <c r="D376" s="8">
        <v>23.904</v>
      </c>
      <c r="E376" s="8">
        <v>5.1999999999999998E-2</v>
      </c>
      <c r="F376" s="8">
        <v>1.0660000000000001</v>
      </c>
      <c r="G376" s="8">
        <v>2.9000000000000001E-2</v>
      </c>
      <c r="H376" s="8">
        <v>5.0000000000000001E-3</v>
      </c>
      <c r="I376" s="8">
        <v>4.9000000000000002E-2</v>
      </c>
      <c r="J376" s="8">
        <v>0.12</v>
      </c>
      <c r="K376" s="39">
        <f t="shared" si="40"/>
        <v>0.25</v>
      </c>
      <c r="L376" s="39">
        <f t="shared" si="41"/>
        <v>43.238051999999996</v>
      </c>
      <c r="M376" s="30">
        <f t="shared" si="42"/>
        <v>4442.3257333001475</v>
      </c>
      <c r="N376" s="30">
        <f>(RedShift*Age*(2*InitialTangentVelocity-UniverseAcceleration*Age))/(2+RedShift)*(1+RedShift)</f>
        <v>1.4185723365728531E+26</v>
      </c>
      <c r="O376" s="36">
        <f t="shared" si="43"/>
        <v>4597.2798511659576</v>
      </c>
      <c r="P376" s="36">
        <f t="shared" si="44"/>
        <v>43.312504707263464</v>
      </c>
      <c r="Q376" s="36">
        <f t="shared" si="45"/>
        <v>8.8691289901755038E-2</v>
      </c>
      <c r="R376" s="19">
        <v>4288.8434454578983</v>
      </c>
      <c r="S376" s="36">
        <f t="shared" si="46"/>
        <v>43.161700967946757</v>
      </c>
      <c r="T376" s="36">
        <f t="shared" si="47"/>
        <v>9.327168152951569E-2</v>
      </c>
      <c r="U376" s="30"/>
    </row>
    <row r="377" spans="1:21" x14ac:dyDescent="0.25">
      <c r="A377" s="35" t="s">
        <v>406</v>
      </c>
      <c r="B377" s="16">
        <v>0.73299999999999998</v>
      </c>
      <c r="C377" s="8">
        <v>1E-3</v>
      </c>
      <c r="D377" s="8">
        <v>23.997</v>
      </c>
      <c r="E377" s="8">
        <v>0.05</v>
      </c>
      <c r="F377" s="8">
        <v>1.0840000000000001</v>
      </c>
      <c r="G377" s="8">
        <v>3.4000000000000002E-2</v>
      </c>
      <c r="H377" s="8">
        <v>-3.3000000000000002E-2</v>
      </c>
      <c r="I377" s="8">
        <v>4.4999999999999998E-2</v>
      </c>
      <c r="J377" s="8">
        <v>0.12</v>
      </c>
      <c r="K377" s="39">
        <f t="shared" si="40"/>
        <v>0.249</v>
      </c>
      <c r="L377" s="39">
        <f t="shared" si="41"/>
        <v>43.452638</v>
      </c>
      <c r="M377" s="30">
        <f t="shared" si="42"/>
        <v>4903.7418574246822</v>
      </c>
      <c r="N377" s="30">
        <f>(RedShift*Age*(2*InitialTangentVelocity-UniverseAcceleration*Age))/(2+RedShift)*(1+RedShift)</f>
        <v>1.4208103706112629E+26</v>
      </c>
      <c r="O377" s="36">
        <f t="shared" si="43"/>
        <v>4604.5328255302129</v>
      </c>
      <c r="P377" s="36">
        <f t="shared" si="44"/>
        <v>43.315927866924262</v>
      </c>
      <c r="Q377" s="36">
        <f t="shared" si="45"/>
        <v>0.30144127490824274</v>
      </c>
      <c r="R377" s="19">
        <v>4296.029557604269</v>
      </c>
      <c r="S377" s="36">
        <f t="shared" si="46"/>
        <v>43.165336303704549</v>
      </c>
      <c r="T377" s="36">
        <f t="shared" si="47"/>
        <v>1.3313053772397785</v>
      </c>
      <c r="U377" s="30"/>
    </row>
    <row r="378" spans="1:21" x14ac:dyDescent="0.25">
      <c r="A378" s="35" t="s">
        <v>407</v>
      </c>
      <c r="B378" s="16">
        <v>0.73399999999999999</v>
      </c>
      <c r="C378" s="8">
        <v>1E-3</v>
      </c>
      <c r="D378" s="8">
        <v>24.385000000000002</v>
      </c>
      <c r="E378" s="8">
        <v>6.5000000000000002E-2</v>
      </c>
      <c r="F378" s="8">
        <v>1.042</v>
      </c>
      <c r="G378" s="8">
        <v>5.0999999999999997E-2</v>
      </c>
      <c r="H378" s="8">
        <v>9.2999999999999999E-2</v>
      </c>
      <c r="I378" s="8">
        <v>5.7000000000000002E-2</v>
      </c>
      <c r="J378" s="8">
        <v>0.12</v>
      </c>
      <c r="K378" s="39">
        <f t="shared" si="40"/>
        <v>0.29299999999999998</v>
      </c>
      <c r="L378" s="39">
        <f t="shared" si="41"/>
        <v>43.440083999999999</v>
      </c>
      <c r="M378" s="30">
        <f t="shared" si="42"/>
        <v>4875.4734974216835</v>
      </c>
      <c r="N378" s="30">
        <f>(RedShift*Age*(2*InitialTangentVelocity-UniverseAcceleration*Age))/(2+RedShift)*(1+RedShift)</f>
        <v>1.423049003632494E+26</v>
      </c>
      <c r="O378" s="36">
        <f t="shared" si="43"/>
        <v>4611.7877410655919</v>
      </c>
      <c r="P378" s="36">
        <f t="shared" si="44"/>
        <v>43.319346552734636</v>
      </c>
      <c r="Q378" s="36">
        <f t="shared" si="45"/>
        <v>0.16980432121697656</v>
      </c>
      <c r="R378" s="19">
        <v>4303.2182969767673</v>
      </c>
      <c r="S378" s="36">
        <f t="shared" si="46"/>
        <v>43.168966889334122</v>
      </c>
      <c r="T378" s="36">
        <f t="shared" si="47"/>
        <v>0.85620668494464991</v>
      </c>
      <c r="U378" s="30"/>
    </row>
    <row r="379" spans="1:21" x14ac:dyDescent="0.25">
      <c r="A379" s="35" t="s">
        <v>408</v>
      </c>
      <c r="B379" s="16">
        <v>0.73499999999999999</v>
      </c>
      <c r="C379" s="8">
        <v>1E-3</v>
      </c>
      <c r="D379" s="8">
        <v>23.998000000000001</v>
      </c>
      <c r="E379" s="8">
        <v>4.9000000000000002E-2</v>
      </c>
      <c r="F379" s="8">
        <v>0.86499999999999999</v>
      </c>
      <c r="G379" s="8">
        <v>2.5000000000000001E-2</v>
      </c>
      <c r="H379" s="8">
        <v>-6.4000000000000001E-2</v>
      </c>
      <c r="I379" s="8">
        <v>4.2000000000000003E-2</v>
      </c>
      <c r="J379" s="8">
        <v>0.12</v>
      </c>
      <c r="K379" s="39">
        <f t="shared" si="40"/>
        <v>0.23600000000000002</v>
      </c>
      <c r="L379" s="39">
        <f t="shared" si="41"/>
        <v>43.518475000000002</v>
      </c>
      <c r="M379" s="30">
        <f t="shared" si="42"/>
        <v>5054.6955189302398</v>
      </c>
      <c r="N379" s="30">
        <f>(RedShift*Age*(2*InitialTangentVelocity-UniverseAcceleration*Age))/(2+RedShift)*(1+RedShift)</f>
        <v>1.4252882349795269E+26</v>
      </c>
      <c r="O379" s="36">
        <f t="shared" si="43"/>
        <v>4619.0445956428375</v>
      </c>
      <c r="P379" s="36">
        <f t="shared" si="44"/>
        <v>43.322760776320528</v>
      </c>
      <c r="Q379" s="36">
        <f t="shared" si="45"/>
        <v>0.68773443964484138</v>
      </c>
      <c r="R379" s="19">
        <v>4310.4096604979168</v>
      </c>
      <c r="S379" s="36">
        <f t="shared" si="46"/>
        <v>43.172592736927797</v>
      </c>
      <c r="T379" s="36">
        <f t="shared" si="47"/>
        <v>2.1479915955894544</v>
      </c>
      <c r="U379" s="30"/>
    </row>
    <row r="380" spans="1:21" x14ac:dyDescent="0.25">
      <c r="A380" s="35" t="s">
        <v>409</v>
      </c>
      <c r="B380" s="16">
        <v>0.73599999999999999</v>
      </c>
      <c r="C380" s="8">
        <v>1E-3</v>
      </c>
      <c r="D380" s="8">
        <v>23.716999999999999</v>
      </c>
      <c r="E380" s="8">
        <v>4.7E-2</v>
      </c>
      <c r="F380" s="8">
        <v>1.0820000000000001</v>
      </c>
      <c r="G380" s="8">
        <v>2.1999999999999999E-2</v>
      </c>
      <c r="H380" s="8">
        <v>-7.9000000000000001E-2</v>
      </c>
      <c r="I380" s="8">
        <v>3.7999999999999999E-2</v>
      </c>
      <c r="J380" s="8">
        <v>0.12</v>
      </c>
      <c r="K380" s="39">
        <f t="shared" si="40"/>
        <v>0.22700000000000001</v>
      </c>
      <c r="L380" s="39">
        <f t="shared" si="41"/>
        <v>43.316323999999994</v>
      </c>
      <c r="M380" s="30">
        <f t="shared" si="42"/>
        <v>4605.3728887637444</v>
      </c>
      <c r="N380" s="30">
        <f>(RedShift*Age*(2*InitialTangentVelocity-UniverseAcceleration*Age))/(2+RedShift)*(1+RedShift)</f>
        <v>1.4275280639963031E+26</v>
      </c>
      <c r="O380" s="36">
        <f t="shared" si="43"/>
        <v>4626.3033871358111</v>
      </c>
      <c r="P380" s="36">
        <f t="shared" si="44"/>
        <v>43.326170549261811</v>
      </c>
      <c r="Q380" s="36">
        <f t="shared" si="45"/>
        <v>1.8815527637906851E-3</v>
      </c>
      <c r="R380" s="19">
        <v>4317.6036450949005</v>
      </c>
      <c r="S380" s="36">
        <f t="shared" si="46"/>
        <v>43.176213858531028</v>
      </c>
      <c r="T380" s="36">
        <f t="shared" si="47"/>
        <v>0.38096706209035186</v>
      </c>
      <c r="U380" s="30"/>
    </row>
    <row r="381" spans="1:21" x14ac:dyDescent="0.25">
      <c r="A381" s="35" t="s">
        <v>410</v>
      </c>
      <c r="B381" s="16">
        <v>0.73699999999999999</v>
      </c>
      <c r="C381" s="8">
        <v>1E-3</v>
      </c>
      <c r="D381" s="8">
        <v>24.315999999999999</v>
      </c>
      <c r="E381" s="8">
        <v>5.1999999999999998E-2</v>
      </c>
      <c r="F381" s="8">
        <v>0.85399999999999998</v>
      </c>
      <c r="G381" s="8">
        <v>3.2000000000000001E-2</v>
      </c>
      <c r="H381" s="8">
        <v>-3.7999999999999999E-2</v>
      </c>
      <c r="I381" s="8">
        <v>5.0999999999999997E-2</v>
      </c>
      <c r="J381" s="8">
        <v>0.12</v>
      </c>
      <c r="K381" s="39">
        <f t="shared" si="40"/>
        <v>0.255</v>
      </c>
      <c r="L381" s="39">
        <f t="shared" si="41"/>
        <v>43.753478000000001</v>
      </c>
      <c r="M381" s="30">
        <f t="shared" si="42"/>
        <v>5632.4273671951796</v>
      </c>
      <c r="N381" s="30">
        <f>(RedShift*Age*(2*InitialTangentVelocity-UniverseAcceleration*Age))/(2+RedShift)*(1+RedShift)</f>
        <v>1.4297684900277212E+26</v>
      </c>
      <c r="O381" s="36">
        <f t="shared" si="43"/>
        <v>4633.564113421472</v>
      </c>
      <c r="P381" s="36">
        <f t="shared" si="44"/>
        <v>43.329575883092474</v>
      </c>
      <c r="Q381" s="36">
        <f t="shared" si="45"/>
        <v>2.7634449014791675</v>
      </c>
      <c r="R381" s="19">
        <v>4324.8002476995389</v>
      </c>
      <c r="S381" s="36">
        <f t="shared" si="46"/>
        <v>43.179830266142631</v>
      </c>
      <c r="T381" s="36">
        <f t="shared" si="47"/>
        <v>5.0606954642014106</v>
      </c>
      <c r="U381" s="30"/>
    </row>
    <row r="382" spans="1:21" x14ac:dyDescent="0.25">
      <c r="A382" s="35" t="s">
        <v>411</v>
      </c>
      <c r="B382" s="16">
        <v>0.74</v>
      </c>
      <c r="C382" s="8">
        <v>1E-3</v>
      </c>
      <c r="D382" s="8">
        <v>24.129000000000001</v>
      </c>
      <c r="E382" s="8">
        <v>6.3E-2</v>
      </c>
      <c r="F382" s="8">
        <v>1.04</v>
      </c>
      <c r="G382" s="8">
        <v>4.4999999999999998E-2</v>
      </c>
      <c r="H382" s="8">
        <v>-0.13100000000000001</v>
      </c>
      <c r="I382" s="8">
        <v>5.2999999999999999E-2</v>
      </c>
      <c r="J382" s="8">
        <v>0.12</v>
      </c>
      <c r="K382" s="39">
        <f t="shared" si="40"/>
        <v>0.28100000000000003</v>
      </c>
      <c r="L382" s="39">
        <f t="shared" si="41"/>
        <v>43.884910000000005</v>
      </c>
      <c r="M382" s="30">
        <f t="shared" si="42"/>
        <v>5983.8679348916594</v>
      </c>
      <c r="N382" s="30">
        <f>(RedShift*Age*(2*InitialTangentVelocity-UniverseAcceleration*Age))/(2+RedShift)*(1+RedShift)</f>
        <v>1.4364933436731753E+26</v>
      </c>
      <c r="O382" s="36">
        <f t="shared" si="43"/>
        <v>4655.3578798507369</v>
      </c>
      <c r="P382" s="36">
        <f t="shared" si="44"/>
        <v>43.339765364578284</v>
      </c>
      <c r="Q382" s="36">
        <f t="shared" si="45"/>
        <v>3.7636640053834318</v>
      </c>
      <c r="R382" s="19">
        <v>4346.4057329472153</v>
      </c>
      <c r="S382" s="36">
        <f t="shared" si="46"/>
        <v>43.190651324321337</v>
      </c>
      <c r="T382" s="36">
        <f t="shared" si="47"/>
        <v>6.1042173826964961</v>
      </c>
      <c r="U382" s="30"/>
    </row>
    <row r="383" spans="1:21" x14ac:dyDescent="0.25">
      <c r="A383" s="35" t="s">
        <v>412</v>
      </c>
      <c r="B383" s="16">
        <v>0.74199999999999999</v>
      </c>
      <c r="C383" s="8">
        <v>1E-3</v>
      </c>
      <c r="D383" s="8">
        <v>24.116</v>
      </c>
      <c r="E383" s="8">
        <v>5.1999999999999998E-2</v>
      </c>
      <c r="F383" s="8">
        <v>0.95599999999999996</v>
      </c>
      <c r="G383" s="8">
        <v>0.04</v>
      </c>
      <c r="H383" s="8">
        <v>-0.03</v>
      </c>
      <c r="I383" s="8">
        <v>5.1999999999999998E-2</v>
      </c>
      <c r="J383" s="8">
        <v>0.12</v>
      </c>
      <c r="K383" s="39">
        <f t="shared" si="40"/>
        <v>0.26400000000000001</v>
      </c>
      <c r="L383" s="39">
        <f t="shared" si="41"/>
        <v>43.543431999999996</v>
      </c>
      <c r="M383" s="30">
        <f t="shared" si="42"/>
        <v>5113.1248822027446</v>
      </c>
      <c r="N383" s="30">
        <f>(RedShift*Age*(2*InitialTangentVelocity-UniverseAcceleration*Age))/(2+RedShift)*(1+RedShift)</f>
        <v>1.440979552542841E+26</v>
      </c>
      <c r="O383" s="36">
        <f t="shared" si="43"/>
        <v>4669.8966926506982</v>
      </c>
      <c r="P383" s="36">
        <f t="shared" si="44"/>
        <v>43.346536366098228</v>
      </c>
      <c r="Q383" s="36">
        <f t="shared" si="45"/>
        <v>0.55624269182706398</v>
      </c>
      <c r="R383" s="19">
        <v>4360.8224237759277</v>
      </c>
      <c r="S383" s="36">
        <f t="shared" si="46"/>
        <v>43.197842011050675</v>
      </c>
      <c r="T383" s="36">
        <f t="shared" si="47"/>
        <v>1.7136197265552087</v>
      </c>
      <c r="U383" s="30"/>
    </row>
    <row r="384" spans="1:21" x14ac:dyDescent="0.25">
      <c r="A384" s="35" t="s">
        <v>413</v>
      </c>
      <c r="B384" s="16">
        <v>0.74399999999999999</v>
      </c>
      <c r="C384" s="8">
        <v>1E-3</v>
      </c>
      <c r="D384" s="8">
        <v>23.864999999999998</v>
      </c>
      <c r="E384" s="8">
        <v>0.05</v>
      </c>
      <c r="F384" s="8">
        <v>1.0569999999999999</v>
      </c>
      <c r="G384" s="8">
        <v>3.5000000000000003E-2</v>
      </c>
      <c r="H384" s="8">
        <v>-0.02</v>
      </c>
      <c r="I384" s="8">
        <v>4.2000000000000003E-2</v>
      </c>
      <c r="J384" s="8">
        <v>0.12</v>
      </c>
      <c r="K384" s="39">
        <f t="shared" si="40"/>
        <v>0.247</v>
      </c>
      <c r="L384" s="39">
        <f t="shared" si="41"/>
        <v>43.275979</v>
      </c>
      <c r="M384" s="30">
        <f t="shared" si="42"/>
        <v>4520.5970782239547</v>
      </c>
      <c r="N384" s="30">
        <f>(RedShift*Age*(2*InitialTangentVelocity-UniverseAcceleration*Age))/(2+RedShift)*(1+RedShift)</f>
        <v>1.445468133829768E+26</v>
      </c>
      <c r="O384" s="36">
        <f t="shared" si="43"/>
        <v>4684.4431939313899</v>
      </c>
      <c r="P384" s="36">
        <f t="shared" si="44"/>
        <v>43.353289884150911</v>
      </c>
      <c r="Q384" s="36">
        <f t="shared" si="45"/>
        <v>9.7968706390788862E-2</v>
      </c>
      <c r="R384" s="19">
        <v>4375.2495133925622</v>
      </c>
      <c r="S384" s="36">
        <f t="shared" si="46"/>
        <v>43.20501412587695</v>
      </c>
      <c r="T384" s="36">
        <f t="shared" si="47"/>
        <v>8.2545417222053538E-2</v>
      </c>
      <c r="U384" s="30"/>
    </row>
    <row r="385" spans="1:21" x14ac:dyDescent="0.25">
      <c r="A385" s="35" t="s">
        <v>414</v>
      </c>
      <c r="B385" s="16">
        <v>0.745</v>
      </c>
      <c r="C385" s="8">
        <v>1E-3</v>
      </c>
      <c r="D385" s="8">
        <v>23.939</v>
      </c>
      <c r="E385" s="8">
        <v>4.9000000000000002E-2</v>
      </c>
      <c r="F385" s="8">
        <v>1.1020000000000001</v>
      </c>
      <c r="G385" s="8">
        <v>2.5000000000000001E-2</v>
      </c>
      <c r="H385" s="8">
        <v>-2.5000000000000001E-2</v>
      </c>
      <c r="I385" s="8">
        <v>4.1000000000000002E-2</v>
      </c>
      <c r="J385" s="8">
        <v>0.12</v>
      </c>
      <c r="K385" s="39">
        <f t="shared" si="40"/>
        <v>0.23500000000000001</v>
      </c>
      <c r="L385" s="39">
        <f t="shared" si="41"/>
        <v>43.372244000000002</v>
      </c>
      <c r="M385" s="30">
        <f t="shared" si="42"/>
        <v>4725.5112344867548</v>
      </c>
      <c r="N385" s="30">
        <f>(RedShift*Age*(2*InitialTangentVelocity-UniverseAcceleration*Age))/(2+RedShift)*(1+RedShift)</f>
        <v>1.4477133125092001E+26</v>
      </c>
      <c r="O385" s="36">
        <f t="shared" si="43"/>
        <v>4691.719322500312</v>
      </c>
      <c r="P385" s="36">
        <f t="shared" si="44"/>
        <v>43.356660114899242</v>
      </c>
      <c r="Q385" s="36">
        <f t="shared" si="45"/>
        <v>4.3976002686046886E-3</v>
      </c>
      <c r="R385" s="19">
        <v>4382.4669501596591</v>
      </c>
      <c r="S385" s="36">
        <f t="shared" si="46"/>
        <v>43.208593247996404</v>
      </c>
      <c r="T385" s="36">
        <f t="shared" si="47"/>
        <v>0.48495370993830744</v>
      </c>
      <c r="U385" s="30"/>
    </row>
    <row r="386" spans="1:21" x14ac:dyDescent="0.25">
      <c r="A386" s="35" t="s">
        <v>415</v>
      </c>
      <c r="B386" s="16">
        <v>0.75</v>
      </c>
      <c r="C386" s="8">
        <v>0.01</v>
      </c>
      <c r="D386" s="8">
        <v>23.855</v>
      </c>
      <c r="E386" s="8">
        <v>5.6000000000000001E-2</v>
      </c>
      <c r="F386" s="8">
        <v>1.075</v>
      </c>
      <c r="G386" s="8">
        <v>3.2000000000000001E-2</v>
      </c>
      <c r="H386" s="8">
        <v>-0.03</v>
      </c>
      <c r="I386" s="8">
        <v>4.9000000000000002E-2</v>
      </c>
      <c r="J386" s="8">
        <v>0.12</v>
      </c>
      <c r="K386" s="39">
        <f t="shared" si="40"/>
        <v>0.25700000000000001</v>
      </c>
      <c r="L386" s="39">
        <f t="shared" si="41"/>
        <v>43.299925000000002</v>
      </c>
      <c r="M386" s="30">
        <f t="shared" si="42"/>
        <v>4570.7240262073528</v>
      </c>
      <c r="N386" s="30">
        <f>(RedShift*Age*(2*InitialTangentVelocity-UniverseAcceleration*Age))/(2+RedShift)*(1+RedShift)</f>
        <v>1.458948060432279E+26</v>
      </c>
      <c r="O386" s="36">
        <f t="shared" si="43"/>
        <v>4728.1286609091512</v>
      </c>
      <c r="P386" s="36">
        <f t="shared" si="44"/>
        <v>43.373446429851001</v>
      </c>
      <c r="Q386" s="36">
        <f t="shared" si="45"/>
        <v>8.18392503646585E-2</v>
      </c>
      <c r="R386" s="19">
        <v>4418.5929326547566</v>
      </c>
      <c r="S386" s="36">
        <f t="shared" si="46"/>
        <v>43.22641996793265</v>
      </c>
      <c r="T386" s="36">
        <f t="shared" si="47"/>
        <v>8.1802748553687174E-2</v>
      </c>
      <c r="U386" s="30"/>
    </row>
    <row r="387" spans="1:21" x14ac:dyDescent="0.25">
      <c r="A387" s="35" t="s">
        <v>416</v>
      </c>
      <c r="B387" s="16">
        <v>0.751</v>
      </c>
      <c r="C387" s="8">
        <v>1E-3</v>
      </c>
      <c r="D387" s="8">
        <v>23.852</v>
      </c>
      <c r="E387" s="8">
        <v>5.0999999999999997E-2</v>
      </c>
      <c r="F387" s="8">
        <v>1.1479999999999999</v>
      </c>
      <c r="G387" s="8">
        <v>2.8000000000000001E-2</v>
      </c>
      <c r="H387" s="8">
        <v>4.2999999999999997E-2</v>
      </c>
      <c r="I387" s="8">
        <v>4.5999999999999999E-2</v>
      </c>
      <c r="J387" s="8">
        <v>0.12</v>
      </c>
      <c r="K387" s="39">
        <f t="shared" si="40"/>
        <v>0.245</v>
      </c>
      <c r="L387" s="39">
        <f t="shared" si="41"/>
        <v>43.079166000000001</v>
      </c>
      <c r="M387" s="30">
        <f t="shared" si="42"/>
        <v>4128.8889280365511</v>
      </c>
      <c r="N387" s="30">
        <f>(RedShift*Age*(2*InitialTangentVelocity-UniverseAcceleration*Age))/(2+RedShift)*(1+RedShift)</f>
        <v>1.4611967764159585E+26</v>
      </c>
      <c r="O387" s="36">
        <f t="shared" si="43"/>
        <v>4735.4162531004249</v>
      </c>
      <c r="P387" s="36">
        <f t="shared" si="44"/>
        <v>43.376790802101993</v>
      </c>
      <c r="Q387" s="36">
        <f t="shared" si="45"/>
        <v>1.4757271607871776</v>
      </c>
      <c r="R387" s="19">
        <v>4425.8258677953399</v>
      </c>
      <c r="S387" s="36">
        <f t="shared" si="46"/>
        <v>43.229971613994046</v>
      </c>
      <c r="T387" s="36">
        <f t="shared" si="47"/>
        <v>0.37888101977710803</v>
      </c>
      <c r="U387" s="30"/>
    </row>
    <row r="388" spans="1:21" x14ac:dyDescent="0.25">
      <c r="A388" s="35" t="s">
        <v>417</v>
      </c>
      <c r="B388" s="16">
        <v>0.75600000000000001</v>
      </c>
      <c r="C388" s="8">
        <v>1E-3</v>
      </c>
      <c r="D388" s="8">
        <v>24.06</v>
      </c>
      <c r="E388" s="8">
        <v>6.2E-2</v>
      </c>
      <c r="F388" s="8">
        <v>0.90800000000000003</v>
      </c>
      <c r="G388" s="8">
        <v>0.03</v>
      </c>
      <c r="H388" s="8">
        <v>-0.161</v>
      </c>
      <c r="I388" s="8">
        <v>4.5999999999999999E-2</v>
      </c>
      <c r="J388" s="8">
        <v>0.12</v>
      </c>
      <c r="K388" s="39">
        <f t="shared" si="40"/>
        <v>0.25800000000000001</v>
      </c>
      <c r="L388" s="39">
        <f t="shared" si="41"/>
        <v>43.890405999999999</v>
      </c>
      <c r="M388" s="30">
        <f t="shared" si="42"/>
        <v>5999.0322962311211</v>
      </c>
      <c r="N388" s="30">
        <f>(RedShift*Age*(2*InitialTangentVelocity-UniverseAcceleration*Age))/(2+RedShift)*(1+RedShift)</f>
        <v>1.4724491530786015E+26</v>
      </c>
      <c r="O388" s="36">
        <f t="shared" si="43"/>
        <v>4771.8827223633698</v>
      </c>
      <c r="P388" s="36">
        <f t="shared" si="44"/>
        <v>43.393448807790847</v>
      </c>
      <c r="Q388" s="36">
        <f t="shared" si="45"/>
        <v>3.7102104874767723</v>
      </c>
      <c r="R388" s="19">
        <v>4462.0290717482494</v>
      </c>
      <c r="S388" s="36">
        <f t="shared" si="46"/>
        <v>43.247661977720618</v>
      </c>
      <c r="T388" s="36">
        <f t="shared" si="47"/>
        <v>6.2063559608178114</v>
      </c>
      <c r="U388" s="30"/>
    </row>
    <row r="389" spans="1:21" x14ac:dyDescent="0.25">
      <c r="A389" s="35" t="s">
        <v>418</v>
      </c>
      <c r="B389" s="16">
        <v>0.75700000000000001</v>
      </c>
      <c r="C389" s="8">
        <v>1E-3</v>
      </c>
      <c r="D389" s="8">
        <v>24.099</v>
      </c>
      <c r="E389" s="8">
        <v>5.0999999999999997E-2</v>
      </c>
      <c r="F389" s="8">
        <v>1.1559999999999999</v>
      </c>
      <c r="G389" s="8">
        <v>3.4000000000000002E-2</v>
      </c>
      <c r="H389" s="8">
        <v>-6.0000000000000001E-3</v>
      </c>
      <c r="I389" s="8">
        <v>4.2000000000000003E-2</v>
      </c>
      <c r="J389" s="8">
        <v>0.12</v>
      </c>
      <c r="K389" s="39">
        <f t="shared" si="40"/>
        <v>0.247</v>
      </c>
      <c r="L389" s="39">
        <f t="shared" si="41"/>
        <v>43.480711999999997</v>
      </c>
      <c r="M389" s="30">
        <f t="shared" si="42"/>
        <v>4967.5517486904446</v>
      </c>
      <c r="N389" s="30">
        <f>(RedShift*Age*(2*InitialTangentVelocity-UniverseAcceleration*Age))/(2+RedShift)*(1+RedShift)</f>
        <v>1.4747013832930077E+26</v>
      </c>
      <c r="O389" s="36">
        <f t="shared" si="43"/>
        <v>4779.1817034008063</v>
      </c>
      <c r="P389" s="36">
        <f t="shared" si="44"/>
        <v>43.396767713060314</v>
      </c>
      <c r="Q389" s="36">
        <f t="shared" si="45"/>
        <v>0.11550170154914677</v>
      </c>
      <c r="R389" s="19">
        <v>4469.2773972895875</v>
      </c>
      <c r="S389" s="36">
        <f t="shared" si="46"/>
        <v>43.251186555549921</v>
      </c>
      <c r="T389" s="36">
        <f t="shared" si="47"/>
        <v>0.86351078775270451</v>
      </c>
      <c r="U389" s="30"/>
    </row>
    <row r="390" spans="1:21" x14ac:dyDescent="0.25">
      <c r="A390" s="35" t="s">
        <v>419</v>
      </c>
      <c r="B390" s="16">
        <v>0.76</v>
      </c>
      <c r="C390" s="8">
        <v>1E-3</v>
      </c>
      <c r="D390" s="8">
        <v>24.042999999999999</v>
      </c>
      <c r="E390" s="8">
        <v>4.8000000000000001E-2</v>
      </c>
      <c r="F390" s="8">
        <v>0.98699999999999999</v>
      </c>
      <c r="G390" s="8">
        <v>3.4000000000000002E-2</v>
      </c>
      <c r="H390" s="8">
        <v>-2.1000000000000001E-2</v>
      </c>
      <c r="I390" s="8">
        <v>4.2000000000000003E-2</v>
      </c>
      <c r="J390" s="8">
        <v>0.12</v>
      </c>
      <c r="K390" s="39">
        <f t="shared" si="40"/>
        <v>0.24399999999999999</v>
      </c>
      <c r="L390" s="39">
        <f t="shared" si="41"/>
        <v>43.446818999999998</v>
      </c>
      <c r="M390" s="30">
        <f t="shared" si="42"/>
        <v>4890.6186536809028</v>
      </c>
      <c r="N390" s="30">
        <f>(RedShift*Age*(2*InitialTangentVelocity-UniverseAcceleration*Age))/(2+RedShift)*(1+RedShift)</f>
        <v>1.4814615722550987E+26</v>
      </c>
      <c r="O390" s="36">
        <f t="shared" si="43"/>
        <v>4801.0899837924699</v>
      </c>
      <c r="P390" s="36">
        <f t="shared" si="44"/>
        <v>43.406699228760957</v>
      </c>
      <c r="Q390" s="36">
        <f t="shared" si="45"/>
        <v>2.7035676637211209E-2</v>
      </c>
      <c r="R390" s="19">
        <v>4491.0376898777831</v>
      </c>
      <c r="S390" s="36">
        <f t="shared" si="46"/>
        <v>43.261733498913287</v>
      </c>
      <c r="T390" s="36">
        <f t="shared" si="47"/>
        <v>0.57539375692889683</v>
      </c>
      <c r="U390" s="30"/>
    </row>
    <row r="391" spans="1:21" x14ac:dyDescent="0.25">
      <c r="A391" s="35" t="s">
        <v>420</v>
      </c>
      <c r="B391" s="16">
        <v>0.76</v>
      </c>
      <c r="C391" s="8">
        <v>0.02</v>
      </c>
      <c r="D391" s="8">
        <v>23.885000000000002</v>
      </c>
      <c r="E391" s="8">
        <v>5.7000000000000002E-2</v>
      </c>
      <c r="F391" s="8">
        <v>1.0429999999999999</v>
      </c>
      <c r="G391" s="8">
        <v>6.2E-2</v>
      </c>
      <c r="H391" s="8">
        <v>-8.8999999999999996E-2</v>
      </c>
      <c r="I391" s="8">
        <v>5.7000000000000002E-2</v>
      </c>
      <c r="J391" s="8">
        <v>0.12</v>
      </c>
      <c r="K391" s="39">
        <f t="shared" ref="K391:K454" si="48">PeakMagnitudeError+StretchError+ColorError+ScatterError</f>
        <v>0.29599999999999999</v>
      </c>
      <c r="L391" s="39">
        <f t="shared" ref="L391:L454" si="49">PeakMagnitude+α*(Stretch-1)-β*Color-Mb</f>
        <v>43.509890999999996</v>
      </c>
      <c r="M391" s="30">
        <f t="shared" ref="M391:M454" si="50">10^((ObservedDistanceModuli-25)/5)</f>
        <v>5034.753355269072</v>
      </c>
      <c r="N391" s="30">
        <f>(RedShift*Age*(2*InitialTangentVelocity-UniverseAcceleration*Age))/(2+RedShift)*(1+RedShift)</f>
        <v>1.4814615722550987E+26</v>
      </c>
      <c r="O391" s="36">
        <f t="shared" ref="O391:O454" si="51">N391/Mpc</f>
        <v>4801.0899837924699</v>
      </c>
      <c r="P391" s="36">
        <f t="shared" ref="P391:P454" si="52">(LOG10(T2LuminousDistance)*5+25)</f>
        <v>43.406699228760957</v>
      </c>
      <c r="Q391" s="36">
        <f t="shared" ref="Q391:Q454" si="53">(ObservedDistanceModuli-T2DistanceModuli)^2/TotalError^2</f>
        <v>0.1215364962044635</v>
      </c>
      <c r="R391" s="19">
        <v>4491.0376898777831</v>
      </c>
      <c r="S391" s="36">
        <f t="shared" ref="S391:S454" si="54">(LOG10(ΛCDMLuminousDistance)*5+25)</f>
        <v>43.261733498913287</v>
      </c>
      <c r="T391" s="36">
        <f t="shared" ref="T391:T454" si="55">(ObservedDistanceModuli-ΛCDMDistanceModuli)^2/TotalError^2</f>
        <v>0.70286414976260014</v>
      </c>
      <c r="U391" s="30"/>
    </row>
    <row r="392" spans="1:21" x14ac:dyDescent="0.25">
      <c r="A392" s="35" t="s">
        <v>421</v>
      </c>
      <c r="B392" s="16">
        <v>0.76300000000000001</v>
      </c>
      <c r="C392" s="8">
        <v>1E-3</v>
      </c>
      <c r="D392" s="8">
        <v>24.102</v>
      </c>
      <c r="E392" s="8">
        <v>5.0999999999999997E-2</v>
      </c>
      <c r="F392" s="8">
        <v>1.111</v>
      </c>
      <c r="G392" s="8">
        <v>2.7E-2</v>
      </c>
      <c r="H392" s="8">
        <v>1.4999999999999999E-2</v>
      </c>
      <c r="I392" s="8">
        <v>4.4999999999999998E-2</v>
      </c>
      <c r="J392" s="8">
        <v>0.12</v>
      </c>
      <c r="K392" s="39">
        <f t="shared" si="48"/>
        <v>0.24299999999999999</v>
      </c>
      <c r="L392" s="39">
        <f t="shared" si="49"/>
        <v>43.411366999999998</v>
      </c>
      <c r="M392" s="30">
        <f t="shared" si="50"/>
        <v>4811.4214498822848</v>
      </c>
      <c r="N392" s="30">
        <f>(RedShift*Age*(2*InitialTangentVelocity-UniverseAcceleration*Age))/(2+RedShift)*(1+RedShift)</f>
        <v>1.488226995401128E+26</v>
      </c>
      <c r="O392" s="36">
        <f t="shared" si="51"/>
        <v>4823.0152270190465</v>
      </c>
      <c r="P392" s="36">
        <f t="shared" si="52"/>
        <v>43.416593165300796</v>
      </c>
      <c r="Q392" s="36">
        <f t="shared" si="53"/>
        <v>4.6254472982199993E-4</v>
      </c>
      <c r="R392" s="19">
        <v>4512.8208942360252</v>
      </c>
      <c r="S392" s="36">
        <f t="shared" si="54"/>
        <v>43.272240487467208</v>
      </c>
      <c r="T392" s="36">
        <f t="shared" si="55"/>
        <v>0.32779871783665632</v>
      </c>
      <c r="U392" s="30"/>
    </row>
    <row r="393" spans="1:21" x14ac:dyDescent="0.25">
      <c r="A393" s="35" t="s">
        <v>422</v>
      </c>
      <c r="B393" s="16">
        <v>0.76300000000000001</v>
      </c>
      <c r="C393" s="8">
        <v>1E-3</v>
      </c>
      <c r="D393" s="8">
        <v>24.059000000000001</v>
      </c>
      <c r="E393" s="8">
        <v>5.1999999999999998E-2</v>
      </c>
      <c r="F393" s="8">
        <v>1.0189999999999999</v>
      </c>
      <c r="G393" s="8">
        <v>2.9000000000000001E-2</v>
      </c>
      <c r="H393" s="8">
        <v>-3.5000000000000003E-2</v>
      </c>
      <c r="I393" s="8">
        <v>4.2000000000000003E-2</v>
      </c>
      <c r="J393" s="8">
        <v>0.12</v>
      </c>
      <c r="K393" s="39">
        <f t="shared" si="48"/>
        <v>0.24299999999999999</v>
      </c>
      <c r="L393" s="39">
        <f t="shared" si="49"/>
        <v>43.511342999999997</v>
      </c>
      <c r="M393" s="30">
        <f t="shared" si="50"/>
        <v>5038.1210731965684</v>
      </c>
      <c r="N393" s="30">
        <f>(RedShift*Age*(2*InitialTangentVelocity-UniverseAcceleration*Age))/(2+RedShift)*(1+RedShift)</f>
        <v>1.488226995401128E+26</v>
      </c>
      <c r="O393" s="36">
        <f t="shared" si="51"/>
        <v>4823.0152270190465</v>
      </c>
      <c r="P393" s="36">
        <f t="shared" si="52"/>
        <v>43.416593165300796</v>
      </c>
      <c r="Q393" s="36">
        <f t="shared" si="53"/>
        <v>0.15203527876045053</v>
      </c>
      <c r="R393" s="19">
        <v>4512.8208942360252</v>
      </c>
      <c r="S393" s="36">
        <f t="shared" si="54"/>
        <v>43.272240487467208</v>
      </c>
      <c r="T393" s="36">
        <f t="shared" si="55"/>
        <v>0.9681791647528718</v>
      </c>
      <c r="U393" s="30"/>
    </row>
    <row r="394" spans="1:21" x14ac:dyDescent="0.25">
      <c r="A394" s="35" t="s">
        <v>423</v>
      </c>
      <c r="B394" s="16">
        <v>0.76600000000000001</v>
      </c>
      <c r="C394" s="8">
        <v>1E-3</v>
      </c>
      <c r="D394" s="8">
        <v>24.318999999999999</v>
      </c>
      <c r="E394" s="8">
        <v>6.3E-2</v>
      </c>
      <c r="F394" s="8">
        <v>1.07</v>
      </c>
      <c r="G394" s="8">
        <v>4.4999999999999998E-2</v>
      </c>
      <c r="H394" s="8">
        <v>1.7999999999999999E-2</v>
      </c>
      <c r="I394" s="8">
        <v>5.0999999999999997E-2</v>
      </c>
      <c r="J394" s="8">
        <v>0.12</v>
      </c>
      <c r="K394" s="39">
        <f t="shared" si="48"/>
        <v>0.27900000000000003</v>
      </c>
      <c r="L394" s="39">
        <f t="shared" si="49"/>
        <v>43.612949999999998</v>
      </c>
      <c r="M394" s="30">
        <f t="shared" si="50"/>
        <v>5279.4660322399022</v>
      </c>
      <c r="N394" s="30">
        <f>(RedShift*Age*(2*InitialTangentVelocity-UniverseAcceleration*Age))/(2+RedShift)*(1+RedShift)</f>
        <v>1.4949976357001281E+26</v>
      </c>
      <c r="O394" s="36">
        <f t="shared" si="51"/>
        <v>4844.957377886928</v>
      </c>
      <c r="P394" s="36">
        <f t="shared" si="52"/>
        <v>43.42644980411665</v>
      </c>
      <c r="Q394" s="36">
        <f t="shared" si="53"/>
        <v>0.44683808101806188</v>
      </c>
      <c r="R394" s="19">
        <v>4534.6269307265047</v>
      </c>
      <c r="S394" s="36">
        <f t="shared" si="54"/>
        <v>43.282707814652525</v>
      </c>
      <c r="T394" s="36">
        <f t="shared" si="55"/>
        <v>1.4010598654060771</v>
      </c>
      <c r="U394" s="30"/>
    </row>
    <row r="395" spans="1:21" x14ac:dyDescent="0.25">
      <c r="A395" s="35" t="s">
        <v>424</v>
      </c>
      <c r="B395" s="16">
        <v>0.76700000000000002</v>
      </c>
      <c r="C395" s="8">
        <v>1E-3</v>
      </c>
      <c r="D395" s="8">
        <v>24.228000000000002</v>
      </c>
      <c r="E395" s="8">
        <v>5.1999999999999998E-2</v>
      </c>
      <c r="F395" s="8">
        <v>1.0069999999999999</v>
      </c>
      <c r="G395" s="8">
        <v>2.9000000000000001E-2</v>
      </c>
      <c r="H395" s="8">
        <v>1.2E-2</v>
      </c>
      <c r="I395" s="8">
        <v>4.3999999999999997E-2</v>
      </c>
      <c r="J395" s="8">
        <v>0.12</v>
      </c>
      <c r="K395" s="39">
        <f t="shared" si="48"/>
        <v>0.245</v>
      </c>
      <c r="L395" s="39">
        <f t="shared" si="49"/>
        <v>43.531469000000001</v>
      </c>
      <c r="M395" s="30">
        <f t="shared" si="50"/>
        <v>5085.0332847574718</v>
      </c>
      <c r="N395" s="30">
        <f>(RedShift*Age*(2*InitialTangentVelocity-UniverseAcceleration*Age))/(2+RedShift)*(1+RedShift)</f>
        <v>1.4972556722341359E+26</v>
      </c>
      <c r="O395" s="36">
        <f t="shared" si="51"/>
        <v>4852.2751759246867</v>
      </c>
      <c r="P395" s="36">
        <f t="shared" si="52"/>
        <v>43.429727110186306</v>
      </c>
      <c r="Q395" s="36">
        <f t="shared" si="53"/>
        <v>0.17245168084734869</v>
      </c>
      <c r="R395" s="19">
        <v>4541.9006696514816</v>
      </c>
      <c r="S395" s="36">
        <f t="shared" si="54"/>
        <v>43.286188160323512</v>
      </c>
      <c r="T395" s="36">
        <f t="shared" si="55"/>
        <v>1.0022938827555801</v>
      </c>
      <c r="U395" s="30"/>
    </row>
    <row r="396" spans="1:21" x14ac:dyDescent="0.25">
      <c r="A396" s="35" t="s">
        <v>425</v>
      </c>
      <c r="B396" s="16">
        <v>0.76800000000000002</v>
      </c>
      <c r="C396" s="8">
        <v>0</v>
      </c>
      <c r="D396" s="8">
        <v>24.143999999999998</v>
      </c>
      <c r="E396" s="8">
        <v>5.0999999999999997E-2</v>
      </c>
      <c r="F396" s="8">
        <v>1.101</v>
      </c>
      <c r="G396" s="8">
        <v>2.7E-2</v>
      </c>
      <c r="H396" s="8">
        <v>-7.9000000000000001E-2</v>
      </c>
      <c r="I396" s="8">
        <v>4.2999999999999997E-2</v>
      </c>
      <c r="J396" s="8">
        <v>0.12</v>
      </c>
      <c r="K396" s="39">
        <f t="shared" si="48"/>
        <v>0.24099999999999999</v>
      </c>
      <c r="L396" s="39">
        <f t="shared" si="49"/>
        <v>43.746116999999998</v>
      </c>
      <c r="M396" s="30">
        <f t="shared" si="50"/>
        <v>5613.3665195492786</v>
      </c>
      <c r="N396" s="30">
        <f>(RedShift*Age*(2*InitialTangentVelocity-UniverseAcceleration*Age))/(2+RedShift)*(1+RedShift)</f>
        <v>1.4995142859408472E+26</v>
      </c>
      <c r="O396" s="36">
        <f t="shared" si="51"/>
        <v>4859.594844451789</v>
      </c>
      <c r="P396" s="36">
        <f t="shared" si="52"/>
        <v>43.433000313231574</v>
      </c>
      <c r="Q396" s="36">
        <f t="shared" si="53"/>
        <v>1.6880229254461105</v>
      </c>
      <c r="R396" s="19">
        <v>4549.1769337414771</v>
      </c>
      <c r="S396" s="36">
        <f t="shared" si="54"/>
        <v>43.289664142111135</v>
      </c>
      <c r="T396" s="36">
        <f t="shared" si="55"/>
        <v>3.587218048499687</v>
      </c>
      <c r="U396" s="30"/>
    </row>
    <row r="397" spans="1:21" x14ac:dyDescent="0.25">
      <c r="A397" s="35" t="s">
        <v>426</v>
      </c>
      <c r="B397" s="16">
        <v>0.76900000000000002</v>
      </c>
      <c r="C397" s="8">
        <v>2E-3</v>
      </c>
      <c r="D397" s="8">
        <v>24.212</v>
      </c>
      <c r="E397" s="8">
        <v>0.06</v>
      </c>
      <c r="F397" s="8">
        <v>1.0740000000000001</v>
      </c>
      <c r="G397" s="8">
        <v>4.5999999999999999E-2</v>
      </c>
      <c r="H397" s="8">
        <v>-0.1</v>
      </c>
      <c r="I397" s="8">
        <v>0.05</v>
      </c>
      <c r="J397" s="8">
        <v>0.12</v>
      </c>
      <c r="K397" s="39">
        <f t="shared" si="48"/>
        <v>0.27600000000000002</v>
      </c>
      <c r="L397" s="39">
        <f t="shared" si="49"/>
        <v>43.875878</v>
      </c>
      <c r="M397" s="30">
        <f t="shared" si="50"/>
        <v>5959.0303864955567</v>
      </c>
      <c r="N397" s="30">
        <f>(RedShift*Age*(2*InitialTangentVelocity-UniverseAcceleration*Age))/(2+RedShift)*(1+RedShift)</f>
        <v>1.5017734761949389E+26</v>
      </c>
      <c r="O397" s="36">
        <f t="shared" si="51"/>
        <v>4866.9163814417025</v>
      </c>
      <c r="P397" s="36">
        <f t="shared" si="52"/>
        <v>43.436269423440237</v>
      </c>
      <c r="Q397" s="36">
        <f t="shared" si="53"/>
        <v>2.5369630931645299</v>
      </c>
      <c r="R397" s="19">
        <v>4556.4557200737345</v>
      </c>
      <c r="S397" s="36">
        <f t="shared" si="54"/>
        <v>43.293135770643232</v>
      </c>
      <c r="T397" s="36">
        <f t="shared" si="55"/>
        <v>4.4579461493868919</v>
      </c>
      <c r="U397" s="30"/>
    </row>
    <row r="398" spans="1:21" x14ac:dyDescent="0.25">
      <c r="A398" s="35" t="s">
        <v>427</v>
      </c>
      <c r="B398" s="16">
        <v>0.77</v>
      </c>
      <c r="C398" s="8">
        <v>1E-3</v>
      </c>
      <c r="D398" s="8">
        <v>24.553000000000001</v>
      </c>
      <c r="E398" s="8">
        <v>5.2999999999999999E-2</v>
      </c>
      <c r="F398" s="8">
        <v>0.97</v>
      </c>
      <c r="G398" s="8">
        <v>3.4000000000000002E-2</v>
      </c>
      <c r="H398" s="8">
        <v>6.7000000000000004E-2</v>
      </c>
      <c r="I398" s="8">
        <v>4.9000000000000002E-2</v>
      </c>
      <c r="J398" s="8">
        <v>0.12</v>
      </c>
      <c r="K398" s="39">
        <f t="shared" si="48"/>
        <v>0.25600000000000001</v>
      </c>
      <c r="L398" s="39">
        <f t="shared" si="49"/>
        <v>43.678879999999999</v>
      </c>
      <c r="M398" s="30">
        <f t="shared" si="50"/>
        <v>5442.2188218955516</v>
      </c>
      <c r="N398" s="30">
        <f>(RedShift*Age*(2*InitialTangentVelocity-UniverseAcceleration*Age))/(2+RedShift)*(1+RedShift)</f>
        <v>1.5040332423719915E+26</v>
      </c>
      <c r="O398" s="36">
        <f t="shared" si="51"/>
        <v>4874.2397848708215</v>
      </c>
      <c r="P398" s="36">
        <f t="shared" si="52"/>
        <v>43.439534450961546</v>
      </c>
      <c r="Q398" s="36">
        <f t="shared" si="53"/>
        <v>0.87411944342832892</v>
      </c>
      <c r="R398" s="19">
        <v>4563.7370257299362</v>
      </c>
      <c r="S398" s="36">
        <f t="shared" si="54"/>
        <v>43.296603056508275</v>
      </c>
      <c r="T398" s="36">
        <f t="shared" si="55"/>
        <v>2.2298532337245995</v>
      </c>
      <c r="U398" s="30"/>
    </row>
    <row r="399" spans="1:21" x14ac:dyDescent="0.25">
      <c r="A399" s="35" t="s">
        <v>428</v>
      </c>
      <c r="B399" s="16">
        <v>0.77500000000000002</v>
      </c>
      <c r="C399" s="8">
        <v>1E-3</v>
      </c>
      <c r="D399" s="8">
        <v>24.050999999999998</v>
      </c>
      <c r="E399" s="8">
        <v>5.5E-2</v>
      </c>
      <c r="F399" s="8">
        <v>1.0980000000000001</v>
      </c>
      <c r="G399" s="8">
        <v>4.2000000000000003E-2</v>
      </c>
      <c r="H399" s="8">
        <v>-9.4E-2</v>
      </c>
      <c r="I399" s="8">
        <v>5.0999999999999997E-2</v>
      </c>
      <c r="J399" s="8">
        <v>0.12</v>
      </c>
      <c r="K399" s="39">
        <f t="shared" si="48"/>
        <v>0.26800000000000002</v>
      </c>
      <c r="L399" s="39">
        <f t="shared" si="49"/>
        <v>43.699625999999995</v>
      </c>
      <c r="M399" s="30">
        <f t="shared" si="50"/>
        <v>5494.4623273415218</v>
      </c>
      <c r="N399" s="30">
        <f>(RedShift*Age*(2*InitialTangentVelocity-UniverseAcceleration*Age))/(2+RedShift)*(1+RedShift)</f>
        <v>1.5153406903099916E+26</v>
      </c>
      <c r="O399" s="36">
        <f t="shared" si="51"/>
        <v>4910.884727982474</v>
      </c>
      <c r="P399" s="36">
        <f t="shared" si="52"/>
        <v>43.455798700805985</v>
      </c>
      <c r="Q399" s="36">
        <f t="shared" si="53"/>
        <v>0.82774214513595812</v>
      </c>
      <c r="R399" s="19">
        <v>4600.1812420392898</v>
      </c>
      <c r="S399" s="36">
        <f t="shared" si="54"/>
        <v>43.313874713698027</v>
      </c>
      <c r="T399" s="36">
        <f t="shared" si="55"/>
        <v>2.0717873535812923</v>
      </c>
      <c r="U399" s="30"/>
    </row>
    <row r="400" spans="1:21" x14ac:dyDescent="0.25">
      <c r="A400" s="35" t="s">
        <v>429</v>
      </c>
      <c r="B400" s="16">
        <v>0.77800000000000002</v>
      </c>
      <c r="C400" s="8">
        <v>1E-3</v>
      </c>
      <c r="D400" s="8">
        <v>24.425000000000001</v>
      </c>
      <c r="E400" s="8">
        <v>5.3999999999999999E-2</v>
      </c>
      <c r="F400" s="8">
        <v>1.01</v>
      </c>
      <c r="G400" s="8">
        <v>3.1E-2</v>
      </c>
      <c r="H400" s="8">
        <v>5.0999999999999997E-2</v>
      </c>
      <c r="I400" s="8">
        <v>5.2999999999999999E-2</v>
      </c>
      <c r="J400" s="8">
        <v>0.12</v>
      </c>
      <c r="K400" s="39">
        <f t="shared" si="48"/>
        <v>0.25800000000000001</v>
      </c>
      <c r="L400" s="39">
        <f t="shared" si="49"/>
        <v>43.606840000000005</v>
      </c>
      <c r="M400" s="30">
        <f t="shared" si="50"/>
        <v>5264.6317670735334</v>
      </c>
      <c r="N400" s="30">
        <f>(RedShift*Age*(2*InitialTangentVelocity-UniverseAcceleration*Age))/(2+RedShift)*(1+RedShift)</f>
        <v>1.5221320303813675E+26</v>
      </c>
      <c r="O400" s="36">
        <f t="shared" si="51"/>
        <v>4932.8939622439993</v>
      </c>
      <c r="P400" s="36">
        <f t="shared" si="52"/>
        <v>43.465508899723773</v>
      </c>
      <c r="Q400" s="36">
        <f t="shared" si="53"/>
        <v>0.30007932073328758</v>
      </c>
      <c r="R400" s="19">
        <v>4622.0778179049121</v>
      </c>
      <c r="S400" s="36">
        <f t="shared" si="54"/>
        <v>43.324186265215886</v>
      </c>
      <c r="T400" s="36">
        <f t="shared" si="55"/>
        <v>1.200245384703615</v>
      </c>
      <c r="U400" s="30"/>
    </row>
    <row r="401" spans="1:21" x14ac:dyDescent="0.25">
      <c r="A401" s="35" t="s">
        <v>430</v>
      </c>
      <c r="B401" s="16">
        <v>0.79</v>
      </c>
      <c r="C401" s="8">
        <v>0.01</v>
      </c>
      <c r="D401" s="8">
        <v>23.966999999999999</v>
      </c>
      <c r="E401" s="8">
        <v>5.0999999999999997E-2</v>
      </c>
      <c r="F401" s="8">
        <v>1.135</v>
      </c>
      <c r="G401" s="8">
        <v>2.4E-2</v>
      </c>
      <c r="H401" s="8">
        <v>-6.0999999999999999E-2</v>
      </c>
      <c r="I401" s="8">
        <v>4.1000000000000002E-2</v>
      </c>
      <c r="J401" s="8">
        <v>0.12</v>
      </c>
      <c r="K401" s="39">
        <f t="shared" si="48"/>
        <v>0.23599999999999999</v>
      </c>
      <c r="L401" s="39">
        <f t="shared" si="49"/>
        <v>43.517775</v>
      </c>
      <c r="M401" s="30">
        <f t="shared" si="50"/>
        <v>5053.0663402197188</v>
      </c>
      <c r="N401" s="30">
        <f>(RedShift*Age*(2*InitialTangentVelocity-UniverseAcceleration*Age))/(2+RedShift)*(1+RedShift)</f>
        <v>1.5493485560559921E+26</v>
      </c>
      <c r="O401" s="36">
        <f t="shared" si="51"/>
        <v>5021.0967150235838</v>
      </c>
      <c r="P401" s="36">
        <f t="shared" si="52"/>
        <v>43.503992933596024</v>
      </c>
      <c r="Q401" s="36">
        <f t="shared" si="53"/>
        <v>3.4103949002373198E-3</v>
      </c>
      <c r="R401" s="19">
        <v>4709.8877417542408</v>
      </c>
      <c r="S401" s="36">
        <f t="shared" si="54"/>
        <v>43.365052780105543</v>
      </c>
      <c r="T401" s="36">
        <f t="shared" si="55"/>
        <v>0.41877471361481822</v>
      </c>
      <c r="U401" s="30"/>
    </row>
    <row r="402" spans="1:21" x14ac:dyDescent="0.25">
      <c r="A402" s="35" t="s">
        <v>431</v>
      </c>
      <c r="B402" s="16">
        <v>0.79100000000000004</v>
      </c>
      <c r="C402" s="8">
        <v>3.0000000000000001E-3</v>
      </c>
      <c r="D402" s="8">
        <v>24.231999999999999</v>
      </c>
      <c r="E402" s="8">
        <v>6.7000000000000004E-2</v>
      </c>
      <c r="F402" s="8">
        <v>1.0720000000000001</v>
      </c>
      <c r="G402" s="8">
        <v>0.05</v>
      </c>
      <c r="H402" s="8">
        <v>-2.4E-2</v>
      </c>
      <c r="I402" s="8">
        <v>5.0999999999999997E-2</v>
      </c>
      <c r="J402" s="8">
        <v>0.12</v>
      </c>
      <c r="K402" s="39">
        <f t="shared" si="48"/>
        <v>0.28800000000000003</v>
      </c>
      <c r="L402" s="39">
        <f t="shared" si="49"/>
        <v>43.657703999999995</v>
      </c>
      <c r="M402" s="30">
        <f t="shared" si="50"/>
        <v>5389.4047401218295</v>
      </c>
      <c r="N402" s="30">
        <f>(RedShift*Age*(2*InitialTangentVelocity-UniverseAcceleration*Age))/(2+RedShift)*(1+RedShift)</f>
        <v>1.5516202739563482E+26</v>
      </c>
      <c r="O402" s="36">
        <f t="shared" si="51"/>
        <v>5028.4588513500767</v>
      </c>
      <c r="P402" s="36">
        <f t="shared" si="52"/>
        <v>43.507174502902728</v>
      </c>
      <c r="Q402" s="36">
        <f t="shared" si="53"/>
        <v>0.27318587838006514</v>
      </c>
      <c r="R402" s="19">
        <v>4717.2212868848528</v>
      </c>
      <c r="S402" s="36">
        <f t="shared" si="54"/>
        <v>43.36843124832501</v>
      </c>
      <c r="T402" s="36">
        <f t="shared" si="55"/>
        <v>1.0088580833046148</v>
      </c>
      <c r="U402" s="30"/>
    </row>
    <row r="403" spans="1:21" x14ac:dyDescent="0.25">
      <c r="A403" s="35" t="s">
        <v>432</v>
      </c>
      <c r="B403" s="16">
        <v>0.79800000000000004</v>
      </c>
      <c r="C403" s="8">
        <v>1.2E-2</v>
      </c>
      <c r="D403" s="8">
        <v>24.145</v>
      </c>
      <c r="E403" s="8">
        <v>5.3999999999999999E-2</v>
      </c>
      <c r="F403" s="8">
        <v>1.079</v>
      </c>
      <c r="G403" s="8">
        <v>2.9000000000000001E-2</v>
      </c>
      <c r="H403" s="8">
        <v>7.5999999999999998E-2</v>
      </c>
      <c r="I403" s="8">
        <v>4.8000000000000001E-2</v>
      </c>
      <c r="J403" s="8">
        <v>0.12</v>
      </c>
      <c r="K403" s="39">
        <f t="shared" si="48"/>
        <v>0.251</v>
      </c>
      <c r="L403" s="39">
        <f t="shared" si="49"/>
        <v>43.258732999999999</v>
      </c>
      <c r="M403" s="30">
        <f t="shared" si="50"/>
        <v>4484.8363455995814</v>
      </c>
      <c r="N403" s="30">
        <f>(RedShift*Age*(2*InitialTangentVelocity-UniverseAcceleration*Age))/(2+RedShift)*(1+RedShift)</f>
        <v>1.5675380129960331E+26</v>
      </c>
      <c r="O403" s="36">
        <f t="shared" si="51"/>
        <v>5080.0447303895999</v>
      </c>
      <c r="P403" s="36">
        <f t="shared" si="52"/>
        <v>43.529337681572997</v>
      </c>
      <c r="Q403" s="36">
        <f t="shared" si="53"/>
        <v>1.1623131964448732</v>
      </c>
      <c r="R403" s="19">
        <v>4768.6247198114525</v>
      </c>
      <c r="S403" s="36">
        <f t="shared" si="54"/>
        <v>43.391965728831053</v>
      </c>
      <c r="T403" s="36">
        <f t="shared" si="55"/>
        <v>0.28175679801541403</v>
      </c>
      <c r="U403" s="30"/>
    </row>
    <row r="404" spans="1:21" x14ac:dyDescent="0.25">
      <c r="A404" s="35" t="s">
        <v>433</v>
      </c>
      <c r="B404" s="16">
        <v>0.8</v>
      </c>
      <c r="C404" s="8">
        <v>0.02</v>
      </c>
      <c r="D404" s="8">
        <v>24.202999999999999</v>
      </c>
      <c r="E404" s="8">
        <v>5.7000000000000002E-2</v>
      </c>
      <c r="F404" s="8">
        <v>1.0089999999999999</v>
      </c>
      <c r="G404" s="8">
        <v>3.1E-2</v>
      </c>
      <c r="H404" s="8">
        <v>7.8E-2</v>
      </c>
      <c r="I404" s="8">
        <v>5.1999999999999998E-2</v>
      </c>
      <c r="J404" s="8">
        <v>0.12</v>
      </c>
      <c r="K404" s="39">
        <f t="shared" si="48"/>
        <v>0.26</v>
      </c>
      <c r="L404" s="39">
        <f t="shared" si="49"/>
        <v>43.300182999999997</v>
      </c>
      <c r="M404" s="30">
        <f t="shared" si="50"/>
        <v>4571.2671216901654</v>
      </c>
      <c r="N404" s="30">
        <f>(RedShift*Age*(2*InitialTangentVelocity-UniverseAcceleration*Age))/(2+RedShift)*(1+RedShift)</f>
        <v>1.5720909712413132E+26</v>
      </c>
      <c r="O404" s="36">
        <f t="shared" si="51"/>
        <v>5094.7998631837399</v>
      </c>
      <c r="P404" s="36">
        <f t="shared" si="52"/>
        <v>43.535635642377493</v>
      </c>
      <c r="Q404" s="36">
        <f t="shared" si="53"/>
        <v>0.82008797045184678</v>
      </c>
      <c r="R404" s="19">
        <v>4783.3333862843438</v>
      </c>
      <c r="S404" s="36">
        <f t="shared" si="54"/>
        <v>43.398653255789725</v>
      </c>
      <c r="T404" s="36">
        <f t="shared" si="55"/>
        <v>0.14343774075879348</v>
      </c>
      <c r="U404" s="30"/>
    </row>
    <row r="405" spans="1:21" x14ac:dyDescent="0.25">
      <c r="A405" s="35" t="s">
        <v>434</v>
      </c>
      <c r="B405" s="16">
        <v>0.8</v>
      </c>
      <c r="C405" s="8">
        <v>0.02</v>
      </c>
      <c r="D405" s="8">
        <v>24.512</v>
      </c>
      <c r="E405" s="8">
        <v>6.0999999999999999E-2</v>
      </c>
      <c r="F405" s="8">
        <v>0.87</v>
      </c>
      <c r="G405" s="8">
        <v>3.9E-2</v>
      </c>
      <c r="H405" s="8">
        <v>-4.4999999999999998E-2</v>
      </c>
      <c r="I405" s="8">
        <v>5.1999999999999998E-2</v>
      </c>
      <c r="J405" s="8">
        <v>0.12</v>
      </c>
      <c r="K405" s="39">
        <f t="shared" si="48"/>
        <v>0.27200000000000002</v>
      </c>
      <c r="L405" s="39">
        <f t="shared" si="49"/>
        <v>43.973739999999999</v>
      </c>
      <c r="M405" s="30">
        <f t="shared" si="50"/>
        <v>6233.7301742668615</v>
      </c>
      <c r="N405" s="30">
        <f>(RedShift*Age*(2*InitialTangentVelocity-UniverseAcceleration*Age))/(2+RedShift)*(1+RedShift)</f>
        <v>1.5720909712413132E+26</v>
      </c>
      <c r="O405" s="36">
        <f t="shared" si="51"/>
        <v>5094.7998631837399</v>
      </c>
      <c r="P405" s="36">
        <f t="shared" si="52"/>
        <v>43.535635642377493</v>
      </c>
      <c r="Q405" s="36">
        <f t="shared" si="53"/>
        <v>2.5942829283065159</v>
      </c>
      <c r="R405" s="19">
        <v>4783.3333862843438</v>
      </c>
      <c r="S405" s="36">
        <f t="shared" si="54"/>
        <v>43.398653255789725</v>
      </c>
      <c r="T405" s="36">
        <f t="shared" si="55"/>
        <v>4.4702200930792282</v>
      </c>
      <c r="U405" s="30"/>
    </row>
    <row r="406" spans="1:21" x14ac:dyDescent="0.25">
      <c r="A406" s="35" t="s">
        <v>435</v>
      </c>
      <c r="B406" s="16">
        <v>0.80500000000000005</v>
      </c>
      <c r="C406" s="8">
        <v>1E-3</v>
      </c>
      <c r="D406" s="8">
        <v>23.913</v>
      </c>
      <c r="E406" s="8">
        <v>5.6000000000000001E-2</v>
      </c>
      <c r="F406" s="8">
        <v>1.0509999999999999</v>
      </c>
      <c r="G406" s="8">
        <v>4.7E-2</v>
      </c>
      <c r="H406" s="8">
        <v>-0.11</v>
      </c>
      <c r="I406" s="8">
        <v>4.2999999999999997E-2</v>
      </c>
      <c r="J406" s="8">
        <v>0.12</v>
      </c>
      <c r="K406" s="39">
        <f t="shared" si="48"/>
        <v>0.26600000000000001</v>
      </c>
      <c r="L406" s="39">
        <f t="shared" si="49"/>
        <v>43.604797000000005</v>
      </c>
      <c r="M406" s="30">
        <f t="shared" si="50"/>
        <v>5259.6809398882397</v>
      </c>
      <c r="N406" s="30">
        <f>(RedShift*Age*(2*InitialTangentVelocity-UniverseAcceleration*Age))/(2+RedShift)*(1+RedShift)</f>
        <v>1.5834831040221197E+26</v>
      </c>
      <c r="O406" s="36">
        <f t="shared" si="51"/>
        <v>5131.7192511802214</v>
      </c>
      <c r="P406" s="36">
        <f t="shared" si="52"/>
        <v>43.551314443699169</v>
      </c>
      <c r="Q406" s="36">
        <f t="shared" si="53"/>
        <v>4.0426025050483781E-2</v>
      </c>
      <c r="R406" s="19">
        <v>4820.1475468585268</v>
      </c>
      <c r="S406" s="36">
        <f t="shared" si="54"/>
        <v>43.415301661947083</v>
      </c>
      <c r="T406" s="36">
        <f t="shared" si="55"/>
        <v>0.50749735914680083</v>
      </c>
      <c r="U406" s="30"/>
    </row>
    <row r="407" spans="1:21" x14ac:dyDescent="0.25">
      <c r="A407" s="35" t="s">
        <v>436</v>
      </c>
      <c r="B407" s="16">
        <v>0.80500000000000005</v>
      </c>
      <c r="C407" s="8">
        <v>1E-3</v>
      </c>
      <c r="D407" s="8">
        <v>24.388000000000002</v>
      </c>
      <c r="E407" s="8">
        <v>7.0000000000000007E-2</v>
      </c>
      <c r="F407" s="8">
        <v>0.97199999999999998</v>
      </c>
      <c r="G407" s="8">
        <v>4.2999999999999997E-2</v>
      </c>
      <c r="H407" s="8">
        <v>0.09</v>
      </c>
      <c r="I407" s="8">
        <v>5.3999999999999999E-2</v>
      </c>
      <c r="J407" s="8">
        <v>0.12</v>
      </c>
      <c r="K407" s="39">
        <f t="shared" si="48"/>
        <v>0.28700000000000003</v>
      </c>
      <c r="L407" s="39">
        <f t="shared" si="49"/>
        <v>43.442183999999997</v>
      </c>
      <c r="M407" s="30">
        <f t="shared" si="50"/>
        <v>4880.1907789523784</v>
      </c>
      <c r="N407" s="30">
        <f>(RedShift*Age*(2*InitialTangentVelocity-UniverseAcceleration*Age))/(2+RedShift)*(1+RedShift)</f>
        <v>1.5834831040221197E+26</v>
      </c>
      <c r="O407" s="36">
        <f t="shared" si="51"/>
        <v>5131.7192511802214</v>
      </c>
      <c r="P407" s="36">
        <f t="shared" si="52"/>
        <v>43.551314443699169</v>
      </c>
      <c r="Q407" s="36">
        <f t="shared" si="53"/>
        <v>0.14458660105110116</v>
      </c>
      <c r="R407" s="19">
        <v>4820.1475468585268</v>
      </c>
      <c r="S407" s="36">
        <f t="shared" si="54"/>
        <v>43.415301661947083</v>
      </c>
      <c r="T407" s="36">
        <f t="shared" si="55"/>
        <v>8.7734475250538114E-3</v>
      </c>
      <c r="U407" s="30"/>
    </row>
    <row r="408" spans="1:21" x14ac:dyDescent="0.25">
      <c r="A408" s="35" t="s">
        <v>437</v>
      </c>
      <c r="B408" s="16">
        <v>0.80800000000000005</v>
      </c>
      <c r="C408" s="8">
        <v>1E-3</v>
      </c>
      <c r="D408" s="8">
        <v>24.481000000000002</v>
      </c>
      <c r="E408" s="8">
        <v>6.6000000000000003E-2</v>
      </c>
      <c r="F408" s="8">
        <v>1.0249999999999999</v>
      </c>
      <c r="G408" s="8">
        <v>4.8000000000000001E-2</v>
      </c>
      <c r="H408" s="8">
        <v>4.7E-2</v>
      </c>
      <c r="I408" s="8">
        <v>5.3999999999999999E-2</v>
      </c>
      <c r="J408" s="8">
        <v>0.12</v>
      </c>
      <c r="K408" s="39">
        <f t="shared" si="48"/>
        <v>0.28800000000000003</v>
      </c>
      <c r="L408" s="39">
        <f t="shared" si="49"/>
        <v>43.677565000000001</v>
      </c>
      <c r="M408" s="30">
        <f t="shared" si="50"/>
        <v>5438.9241213802597</v>
      </c>
      <c r="N408" s="30">
        <f>(RedShift*Age*(2*InitialTangentVelocity-UniverseAcceleration*Age))/(2+RedShift)*(1+RedShift)</f>
        <v>1.5903250368273473E+26</v>
      </c>
      <c r="O408" s="36">
        <f t="shared" si="51"/>
        <v>5153.8924453258896</v>
      </c>
      <c r="P408" s="36">
        <f t="shared" si="52"/>
        <v>43.560676755893155</v>
      </c>
      <c r="Q408" s="36">
        <f t="shared" si="53"/>
        <v>0.16472392952331277</v>
      </c>
      <c r="R408" s="19">
        <v>4842.2650714196197</v>
      </c>
      <c r="S408" s="36">
        <f t="shared" si="54"/>
        <v>43.425242797796145</v>
      </c>
      <c r="T408" s="36">
        <f t="shared" si="55"/>
        <v>0.76758407751017477</v>
      </c>
      <c r="U408" s="30"/>
    </row>
    <row r="409" spans="1:21" x14ac:dyDescent="0.25">
      <c r="A409" s="35" t="s">
        <v>438</v>
      </c>
      <c r="B409" s="16">
        <v>0.81</v>
      </c>
      <c r="C409" s="8">
        <v>0.02</v>
      </c>
      <c r="D409" s="8">
        <v>24.617000000000001</v>
      </c>
      <c r="E409" s="8">
        <v>0.06</v>
      </c>
      <c r="F409" s="8">
        <v>0.95599999999999996</v>
      </c>
      <c r="G409" s="8">
        <v>4.2999999999999997E-2</v>
      </c>
      <c r="H409" s="8">
        <v>-8.3000000000000004E-2</v>
      </c>
      <c r="I409" s="8">
        <v>5.1999999999999998E-2</v>
      </c>
      <c r="J409" s="8">
        <v>0.12</v>
      </c>
      <c r="K409" s="39">
        <f t="shared" si="48"/>
        <v>0.27500000000000002</v>
      </c>
      <c r="L409" s="39">
        <f t="shared" si="49"/>
        <v>44.210321999999998</v>
      </c>
      <c r="M409" s="30">
        <f t="shared" si="50"/>
        <v>6951.2738794013885</v>
      </c>
      <c r="N409" s="30">
        <f>(RedShift*Age*(2*InitialTangentVelocity-UniverseAcceleration*Age))/(2+RedShift)*(1+RedShift)</f>
        <v>1.5948890876392076E+26</v>
      </c>
      <c r="O409" s="36">
        <f t="shared" si="51"/>
        <v>5168.6835266800872</v>
      </c>
      <c r="P409" s="36">
        <f t="shared" si="52"/>
        <v>43.56689970782611</v>
      </c>
      <c r="Q409" s="36">
        <f t="shared" si="53"/>
        <v>5.4742776339345447</v>
      </c>
      <c r="R409" s="19">
        <v>4857.0221369303508</v>
      </c>
      <c r="S409" s="36">
        <f t="shared" si="54"/>
        <v>43.43185041434355</v>
      </c>
      <c r="T409" s="36">
        <f t="shared" si="55"/>
        <v>8.0134612849515836</v>
      </c>
      <c r="U409" s="30"/>
    </row>
    <row r="410" spans="1:21" x14ac:dyDescent="0.25">
      <c r="A410" s="35" t="s">
        <v>439</v>
      </c>
      <c r="B410" s="16">
        <v>0.81</v>
      </c>
      <c r="C410" s="8">
        <v>0.01</v>
      </c>
      <c r="D410" s="8">
        <v>24.262</v>
      </c>
      <c r="E410" s="8">
        <v>7.4999999999999997E-2</v>
      </c>
      <c r="F410" s="8">
        <v>1.024</v>
      </c>
      <c r="G410" s="8">
        <v>6.0999999999999999E-2</v>
      </c>
      <c r="H410" s="8">
        <v>1.0999999999999999E-2</v>
      </c>
      <c r="I410" s="8">
        <v>5.3999999999999999E-2</v>
      </c>
      <c r="J410" s="8">
        <v>0.12</v>
      </c>
      <c r="K410" s="39">
        <f t="shared" si="48"/>
        <v>0.31</v>
      </c>
      <c r="L410" s="39">
        <f t="shared" si="49"/>
        <v>43.571097999999999</v>
      </c>
      <c r="M410" s="30">
        <f t="shared" si="50"/>
        <v>5178.6862482952329</v>
      </c>
      <c r="N410" s="30">
        <f>(RedShift*Age*(2*InitialTangentVelocity-UniverseAcceleration*Age))/(2+RedShift)*(1+RedShift)</f>
        <v>1.5948890876392076E+26</v>
      </c>
      <c r="O410" s="36">
        <f t="shared" si="51"/>
        <v>5168.6835266800872</v>
      </c>
      <c r="P410" s="36">
        <f t="shared" si="52"/>
        <v>43.56689970782611</v>
      </c>
      <c r="Q410" s="36">
        <f t="shared" si="53"/>
        <v>1.8340954398896509E-4</v>
      </c>
      <c r="R410" s="19">
        <v>4857.0221369303508</v>
      </c>
      <c r="S410" s="36">
        <f t="shared" si="54"/>
        <v>43.43185041434355</v>
      </c>
      <c r="T410" s="36">
        <f t="shared" si="55"/>
        <v>0.20176784715036464</v>
      </c>
      <c r="U410" s="30"/>
    </row>
    <row r="411" spans="1:21" x14ac:dyDescent="0.25">
      <c r="A411" s="35" t="s">
        <v>440</v>
      </c>
      <c r="B411" s="16">
        <v>0.81100000000000005</v>
      </c>
      <c r="C411" s="8">
        <v>1E-3</v>
      </c>
      <c r="D411" s="8">
        <v>24.402000000000001</v>
      </c>
      <c r="E411" s="8">
        <v>6.0999999999999999E-2</v>
      </c>
      <c r="F411" s="8">
        <v>0.98099999999999998</v>
      </c>
      <c r="G411" s="8">
        <v>3.5999999999999997E-2</v>
      </c>
      <c r="H411" s="8">
        <v>2.1000000000000001E-2</v>
      </c>
      <c r="I411" s="8">
        <v>0.05</v>
      </c>
      <c r="J411" s="8">
        <v>0.12</v>
      </c>
      <c r="K411" s="39">
        <f t="shared" si="48"/>
        <v>0.26700000000000002</v>
      </c>
      <c r="L411" s="39">
        <f t="shared" si="49"/>
        <v>43.673477000000005</v>
      </c>
      <c r="M411" s="30">
        <f t="shared" si="50"/>
        <v>5428.6944699499018</v>
      </c>
      <c r="N411" s="30">
        <f>(RedShift*Age*(2*InitialTangentVelocity-UniverseAcceleration*Age))/(2+RedShift)*(1+RedShift)</f>
        <v>1.5971719399588509E+26</v>
      </c>
      <c r="O411" s="36">
        <f t="shared" si="51"/>
        <v>5176.0817472020235</v>
      </c>
      <c r="P411" s="36">
        <f t="shared" si="52"/>
        <v>43.570005633201205</v>
      </c>
      <c r="Q411" s="36">
        <f t="shared" si="53"/>
        <v>0.15018198806564587</v>
      </c>
      <c r="R411" s="19">
        <v>4864.4042761897581</v>
      </c>
      <c r="S411" s="36">
        <f t="shared" si="54"/>
        <v>43.435148307908754</v>
      </c>
      <c r="T411" s="36">
        <f t="shared" si="55"/>
        <v>0.79676479504448594</v>
      </c>
      <c r="U411" s="30"/>
    </row>
    <row r="412" spans="1:21" x14ac:dyDescent="0.25">
      <c r="A412" s="35" t="s">
        <v>441</v>
      </c>
      <c r="B412" s="16">
        <v>0.81299999999999994</v>
      </c>
      <c r="C412" s="8">
        <v>1E-3</v>
      </c>
      <c r="D412" s="8">
        <v>24.294</v>
      </c>
      <c r="E412" s="8">
        <v>5.8000000000000003E-2</v>
      </c>
      <c r="F412" s="8">
        <v>0.95399999999999996</v>
      </c>
      <c r="G412" s="8">
        <v>0.03</v>
      </c>
      <c r="H412" s="8">
        <v>-0.104</v>
      </c>
      <c r="I412" s="8">
        <v>4.5999999999999999E-2</v>
      </c>
      <c r="J412" s="8">
        <v>0.12</v>
      </c>
      <c r="K412" s="39">
        <f t="shared" si="48"/>
        <v>0.254</v>
      </c>
      <c r="L412" s="39">
        <f t="shared" si="49"/>
        <v>43.952758000000003</v>
      </c>
      <c r="M412" s="30">
        <f t="shared" si="50"/>
        <v>6173.7864038087719</v>
      </c>
      <c r="N412" s="30">
        <f>(RedShift*Age*(2*InitialTangentVelocity-UniverseAcceleration*Age))/(2+RedShift)*(1+RedShift)</f>
        <v>1.6017392954859487E+26</v>
      </c>
      <c r="O412" s="36">
        <f t="shared" si="51"/>
        <v>5190.8835384089252</v>
      </c>
      <c r="P412" s="36">
        <f t="shared" si="52"/>
        <v>43.576206426234222</v>
      </c>
      <c r="Q412" s="36">
        <f t="shared" si="53"/>
        <v>2.1977662549675459</v>
      </c>
      <c r="R412" s="19">
        <v>4879.1757540302979</v>
      </c>
      <c r="S412" s="36">
        <f t="shared" si="54"/>
        <v>43.441732311129869</v>
      </c>
      <c r="T412" s="36">
        <f t="shared" si="55"/>
        <v>4.0477905432016144</v>
      </c>
      <c r="U412" s="30"/>
    </row>
    <row r="413" spans="1:21" x14ac:dyDescent="0.25">
      <c r="A413" s="35" t="s">
        <v>442</v>
      </c>
      <c r="B413" s="16">
        <v>0.81699999999999995</v>
      </c>
      <c r="C413" s="8">
        <v>1E-3</v>
      </c>
      <c r="D413" s="8">
        <v>24.292999999999999</v>
      </c>
      <c r="E413" s="8">
        <v>0.06</v>
      </c>
      <c r="F413" s="8">
        <v>1.139</v>
      </c>
      <c r="G413" s="8">
        <v>5.1999999999999998E-2</v>
      </c>
      <c r="H413" s="8">
        <v>-2.1999999999999999E-2</v>
      </c>
      <c r="I413" s="8">
        <v>4.8000000000000001E-2</v>
      </c>
      <c r="J413" s="8">
        <v>0.12</v>
      </c>
      <c r="K413" s="39">
        <f t="shared" si="48"/>
        <v>0.27999999999999997</v>
      </c>
      <c r="L413" s="39">
        <f t="shared" si="49"/>
        <v>43.722293000000001</v>
      </c>
      <c r="M413" s="30">
        <f t="shared" si="50"/>
        <v>5552.1168791955197</v>
      </c>
      <c r="N413" s="30">
        <f>(RedShift*Age*(2*InitialTangentVelocity-UniverseAcceleration*Age))/(2+RedShift)*(1+RedShift)</f>
        <v>1.6108805936821398E+26</v>
      </c>
      <c r="O413" s="36">
        <f t="shared" si="51"/>
        <v>5220.5084682960942</v>
      </c>
      <c r="P413" s="36">
        <f t="shared" si="52"/>
        <v>43.58856402288572</v>
      </c>
      <c r="Q413" s="36">
        <f t="shared" si="53"/>
        <v>0.22810509336775264</v>
      </c>
      <c r="R413" s="19">
        <v>4908.7474306175363</v>
      </c>
      <c r="S413" s="36">
        <f t="shared" si="54"/>
        <v>43.45485343478029</v>
      </c>
      <c r="T413" s="36">
        <f t="shared" si="55"/>
        <v>0.91229491128708984</v>
      </c>
      <c r="U413" s="30"/>
    </row>
    <row r="414" spans="1:21" x14ac:dyDescent="0.25">
      <c r="A414" s="35" t="s">
        <v>443</v>
      </c>
      <c r="B414" s="16">
        <v>0.82</v>
      </c>
      <c r="C414" s="8">
        <v>0.02</v>
      </c>
      <c r="D414" s="8">
        <v>24.215</v>
      </c>
      <c r="E414" s="8">
        <v>6.7000000000000004E-2</v>
      </c>
      <c r="F414" s="8">
        <v>1.2190000000000001</v>
      </c>
      <c r="G414" s="8">
        <v>8.5000000000000006E-2</v>
      </c>
      <c r="H414" s="8">
        <v>1.7999999999999999E-2</v>
      </c>
      <c r="I414" s="8">
        <v>6.0999999999999999E-2</v>
      </c>
      <c r="J414" s="8">
        <v>0.12</v>
      </c>
      <c r="K414" s="39">
        <f t="shared" si="48"/>
        <v>0.33300000000000002</v>
      </c>
      <c r="L414" s="39">
        <f t="shared" si="49"/>
        <v>43.530853</v>
      </c>
      <c r="M414" s="30">
        <f t="shared" si="50"/>
        <v>5083.5909748127424</v>
      </c>
      <c r="N414" s="30">
        <f>(RedShift*Age*(2*InitialTangentVelocity-UniverseAcceleration*Age))/(2+RedShift)*(1+RedShift)</f>
        <v>1.617742312683584E+26</v>
      </c>
      <c r="O414" s="36">
        <f t="shared" si="51"/>
        <v>5242.7457851367089</v>
      </c>
      <c r="P414" s="36">
        <f t="shared" si="52"/>
        <v>43.597793998859494</v>
      </c>
      <c r="Q414" s="36">
        <f t="shared" si="53"/>
        <v>4.0410656857819242E-2</v>
      </c>
      <c r="R414" s="19">
        <v>4930.9512332501263</v>
      </c>
      <c r="S414" s="36">
        <f t="shared" si="54"/>
        <v>43.46465353705733</v>
      </c>
      <c r="T414" s="36">
        <f t="shared" si="55"/>
        <v>3.9520321167094578E-2</v>
      </c>
      <c r="U414" s="30"/>
    </row>
    <row r="415" spans="1:21" x14ac:dyDescent="0.25">
      <c r="A415" s="35" t="s">
        <v>444</v>
      </c>
      <c r="B415" s="16">
        <v>0.82199999999999995</v>
      </c>
      <c r="C415" s="8">
        <v>0</v>
      </c>
      <c r="D415" s="8">
        <v>24.376999999999999</v>
      </c>
      <c r="E415" s="8">
        <v>5.7000000000000002E-2</v>
      </c>
      <c r="F415" s="8">
        <v>0.93400000000000005</v>
      </c>
      <c r="G415" s="8">
        <v>2.5999999999999999E-2</v>
      </c>
      <c r="H415" s="8">
        <v>-8.4000000000000005E-2</v>
      </c>
      <c r="I415" s="8">
        <v>4.7E-2</v>
      </c>
      <c r="J415" s="8">
        <v>0.12</v>
      </c>
      <c r="K415" s="39">
        <f t="shared" si="48"/>
        <v>0.25</v>
      </c>
      <c r="L415" s="39">
        <f t="shared" si="49"/>
        <v>43.970218000000003</v>
      </c>
      <c r="M415" s="30">
        <f t="shared" si="50"/>
        <v>6223.6276271734932</v>
      </c>
      <c r="N415" s="30">
        <f>(RedShift*Age*(2*InitialTangentVelocity-UniverseAcceleration*Age))/(2+RedShift)*(1+RedShift)</f>
        <v>1.6223195191755277E+26</v>
      </c>
      <c r="O415" s="36">
        <f t="shared" si="51"/>
        <v>5257.5795011464797</v>
      </c>
      <c r="P415" s="36">
        <f t="shared" si="52"/>
        <v>43.603929242405847</v>
      </c>
      <c r="Q415" s="36">
        <f t="shared" si="53"/>
        <v>2.1466792630379183</v>
      </c>
      <c r="R415" s="19">
        <v>4945.7656540292319</v>
      </c>
      <c r="S415" s="36">
        <f t="shared" si="54"/>
        <v>43.471167671354522</v>
      </c>
      <c r="T415" s="36">
        <f t="shared" si="55"/>
        <v>3.984819688338602</v>
      </c>
      <c r="U415" s="30"/>
    </row>
    <row r="416" spans="1:21" x14ac:dyDescent="0.25">
      <c r="A416" s="35" t="s">
        <v>445</v>
      </c>
      <c r="B416" s="16">
        <v>0.83</v>
      </c>
      <c r="C416" s="8">
        <v>0.01</v>
      </c>
      <c r="D416" s="8">
        <v>24.353000000000002</v>
      </c>
      <c r="E416" s="8">
        <v>0.06</v>
      </c>
      <c r="F416" s="8">
        <v>1.242</v>
      </c>
      <c r="G416" s="8">
        <v>4.2000000000000003E-2</v>
      </c>
      <c r="H416" s="8">
        <v>-1.7999999999999999E-2</v>
      </c>
      <c r="I416" s="8">
        <v>4.7E-2</v>
      </c>
      <c r="J416" s="8">
        <v>0.12</v>
      </c>
      <c r="K416" s="39">
        <f t="shared" si="48"/>
        <v>0.26900000000000002</v>
      </c>
      <c r="L416" s="39">
        <f t="shared" si="49"/>
        <v>43.784914000000001</v>
      </c>
      <c r="M416" s="30">
        <f t="shared" si="50"/>
        <v>5714.5600401518441</v>
      </c>
      <c r="N416" s="30">
        <f>(RedShift*Age*(2*InitialTangentVelocity-UniverseAcceleration*Age))/(2+RedShift)*(1+RedShift)</f>
        <v>1.6406500621838449E+26</v>
      </c>
      <c r="O416" s="36">
        <f t="shared" si="51"/>
        <v>5316.9847453208158</v>
      </c>
      <c r="P416" s="36">
        <f t="shared" si="52"/>
        <v>43.628327071523408</v>
      </c>
      <c r="Q416" s="36">
        <f t="shared" si="53"/>
        <v>0.33884918906224981</v>
      </c>
      <c r="R416" s="19">
        <v>5005.1179566531691</v>
      </c>
      <c r="S416" s="36">
        <f t="shared" si="54"/>
        <v>43.497071585220468</v>
      </c>
      <c r="T416" s="36">
        <f t="shared" si="55"/>
        <v>1.1449987665470713</v>
      </c>
      <c r="U416" s="30"/>
    </row>
    <row r="417" spans="1:21" x14ac:dyDescent="0.25">
      <c r="A417" s="35" t="s">
        <v>446</v>
      </c>
      <c r="B417" s="16">
        <v>0.83</v>
      </c>
      <c r="C417" s="8">
        <v>0.02</v>
      </c>
      <c r="D417" s="8">
        <v>24.111000000000001</v>
      </c>
      <c r="E417" s="8">
        <v>0.06</v>
      </c>
      <c r="F417" s="8">
        <v>1.0489999999999999</v>
      </c>
      <c r="G417" s="8">
        <v>0.03</v>
      </c>
      <c r="H417" s="8">
        <v>-0.18</v>
      </c>
      <c r="I417" s="8">
        <v>4.5999999999999999E-2</v>
      </c>
      <c r="J417" s="8">
        <v>0.12</v>
      </c>
      <c r="K417" s="39">
        <f t="shared" si="48"/>
        <v>0.25600000000000001</v>
      </c>
      <c r="L417" s="39">
        <f t="shared" si="49"/>
        <v>44.021602999999999</v>
      </c>
      <c r="M417" s="30">
        <f t="shared" si="50"/>
        <v>6372.6578250729781</v>
      </c>
      <c r="N417" s="30">
        <f>(RedShift*Age*(2*InitialTangentVelocity-UniverseAcceleration*Age))/(2+RedShift)*(1+RedShift)</f>
        <v>1.6406500621838449E+26</v>
      </c>
      <c r="O417" s="36">
        <f t="shared" si="51"/>
        <v>5316.9847453208158</v>
      </c>
      <c r="P417" s="36">
        <f t="shared" si="52"/>
        <v>43.628327071523408</v>
      </c>
      <c r="Q417" s="36">
        <f t="shared" si="53"/>
        <v>2.3600151965198446</v>
      </c>
      <c r="R417" s="19">
        <v>5005.1179566531691</v>
      </c>
      <c r="S417" s="36">
        <f t="shared" si="54"/>
        <v>43.497071585220468</v>
      </c>
      <c r="T417" s="36">
        <f t="shared" si="55"/>
        <v>4.1981995405672716</v>
      </c>
      <c r="U417" s="30"/>
    </row>
    <row r="418" spans="1:21" x14ac:dyDescent="0.25">
      <c r="A418" s="35" t="s">
        <v>447</v>
      </c>
      <c r="B418" s="16">
        <v>0.83599999999999997</v>
      </c>
      <c r="C418" s="8">
        <v>1E-3</v>
      </c>
      <c r="D418" s="8">
        <v>24.318999999999999</v>
      </c>
      <c r="E418" s="8">
        <v>8.1000000000000003E-2</v>
      </c>
      <c r="F418" s="8">
        <v>0.93300000000000005</v>
      </c>
      <c r="G418" s="8">
        <v>0.10199999999999999</v>
      </c>
      <c r="H418" s="8">
        <v>-0.04</v>
      </c>
      <c r="I418" s="8">
        <v>6.9000000000000006E-2</v>
      </c>
      <c r="J418" s="8">
        <v>0.12</v>
      </c>
      <c r="K418" s="39">
        <f t="shared" si="48"/>
        <v>0.372</v>
      </c>
      <c r="L418" s="39">
        <f t="shared" si="49"/>
        <v>43.774350999999996</v>
      </c>
      <c r="M418" s="30">
        <f t="shared" si="50"/>
        <v>5686.8294001838522</v>
      </c>
      <c r="N418" s="30">
        <f>(RedShift*Age*(2*InitialTangentVelocity-UniverseAcceleration*Age))/(2+RedShift)*(1+RedShift)</f>
        <v>1.6544206436844581E+26</v>
      </c>
      <c r="O418" s="36">
        <f t="shared" si="51"/>
        <v>5361.6121606731776</v>
      </c>
      <c r="P418" s="36">
        <f t="shared" si="52"/>
        <v>43.646476977578395</v>
      </c>
      <c r="Q418" s="36">
        <f t="shared" si="53"/>
        <v>0.11816225582639664</v>
      </c>
      <c r="R418" s="19">
        <v>5049.7309362213273</v>
      </c>
      <c r="S418" s="36">
        <f t="shared" si="54"/>
        <v>43.516341191556251</v>
      </c>
      <c r="T418" s="36">
        <f t="shared" si="55"/>
        <v>0.48104593922113897</v>
      </c>
      <c r="U418" s="30"/>
    </row>
    <row r="419" spans="1:21" x14ac:dyDescent="0.25">
      <c r="A419" s="35" t="s">
        <v>448</v>
      </c>
      <c r="B419" s="16">
        <v>0.83899999999999997</v>
      </c>
      <c r="C419" s="8">
        <v>1E-3</v>
      </c>
      <c r="D419" s="8">
        <v>24.396999999999998</v>
      </c>
      <c r="E419" s="8">
        <v>5.1999999999999998E-2</v>
      </c>
      <c r="F419" s="8">
        <v>0.98499999999999999</v>
      </c>
      <c r="G419" s="8">
        <v>4.7E-2</v>
      </c>
      <c r="H419" s="8">
        <v>0</v>
      </c>
      <c r="I419" s="8">
        <v>4.3999999999999997E-2</v>
      </c>
      <c r="J419" s="8">
        <v>0.12</v>
      </c>
      <c r="K419" s="39">
        <f t="shared" si="48"/>
        <v>0.26300000000000001</v>
      </c>
      <c r="L419" s="39">
        <f t="shared" si="49"/>
        <v>43.734794999999998</v>
      </c>
      <c r="M419" s="30">
        <f t="shared" si="50"/>
        <v>5584.174742944756</v>
      </c>
      <c r="N419" s="30">
        <f>(RedShift*Age*(2*InitialTangentVelocity-UniverseAcceleration*Age))/(2+RedShift)*(1+RedShift)</f>
        <v>1.661313178943126E+26</v>
      </c>
      <c r="O419" s="36">
        <f t="shared" si="51"/>
        <v>5383.94934620203</v>
      </c>
      <c r="P419" s="36">
        <f t="shared" si="52"/>
        <v>43.655504826316943</v>
      </c>
      <c r="Q419" s="36">
        <f t="shared" si="53"/>
        <v>9.0892330996387882E-2</v>
      </c>
      <c r="R419" s="19">
        <v>5072.0689652030569</v>
      </c>
      <c r="S419" s="36">
        <f t="shared" si="54"/>
        <v>43.525925750199917</v>
      </c>
      <c r="T419" s="36">
        <f t="shared" si="55"/>
        <v>0.63072132764748157</v>
      </c>
      <c r="U419" s="30"/>
    </row>
    <row r="420" spans="1:21" x14ac:dyDescent="0.25">
      <c r="A420" s="35" t="s">
        <v>449</v>
      </c>
      <c r="B420" s="16">
        <v>0.83899999999999997</v>
      </c>
      <c r="C420" s="8">
        <v>1E-3</v>
      </c>
      <c r="D420" s="8">
        <v>24.195</v>
      </c>
      <c r="E420" s="8">
        <v>5.8000000000000003E-2</v>
      </c>
      <c r="F420" s="8">
        <v>1.024</v>
      </c>
      <c r="G420" s="8">
        <v>0.03</v>
      </c>
      <c r="H420" s="8">
        <v>-0.10199999999999999</v>
      </c>
      <c r="I420" s="8">
        <v>4.5999999999999999E-2</v>
      </c>
      <c r="J420" s="8">
        <v>0.12</v>
      </c>
      <c r="K420" s="39">
        <f t="shared" si="48"/>
        <v>0.254</v>
      </c>
      <c r="L420" s="39">
        <f t="shared" si="49"/>
        <v>43.857787999999999</v>
      </c>
      <c r="M420" s="30">
        <f t="shared" si="50"/>
        <v>5909.593386652321</v>
      </c>
      <c r="N420" s="30">
        <f>(RedShift*Age*(2*InitialTangentVelocity-UniverseAcceleration*Age))/(2+RedShift)*(1+RedShift)</f>
        <v>1.661313178943126E+26</v>
      </c>
      <c r="O420" s="36">
        <f t="shared" si="51"/>
        <v>5383.94934620203</v>
      </c>
      <c r="P420" s="36">
        <f t="shared" si="52"/>
        <v>43.655504826316943</v>
      </c>
      <c r="Q420" s="36">
        <f t="shared" si="53"/>
        <v>0.63423774498248064</v>
      </c>
      <c r="R420" s="19">
        <v>5072.0689652030569</v>
      </c>
      <c r="S420" s="36">
        <f t="shared" si="54"/>
        <v>43.525925750199917</v>
      </c>
      <c r="T420" s="36">
        <f t="shared" si="55"/>
        <v>1.7070579831727331</v>
      </c>
      <c r="U420" s="30"/>
    </row>
    <row r="421" spans="1:21" x14ac:dyDescent="0.25">
      <c r="A421" s="35" t="s">
        <v>450</v>
      </c>
      <c r="B421" s="16">
        <v>0.84</v>
      </c>
      <c r="C421" s="8">
        <v>0.01</v>
      </c>
      <c r="D421" s="8">
        <v>24.29</v>
      </c>
      <c r="E421" s="8">
        <v>8.3000000000000004E-2</v>
      </c>
      <c r="F421" s="8">
        <v>1.1759999999999999</v>
      </c>
      <c r="G421" s="8">
        <v>9.1999999999999998E-2</v>
      </c>
      <c r="H421" s="8">
        <v>-1E-3</v>
      </c>
      <c r="I421" s="8">
        <v>6.0999999999999999E-2</v>
      </c>
      <c r="J421" s="8">
        <v>0.12</v>
      </c>
      <c r="K421" s="39">
        <f t="shared" si="48"/>
        <v>0.35599999999999998</v>
      </c>
      <c r="L421" s="39">
        <f t="shared" si="49"/>
        <v>43.659002000000001</v>
      </c>
      <c r="M421" s="30">
        <f t="shared" si="50"/>
        <v>5392.6272257066476</v>
      </c>
      <c r="N421" s="30">
        <f>(RedShift*Age*(2*InitialTangentVelocity-UniverseAcceleration*Age))/(2+RedShift)*(1+RedShift)</f>
        <v>1.6636117601774268E+26</v>
      </c>
      <c r="O421" s="36">
        <f t="shared" si="51"/>
        <v>5391.3985406648571</v>
      </c>
      <c r="P421" s="36">
        <f t="shared" si="52"/>
        <v>43.658507183734244</v>
      </c>
      <c r="Q421" s="36">
        <f t="shared" si="53"/>
        <v>1.931914664007727E-6</v>
      </c>
      <c r="R421" s="19">
        <v>5079.5196297933435</v>
      </c>
      <c r="S421" s="36">
        <f t="shared" si="54"/>
        <v>43.529113214968405</v>
      </c>
      <c r="T421" s="36">
        <f t="shared" si="55"/>
        <v>0.13312000123867143</v>
      </c>
      <c r="U421" s="30"/>
    </row>
    <row r="422" spans="1:21" x14ac:dyDescent="0.25">
      <c r="A422" s="35" t="s">
        <v>451</v>
      </c>
      <c r="B422" s="16">
        <v>0.84199999999999997</v>
      </c>
      <c r="C422" s="8">
        <v>1E-3</v>
      </c>
      <c r="D422" s="8">
        <v>24.254000000000001</v>
      </c>
      <c r="E422" s="8">
        <v>0.06</v>
      </c>
      <c r="F422" s="8">
        <v>1.1839999999999999</v>
      </c>
      <c r="G422" s="8">
        <v>4.1000000000000002E-2</v>
      </c>
      <c r="H422" s="8">
        <v>1.4999999999999999E-2</v>
      </c>
      <c r="I422" s="8">
        <v>4.8000000000000001E-2</v>
      </c>
      <c r="J422" s="8">
        <v>0.12</v>
      </c>
      <c r="K422" s="39">
        <f t="shared" si="48"/>
        <v>0.26900000000000002</v>
      </c>
      <c r="L422" s="39">
        <f t="shared" si="49"/>
        <v>43.574098000000006</v>
      </c>
      <c r="M422" s="30">
        <f t="shared" si="50"/>
        <v>5185.845812262025</v>
      </c>
      <c r="N422" s="30">
        <f>(RedShift*Age*(2*InitialTangentVelocity-UniverseAcceleration*Age))/(2+RedShift)*(1+RedShift)</f>
        <v>1.6682105234813297E+26</v>
      </c>
      <c r="O422" s="36">
        <f t="shared" si="51"/>
        <v>5406.3021175444064</v>
      </c>
      <c r="P422" s="36">
        <f t="shared" si="52"/>
        <v>43.664501557457484</v>
      </c>
      <c r="Q422" s="36">
        <f t="shared" si="53"/>
        <v>0.11294486257745856</v>
      </c>
      <c r="R422" s="19">
        <v>5094.42792565122</v>
      </c>
      <c r="S422" s="36">
        <f t="shared" si="54"/>
        <v>43.535477111798528</v>
      </c>
      <c r="T422" s="36">
        <f t="shared" si="55"/>
        <v>2.0612940748070071E-2</v>
      </c>
      <c r="U422" s="30"/>
    </row>
    <row r="423" spans="1:21" x14ac:dyDescent="0.25">
      <c r="A423" s="35" t="s">
        <v>452</v>
      </c>
      <c r="B423" s="16">
        <v>0.84199999999999997</v>
      </c>
      <c r="C423" s="8">
        <v>1E-3</v>
      </c>
      <c r="D423" s="8">
        <v>24.196000000000002</v>
      </c>
      <c r="E423" s="8">
        <v>6.5000000000000002E-2</v>
      </c>
      <c r="F423" s="8">
        <v>1.1220000000000001</v>
      </c>
      <c r="G423" s="8">
        <v>7.6999999999999999E-2</v>
      </c>
      <c r="H423" s="8">
        <v>4.8000000000000001E-2</v>
      </c>
      <c r="I423" s="8">
        <v>5.7000000000000002E-2</v>
      </c>
      <c r="J423" s="8">
        <v>0.12</v>
      </c>
      <c r="K423" s="39">
        <f t="shared" si="48"/>
        <v>0.31900000000000001</v>
      </c>
      <c r="L423" s="39">
        <f t="shared" si="49"/>
        <v>43.403694000000002</v>
      </c>
      <c r="M423" s="30">
        <f t="shared" si="50"/>
        <v>4794.4500678968834</v>
      </c>
      <c r="N423" s="30">
        <f>(RedShift*Age*(2*InitialTangentVelocity-UniverseAcceleration*Age))/(2+RedShift)*(1+RedShift)</f>
        <v>1.6682105234813297E+26</v>
      </c>
      <c r="O423" s="36">
        <f t="shared" si="51"/>
        <v>5406.3021175444064</v>
      </c>
      <c r="P423" s="36">
        <f t="shared" si="52"/>
        <v>43.664501557457484</v>
      </c>
      <c r="Q423" s="36">
        <f t="shared" si="53"/>
        <v>0.66843468545845752</v>
      </c>
      <c r="R423" s="19">
        <v>5094.42792565122</v>
      </c>
      <c r="S423" s="36">
        <f t="shared" si="54"/>
        <v>43.535477111798528</v>
      </c>
      <c r="T423" s="36">
        <f t="shared" si="55"/>
        <v>0.17066251860047477</v>
      </c>
      <c r="U423" s="30"/>
    </row>
    <row r="424" spans="1:21" x14ac:dyDescent="0.25">
      <c r="A424" s="35" t="s">
        <v>453</v>
      </c>
      <c r="B424" s="16">
        <v>0.85</v>
      </c>
      <c r="C424" s="8">
        <v>0.02</v>
      </c>
      <c r="D424" s="8">
        <v>24.306999999999999</v>
      </c>
      <c r="E424" s="8">
        <v>5.8000000000000003E-2</v>
      </c>
      <c r="F424" s="8">
        <v>1.1100000000000001</v>
      </c>
      <c r="G424" s="8">
        <v>3.1E-2</v>
      </c>
      <c r="H424" s="8">
        <v>-2.5999999999999999E-2</v>
      </c>
      <c r="I424" s="8">
        <v>4.4999999999999998E-2</v>
      </c>
      <c r="J424" s="8">
        <v>0.12</v>
      </c>
      <c r="K424" s="39">
        <f t="shared" si="48"/>
        <v>0.254</v>
      </c>
      <c r="L424" s="39">
        <f t="shared" si="49"/>
        <v>43.744549999999997</v>
      </c>
      <c r="M424" s="30">
        <f t="shared" si="50"/>
        <v>5609.3172061530004</v>
      </c>
      <c r="N424" s="30">
        <f>(RedShift*Age*(2*InitialTangentVelocity-UniverseAcceleration*Age))/(2+RedShift)*(1+RedShift)</f>
        <v>1.6866268387854532E+26</v>
      </c>
      <c r="O424" s="36">
        <f t="shared" si="51"/>
        <v>5465.9853307987332</v>
      </c>
      <c r="P424" s="36">
        <f t="shared" si="52"/>
        <v>43.688342309156326</v>
      </c>
      <c r="Q424" s="36">
        <f t="shared" si="53"/>
        <v>4.8969317843289693E-2</v>
      </c>
      <c r="R424" s="19">
        <v>5154.1536159646548</v>
      </c>
      <c r="S424" s="36">
        <f t="shared" si="54"/>
        <v>43.560786791264164</v>
      </c>
      <c r="T424" s="36">
        <f t="shared" si="55"/>
        <v>0.52341925855430149</v>
      </c>
      <c r="U424" s="30"/>
    </row>
    <row r="425" spans="1:21" x14ac:dyDescent="0.25">
      <c r="A425" s="35" t="s">
        <v>454</v>
      </c>
      <c r="B425" s="16">
        <v>0.85</v>
      </c>
      <c r="C425" s="8">
        <v>0.02</v>
      </c>
      <c r="D425" s="8">
        <v>24.204999999999998</v>
      </c>
      <c r="E425" s="8">
        <v>7.2999999999999995E-2</v>
      </c>
      <c r="F425" s="8">
        <v>1.1679999999999999</v>
      </c>
      <c r="G425" s="8">
        <v>5.8999999999999997E-2</v>
      </c>
      <c r="H425" s="8">
        <v>-5.8999999999999997E-2</v>
      </c>
      <c r="I425" s="8">
        <v>5.0999999999999997E-2</v>
      </c>
      <c r="J425" s="8">
        <v>0.12</v>
      </c>
      <c r="K425" s="39">
        <f t="shared" si="48"/>
        <v>0.30299999999999999</v>
      </c>
      <c r="L425" s="39">
        <f t="shared" si="49"/>
        <v>43.754365999999997</v>
      </c>
      <c r="M425" s="30">
        <f t="shared" si="50"/>
        <v>5634.731158067013</v>
      </c>
      <c r="N425" s="30">
        <f>(RedShift*Age*(2*InitialTangentVelocity-UniverseAcceleration*Age))/(2+RedShift)*(1+RedShift)</f>
        <v>1.6866268387854532E+26</v>
      </c>
      <c r="O425" s="36">
        <f t="shared" si="51"/>
        <v>5465.9853307987332</v>
      </c>
      <c r="P425" s="36">
        <f t="shared" si="52"/>
        <v>43.688342309156326</v>
      </c>
      <c r="Q425" s="36">
        <f t="shared" si="53"/>
        <v>4.7480396830601762E-2</v>
      </c>
      <c r="R425" s="19">
        <v>5154.1536159646548</v>
      </c>
      <c r="S425" s="36">
        <f t="shared" si="54"/>
        <v>43.560786791264164</v>
      </c>
      <c r="T425" s="36">
        <f t="shared" si="55"/>
        <v>0.40816161873881057</v>
      </c>
      <c r="U425" s="30"/>
    </row>
    <row r="426" spans="1:21" x14ac:dyDescent="0.25">
      <c r="A426" s="35" t="s">
        <v>455</v>
      </c>
      <c r="B426" s="16">
        <v>0.85</v>
      </c>
      <c r="C426" s="8">
        <v>0.01</v>
      </c>
      <c r="D426" s="8">
        <v>24.138999999999999</v>
      </c>
      <c r="E426" s="8">
        <v>5.6000000000000001E-2</v>
      </c>
      <c r="F426" s="8">
        <v>1.131</v>
      </c>
      <c r="G426" s="8">
        <v>2.5000000000000001E-2</v>
      </c>
      <c r="H426" s="8">
        <v>-8.2000000000000003E-2</v>
      </c>
      <c r="I426" s="8">
        <v>4.2000000000000003E-2</v>
      </c>
      <c r="J426" s="8">
        <v>0.12</v>
      </c>
      <c r="K426" s="39">
        <f t="shared" si="48"/>
        <v>0.24299999999999999</v>
      </c>
      <c r="L426" s="39">
        <f t="shared" si="49"/>
        <v>43.754916999999999</v>
      </c>
      <c r="M426" s="30">
        <f t="shared" si="50"/>
        <v>5636.1611236485933</v>
      </c>
      <c r="N426" s="30">
        <f>(RedShift*Age*(2*InitialTangentVelocity-UniverseAcceleration*Age))/(2+RedShift)*(1+RedShift)</f>
        <v>1.6866268387854532E+26</v>
      </c>
      <c r="O426" s="36">
        <f t="shared" si="51"/>
        <v>5465.9853307987332</v>
      </c>
      <c r="P426" s="36">
        <f t="shared" si="52"/>
        <v>43.688342309156326</v>
      </c>
      <c r="Q426" s="36">
        <f t="shared" si="53"/>
        <v>7.5059517704459802E-2</v>
      </c>
      <c r="R426" s="19">
        <v>5154.1536159646548</v>
      </c>
      <c r="S426" s="36">
        <f t="shared" si="54"/>
        <v>43.560786791264164</v>
      </c>
      <c r="T426" s="36">
        <f t="shared" si="55"/>
        <v>0.63822482927431368</v>
      </c>
      <c r="U426" s="30"/>
    </row>
    <row r="427" spans="1:21" x14ac:dyDescent="0.25">
      <c r="A427" s="35" t="s">
        <v>456</v>
      </c>
      <c r="B427" s="16">
        <v>0.85499999999999998</v>
      </c>
      <c r="C427" s="8">
        <v>1E-3</v>
      </c>
      <c r="D427" s="8">
        <v>24.437999999999999</v>
      </c>
      <c r="E427" s="8">
        <v>7.0999999999999994E-2</v>
      </c>
      <c r="F427" s="8">
        <v>1.046</v>
      </c>
      <c r="G427" s="8">
        <v>3.7999999999999999E-2</v>
      </c>
      <c r="H427" s="8">
        <v>8.0000000000000002E-3</v>
      </c>
      <c r="I427" s="8">
        <v>4.9000000000000002E-2</v>
      </c>
      <c r="J427" s="8">
        <v>0.12</v>
      </c>
      <c r="K427" s="39">
        <f t="shared" si="48"/>
        <v>0.27799999999999997</v>
      </c>
      <c r="L427" s="39">
        <f t="shared" si="49"/>
        <v>43.759721999999996</v>
      </c>
      <c r="M427" s="30">
        <f t="shared" si="50"/>
        <v>5648.6465410239307</v>
      </c>
      <c r="N427" s="30">
        <f>(RedShift*Age*(2*InitialTangentVelocity-UniverseAcceleration*Age))/(2+RedShift)*(1+RedShift)</f>
        <v>1.6981542205332774E+26</v>
      </c>
      <c r="O427" s="36">
        <f t="shared" si="51"/>
        <v>5503.3430308466559</v>
      </c>
      <c r="P427" s="36">
        <f t="shared" si="52"/>
        <v>43.70313291909919</v>
      </c>
      <c r="Q427" s="36">
        <f t="shared" si="53"/>
        <v>4.1435796247580987E-2</v>
      </c>
      <c r="R427" s="19">
        <v>5191.5569134309553</v>
      </c>
      <c r="S427" s="36">
        <f t="shared" si="54"/>
        <v>43.57648809705919</v>
      </c>
      <c r="T427" s="36">
        <f t="shared" si="55"/>
        <v>0.43443226524145701</v>
      </c>
      <c r="U427" s="30"/>
    </row>
    <row r="428" spans="1:21" x14ac:dyDescent="0.25">
      <c r="A428" s="35" t="s">
        <v>457</v>
      </c>
      <c r="B428" s="16">
        <v>0.86</v>
      </c>
      <c r="C428" s="8">
        <v>1.2999999999999999E-2</v>
      </c>
      <c r="D428" s="8">
        <v>24.242999999999999</v>
      </c>
      <c r="E428" s="8">
        <v>0.06</v>
      </c>
      <c r="F428" s="8">
        <v>1.08</v>
      </c>
      <c r="G428" s="8">
        <v>3.1E-2</v>
      </c>
      <c r="H428" s="8">
        <v>4.5999999999999999E-2</v>
      </c>
      <c r="I428" s="8">
        <v>4.5999999999999999E-2</v>
      </c>
      <c r="J428" s="8">
        <v>0.12</v>
      </c>
      <c r="K428" s="39">
        <f t="shared" si="48"/>
        <v>0.25700000000000001</v>
      </c>
      <c r="L428" s="39">
        <f t="shared" si="49"/>
        <v>43.450779999999995</v>
      </c>
      <c r="M428" s="30">
        <f t="shared" si="50"/>
        <v>4899.5478112527489</v>
      </c>
      <c r="N428" s="30">
        <f>(RedShift*Age*(2*InitialTangentVelocity-UniverseAcceleration*Age))/(2+RedShift)*(1+RedShift)</f>
        <v>1.7096947380714088E+26</v>
      </c>
      <c r="O428" s="36">
        <f t="shared" si="51"/>
        <v>5540.7433010917784</v>
      </c>
      <c r="P428" s="36">
        <f t="shared" si="52"/>
        <v>43.71784015027454</v>
      </c>
      <c r="Q428" s="36">
        <f t="shared" si="53"/>
        <v>1.079821403271251</v>
      </c>
      <c r="R428" s="19">
        <v>5229.0173185003696</v>
      </c>
      <c r="S428" s="36">
        <f t="shared" si="54"/>
        <v>43.592100401074731</v>
      </c>
      <c r="T428" s="36">
        <f t="shared" si="55"/>
        <v>0.30237332525737504</v>
      </c>
      <c r="U428" s="30"/>
    </row>
    <row r="429" spans="1:21" x14ac:dyDescent="0.25">
      <c r="A429" s="35" t="s">
        <v>458</v>
      </c>
      <c r="B429" s="16">
        <v>0.86</v>
      </c>
      <c r="C429" s="8">
        <v>0.02</v>
      </c>
      <c r="D429" s="8">
        <v>24.391999999999999</v>
      </c>
      <c r="E429" s="8">
        <v>8.4000000000000005E-2</v>
      </c>
      <c r="F429" s="8">
        <v>1.095</v>
      </c>
      <c r="G429" s="8">
        <v>7.0999999999999994E-2</v>
      </c>
      <c r="H429" s="8">
        <v>-8.2000000000000003E-2</v>
      </c>
      <c r="I429" s="8">
        <v>6.0999999999999999E-2</v>
      </c>
      <c r="J429" s="8">
        <v>0.12</v>
      </c>
      <c r="K429" s="39">
        <f t="shared" si="48"/>
        <v>0.33599999999999997</v>
      </c>
      <c r="L429" s="39">
        <f t="shared" si="49"/>
        <v>44.002624999999995</v>
      </c>
      <c r="M429" s="30">
        <f t="shared" si="50"/>
        <v>6317.2054299850442</v>
      </c>
      <c r="N429" s="30">
        <f>(RedShift*Age*(2*InitialTangentVelocity-UniverseAcceleration*Age))/(2+RedShift)*(1+RedShift)</f>
        <v>1.7096947380714088E+26</v>
      </c>
      <c r="O429" s="36">
        <f t="shared" si="51"/>
        <v>5540.7433010917784</v>
      </c>
      <c r="P429" s="36">
        <f t="shared" si="52"/>
        <v>43.71784015027454</v>
      </c>
      <c r="Q429" s="36">
        <f t="shared" si="53"/>
        <v>0.71838161345973084</v>
      </c>
      <c r="R429" s="19">
        <v>5229.0173185003696</v>
      </c>
      <c r="S429" s="36">
        <f t="shared" si="54"/>
        <v>43.592100401074731</v>
      </c>
      <c r="T429" s="36">
        <f t="shared" si="55"/>
        <v>1.4927937776604012</v>
      </c>
      <c r="U429" s="30"/>
    </row>
    <row r="430" spans="1:21" x14ac:dyDescent="0.25">
      <c r="A430" s="35" t="s">
        <v>459</v>
      </c>
      <c r="B430" s="16">
        <v>0.86</v>
      </c>
      <c r="C430" s="8">
        <v>0.02</v>
      </c>
      <c r="D430" s="8">
        <v>24.617999999999999</v>
      </c>
      <c r="E430" s="8">
        <v>6.7000000000000004E-2</v>
      </c>
      <c r="F430" s="8">
        <v>1.042</v>
      </c>
      <c r="G430" s="8">
        <v>4.7E-2</v>
      </c>
      <c r="H430" s="8">
        <v>6.2E-2</v>
      </c>
      <c r="I430" s="8">
        <v>5.6000000000000001E-2</v>
      </c>
      <c r="J430" s="8">
        <v>0.12</v>
      </c>
      <c r="K430" s="39">
        <f t="shared" si="48"/>
        <v>0.29000000000000004</v>
      </c>
      <c r="L430" s="39">
        <f t="shared" si="49"/>
        <v>43.770114</v>
      </c>
      <c r="M430" s="30">
        <f t="shared" si="50"/>
        <v>5675.7440168093162</v>
      </c>
      <c r="N430" s="30">
        <f>(RedShift*Age*(2*InitialTangentVelocity-UniverseAcceleration*Age))/(2+RedShift)*(1+RedShift)</f>
        <v>1.7096947380714088E+26</v>
      </c>
      <c r="O430" s="36">
        <f t="shared" si="51"/>
        <v>5540.7433010917784</v>
      </c>
      <c r="P430" s="36">
        <f t="shared" si="52"/>
        <v>43.71784015027454</v>
      </c>
      <c r="Q430" s="36">
        <f t="shared" si="53"/>
        <v>3.2491740370034543E-2</v>
      </c>
      <c r="R430" s="19">
        <v>5229.0173185003696</v>
      </c>
      <c r="S430" s="36">
        <f t="shared" si="54"/>
        <v>43.592100401074731</v>
      </c>
      <c r="T430" s="36">
        <f t="shared" si="55"/>
        <v>0.37679954105025365</v>
      </c>
      <c r="U430" s="30"/>
    </row>
    <row r="431" spans="1:21" x14ac:dyDescent="0.25">
      <c r="A431" s="35" t="s">
        <v>460</v>
      </c>
      <c r="B431" s="16">
        <v>0.86499999999999999</v>
      </c>
      <c r="C431" s="8">
        <v>1E-3</v>
      </c>
      <c r="D431" s="8">
        <v>24.344999999999999</v>
      </c>
      <c r="E431" s="8">
        <v>6.7000000000000004E-2</v>
      </c>
      <c r="F431" s="8">
        <v>1.018</v>
      </c>
      <c r="G431" s="8">
        <v>0.03</v>
      </c>
      <c r="H431" s="8">
        <v>-0.16700000000000001</v>
      </c>
      <c r="I431" s="8">
        <v>4.5999999999999999E-2</v>
      </c>
      <c r="J431" s="8">
        <v>0.12</v>
      </c>
      <c r="K431" s="39">
        <f t="shared" si="48"/>
        <v>0.26300000000000001</v>
      </c>
      <c r="L431" s="39">
        <f t="shared" si="49"/>
        <v>44.210355999999997</v>
      </c>
      <c r="M431" s="30">
        <f t="shared" si="50"/>
        <v>6951.3827203708443</v>
      </c>
      <c r="N431" s="30">
        <f>(RedShift*Age*(2*InitialTangentVelocity-UniverseAcceleration*Age))/(2+RedShift)*(1+RedShift)</f>
        <v>1.721248322626078E+26</v>
      </c>
      <c r="O431" s="36">
        <f t="shared" si="51"/>
        <v>5578.1859186534912</v>
      </c>
      <c r="P431" s="36">
        <f t="shared" si="52"/>
        <v>43.732464925142899</v>
      </c>
      <c r="Q431" s="36">
        <f t="shared" si="53"/>
        <v>3.3017663899734324</v>
      </c>
      <c r="R431" s="19">
        <v>5266.5345127477285</v>
      </c>
      <c r="S431" s="36">
        <f t="shared" si="54"/>
        <v>43.607624672783444</v>
      </c>
      <c r="T431" s="36">
        <f t="shared" si="55"/>
        <v>5.2521368359847225</v>
      </c>
      <c r="U431" s="30"/>
    </row>
    <row r="432" spans="1:21" x14ac:dyDescent="0.25">
      <c r="A432" s="35" t="s">
        <v>461</v>
      </c>
      <c r="B432" s="16">
        <v>0.86599999999999999</v>
      </c>
      <c r="C432" s="8">
        <v>1E-3</v>
      </c>
      <c r="D432" s="8">
        <v>24.283000000000001</v>
      </c>
      <c r="E432" s="8">
        <v>6.2E-2</v>
      </c>
      <c r="F432" s="8">
        <v>1.0169999999999999</v>
      </c>
      <c r="G432" s="8">
        <v>3.1E-2</v>
      </c>
      <c r="H432" s="8">
        <v>-0.1</v>
      </c>
      <c r="I432" s="8">
        <v>4.7E-2</v>
      </c>
      <c r="J432" s="8">
        <v>0.12</v>
      </c>
      <c r="K432" s="39">
        <f t="shared" si="48"/>
        <v>0.26</v>
      </c>
      <c r="L432" s="39">
        <f t="shared" si="49"/>
        <v>43.938499</v>
      </c>
      <c r="M432" s="30">
        <f t="shared" si="50"/>
        <v>6133.3789734001939</v>
      </c>
      <c r="N432" s="30">
        <f>(RedShift*Age*(2*InitialTangentVelocity-UniverseAcceleration*Age))/(2+RedShift)*(1+RedShift)</f>
        <v>1.7235606015606916E+26</v>
      </c>
      <c r="O432" s="36">
        <f t="shared" si="51"/>
        <v>5585.679504339827</v>
      </c>
      <c r="P432" s="36">
        <f t="shared" si="52"/>
        <v>43.735380065444851</v>
      </c>
      <c r="Q432" s="36">
        <f t="shared" si="53"/>
        <v>0.61031511205353772</v>
      </c>
      <c r="R432" s="19">
        <v>5274.0447384482768</v>
      </c>
      <c r="S432" s="36">
        <f t="shared" si="54"/>
        <v>43.610719047441428</v>
      </c>
      <c r="T432" s="36">
        <f t="shared" si="55"/>
        <v>1.5893446346050257</v>
      </c>
      <c r="U432" s="30"/>
    </row>
    <row r="433" spans="1:21" x14ac:dyDescent="0.25">
      <c r="A433" s="35" t="s">
        <v>462</v>
      </c>
      <c r="B433" s="16">
        <v>0.86599999999999999</v>
      </c>
      <c r="C433" s="8">
        <v>1E-3</v>
      </c>
      <c r="D433" s="8">
        <v>24.399000000000001</v>
      </c>
      <c r="E433" s="8">
        <v>6.5000000000000002E-2</v>
      </c>
      <c r="F433" s="8">
        <v>1.165</v>
      </c>
      <c r="G433" s="8">
        <v>4.8000000000000001E-2</v>
      </c>
      <c r="H433" s="8">
        <v>3.9E-2</v>
      </c>
      <c r="I433" s="8">
        <v>5.0999999999999997E-2</v>
      </c>
      <c r="J433" s="8">
        <v>0.12</v>
      </c>
      <c r="K433" s="39">
        <f t="shared" si="48"/>
        <v>0.28400000000000003</v>
      </c>
      <c r="L433" s="39">
        <f t="shared" si="49"/>
        <v>43.641185</v>
      </c>
      <c r="M433" s="30">
        <f t="shared" si="50"/>
        <v>5348.5615755097615</v>
      </c>
      <c r="N433" s="30">
        <f>(RedShift*Age*(2*InitialTangentVelocity-UniverseAcceleration*Age))/(2+RedShift)*(1+RedShift)</f>
        <v>1.7235606015606916E+26</v>
      </c>
      <c r="O433" s="36">
        <f t="shared" si="51"/>
        <v>5585.679504339827</v>
      </c>
      <c r="P433" s="36">
        <f t="shared" si="52"/>
        <v>43.735380065444851</v>
      </c>
      <c r="Q433" s="36">
        <f t="shared" si="53"/>
        <v>0.11000682347450479</v>
      </c>
      <c r="R433" s="19">
        <v>5274.0447384482768</v>
      </c>
      <c r="S433" s="36">
        <f t="shared" si="54"/>
        <v>43.610719047441428</v>
      </c>
      <c r="T433" s="36">
        <f t="shared" si="55"/>
        <v>1.1507814239500579E-2</v>
      </c>
      <c r="U433" s="30"/>
    </row>
    <row r="434" spans="1:21" x14ac:dyDescent="0.25">
      <c r="A434" s="35" t="s">
        <v>463</v>
      </c>
      <c r="B434" s="16">
        <v>0.86799999999999999</v>
      </c>
      <c r="C434" s="8">
        <v>1E-3</v>
      </c>
      <c r="D434" s="8">
        <v>24.359000000000002</v>
      </c>
      <c r="E434" s="8">
        <v>7.1999999999999995E-2</v>
      </c>
      <c r="F434" s="8">
        <v>1.036</v>
      </c>
      <c r="G434" s="8">
        <v>3.7999999999999999E-2</v>
      </c>
      <c r="H434" s="8">
        <v>-3.5999999999999997E-2</v>
      </c>
      <c r="I434" s="8">
        <v>5.3999999999999999E-2</v>
      </c>
      <c r="J434" s="8">
        <v>0.12</v>
      </c>
      <c r="K434" s="39">
        <f t="shared" si="48"/>
        <v>0.28399999999999997</v>
      </c>
      <c r="L434" s="39">
        <f t="shared" si="49"/>
        <v>43.816972000000007</v>
      </c>
      <c r="M434" s="30">
        <f t="shared" si="50"/>
        <v>5799.5513755352595</v>
      </c>
      <c r="N434" s="30">
        <f>(RedShift*Age*(2*InitialTangentVelocity-UniverseAcceleration*Age))/(2+RedShift)*(1+RedShift)</f>
        <v>1.7281867170964883E+26</v>
      </c>
      <c r="O434" s="36">
        <f t="shared" si="51"/>
        <v>5600.6717237660596</v>
      </c>
      <c r="P434" s="36">
        <f t="shared" si="52"/>
        <v>43.741200588986359</v>
      </c>
      <c r="Q434" s="36">
        <f t="shared" si="53"/>
        <v>7.1182636468447691E-2</v>
      </c>
      <c r="R434" s="19">
        <v>5289.0719565462823</v>
      </c>
      <c r="S434" s="36">
        <f t="shared" si="54"/>
        <v>43.616897377653451</v>
      </c>
      <c r="T434" s="36">
        <f t="shared" si="55"/>
        <v>0.49630349269882962</v>
      </c>
      <c r="U434" s="30"/>
    </row>
    <row r="435" spans="1:21" x14ac:dyDescent="0.25">
      <c r="A435" s="35" t="s">
        <v>464</v>
      </c>
      <c r="B435" s="16">
        <v>0.87</v>
      </c>
      <c r="C435" s="8">
        <v>0.02</v>
      </c>
      <c r="D435" s="8">
        <v>24.395</v>
      </c>
      <c r="E435" s="8">
        <v>8.5999999999999993E-2</v>
      </c>
      <c r="F435" s="8">
        <v>0.879</v>
      </c>
      <c r="G435" s="8">
        <v>5.8999999999999997E-2</v>
      </c>
      <c r="H435" s="8">
        <v>-0.14699999999999999</v>
      </c>
      <c r="I435" s="8">
        <v>5.6000000000000001E-2</v>
      </c>
      <c r="J435" s="8">
        <v>0.12</v>
      </c>
      <c r="K435" s="39">
        <f t="shared" si="48"/>
        <v>0.32099999999999995</v>
      </c>
      <c r="L435" s="39">
        <f t="shared" si="49"/>
        <v>44.177323000000001</v>
      </c>
      <c r="M435" s="30">
        <f t="shared" si="50"/>
        <v>6846.4367447535506</v>
      </c>
      <c r="N435" s="30">
        <f>(RedShift*Age*(2*InitialTangentVelocity-UniverseAcceleration*Age))/(2+RedShift)*(1+RedShift)</f>
        <v>1.7328149059027723E+26</v>
      </c>
      <c r="O435" s="36">
        <f t="shared" si="51"/>
        <v>5615.6706622043521</v>
      </c>
      <c r="P435" s="36">
        <f t="shared" si="52"/>
        <v>43.747008150717967</v>
      </c>
      <c r="Q435" s="36">
        <f t="shared" si="53"/>
        <v>1.7970600975594162</v>
      </c>
      <c r="R435" s="19">
        <v>5304.1081801758701</v>
      </c>
      <c r="S435" s="36">
        <f t="shared" si="54"/>
        <v>43.623061865797986</v>
      </c>
      <c r="T435" s="36">
        <f t="shared" si="55"/>
        <v>2.9813899795897205</v>
      </c>
      <c r="U435" s="30"/>
    </row>
    <row r="436" spans="1:21" x14ac:dyDescent="0.25">
      <c r="A436" s="35" t="s">
        <v>465</v>
      </c>
      <c r="B436" s="16">
        <v>0.88</v>
      </c>
      <c r="C436" s="8">
        <v>0.01</v>
      </c>
      <c r="D436" s="8">
        <v>24.327000000000002</v>
      </c>
      <c r="E436" s="8">
        <v>6.3E-2</v>
      </c>
      <c r="F436" s="8">
        <v>1.181</v>
      </c>
      <c r="G436" s="8">
        <v>4.7E-2</v>
      </c>
      <c r="H436" s="8">
        <v>-6.0999999999999999E-2</v>
      </c>
      <c r="I436" s="8">
        <v>0.05</v>
      </c>
      <c r="J436" s="8">
        <v>0.12</v>
      </c>
      <c r="K436" s="39">
        <f t="shared" si="48"/>
        <v>0.28000000000000003</v>
      </c>
      <c r="L436" s="39">
        <f t="shared" si="49"/>
        <v>43.884537000000002</v>
      </c>
      <c r="M436" s="30">
        <f t="shared" si="50"/>
        <v>5982.8401571294798</v>
      </c>
      <c r="N436" s="30">
        <f>(RedShift*Age*(2*InitialTangentVelocity-UniverseAcceleration*Age))/(2+RedShift)*(1+RedShift)</f>
        <v>1.7559867978155283E+26</v>
      </c>
      <c r="O436" s="36">
        <f t="shared" si="51"/>
        <v>5690.7656496487507</v>
      </c>
      <c r="P436" s="36">
        <f t="shared" si="52"/>
        <v>43.775853506885426</v>
      </c>
      <c r="Q436" s="36">
        <f t="shared" si="53"/>
        <v>0.15066456218859783</v>
      </c>
      <c r="R436" s="19">
        <v>5379.4236826154838</v>
      </c>
      <c r="S436" s="36">
        <f t="shared" si="54"/>
        <v>43.653678752991084</v>
      </c>
      <c r="T436" s="36">
        <f t="shared" si="55"/>
        <v>0.67978992617385825</v>
      </c>
      <c r="U436" s="30"/>
    </row>
    <row r="437" spans="1:21" x14ac:dyDescent="0.25">
      <c r="A437" s="35" t="s">
        <v>466</v>
      </c>
      <c r="B437" s="16">
        <v>0.89</v>
      </c>
      <c r="C437" s="8">
        <v>2E-3</v>
      </c>
      <c r="D437" s="8">
        <v>24.22</v>
      </c>
      <c r="E437" s="8">
        <v>6.4000000000000001E-2</v>
      </c>
      <c r="F437" s="8">
        <v>0.96</v>
      </c>
      <c r="G437" s="8">
        <v>4.5999999999999999E-2</v>
      </c>
      <c r="H437" s="8">
        <v>-0.151</v>
      </c>
      <c r="I437" s="8">
        <v>4.8000000000000001E-2</v>
      </c>
      <c r="J437" s="8">
        <v>0.12</v>
      </c>
      <c r="K437" s="39">
        <f t="shared" si="48"/>
        <v>0.27800000000000002</v>
      </c>
      <c r="L437" s="39">
        <f t="shared" si="49"/>
        <v>44.026749999999993</v>
      </c>
      <c r="M437" s="30">
        <f t="shared" si="50"/>
        <v>6387.7807311277284</v>
      </c>
      <c r="N437" s="30">
        <f>(RedShift*Age*(2*InitialTangentVelocity-UniverseAcceleration*Age))/(2+RedShift)*(1+RedShift)</f>
        <v>1.7792098768814965E+26</v>
      </c>
      <c r="O437" s="36">
        <f t="shared" si="51"/>
        <v>5766.0265233592445</v>
      </c>
      <c r="P437" s="36">
        <f t="shared" si="52"/>
        <v>43.804383178920389</v>
      </c>
      <c r="Q437" s="36">
        <f t="shared" si="53"/>
        <v>0.63980905642886465</v>
      </c>
      <c r="R437" s="19">
        <v>5454.9613457036457</v>
      </c>
      <c r="S437" s="36">
        <f t="shared" si="54"/>
        <v>43.683958387447575</v>
      </c>
      <c r="T437" s="36">
        <f t="shared" si="55"/>
        <v>1.5204452362233689</v>
      </c>
      <c r="U437" s="30"/>
    </row>
    <row r="438" spans="1:21" x14ac:dyDescent="0.25">
      <c r="A438" s="35" t="s">
        <v>467</v>
      </c>
      <c r="B438" s="16">
        <v>0.89100000000000001</v>
      </c>
      <c r="C438" s="8">
        <v>1E-3</v>
      </c>
      <c r="D438" s="8">
        <v>24.568000000000001</v>
      </c>
      <c r="E438" s="8">
        <v>6.8000000000000005E-2</v>
      </c>
      <c r="F438" s="8">
        <v>1.1319999999999999</v>
      </c>
      <c r="G438" s="8">
        <v>5.0999999999999997E-2</v>
      </c>
      <c r="H438" s="8">
        <v>-8.0000000000000002E-3</v>
      </c>
      <c r="I438" s="8">
        <v>5.0999999999999997E-2</v>
      </c>
      <c r="J438" s="8">
        <v>0.12</v>
      </c>
      <c r="K438" s="39">
        <f t="shared" si="48"/>
        <v>0.28999999999999998</v>
      </c>
      <c r="L438" s="39">
        <f t="shared" si="49"/>
        <v>43.952444</v>
      </c>
      <c r="M438" s="30">
        <f t="shared" si="50"/>
        <v>6172.8937243677319</v>
      </c>
      <c r="N438" s="30">
        <f>(RedShift*Age*(2*InitialTangentVelocity-UniverseAcceleration*Age))/(2+RedShift)*(1+RedShift)</f>
        <v>1.7815349796314468E+26</v>
      </c>
      <c r="O438" s="36">
        <f t="shared" si="51"/>
        <v>5773.5616682007549</v>
      </c>
      <c r="P438" s="36">
        <f t="shared" si="52"/>
        <v>43.807219044668628</v>
      </c>
      <c r="Q438" s="36">
        <f t="shared" si="53"/>
        <v>0.25077630976217602</v>
      </c>
      <c r="R438" s="19">
        <v>5462.5272364909588</v>
      </c>
      <c r="S438" s="36">
        <f t="shared" si="54"/>
        <v>43.686968077012061</v>
      </c>
      <c r="T438" s="36">
        <f t="shared" si="55"/>
        <v>0.83801980602019088</v>
      </c>
      <c r="U438" s="30"/>
    </row>
    <row r="439" spans="1:21" x14ac:dyDescent="0.25">
      <c r="A439" s="35" t="s">
        <v>468</v>
      </c>
      <c r="B439" s="16">
        <v>0.89900000000000002</v>
      </c>
      <c r="C439" s="8">
        <v>1E-3</v>
      </c>
      <c r="D439" s="8">
        <v>24.314</v>
      </c>
      <c r="E439" s="8">
        <v>7.4999999999999997E-2</v>
      </c>
      <c r="F439" s="8">
        <v>1.1459999999999999</v>
      </c>
      <c r="G439" s="8">
        <v>4.3999999999999997E-2</v>
      </c>
      <c r="H439" s="8">
        <v>-4.2999999999999997E-2</v>
      </c>
      <c r="I439" s="8">
        <v>5.0999999999999997E-2</v>
      </c>
      <c r="J439" s="8">
        <v>0.12</v>
      </c>
      <c r="K439" s="39">
        <f t="shared" si="48"/>
        <v>0.28999999999999998</v>
      </c>
      <c r="L439" s="39">
        <f t="shared" si="49"/>
        <v>43.810051999999999</v>
      </c>
      <c r="M439" s="30">
        <f t="shared" si="50"/>
        <v>5781.098911710229</v>
      </c>
      <c r="N439" s="30">
        <f>(RedShift*Age*(2*InitialTangentVelocity-UniverseAcceleration*Age))/(2+RedShift)*(1+RedShift)</f>
        <v>1.8001539752557384E+26</v>
      </c>
      <c r="O439" s="36">
        <f t="shared" si="51"/>
        <v>5833.9017236393784</v>
      </c>
      <c r="P439" s="36">
        <f t="shared" si="52"/>
        <v>43.829795544188585</v>
      </c>
      <c r="Q439" s="36">
        <f t="shared" si="53"/>
        <v>4.6350480038839566E-3</v>
      </c>
      <c r="R439" s="19">
        <v>5523.1331703919477</v>
      </c>
      <c r="S439" s="36">
        <f t="shared" si="54"/>
        <v>43.710927573957534</v>
      </c>
      <c r="T439" s="36">
        <f t="shared" si="55"/>
        <v>0.11683295883767097</v>
      </c>
      <c r="U439" s="30"/>
    </row>
    <row r="440" spans="1:21" x14ac:dyDescent="0.25">
      <c r="A440" s="35" t="s">
        <v>469</v>
      </c>
      <c r="B440" s="16">
        <v>0.90100000000000002</v>
      </c>
      <c r="C440" s="8">
        <v>1E-3</v>
      </c>
      <c r="D440" s="8">
        <v>24.417000000000002</v>
      </c>
      <c r="E440" s="8">
        <v>7.2999999999999995E-2</v>
      </c>
      <c r="F440" s="8">
        <v>1.1180000000000001</v>
      </c>
      <c r="G440" s="8">
        <v>4.1000000000000002E-2</v>
      </c>
      <c r="H440" s="8">
        <v>-9.5000000000000001E-2</v>
      </c>
      <c r="I440" s="8">
        <v>4.8000000000000001E-2</v>
      </c>
      <c r="J440" s="8">
        <v>0.12</v>
      </c>
      <c r="K440" s="39">
        <f t="shared" si="48"/>
        <v>0.28199999999999997</v>
      </c>
      <c r="L440" s="39">
        <f t="shared" si="49"/>
        <v>44.071696000000003</v>
      </c>
      <c r="M440" s="30">
        <f t="shared" si="50"/>
        <v>6521.3753866240604</v>
      </c>
      <c r="N440" s="30">
        <f>(RedShift*Age*(2*InitialTangentVelocity-UniverseAcceleration*Age))/(2+RedShift)*(1+RedShift)</f>
        <v>1.8048137532490373E+26</v>
      </c>
      <c r="O440" s="36">
        <f t="shared" si="51"/>
        <v>5849.0030356607685</v>
      </c>
      <c r="P440" s="36">
        <f t="shared" si="52"/>
        <v>43.835409233821551</v>
      </c>
      <c r="Q440" s="36">
        <f t="shared" si="53"/>
        <v>0.70207026647390047</v>
      </c>
      <c r="R440" s="19">
        <v>5538.3064567078445</v>
      </c>
      <c r="S440" s="36">
        <f t="shared" si="54"/>
        <v>43.716884916649462</v>
      </c>
      <c r="T440" s="36">
        <f t="shared" si="55"/>
        <v>1.5830554910264096</v>
      </c>
      <c r="U440" s="30"/>
    </row>
    <row r="441" spans="1:21" x14ac:dyDescent="0.25">
      <c r="A441" s="35" t="s">
        <v>470</v>
      </c>
      <c r="B441" s="16">
        <v>0.91</v>
      </c>
      <c r="C441" s="8">
        <v>0.02</v>
      </c>
      <c r="D441" s="8">
        <v>24.666</v>
      </c>
      <c r="E441" s="8">
        <v>7.9000000000000001E-2</v>
      </c>
      <c r="F441" s="8">
        <v>0.94</v>
      </c>
      <c r="G441" s="8">
        <v>4.4999999999999998E-2</v>
      </c>
      <c r="H441" s="8">
        <v>-0.11</v>
      </c>
      <c r="I441" s="8">
        <v>4.9000000000000002E-2</v>
      </c>
      <c r="J441" s="8">
        <v>0.12</v>
      </c>
      <c r="K441" s="39">
        <f t="shared" si="48"/>
        <v>0.29299999999999998</v>
      </c>
      <c r="L441" s="39">
        <f t="shared" si="49"/>
        <v>44.341480000000004</v>
      </c>
      <c r="M441" s="30">
        <f t="shared" si="50"/>
        <v>7384.073313927659</v>
      </c>
      <c r="N441" s="30">
        <f>(RedShift*Age*(2*InitialTangentVelocity-UniverseAcceleration*Age))/(2+RedShift)*(1+RedShift)</f>
        <v>1.825807485662627E+26</v>
      </c>
      <c r="O441" s="36">
        <f t="shared" si="51"/>
        <v>5917.0390889077498</v>
      </c>
      <c r="P441" s="36">
        <f t="shared" si="52"/>
        <v>43.860522191526911</v>
      </c>
      <c r="Q441" s="36">
        <f t="shared" si="53"/>
        <v>2.6945032968495899</v>
      </c>
      <c r="R441" s="19">
        <v>5606.6934211630796</v>
      </c>
      <c r="S441" s="36">
        <f t="shared" si="54"/>
        <v>43.743534045752568</v>
      </c>
      <c r="T441" s="36">
        <f t="shared" si="55"/>
        <v>4.1647469883269084</v>
      </c>
      <c r="U441" s="30"/>
    </row>
    <row r="442" spans="1:21" x14ac:dyDescent="0.25">
      <c r="A442" s="35" t="s">
        <v>471</v>
      </c>
      <c r="B442" s="16">
        <v>0.91500000000000004</v>
      </c>
      <c r="C442" s="8">
        <v>1.4E-2</v>
      </c>
      <c r="D442" s="8">
        <v>24.366</v>
      </c>
      <c r="E442" s="8">
        <v>7.0000000000000007E-2</v>
      </c>
      <c r="F442" s="8">
        <v>1.004</v>
      </c>
      <c r="G442" s="8">
        <v>3.4000000000000002E-2</v>
      </c>
      <c r="H442" s="8">
        <v>-0.124</v>
      </c>
      <c r="I442" s="8">
        <v>4.3999999999999997E-2</v>
      </c>
      <c r="J442" s="8">
        <v>0.12</v>
      </c>
      <c r="K442" s="39">
        <f t="shared" si="48"/>
        <v>0.26800000000000002</v>
      </c>
      <c r="L442" s="39">
        <f t="shared" si="49"/>
        <v>44.094707999999997</v>
      </c>
      <c r="M442" s="30">
        <f t="shared" si="50"/>
        <v>6590.8526145107353</v>
      </c>
      <c r="N442" s="30">
        <f>(RedShift*Age*(2*InitialTangentVelocity-UniverseAcceleration*Age))/(2+RedShift)*(1+RedShift)</f>
        <v>1.8374880612333872E+26</v>
      </c>
      <c r="O442" s="36">
        <f t="shared" si="51"/>
        <v>5954.8932563245553</v>
      </c>
      <c r="P442" s="36">
        <f t="shared" si="52"/>
        <v>43.874369904992626</v>
      </c>
      <c r="Q442" s="36">
        <f t="shared" si="53"/>
        <v>0.67594224926872837</v>
      </c>
      <c r="R442" s="19">
        <v>5644.7615189011212</v>
      </c>
      <c r="S442" s="36">
        <f t="shared" si="54"/>
        <v>43.758227992409367</v>
      </c>
      <c r="T442" s="36">
        <f t="shared" si="55"/>
        <v>1.576336538040078</v>
      </c>
      <c r="U442" s="30"/>
    </row>
    <row r="443" spans="1:21" x14ac:dyDescent="0.25">
      <c r="A443" s="35" t="s">
        <v>472</v>
      </c>
      <c r="B443" s="16">
        <v>0.92</v>
      </c>
      <c r="C443" s="8">
        <v>0.02</v>
      </c>
      <c r="D443" s="8">
        <v>24.4</v>
      </c>
      <c r="E443" s="8">
        <v>8.5999999999999993E-2</v>
      </c>
      <c r="F443" s="8">
        <v>0.97199999999999998</v>
      </c>
      <c r="G443" s="8">
        <v>5.8999999999999997E-2</v>
      </c>
      <c r="H443" s="8">
        <v>-0.111</v>
      </c>
      <c r="I443" s="8">
        <v>5.3999999999999999E-2</v>
      </c>
      <c r="J443" s="8">
        <v>0.12</v>
      </c>
      <c r="K443" s="39">
        <f t="shared" si="48"/>
        <v>0.31899999999999995</v>
      </c>
      <c r="L443" s="39">
        <f t="shared" si="49"/>
        <v>44.083314000000001</v>
      </c>
      <c r="M443" s="30">
        <f t="shared" si="50"/>
        <v>6556.3601204885708</v>
      </c>
      <c r="N443" s="30">
        <f>(RedShift*Age*(2*InitialTangentVelocity-UniverseAcceleration*Age))/(2+RedShift)*(1+RedShift)</f>
        <v>1.8491809780445764E+26</v>
      </c>
      <c r="O443" s="36">
        <f t="shared" si="51"/>
        <v>5992.7874189777676</v>
      </c>
      <c r="P443" s="36">
        <f t="shared" si="52"/>
        <v>43.888144361615772</v>
      </c>
      <c r="Q443" s="36">
        <f t="shared" si="53"/>
        <v>0.37432010050049347</v>
      </c>
      <c r="R443" s="19">
        <v>5682.8830593695784</v>
      </c>
      <c r="S443" s="36">
        <f t="shared" si="54"/>
        <v>43.772843596787936</v>
      </c>
      <c r="T443" s="36">
        <f t="shared" si="55"/>
        <v>0.9472378540959927</v>
      </c>
      <c r="U443" s="30"/>
    </row>
    <row r="444" spans="1:21" x14ac:dyDescent="0.25">
      <c r="A444" s="35" t="s">
        <v>473</v>
      </c>
      <c r="B444" s="16">
        <v>0.92</v>
      </c>
      <c r="C444" s="8">
        <v>0.01</v>
      </c>
      <c r="D444" s="8">
        <v>24.672000000000001</v>
      </c>
      <c r="E444" s="8">
        <v>8.4000000000000005E-2</v>
      </c>
      <c r="F444" s="8">
        <v>0.98299999999999998</v>
      </c>
      <c r="G444" s="8">
        <v>7.1999999999999995E-2</v>
      </c>
      <c r="H444" s="8">
        <v>1.4E-2</v>
      </c>
      <c r="I444" s="8">
        <v>7.2999999999999995E-2</v>
      </c>
      <c r="J444" s="8">
        <v>0.12</v>
      </c>
      <c r="K444" s="39">
        <f t="shared" si="48"/>
        <v>0.34899999999999998</v>
      </c>
      <c r="L444" s="39">
        <f t="shared" si="49"/>
        <v>43.965681000000004</v>
      </c>
      <c r="M444" s="30">
        <f t="shared" si="50"/>
        <v>6210.6377680051455</v>
      </c>
      <c r="N444" s="30">
        <f>(RedShift*Age*(2*InitialTangentVelocity-UniverseAcceleration*Age))/(2+RedShift)*(1+RedShift)</f>
        <v>1.8491809780445764E+26</v>
      </c>
      <c r="O444" s="36">
        <f t="shared" si="51"/>
        <v>5992.7874189777676</v>
      </c>
      <c r="P444" s="36">
        <f t="shared" si="52"/>
        <v>43.888144361615772</v>
      </c>
      <c r="Q444" s="36">
        <f t="shared" si="53"/>
        <v>4.9358628352205794E-2</v>
      </c>
      <c r="R444" s="19">
        <v>5682.8830593695784</v>
      </c>
      <c r="S444" s="36">
        <f t="shared" si="54"/>
        <v>43.772843596787936</v>
      </c>
      <c r="T444" s="36">
        <f t="shared" si="55"/>
        <v>0.30530343821129052</v>
      </c>
      <c r="U444" s="30"/>
    </row>
    <row r="445" spans="1:21" x14ac:dyDescent="0.25">
      <c r="A445" s="35" t="s">
        <v>474</v>
      </c>
      <c r="B445" s="16">
        <v>0.92400000000000004</v>
      </c>
      <c r="C445" s="8">
        <v>1E-3</v>
      </c>
      <c r="D445" s="8">
        <v>24.821999999999999</v>
      </c>
      <c r="E445" s="8">
        <v>7.4999999999999997E-2</v>
      </c>
      <c r="F445" s="8">
        <v>1.103</v>
      </c>
      <c r="G445" s="8">
        <v>6.8000000000000005E-2</v>
      </c>
      <c r="H445" s="8">
        <v>3.3000000000000002E-2</v>
      </c>
      <c r="I445" s="8">
        <v>5.5E-2</v>
      </c>
      <c r="J445" s="8">
        <v>0.12</v>
      </c>
      <c r="K445" s="39">
        <f t="shared" si="48"/>
        <v>0.318</v>
      </c>
      <c r="L445" s="39">
        <f t="shared" si="49"/>
        <v>44.073850999999998</v>
      </c>
      <c r="M445" s="30">
        <f t="shared" si="50"/>
        <v>6527.8505044666808</v>
      </c>
      <c r="N445" s="30">
        <f>(RedShift*Age*(2*InitialTangentVelocity-UniverseAcceleration*Age))/(2+RedShift)*(1+RedShift)</f>
        <v>1.8585441546422778E+26</v>
      </c>
      <c r="O445" s="36">
        <f t="shared" si="51"/>
        <v>6023.131407793675</v>
      </c>
      <c r="P445" s="36">
        <f t="shared" si="52"/>
        <v>43.899111691792733</v>
      </c>
      <c r="Q445" s="36">
        <f t="shared" si="53"/>
        <v>0.30194440323517141</v>
      </c>
      <c r="R445" s="19">
        <v>5713.4185752268395</v>
      </c>
      <c r="S445" s="36">
        <f t="shared" si="54"/>
        <v>43.784480212069042</v>
      </c>
      <c r="T445" s="36">
        <f t="shared" si="55"/>
        <v>0.82804727767673625</v>
      </c>
      <c r="U445" s="30"/>
    </row>
    <row r="446" spans="1:21" x14ac:dyDescent="0.25">
      <c r="A446" s="35" t="s">
        <v>475</v>
      </c>
      <c r="B446" s="16">
        <v>0.92700000000000005</v>
      </c>
      <c r="C446" s="8">
        <v>1E-3</v>
      </c>
      <c r="D446" s="8">
        <v>24.704999999999998</v>
      </c>
      <c r="E446" s="8">
        <v>9.8000000000000004E-2</v>
      </c>
      <c r="F446" s="8">
        <v>1.103</v>
      </c>
      <c r="G446" s="8">
        <v>7.0000000000000007E-2</v>
      </c>
      <c r="H446" s="8">
        <v>-3.2000000000000001E-2</v>
      </c>
      <c r="I446" s="8">
        <v>5.8000000000000003E-2</v>
      </c>
      <c r="J446" s="8">
        <v>0.12</v>
      </c>
      <c r="K446" s="39">
        <f t="shared" si="48"/>
        <v>0.34599999999999997</v>
      </c>
      <c r="L446" s="39">
        <f t="shared" si="49"/>
        <v>44.160300999999997</v>
      </c>
      <c r="M446" s="30">
        <f t="shared" si="50"/>
        <v>6792.9778737710039</v>
      </c>
      <c r="N446" s="30">
        <f>(RedShift*Age*(2*InitialTangentVelocity-UniverseAcceleration*Age))/(2+RedShift)*(1+RedShift)</f>
        <v>1.8655716744453617E+26</v>
      </c>
      <c r="O446" s="36">
        <f t="shared" si="51"/>
        <v>6045.9060484386764</v>
      </c>
      <c r="P446" s="36">
        <f t="shared" si="52"/>
        <v>43.90730697044313</v>
      </c>
      <c r="Q446" s="36">
        <f t="shared" si="53"/>
        <v>0.53464849302867301</v>
      </c>
      <c r="R446" s="19">
        <v>5736.3424471420267</v>
      </c>
      <c r="S446" s="36">
        <f t="shared" si="54"/>
        <v>43.793175349338483</v>
      </c>
      <c r="T446" s="36">
        <f t="shared" si="55"/>
        <v>1.1258415197103129</v>
      </c>
      <c r="U446" s="30"/>
    </row>
    <row r="447" spans="1:21" x14ac:dyDescent="0.25">
      <c r="A447" s="35" t="s">
        <v>476</v>
      </c>
      <c r="B447" s="16">
        <v>0.93</v>
      </c>
      <c r="C447" s="8">
        <v>1E-3</v>
      </c>
      <c r="D447" s="8">
        <v>24.876000000000001</v>
      </c>
      <c r="E447" s="8">
        <v>0.11899999999999999</v>
      </c>
      <c r="F447" s="8">
        <v>1.1659999999999999</v>
      </c>
      <c r="G447" s="8">
        <v>0.17199999999999999</v>
      </c>
      <c r="H447" s="8">
        <v>5.0999999999999997E-2</v>
      </c>
      <c r="I447" s="8">
        <v>7.9000000000000001E-2</v>
      </c>
      <c r="J447" s="8">
        <v>0.12</v>
      </c>
      <c r="K447" s="39">
        <f t="shared" si="48"/>
        <v>0.49</v>
      </c>
      <c r="L447" s="39">
        <f t="shared" si="49"/>
        <v>44.080771999999996</v>
      </c>
      <c r="M447" s="30">
        <f t="shared" si="50"/>
        <v>6548.6895113171604</v>
      </c>
      <c r="N447" s="30">
        <f>(RedShift*Age*(2*InitialTangentVelocity-UniverseAcceleration*Age))/(2+RedShift)*(1+RedShift)</f>
        <v>1.8726035826665937E+26</v>
      </c>
      <c r="O447" s="36">
        <f t="shared" si="51"/>
        <v>6068.6949109783327</v>
      </c>
      <c r="P447" s="36">
        <f t="shared" si="52"/>
        <v>43.915476524650337</v>
      </c>
      <c r="Q447" s="36">
        <f t="shared" si="53"/>
        <v>0.11379672707650827</v>
      </c>
      <c r="R447" s="19">
        <v>5759.2853087515059</v>
      </c>
      <c r="S447" s="36">
        <f t="shared" si="54"/>
        <v>43.801842967703564</v>
      </c>
      <c r="T447" s="36">
        <f t="shared" si="55"/>
        <v>0.32403750544699705</v>
      </c>
      <c r="U447" s="30"/>
    </row>
    <row r="448" spans="1:21" x14ac:dyDescent="0.25">
      <c r="A448" s="35" t="s">
        <v>477</v>
      </c>
      <c r="B448" s="16">
        <v>0.93</v>
      </c>
      <c r="C448" s="8">
        <v>0.02</v>
      </c>
      <c r="D448" s="8">
        <v>24.765000000000001</v>
      </c>
      <c r="E448" s="8">
        <v>0.112</v>
      </c>
      <c r="F448" s="8">
        <v>1.022</v>
      </c>
      <c r="G448" s="8">
        <v>5.5E-2</v>
      </c>
      <c r="H448" s="8">
        <v>-7.5999999999999998E-2</v>
      </c>
      <c r="I448" s="8">
        <v>5.8000000000000003E-2</v>
      </c>
      <c r="J448" s="8">
        <v>0.12</v>
      </c>
      <c r="K448" s="39">
        <f t="shared" si="48"/>
        <v>0.34499999999999997</v>
      </c>
      <c r="L448" s="39">
        <f t="shared" si="49"/>
        <v>44.346114</v>
      </c>
      <c r="M448" s="30">
        <f t="shared" si="50"/>
        <v>7399.8480171078709</v>
      </c>
      <c r="N448" s="30">
        <f>(RedShift*Age*(2*InitialTangentVelocity-UniverseAcceleration*Age))/(2+RedShift)*(1+RedShift)</f>
        <v>1.8726035826665937E+26</v>
      </c>
      <c r="O448" s="36">
        <f t="shared" si="51"/>
        <v>6068.6949109783327</v>
      </c>
      <c r="P448" s="36">
        <f t="shared" si="52"/>
        <v>43.915476524650337</v>
      </c>
      <c r="Q448" s="36">
        <f t="shared" si="53"/>
        <v>1.5580645677423346</v>
      </c>
      <c r="R448" s="19">
        <v>5759.2853087515059</v>
      </c>
      <c r="S448" s="36">
        <f t="shared" si="54"/>
        <v>43.801842967703564</v>
      </c>
      <c r="T448" s="36">
        <f t="shared" si="55"/>
        <v>2.4888129098679102</v>
      </c>
      <c r="U448" s="30"/>
    </row>
    <row r="449" spans="1:21" x14ac:dyDescent="0.25">
      <c r="A449" s="35" t="s">
        <v>478</v>
      </c>
      <c r="B449" s="16">
        <v>0.93400000000000005</v>
      </c>
      <c r="C449" s="8">
        <v>1E-3</v>
      </c>
      <c r="D449" s="8">
        <v>24.43</v>
      </c>
      <c r="E449" s="8">
        <v>7.4999999999999997E-2</v>
      </c>
      <c r="F449" s="8">
        <v>1.03</v>
      </c>
      <c r="G449" s="8">
        <v>3.6999999999999998E-2</v>
      </c>
      <c r="H449" s="8">
        <v>-0.16600000000000001</v>
      </c>
      <c r="I449" s="8">
        <v>4.3999999999999997E-2</v>
      </c>
      <c r="J449" s="8">
        <v>0.12</v>
      </c>
      <c r="K449" s="39">
        <f t="shared" si="48"/>
        <v>0.27599999999999997</v>
      </c>
      <c r="L449" s="39">
        <f t="shared" si="49"/>
        <v>44.293990000000001</v>
      </c>
      <c r="M449" s="30">
        <f t="shared" si="50"/>
        <v>7224.3370549853389</v>
      </c>
      <c r="N449" s="30">
        <f>(RedShift*Age*(2*InitialTangentVelocity-UniverseAcceleration*Age))/(2+RedShift)*(1+RedShift)</f>
        <v>1.8819862634565074E+26</v>
      </c>
      <c r="O449" s="36">
        <f t="shared" si="51"/>
        <v>6099.1021085764496</v>
      </c>
      <c r="P449" s="36">
        <f t="shared" si="52"/>
        <v>43.926329520961403</v>
      </c>
      <c r="Q449" s="36">
        <f t="shared" si="53"/>
        <v>1.7744988952805529</v>
      </c>
      <c r="R449" s="19">
        <v>5789.9052238216927</v>
      </c>
      <c r="S449" s="36">
        <f t="shared" si="54"/>
        <v>43.813357273638786</v>
      </c>
      <c r="T449" s="36">
        <f t="shared" si="55"/>
        <v>3.0325537918690184</v>
      </c>
      <c r="U449" s="30"/>
    </row>
    <row r="450" spans="1:21" x14ac:dyDescent="0.25">
      <c r="A450" s="35" t="s">
        <v>479</v>
      </c>
      <c r="B450" s="16">
        <v>0.93500000000000005</v>
      </c>
      <c r="C450" s="8">
        <v>0.01</v>
      </c>
      <c r="D450" s="8">
        <v>24.472999999999999</v>
      </c>
      <c r="E450" s="8">
        <v>7.0000000000000007E-2</v>
      </c>
      <c r="F450" s="8">
        <v>1.036</v>
      </c>
      <c r="G450" s="8">
        <v>3.2000000000000001E-2</v>
      </c>
      <c r="H450" s="8">
        <v>-2.8000000000000001E-2</v>
      </c>
      <c r="I450" s="8">
        <v>0.05</v>
      </c>
      <c r="J450" s="8">
        <v>0.12</v>
      </c>
      <c r="K450" s="39">
        <f t="shared" si="48"/>
        <v>0.27200000000000002</v>
      </c>
      <c r="L450" s="39">
        <f t="shared" si="49"/>
        <v>43.905932</v>
      </c>
      <c r="M450" s="30">
        <f t="shared" si="50"/>
        <v>6042.0790088818667</v>
      </c>
      <c r="N450" s="30">
        <f>(RedShift*Age*(2*InitialTangentVelocity-UniverseAcceleration*Age))/(2+RedShift)*(1+RedShift)</f>
        <v>1.8843331451929256E+26</v>
      </c>
      <c r="O450" s="36">
        <f t="shared" si="51"/>
        <v>6106.7078343062849</v>
      </c>
      <c r="P450" s="36">
        <f t="shared" si="52"/>
        <v>43.929035711831418</v>
      </c>
      <c r="Q450" s="36">
        <f t="shared" si="53"/>
        <v>7.2148234806064752E-3</v>
      </c>
      <c r="R450" s="19">
        <v>5797.5654433038135</v>
      </c>
      <c r="S450" s="36">
        <f t="shared" si="54"/>
        <v>43.816228298413264</v>
      </c>
      <c r="T450" s="36">
        <f t="shared" si="55"/>
        <v>0.10876343639654634</v>
      </c>
      <c r="U450" s="30"/>
    </row>
    <row r="451" spans="1:21" x14ac:dyDescent="0.25">
      <c r="A451" s="35" t="s">
        <v>480</v>
      </c>
      <c r="B451" s="16">
        <v>0.93600000000000005</v>
      </c>
      <c r="C451" s="8">
        <v>1.4E-2</v>
      </c>
      <c r="D451" s="8">
        <v>24.811</v>
      </c>
      <c r="E451" s="8">
        <v>9.9000000000000005E-2</v>
      </c>
      <c r="F451" s="8">
        <v>1.081</v>
      </c>
      <c r="G451" s="8">
        <v>6.6000000000000003E-2</v>
      </c>
      <c r="H451" s="8">
        <v>2.8000000000000001E-2</v>
      </c>
      <c r="I451" s="8">
        <v>6.5000000000000002E-2</v>
      </c>
      <c r="J451" s="8">
        <v>0.12</v>
      </c>
      <c r="K451" s="39">
        <f t="shared" si="48"/>
        <v>0.35</v>
      </c>
      <c r="L451" s="39">
        <f t="shared" si="49"/>
        <v>44.075266999999997</v>
      </c>
      <c r="M451" s="30">
        <f t="shared" si="50"/>
        <v>6532.1086524011771</v>
      </c>
      <c r="N451" s="30">
        <f>(RedShift*Age*(2*InitialTangentVelocity-UniverseAcceleration*Age))/(2+RedShift)*(1+RedShift)</f>
        <v>1.8866805105545611E+26</v>
      </c>
      <c r="O451" s="36">
        <f t="shared" si="51"/>
        <v>6114.3151273587091</v>
      </c>
      <c r="P451" s="36">
        <f t="shared" si="52"/>
        <v>43.931739090944575</v>
      </c>
      <c r="Q451" s="36">
        <f t="shared" si="53"/>
        <v>0.16816539328833818</v>
      </c>
      <c r="R451" s="19">
        <v>5805.2277545379493</v>
      </c>
      <c r="S451" s="36">
        <f t="shared" si="54"/>
        <v>43.819096314687116</v>
      </c>
      <c r="T451" s="36">
        <f t="shared" si="55"/>
        <v>0.5357013878667034</v>
      </c>
      <c r="U451" s="30"/>
    </row>
    <row r="452" spans="1:21" x14ac:dyDescent="0.25">
      <c r="A452" s="35" t="s">
        <v>481</v>
      </c>
      <c r="B452" s="16">
        <v>0.93600000000000005</v>
      </c>
      <c r="C452" s="8">
        <v>1E-3</v>
      </c>
      <c r="D452" s="8">
        <v>24.494</v>
      </c>
      <c r="E452" s="8">
        <v>7.0000000000000007E-2</v>
      </c>
      <c r="F452" s="8">
        <v>0.96699999999999997</v>
      </c>
      <c r="G452" s="8">
        <v>3.3000000000000002E-2</v>
      </c>
      <c r="H452" s="8">
        <v>-8.3000000000000004E-2</v>
      </c>
      <c r="I452" s="8">
        <v>4.3999999999999997E-2</v>
      </c>
      <c r="J452" s="8">
        <v>0.12</v>
      </c>
      <c r="K452" s="39">
        <f t="shared" si="48"/>
        <v>0.26700000000000002</v>
      </c>
      <c r="L452" s="39">
        <f t="shared" si="49"/>
        <v>44.088938999999996</v>
      </c>
      <c r="M452" s="30">
        <f t="shared" si="50"/>
        <v>6573.3657859996447</v>
      </c>
      <c r="N452" s="30">
        <f>(RedShift*Age*(2*InitialTangentVelocity-UniverseAcceleration*Age))/(2+RedShift)*(1+RedShift)</f>
        <v>1.8866805105545611E+26</v>
      </c>
      <c r="O452" s="36">
        <f t="shared" si="51"/>
        <v>6114.3151273587091</v>
      </c>
      <c r="P452" s="36">
        <f t="shared" si="52"/>
        <v>43.931739090944575</v>
      </c>
      <c r="Q452" s="36">
        <f t="shared" si="53"/>
        <v>0.34664269953334709</v>
      </c>
      <c r="R452" s="19">
        <v>5805.2277545379493</v>
      </c>
      <c r="S452" s="36">
        <f t="shared" si="54"/>
        <v>43.819096314687116</v>
      </c>
      <c r="T452" s="36">
        <f t="shared" si="55"/>
        <v>1.0214068764727575</v>
      </c>
      <c r="U452" s="30"/>
    </row>
    <row r="453" spans="1:21" x14ac:dyDescent="0.25">
      <c r="A453" s="35" t="s">
        <v>482</v>
      </c>
      <c r="B453" s="16">
        <v>0.94899999999999995</v>
      </c>
      <c r="C453" s="8">
        <v>1.4E-2</v>
      </c>
      <c r="D453" s="8">
        <v>24.463999999999999</v>
      </c>
      <c r="E453" s="8">
        <v>8.2000000000000003E-2</v>
      </c>
      <c r="F453" s="8">
        <v>0.94699999999999995</v>
      </c>
      <c r="G453" s="8">
        <v>7.3999999999999996E-2</v>
      </c>
      <c r="H453" s="8">
        <v>1.9E-2</v>
      </c>
      <c r="I453" s="8">
        <v>5.5E-2</v>
      </c>
      <c r="J453" s="8">
        <v>0.12</v>
      </c>
      <c r="K453" s="39">
        <f t="shared" si="48"/>
        <v>0.33099999999999996</v>
      </c>
      <c r="L453" s="39">
        <f t="shared" si="49"/>
        <v>43.736739</v>
      </c>
      <c r="M453" s="30">
        <f t="shared" si="50"/>
        <v>5589.1761863572274</v>
      </c>
      <c r="N453" s="30">
        <f>(RedShift*Age*(2*InitialTangentVelocity-UniverseAcceleration*Age))/(2+RedShift)*(1+RedShift)</f>
        <v>1.9172400462955732E+26</v>
      </c>
      <c r="O453" s="36">
        <f t="shared" si="51"/>
        <v>6213.3518379310817</v>
      </c>
      <c r="P453" s="36">
        <f t="shared" si="52"/>
        <v>43.966629733577918</v>
      </c>
      <c r="Q453" s="36">
        <f t="shared" si="53"/>
        <v>0.48237739145310038</v>
      </c>
      <c r="R453" s="19">
        <v>5905.0271260194913</v>
      </c>
      <c r="S453" s="36">
        <f t="shared" si="54"/>
        <v>43.85610948489883</v>
      </c>
      <c r="T453" s="36">
        <f t="shared" si="55"/>
        <v>0.13005825672439919</v>
      </c>
      <c r="U453" s="30"/>
    </row>
    <row r="454" spans="1:21" x14ac:dyDescent="0.25">
      <c r="A454" s="35" t="s">
        <v>483</v>
      </c>
      <c r="B454" s="16">
        <v>0.95</v>
      </c>
      <c r="C454" s="8">
        <v>0.02</v>
      </c>
      <c r="D454" s="8">
        <v>24.734000000000002</v>
      </c>
      <c r="E454" s="8">
        <v>7.8E-2</v>
      </c>
      <c r="F454" s="8">
        <v>1.0389999999999999</v>
      </c>
      <c r="G454" s="8">
        <v>0.05</v>
      </c>
      <c r="H454" s="8">
        <v>2.1999999999999999E-2</v>
      </c>
      <c r="I454" s="8">
        <v>0.05</v>
      </c>
      <c r="J454" s="8">
        <v>0.12</v>
      </c>
      <c r="K454" s="39">
        <f t="shared" si="48"/>
        <v>0.29799999999999999</v>
      </c>
      <c r="L454" s="39">
        <f t="shared" si="49"/>
        <v>44.010873000000004</v>
      </c>
      <c r="M454" s="30">
        <f t="shared" si="50"/>
        <v>6341.2459799005255</v>
      </c>
      <c r="N454" s="30">
        <f>(RedShift*Age*(2*InitialTangentVelocity-UniverseAcceleration*Age))/(2+RedShift)*(1+RedShift)</f>
        <v>1.9195941308447951E+26</v>
      </c>
      <c r="O454" s="36">
        <f t="shared" si="51"/>
        <v>6220.9809063874882</v>
      </c>
      <c r="P454" s="36">
        <f t="shared" si="52"/>
        <v>43.969294341978355</v>
      </c>
      <c r="Q454" s="36">
        <f t="shared" si="53"/>
        <v>1.9467420418914035E-2</v>
      </c>
      <c r="R454" s="19">
        <v>5912.7184859544232</v>
      </c>
      <c r="S454" s="36">
        <f t="shared" si="54"/>
        <v>43.858936010159553</v>
      </c>
      <c r="T454" s="36">
        <f t="shared" si="55"/>
        <v>0.25995280484862371</v>
      </c>
      <c r="U454" s="30"/>
    </row>
    <row r="455" spans="1:21" x14ac:dyDescent="0.25">
      <c r="A455" s="35" t="s">
        <v>484</v>
      </c>
      <c r="B455" s="16">
        <v>0.95</v>
      </c>
      <c r="C455" s="8">
        <v>0.02</v>
      </c>
      <c r="D455" s="8">
        <v>24.56</v>
      </c>
      <c r="E455" s="8">
        <v>7.9000000000000001E-2</v>
      </c>
      <c r="F455" s="8">
        <v>1.117</v>
      </c>
      <c r="G455" s="8">
        <v>4.4999999999999998E-2</v>
      </c>
      <c r="H455" s="8">
        <v>-7.6999999999999999E-2</v>
      </c>
      <c r="I455" s="8">
        <v>4.5999999999999999E-2</v>
      </c>
      <c r="J455" s="8">
        <v>0.12</v>
      </c>
      <c r="K455" s="39">
        <f t="shared" ref="K455:K481" si="56">PeakMagnitudeError+StretchError+ColorError+ScatterError</f>
        <v>0.28999999999999998</v>
      </c>
      <c r="L455" s="39">
        <f t="shared" ref="L455:L481" si="57">PeakMagnitude+α*(Stretch-1)-β*Color-Mb</f>
        <v>44.158208999999999</v>
      </c>
      <c r="M455" s="30">
        <f t="shared" ref="M455:M482" si="58">10^((ObservedDistanceModuli-25)/5)</f>
        <v>6786.4366594130261</v>
      </c>
      <c r="N455" s="30">
        <f>(RedShift*Age*(2*InitialTangentVelocity-UniverseAcceleration*Age))/(2+RedShift)*(1+RedShift)</f>
        <v>1.9195941308447951E+26</v>
      </c>
      <c r="O455" s="36">
        <f t="shared" ref="O455:O482" si="59">N455/Mpc</f>
        <v>6220.9809063874882</v>
      </c>
      <c r="P455" s="36">
        <f t="shared" ref="P455:P482" si="60">(LOG10(T2LuminousDistance)*5+25)</f>
        <v>43.969294341978355</v>
      </c>
      <c r="Q455" s="36">
        <f t="shared" ref="Q455:Q482" si="61">(ObservedDistanceModuli-T2DistanceModuli)^2/TotalError^2</f>
        <v>0.42436085630719367</v>
      </c>
      <c r="R455" s="19">
        <v>5912.7184859544232</v>
      </c>
      <c r="S455" s="36">
        <f t="shared" ref="S455:S482" si="62">(LOG10(ΛCDMLuminousDistance)*5+25)</f>
        <v>43.858936010159553</v>
      </c>
      <c r="T455" s="36">
        <f t="shared" ref="T455:T482" si="63">(ObservedDistanceModuli-ΛCDMDistanceModuli)^2/TotalError^2</f>
        <v>1.0649741075866808</v>
      </c>
      <c r="U455" s="30"/>
    </row>
    <row r="456" spans="1:21" x14ac:dyDescent="0.25">
      <c r="A456" s="35" t="s">
        <v>485</v>
      </c>
      <c r="B456" s="16">
        <v>0.96</v>
      </c>
      <c r="C456" s="8">
        <v>0.02</v>
      </c>
      <c r="D456" s="8">
        <v>24.587</v>
      </c>
      <c r="E456" s="8">
        <v>0.08</v>
      </c>
      <c r="F456" s="8">
        <v>0.99</v>
      </c>
      <c r="G456" s="8">
        <v>5.1999999999999998E-2</v>
      </c>
      <c r="H456" s="8">
        <v>5.0000000000000001E-3</v>
      </c>
      <c r="I456" s="8">
        <v>4.7E-2</v>
      </c>
      <c r="J456" s="8">
        <v>0.12</v>
      </c>
      <c r="K456" s="39">
        <f t="shared" si="56"/>
        <v>0.29899999999999999</v>
      </c>
      <c r="L456" s="39">
        <f t="shared" si="57"/>
        <v>43.909880000000001</v>
      </c>
      <c r="M456" s="30">
        <f t="shared" si="58"/>
        <v>6053.0742330523535</v>
      </c>
      <c r="N456" s="30">
        <f>(RedShift*Age*(2*InitialTangentVelocity-UniverseAcceleration*Age))/(2+RedShift)*(1+RedShift)</f>
        <v>1.9431610923811542E+26</v>
      </c>
      <c r="O456" s="36">
        <f t="shared" si="59"/>
        <v>6297.3562272865665</v>
      </c>
      <c r="P456" s="36">
        <f t="shared" si="60"/>
        <v>43.995791305297871</v>
      </c>
      <c r="Q456" s="36">
        <f t="shared" si="61"/>
        <v>8.2557827965949113E-2</v>
      </c>
      <c r="R456" s="19">
        <v>5989.7449227569041</v>
      </c>
      <c r="S456" s="36">
        <f t="shared" si="62"/>
        <v>43.887041640328945</v>
      </c>
      <c r="T456" s="36">
        <f t="shared" si="63"/>
        <v>5.834282306288581E-3</v>
      </c>
      <c r="U456" s="30"/>
    </row>
    <row r="457" spans="1:21" x14ac:dyDescent="0.25">
      <c r="A457" s="35" t="s">
        <v>486</v>
      </c>
      <c r="B457" s="16">
        <v>0.96</v>
      </c>
      <c r="C457" s="8">
        <v>0.02</v>
      </c>
      <c r="D457" s="8">
        <v>24.773</v>
      </c>
      <c r="E457" s="8">
        <v>7.9000000000000001E-2</v>
      </c>
      <c r="F457" s="8">
        <v>1.022</v>
      </c>
      <c r="G457" s="8">
        <v>3.6999999999999998E-2</v>
      </c>
      <c r="H457" s="8">
        <v>-0.123</v>
      </c>
      <c r="I457" s="8">
        <v>4.3999999999999997E-2</v>
      </c>
      <c r="J457" s="8">
        <v>0.12</v>
      </c>
      <c r="K457" s="39">
        <f t="shared" si="56"/>
        <v>0.27999999999999997</v>
      </c>
      <c r="L457" s="39">
        <f t="shared" si="57"/>
        <v>44.501223999999993</v>
      </c>
      <c r="M457" s="30">
        <f t="shared" si="58"/>
        <v>7947.7610218240434</v>
      </c>
      <c r="N457" s="30">
        <f>(RedShift*Age*(2*InitialTangentVelocity-UniverseAcceleration*Age))/(2+RedShift)*(1+RedShift)</f>
        <v>1.9431610923811542E+26</v>
      </c>
      <c r="O457" s="36">
        <f t="shared" si="59"/>
        <v>6297.3562272865665</v>
      </c>
      <c r="P457" s="36">
        <f t="shared" si="60"/>
        <v>43.995791305297871</v>
      </c>
      <c r="Q457" s="36">
        <f t="shared" si="61"/>
        <v>3.2584465417582766</v>
      </c>
      <c r="R457" s="19">
        <v>5989.7449227569041</v>
      </c>
      <c r="S457" s="36">
        <f t="shared" si="62"/>
        <v>43.887041640328945</v>
      </c>
      <c r="T457" s="36">
        <f t="shared" si="63"/>
        <v>4.8114792210599076</v>
      </c>
      <c r="U457" s="30"/>
    </row>
    <row r="458" spans="1:21" x14ac:dyDescent="0.25">
      <c r="A458" s="35" t="s">
        <v>487</v>
      </c>
      <c r="B458" s="16">
        <v>0.96099999999999997</v>
      </c>
      <c r="C458" s="8">
        <v>1E-3</v>
      </c>
      <c r="D458" s="8">
        <v>24.847999999999999</v>
      </c>
      <c r="E458" s="8">
        <v>0.14299999999999999</v>
      </c>
      <c r="F458" s="8">
        <v>0.89200000000000002</v>
      </c>
      <c r="G458" s="8">
        <v>4.5999999999999999E-2</v>
      </c>
      <c r="H458" s="8">
        <v>-0.17299999999999999</v>
      </c>
      <c r="I458" s="8">
        <v>5.6000000000000001E-2</v>
      </c>
      <c r="J458" s="8">
        <v>0.12</v>
      </c>
      <c r="K458" s="39">
        <f t="shared" si="56"/>
        <v>0.36499999999999999</v>
      </c>
      <c r="L458" s="39">
        <f t="shared" si="57"/>
        <v>44.713614</v>
      </c>
      <c r="M458" s="30">
        <f t="shared" si="58"/>
        <v>8764.412306577884</v>
      </c>
      <c r="N458" s="30">
        <f>(RedShift*Age*(2*InitialTangentVelocity-UniverseAcceleration*Age))/(2+RedShift)*(1+RedShift)</f>
        <v>1.9455203895551945E+26</v>
      </c>
      <c r="O458" s="36">
        <f t="shared" si="59"/>
        <v>6305.0021887095363</v>
      </c>
      <c r="P458" s="36">
        <f t="shared" si="60"/>
        <v>43.998426208347496</v>
      </c>
      <c r="Q458" s="36">
        <f t="shared" si="61"/>
        <v>3.8393212785046744</v>
      </c>
      <c r="R458" s="19">
        <v>5997.4588019015628</v>
      </c>
      <c r="S458" s="36">
        <f t="shared" si="62"/>
        <v>43.889836366843966</v>
      </c>
      <c r="T458" s="36">
        <f t="shared" si="63"/>
        <v>5.093710556488328</v>
      </c>
      <c r="U458" s="30"/>
    </row>
    <row r="459" spans="1:21" x14ac:dyDescent="0.25">
      <c r="A459" s="35" t="s">
        <v>488</v>
      </c>
      <c r="B459" s="16">
        <v>0.97</v>
      </c>
      <c r="C459" s="8">
        <v>0.01</v>
      </c>
      <c r="D459" s="8">
        <v>25.026</v>
      </c>
      <c r="E459" s="8">
        <v>6.2E-2</v>
      </c>
      <c r="F459" s="8">
        <v>0.96199999999999997</v>
      </c>
      <c r="G459" s="8">
        <v>7.6999999999999999E-2</v>
      </c>
      <c r="H459" s="8">
        <v>-0.129</v>
      </c>
      <c r="I459" s="8">
        <v>9.7000000000000003E-2</v>
      </c>
      <c r="J459" s="8">
        <v>0.12</v>
      </c>
      <c r="K459" s="39">
        <f t="shared" si="56"/>
        <v>0.35599999999999998</v>
      </c>
      <c r="L459" s="39">
        <f t="shared" si="57"/>
        <v>44.764184</v>
      </c>
      <c r="M459" s="30">
        <f t="shared" si="58"/>
        <v>8970.9162037067854</v>
      </c>
      <c r="N459" s="30">
        <f>(RedShift*Age*(2*InitialTangentVelocity-UniverseAcceleration*Age))/(2+RedShift)*(1+RedShift)</f>
        <v>1.9667752018906824E+26</v>
      </c>
      <c r="O459" s="36">
        <f t="shared" si="59"/>
        <v>6373.8843443607047</v>
      </c>
      <c r="P459" s="36">
        <f t="shared" si="60"/>
        <v>44.022020894165465</v>
      </c>
      <c r="Q459" s="36">
        <f t="shared" si="61"/>
        <v>4.3460901059049046</v>
      </c>
      <c r="R459" s="19">
        <v>6066.9749875990774</v>
      </c>
      <c r="S459" s="36">
        <f t="shared" si="62"/>
        <v>43.914861022379633</v>
      </c>
      <c r="T459" s="36">
        <f t="shared" si="63"/>
        <v>5.6917491503118898</v>
      </c>
      <c r="U459" s="30"/>
    </row>
    <row r="460" spans="1:21" x14ac:dyDescent="0.25">
      <c r="A460" s="35" t="s">
        <v>489</v>
      </c>
      <c r="B460" s="16">
        <v>0.97499999999999998</v>
      </c>
      <c r="C460" s="8">
        <v>1E-3</v>
      </c>
      <c r="D460" s="8">
        <v>24.890999999999998</v>
      </c>
      <c r="E460" s="8">
        <v>6.3E-2</v>
      </c>
      <c r="F460" s="8">
        <v>1.208</v>
      </c>
      <c r="G460" s="8">
        <v>4.3999999999999997E-2</v>
      </c>
      <c r="H460" s="8">
        <v>1.7999999999999999E-2</v>
      </c>
      <c r="I460" s="8">
        <v>4.3999999999999997E-2</v>
      </c>
      <c r="J460" s="8">
        <v>0.12</v>
      </c>
      <c r="K460" s="39">
        <f t="shared" si="56"/>
        <v>0.27100000000000002</v>
      </c>
      <c r="L460" s="39">
        <f t="shared" si="57"/>
        <v>44.205235999999999</v>
      </c>
      <c r="M460" s="30">
        <f t="shared" si="58"/>
        <v>6935.0117302682929</v>
      </c>
      <c r="N460" s="30">
        <f>(RedShift*Age*(2*InitialTangentVelocity-UniverseAcceleration*Age))/(2+RedShift)*(1+RedShift)</f>
        <v>1.9785997885598391E+26</v>
      </c>
      <c r="O460" s="36">
        <f t="shared" si="59"/>
        <v>6412.2052199628688</v>
      </c>
      <c r="P460" s="36">
        <f t="shared" si="60"/>
        <v>44.035037066594576</v>
      </c>
      <c r="Q460" s="36">
        <f t="shared" si="61"/>
        <v>0.39443467453253217</v>
      </c>
      <c r="R460" s="19">
        <v>6105.6657038013382</v>
      </c>
      <c r="S460" s="36">
        <f t="shared" si="62"/>
        <v>43.928665111040829</v>
      </c>
      <c r="T460" s="36">
        <f t="shared" si="63"/>
        <v>1.0415361530979415</v>
      </c>
      <c r="U460" s="30"/>
    </row>
    <row r="461" spans="1:21" x14ac:dyDescent="0.25">
      <c r="A461" s="35" t="s">
        <v>490</v>
      </c>
      <c r="B461" s="16">
        <v>0.98099999999999998</v>
      </c>
      <c r="C461" s="8">
        <v>1E-3</v>
      </c>
      <c r="D461" s="8">
        <v>24.687999999999999</v>
      </c>
      <c r="E461" s="8">
        <v>8.1000000000000003E-2</v>
      </c>
      <c r="F461" s="8">
        <v>1.1299999999999999</v>
      </c>
      <c r="G461" s="8">
        <v>5.3999999999999999E-2</v>
      </c>
      <c r="H461" s="8">
        <v>-2.5999999999999999E-2</v>
      </c>
      <c r="I461" s="8">
        <v>0.05</v>
      </c>
      <c r="J461" s="8">
        <v>0.12</v>
      </c>
      <c r="K461" s="39">
        <f t="shared" si="56"/>
        <v>0.30499999999999999</v>
      </c>
      <c r="L461" s="39">
        <f t="shared" si="57"/>
        <v>44.128489999999999</v>
      </c>
      <c r="M461" s="30">
        <f t="shared" si="58"/>
        <v>6694.1894651445637</v>
      </c>
      <c r="N461" s="30">
        <f>(RedShift*Age*(2*InitialTangentVelocity-UniverseAcceleration*Age))/(2+RedShift)*(1+RedShift)</f>
        <v>1.9928046119625613E+26</v>
      </c>
      <c r="O461" s="36">
        <f t="shared" si="59"/>
        <v>6458.2399174788743</v>
      </c>
      <c r="P461" s="36">
        <f t="shared" si="60"/>
        <v>44.050570873041664</v>
      </c>
      <c r="Q461" s="36">
        <f t="shared" si="61"/>
        <v>6.5266222477281727E-2</v>
      </c>
      <c r="R461" s="19">
        <v>6152.1606706030661</v>
      </c>
      <c r="S461" s="36">
        <f t="shared" si="62"/>
        <v>43.945138345154405</v>
      </c>
      <c r="T461" s="36">
        <f t="shared" si="63"/>
        <v>0.36138488938046853</v>
      </c>
      <c r="U461" s="30"/>
    </row>
    <row r="462" spans="1:21" x14ac:dyDescent="0.25">
      <c r="A462" s="35" t="s">
        <v>491</v>
      </c>
      <c r="B462" s="16">
        <v>0.98299999999999998</v>
      </c>
      <c r="C462" s="8">
        <v>1E-3</v>
      </c>
      <c r="D462" s="8">
        <v>25.023</v>
      </c>
      <c r="E462" s="8">
        <v>0.13500000000000001</v>
      </c>
      <c r="F462" s="8">
        <v>0.81599999999999995</v>
      </c>
      <c r="G462" s="8">
        <v>5.8999999999999997E-2</v>
      </c>
      <c r="H462" s="8">
        <v>-4.3999999999999997E-2</v>
      </c>
      <c r="I462" s="8">
        <v>6.4000000000000001E-2</v>
      </c>
      <c r="J462" s="8">
        <v>0.12</v>
      </c>
      <c r="K462" s="39">
        <f t="shared" si="56"/>
        <v>0.378</v>
      </c>
      <c r="L462" s="39">
        <f t="shared" si="57"/>
        <v>44.473672000000001</v>
      </c>
      <c r="M462" s="30">
        <f t="shared" si="58"/>
        <v>7847.5555753678127</v>
      </c>
      <c r="N462" s="30">
        <f>(RedShift*Age*(2*InitialTangentVelocity-UniverseAcceleration*Age))/(2+RedShift)*(1+RedShift)</f>
        <v>1.9975432507058567E+26</v>
      </c>
      <c r="O462" s="36">
        <f t="shared" si="59"/>
        <v>6473.5967997857279</v>
      </c>
      <c r="P462" s="36">
        <f t="shared" si="60"/>
        <v>44.055728231989221</v>
      </c>
      <c r="Q462" s="36">
        <f t="shared" si="61"/>
        <v>1.2225091208186243</v>
      </c>
      <c r="R462" s="19">
        <v>6167.6749453527564</v>
      </c>
      <c r="S462" s="36">
        <f t="shared" si="62"/>
        <v>43.950607385234306</v>
      </c>
      <c r="T462" s="36">
        <f t="shared" si="63"/>
        <v>1.9148161531031043</v>
      </c>
      <c r="U462" s="30"/>
    </row>
    <row r="463" spans="1:21" x14ac:dyDescent="0.25">
      <c r="A463" s="35" t="s">
        <v>492</v>
      </c>
      <c r="B463" s="16">
        <v>0.98499999999999999</v>
      </c>
      <c r="C463" s="8">
        <v>1E-3</v>
      </c>
      <c r="D463" s="8">
        <v>24.77</v>
      </c>
      <c r="E463" s="8">
        <v>8.4000000000000005E-2</v>
      </c>
      <c r="F463" s="8">
        <v>1.081</v>
      </c>
      <c r="G463" s="8">
        <v>5.2999999999999999E-2</v>
      </c>
      <c r="H463" s="8">
        <v>-6.2E-2</v>
      </c>
      <c r="I463" s="8">
        <v>0.05</v>
      </c>
      <c r="J463" s="8">
        <v>0.12</v>
      </c>
      <c r="K463" s="39">
        <f t="shared" si="56"/>
        <v>0.307</v>
      </c>
      <c r="L463" s="39">
        <f t="shared" si="57"/>
        <v>44.315967000000001</v>
      </c>
      <c r="M463" s="30">
        <f t="shared" si="58"/>
        <v>7297.824245817068</v>
      </c>
      <c r="N463" s="30">
        <f>(RedShift*Age*(2*InitialTangentVelocity-UniverseAcceleration*Age))/(2+RedShift)*(1+RedShift)</f>
        <v>2.0022837320600294E+26</v>
      </c>
      <c r="O463" s="36">
        <f t="shared" si="59"/>
        <v>6488.9596535877527</v>
      </c>
      <c r="P463" s="36">
        <f t="shared" si="60"/>
        <v>44.060875369269127</v>
      </c>
      <c r="Q463" s="36">
        <f t="shared" si="61"/>
        <v>0.6904236657040026</v>
      </c>
      <c r="R463" s="19">
        <v>6183.1971682184803</v>
      </c>
      <c r="S463" s="36">
        <f t="shared" si="62"/>
        <v>43.956065476958244</v>
      </c>
      <c r="T463" s="36">
        <f t="shared" si="63"/>
        <v>1.3743287068061825</v>
      </c>
      <c r="U463" s="30"/>
    </row>
    <row r="464" spans="1:21" x14ac:dyDescent="0.25">
      <c r="A464" s="35" t="s">
        <v>493</v>
      </c>
      <c r="B464" s="16">
        <v>0.998</v>
      </c>
      <c r="C464" s="8">
        <v>1E-3</v>
      </c>
      <c r="D464" s="8">
        <v>24.623999999999999</v>
      </c>
      <c r="E464" s="8">
        <v>0.08</v>
      </c>
      <c r="F464" s="8">
        <v>1.1519999999999999</v>
      </c>
      <c r="G464" s="8">
        <v>3.9E-2</v>
      </c>
      <c r="H464" s="8">
        <v>-7.3999999999999996E-2</v>
      </c>
      <c r="I464" s="8">
        <v>4.5999999999999999E-2</v>
      </c>
      <c r="J464" s="8">
        <v>0.12</v>
      </c>
      <c r="K464" s="39">
        <f t="shared" si="56"/>
        <v>0.28499999999999998</v>
      </c>
      <c r="L464" s="39">
        <f t="shared" si="57"/>
        <v>44.217963999999995</v>
      </c>
      <c r="M464" s="30">
        <f t="shared" si="58"/>
        <v>6975.7803936081655</v>
      </c>
      <c r="N464" s="30">
        <f>(RedShift*Age*(2*InitialTangentVelocity-UniverseAcceleration*Age))/(2+RedShift)*(1+RedShift)</f>
        <v>2.0331415198218662E+26</v>
      </c>
      <c r="O464" s="36">
        <f t="shared" si="59"/>
        <v>6588.9629331327169</v>
      </c>
      <c r="P464" s="36">
        <f t="shared" si="60"/>
        <v>44.094085321937712</v>
      </c>
      <c r="Q464" s="36">
        <f t="shared" si="61"/>
        <v>0.18893107883605778</v>
      </c>
      <c r="R464" s="19">
        <v>6284.284196870497</v>
      </c>
      <c r="S464" s="36">
        <f t="shared" si="62"/>
        <v>43.991279085485232</v>
      </c>
      <c r="T464" s="36">
        <f t="shared" si="63"/>
        <v>0.63263835603035368</v>
      </c>
      <c r="U464" s="30"/>
    </row>
    <row r="465" spans="1:22" x14ac:dyDescent="0.25">
      <c r="A465" s="35" t="s">
        <v>494</v>
      </c>
      <c r="B465" s="16">
        <v>1</v>
      </c>
      <c r="C465" s="8">
        <v>0.02</v>
      </c>
      <c r="D465" s="8">
        <v>24.577999999999999</v>
      </c>
      <c r="E465" s="8">
        <v>8.5999999999999993E-2</v>
      </c>
      <c r="F465" s="8">
        <v>1.1299999999999999</v>
      </c>
      <c r="G465" s="8">
        <v>4.2000000000000003E-2</v>
      </c>
      <c r="H465" s="8">
        <v>-6.5000000000000002E-2</v>
      </c>
      <c r="I465" s="8">
        <v>4.8000000000000001E-2</v>
      </c>
      <c r="J465" s="8">
        <v>0.12</v>
      </c>
      <c r="K465" s="39">
        <f t="shared" si="56"/>
        <v>0.29599999999999999</v>
      </c>
      <c r="L465" s="39">
        <f t="shared" si="57"/>
        <v>44.140560000000001</v>
      </c>
      <c r="M465" s="30">
        <f t="shared" si="58"/>
        <v>6731.5023229894441</v>
      </c>
      <c r="N465" s="30">
        <f>(RedShift*Age*(2*InitialTangentVelocity-UniverseAcceleration*Age))/(2+RedShift)*(1+RedShift)</f>
        <v>2.0378957034609612E+26</v>
      </c>
      <c r="O465" s="36">
        <f t="shared" si="59"/>
        <v>6604.3701930159577</v>
      </c>
      <c r="P465" s="36">
        <f t="shared" si="60"/>
        <v>44.099157043333932</v>
      </c>
      <c r="Q465" s="36">
        <f t="shared" si="61"/>
        <v>1.9564974670064451E-2</v>
      </c>
      <c r="R465" s="19">
        <v>6299.8654986668644</v>
      </c>
      <c r="S465" s="36">
        <f t="shared" si="62"/>
        <v>43.99665638710097</v>
      </c>
      <c r="T465" s="36">
        <f t="shared" si="63"/>
        <v>0.23635237633987125</v>
      </c>
      <c r="U465" s="30"/>
    </row>
    <row r="466" spans="1:22" x14ac:dyDescent="0.25">
      <c r="A466" s="35" t="s">
        <v>495</v>
      </c>
      <c r="B466" s="16">
        <v>1.002</v>
      </c>
      <c r="C466" s="8">
        <v>1E-3</v>
      </c>
      <c r="D466" s="8">
        <v>25.234000000000002</v>
      </c>
      <c r="E466" s="8">
        <v>0.152</v>
      </c>
      <c r="F466" s="8">
        <v>1.1120000000000001</v>
      </c>
      <c r="G466" s="8">
        <v>7.6999999999999999E-2</v>
      </c>
      <c r="H466" s="8">
        <v>-1.6E-2</v>
      </c>
      <c r="I466" s="8">
        <v>6.3E-2</v>
      </c>
      <c r="J466" s="8">
        <v>0.12</v>
      </c>
      <c r="K466" s="39">
        <f t="shared" si="56"/>
        <v>0.41199999999999998</v>
      </c>
      <c r="L466" s="39">
        <f t="shared" si="57"/>
        <v>44.640544000000006</v>
      </c>
      <c r="M466" s="30">
        <f t="shared" si="58"/>
        <v>8474.3968920690095</v>
      </c>
      <c r="N466" s="30">
        <f>(RedShift*Age*(2*InitialTangentVelocity-UniverseAcceleration*Age))/(2+RedShift)*(1+RedShift)</f>
        <v>2.0426516985637084E+26</v>
      </c>
      <c r="O466" s="36">
        <f t="shared" si="59"/>
        <v>6619.783323453089</v>
      </c>
      <c r="P466" s="36">
        <f t="shared" si="60"/>
        <v>44.104218872448719</v>
      </c>
      <c r="Q466" s="36">
        <f t="shared" si="61"/>
        <v>1.6945791453182668</v>
      </c>
      <c r="R466" s="19">
        <v>6315.4546074076461</v>
      </c>
      <c r="S466" s="36">
        <f t="shared" si="62"/>
        <v>44.002023089882272</v>
      </c>
      <c r="T466" s="36">
        <f t="shared" si="63"/>
        <v>2.4019049430765103</v>
      </c>
      <c r="U466" s="30"/>
    </row>
    <row r="467" spans="1:22" x14ac:dyDescent="0.25">
      <c r="A467" s="35" t="s">
        <v>496</v>
      </c>
      <c r="B467" s="16">
        <v>1.01</v>
      </c>
      <c r="C467" s="8">
        <v>0.01</v>
      </c>
      <c r="D467" s="8">
        <v>24.99</v>
      </c>
      <c r="E467" s="8">
        <v>8.6999999999999994E-2</v>
      </c>
      <c r="F467" s="8">
        <v>1.1950000000000001</v>
      </c>
      <c r="G467" s="8">
        <v>0.129</v>
      </c>
      <c r="H467" s="8">
        <v>-7.6999999999999999E-2</v>
      </c>
      <c r="I467" s="8">
        <v>9.7000000000000003E-2</v>
      </c>
      <c r="J467" s="8">
        <v>0.12</v>
      </c>
      <c r="K467" s="39">
        <f t="shared" si="56"/>
        <v>0.433</v>
      </c>
      <c r="L467" s="39">
        <f t="shared" si="57"/>
        <v>44.599674999999998</v>
      </c>
      <c r="M467" s="30">
        <f t="shared" si="58"/>
        <v>8316.3929197226153</v>
      </c>
      <c r="N467" s="30">
        <f>(RedShift*Age*(2*InitialTangentVelocity-UniverseAcceleration*Age))/(2+RedShift)*(1+RedShift)</f>
        <v>2.0616937213934043E+26</v>
      </c>
      <c r="O467" s="36">
        <f t="shared" si="59"/>
        <v>6681.4943166985204</v>
      </c>
      <c r="P467" s="36">
        <f t="shared" si="60"/>
        <v>44.124368016658778</v>
      </c>
      <c r="Q467" s="36">
        <f t="shared" si="61"/>
        <v>1.2049599091836354</v>
      </c>
      <c r="R467" s="19">
        <v>6377.888785154295</v>
      </c>
      <c r="S467" s="36">
        <f t="shared" si="62"/>
        <v>44.023384709675099</v>
      </c>
      <c r="T467" s="36">
        <f t="shared" si="63"/>
        <v>1.7713599129695921</v>
      </c>
      <c r="U467" s="30"/>
    </row>
    <row r="468" spans="1:22" x14ac:dyDescent="0.25">
      <c r="A468" s="35" t="s">
        <v>497</v>
      </c>
      <c r="B468" s="16">
        <v>1.02</v>
      </c>
      <c r="C468" s="8">
        <v>0.01</v>
      </c>
      <c r="D468" s="8">
        <v>24.968</v>
      </c>
      <c r="E468" s="8">
        <v>7.0999999999999994E-2</v>
      </c>
      <c r="F468" s="8">
        <v>1.0169999999999999</v>
      </c>
      <c r="G468" s="8">
        <v>3.5999999999999997E-2</v>
      </c>
      <c r="H468" s="8">
        <v>-6.0999999999999999E-2</v>
      </c>
      <c r="I468" s="8">
        <v>6.2E-2</v>
      </c>
      <c r="J468" s="8">
        <v>0.12</v>
      </c>
      <c r="K468" s="39">
        <f t="shared" si="56"/>
        <v>0.28899999999999998</v>
      </c>
      <c r="L468" s="39">
        <f t="shared" si="57"/>
        <v>44.501429000000002</v>
      </c>
      <c r="M468" s="30">
        <f t="shared" si="58"/>
        <v>7948.5113734804745</v>
      </c>
      <c r="N468" s="30">
        <f>(RedShift*Age*(2*InitialTangentVelocity-UniverseAcceleration*Age))/(2+RedShift)*(1+RedShift)</f>
        <v>2.0855365765286248E+26</v>
      </c>
      <c r="O468" s="36">
        <f t="shared" si="59"/>
        <v>6758.7637478593115</v>
      </c>
      <c r="P468" s="36">
        <f t="shared" si="60"/>
        <v>44.1493363298693</v>
      </c>
      <c r="Q468" s="36">
        <f t="shared" si="61"/>
        <v>1.4842883629239028</v>
      </c>
      <c r="R468" s="19">
        <v>6456.1052137827091</v>
      </c>
      <c r="S468" s="36">
        <f t="shared" si="62"/>
        <v>44.049852996885527</v>
      </c>
      <c r="T468" s="36">
        <f t="shared" si="63"/>
        <v>2.4415522633690263</v>
      </c>
      <c r="U468" s="30"/>
    </row>
    <row r="469" spans="1:22" x14ac:dyDescent="0.25">
      <c r="A469" s="35" t="s">
        <v>498</v>
      </c>
      <c r="B469" s="16">
        <v>1.02</v>
      </c>
      <c r="C469" s="8">
        <v>0.01</v>
      </c>
      <c r="D469" s="8">
        <v>24.867000000000001</v>
      </c>
      <c r="E469" s="8">
        <v>9.4E-2</v>
      </c>
      <c r="F469" s="8">
        <v>1.0229999999999999</v>
      </c>
      <c r="G469" s="8">
        <v>0.05</v>
      </c>
      <c r="H469" s="8">
        <v>7.0000000000000001E-3</v>
      </c>
      <c r="I469" s="8">
        <v>6.5000000000000002E-2</v>
      </c>
      <c r="J469" s="8">
        <v>0.12</v>
      </c>
      <c r="K469" s="39">
        <f t="shared" si="56"/>
        <v>0.32900000000000001</v>
      </c>
      <c r="L469" s="39">
        <f t="shared" si="57"/>
        <v>44.188471000000007</v>
      </c>
      <c r="M469" s="30">
        <f t="shared" si="58"/>
        <v>6881.6756592053534</v>
      </c>
      <c r="N469" s="30">
        <f>(RedShift*Age*(2*InitialTangentVelocity-UniverseAcceleration*Age))/(2+RedShift)*(1+RedShift)</f>
        <v>2.0855365765286248E+26</v>
      </c>
      <c r="O469" s="36">
        <f t="shared" si="59"/>
        <v>6758.7637478593115</v>
      </c>
      <c r="P469" s="36">
        <f t="shared" si="60"/>
        <v>44.1493363298693</v>
      </c>
      <c r="Q469" s="36">
        <f t="shared" si="61"/>
        <v>1.4149189366684179E-2</v>
      </c>
      <c r="R469" s="19">
        <v>6456.1052137827091</v>
      </c>
      <c r="S469" s="36">
        <f t="shared" si="62"/>
        <v>44.049852996885527</v>
      </c>
      <c r="T469" s="36">
        <f t="shared" si="63"/>
        <v>0.17752007822771487</v>
      </c>
      <c r="U469" s="30"/>
    </row>
    <row r="470" spans="1:22" x14ac:dyDescent="0.25">
      <c r="A470" s="35" t="s">
        <v>499</v>
      </c>
      <c r="B470" s="16">
        <v>1.0309999999999999</v>
      </c>
      <c r="C470" s="8">
        <v>1E-3</v>
      </c>
      <c r="D470" s="8">
        <v>24.545999999999999</v>
      </c>
      <c r="E470" s="8">
        <v>0.104</v>
      </c>
      <c r="F470" s="8">
        <v>1.127</v>
      </c>
      <c r="G470" s="8">
        <v>4.8000000000000001E-2</v>
      </c>
      <c r="H470" s="8">
        <v>-0.08</v>
      </c>
      <c r="I470" s="8">
        <v>5.3999999999999999E-2</v>
      </c>
      <c r="J470" s="8">
        <v>0.12</v>
      </c>
      <c r="K470" s="39">
        <f t="shared" si="56"/>
        <v>0.32599999999999996</v>
      </c>
      <c r="L470" s="39">
        <f t="shared" si="57"/>
        <v>44.155068999999997</v>
      </c>
      <c r="M470" s="30">
        <f t="shared" si="58"/>
        <v>6776.630404686106</v>
      </c>
      <c r="N470" s="30">
        <f>(RedShift*Age*(2*InitialTangentVelocity-UniverseAcceleration*Age))/(2+RedShift)*(1+RedShift)</f>
        <v>2.1118149744877027E+26</v>
      </c>
      <c r="O470" s="36">
        <f t="shared" si="59"/>
        <v>6843.9262357660282</v>
      </c>
      <c r="P470" s="36">
        <f t="shared" si="60"/>
        <v>44.176526600215851</v>
      </c>
      <c r="Q470" s="36">
        <f t="shared" si="61"/>
        <v>4.3323855529320528E-3</v>
      </c>
      <c r="R470" s="19">
        <v>6542.3639743223184</v>
      </c>
      <c r="S470" s="36">
        <f t="shared" si="62"/>
        <v>44.078673508821467</v>
      </c>
      <c r="T470" s="36">
        <f t="shared" si="63"/>
        <v>5.4916171782988958E-2</v>
      </c>
      <c r="U470" s="30"/>
    </row>
    <row r="471" spans="1:22" x14ac:dyDescent="0.25">
      <c r="A471" s="35" t="s">
        <v>500</v>
      </c>
      <c r="B471" s="16">
        <v>1.06</v>
      </c>
      <c r="C471" s="8">
        <v>0.02</v>
      </c>
      <c r="D471" s="8">
        <v>24.756</v>
      </c>
      <c r="E471" s="8">
        <v>0.13300000000000001</v>
      </c>
      <c r="F471" s="8">
        <v>0.85799999999999998</v>
      </c>
      <c r="G471" s="8">
        <v>0.05</v>
      </c>
      <c r="H471" s="8">
        <v>-0.13900000000000001</v>
      </c>
      <c r="I471" s="8">
        <v>5.5E-2</v>
      </c>
      <c r="J471" s="8">
        <v>0.12</v>
      </c>
      <c r="K471" s="39">
        <f t="shared" si="56"/>
        <v>0.35799999999999998</v>
      </c>
      <c r="L471" s="39">
        <f t="shared" si="57"/>
        <v>44.510196000000001</v>
      </c>
      <c r="M471" s="30">
        <f t="shared" si="58"/>
        <v>7980.6671858506061</v>
      </c>
      <c r="N471" s="30">
        <f>(RedShift*Age*(2*InitialTangentVelocity-UniverseAcceleration*Age))/(2+RedShift)*(1+RedShift)</f>
        <v>2.1813475774888996E+26</v>
      </c>
      <c r="O471" s="36">
        <f t="shared" si="59"/>
        <v>7069.2660556223755</v>
      </c>
      <c r="P471" s="36">
        <f t="shared" si="60"/>
        <v>44.24687163437406</v>
      </c>
      <c r="Q471" s="36">
        <f t="shared" si="61"/>
        <v>0.54102338825492535</v>
      </c>
      <c r="R471" s="19">
        <v>6770.8627305337322</v>
      </c>
      <c r="S471" s="36">
        <f t="shared" si="62"/>
        <v>44.153220045965384</v>
      </c>
      <c r="T471" s="36">
        <f t="shared" si="63"/>
        <v>0.9942872550710411</v>
      </c>
      <c r="U471" s="30"/>
    </row>
    <row r="472" spans="1:22" x14ac:dyDescent="0.25">
      <c r="A472" s="35" t="s">
        <v>501</v>
      </c>
      <c r="B472" s="16">
        <v>1.1200000000000001</v>
      </c>
      <c r="C472" s="8">
        <v>0.01</v>
      </c>
      <c r="D472" s="8">
        <v>25.120999999999999</v>
      </c>
      <c r="E472" s="8">
        <v>6.8000000000000005E-2</v>
      </c>
      <c r="F472" s="8">
        <v>1.048</v>
      </c>
      <c r="G472" s="8">
        <v>3.6999999999999998E-2</v>
      </c>
      <c r="H472" s="8">
        <v>-3.6999999999999998E-2</v>
      </c>
      <c r="I472" s="8">
        <v>5.2999999999999999E-2</v>
      </c>
      <c r="J472" s="8">
        <v>0.12</v>
      </c>
      <c r="K472" s="39">
        <f t="shared" si="56"/>
        <v>0.27800000000000002</v>
      </c>
      <c r="L472" s="39">
        <f t="shared" si="57"/>
        <v>44.583866</v>
      </c>
      <c r="M472" s="30">
        <f t="shared" si="58"/>
        <v>8256.0668345491958</v>
      </c>
      <c r="N472" s="30">
        <f>(RedShift*Age*(2*InitialTangentVelocity-UniverseAcceleration*Age))/(2+RedShift)*(1+RedShift)</f>
        <v>2.3263363261046668E+26</v>
      </c>
      <c r="O472" s="36">
        <f t="shared" si="59"/>
        <v>7539.1425895659095</v>
      </c>
      <c r="P472" s="36">
        <f t="shared" si="60"/>
        <v>44.386609786514796</v>
      </c>
      <c r="Q472" s="36">
        <f t="shared" si="61"/>
        <v>0.503467907439061</v>
      </c>
      <c r="R472" s="19">
        <v>7248.4660805541371</v>
      </c>
      <c r="S472" s="36">
        <f t="shared" si="62"/>
        <v>44.301230554762725</v>
      </c>
      <c r="T472" s="36">
        <f t="shared" si="63"/>
        <v>1.0336265579482546</v>
      </c>
      <c r="U472" s="30"/>
    </row>
    <row r="473" spans="1:22" x14ac:dyDescent="0.25">
      <c r="A473" s="35" t="s">
        <v>4</v>
      </c>
      <c r="B473" s="16">
        <v>1.1399999999999999</v>
      </c>
      <c r="C473" s="8">
        <v>0.01</v>
      </c>
      <c r="D473" s="8">
        <v>24.727</v>
      </c>
      <c r="E473" s="8">
        <v>7.8E-2</v>
      </c>
      <c r="F473" s="8">
        <v>1.0900000000000001</v>
      </c>
      <c r="G473" s="8">
        <v>6.4000000000000001E-2</v>
      </c>
      <c r="H473" s="8">
        <v>-5.5E-2</v>
      </c>
      <c r="I473" s="8">
        <v>6.3E-2</v>
      </c>
      <c r="J473" s="8">
        <v>0.12</v>
      </c>
      <c r="K473" s="39">
        <f t="shared" si="56"/>
        <v>0.32500000000000001</v>
      </c>
      <c r="L473" s="39">
        <f t="shared" si="57"/>
        <v>44.252380000000002</v>
      </c>
      <c r="M473" s="30">
        <f t="shared" si="58"/>
        <v>7087.2213993615496</v>
      </c>
      <c r="N473" s="30">
        <f>(RedShift*Age*(2*InitialTangentVelocity-UniverseAcceleration*Age))/(2+RedShift)*(1+RedShift)</f>
        <v>2.3749922093137069E+26</v>
      </c>
      <c r="O473" s="36">
        <f t="shared" si="59"/>
        <v>7696.8255682556019</v>
      </c>
      <c r="P473" s="36">
        <f t="shared" si="60"/>
        <v>44.431558221674578</v>
      </c>
      <c r="Q473" s="36">
        <f t="shared" si="61"/>
        <v>0.30395110175113321</v>
      </c>
      <c r="R473" s="19">
        <v>7409.0673576022473</v>
      </c>
      <c r="S473" s="36">
        <f t="shared" si="62"/>
        <v>44.348817715376484</v>
      </c>
      <c r="T473" s="36">
        <f t="shared" si="63"/>
        <v>8.8049542693824881E-2</v>
      </c>
      <c r="U473" s="30"/>
    </row>
    <row r="474" spans="1:22" x14ac:dyDescent="0.25">
      <c r="A474" s="35" t="s">
        <v>5</v>
      </c>
      <c r="B474" s="16">
        <v>1.23</v>
      </c>
      <c r="C474" s="8">
        <v>0.01</v>
      </c>
      <c r="D474" s="8">
        <v>26.053999999999998</v>
      </c>
      <c r="E474" s="8">
        <v>8.4000000000000005E-2</v>
      </c>
      <c r="F474" s="8">
        <v>0.96899999999999997</v>
      </c>
      <c r="G474" s="8">
        <v>8.3000000000000004E-2</v>
      </c>
      <c r="H474" s="8">
        <v>7.2999999999999995E-2</v>
      </c>
      <c r="I474" s="8">
        <v>4.8000000000000001E-2</v>
      </c>
      <c r="J474" s="8">
        <v>0.12</v>
      </c>
      <c r="K474" s="39">
        <f t="shared" si="56"/>
        <v>0.33500000000000002</v>
      </c>
      <c r="L474" s="39">
        <f t="shared" si="57"/>
        <v>45.160952999999999</v>
      </c>
      <c r="M474" s="30">
        <f t="shared" si="58"/>
        <v>10769.377485285067</v>
      </c>
      <c r="N474" s="30">
        <f>(RedShift*Age*(2*InitialTangentVelocity-UniverseAcceleration*Age))/(2+RedShift)*(1+RedShift)</f>
        <v>2.5958564048094753E+26</v>
      </c>
      <c r="O474" s="36">
        <f t="shared" si="59"/>
        <v>8412.5976791440262</v>
      </c>
      <c r="P474" s="36">
        <f t="shared" si="60"/>
        <v>44.62465059939462</v>
      </c>
      <c r="Q474" s="36">
        <f t="shared" si="61"/>
        <v>2.5628894176439521</v>
      </c>
      <c r="R474" s="19">
        <v>8139.9684611991906</v>
      </c>
      <c r="S474" s="36">
        <f t="shared" si="62"/>
        <v>44.553113610960935</v>
      </c>
      <c r="T474" s="36">
        <f t="shared" si="63"/>
        <v>3.292214059856386</v>
      </c>
      <c r="U474" s="30"/>
    </row>
    <row r="475" spans="1:22" x14ac:dyDescent="0.25">
      <c r="A475" s="35" t="s">
        <v>14</v>
      </c>
      <c r="B475" s="16">
        <v>1.2649999999999999</v>
      </c>
      <c r="C475" s="8">
        <v>0.01</v>
      </c>
      <c r="D475" s="8">
        <v>25.757000000000001</v>
      </c>
      <c r="E475" s="8">
        <v>8.2000000000000003E-2</v>
      </c>
      <c r="F475" s="8">
        <v>1.04</v>
      </c>
      <c r="G475" s="8">
        <v>8.3000000000000004E-2</v>
      </c>
      <c r="H475" s="8">
        <v>2.8000000000000001E-2</v>
      </c>
      <c r="I475" s="8">
        <v>6.9000000000000006E-2</v>
      </c>
      <c r="J475" s="8">
        <v>0.12</v>
      </c>
      <c r="K475" s="39">
        <f t="shared" si="56"/>
        <v>0.35399999999999998</v>
      </c>
      <c r="L475" s="39">
        <f t="shared" si="57"/>
        <v>45.015240000000006</v>
      </c>
      <c r="M475" s="30">
        <f t="shared" si="58"/>
        <v>10070.42965202977</v>
      </c>
      <c r="N475" s="30">
        <f>(RedShift*Age*(2*InitialTangentVelocity-UniverseAcceleration*Age))/(2+RedShift)*(1+RedShift)</f>
        <v>2.682555765826462E+26</v>
      </c>
      <c r="O475" s="36">
        <f t="shared" si="59"/>
        <v>8693.5711728717361</v>
      </c>
      <c r="P475" s="36">
        <f t="shared" si="60"/>
        <v>44.695991069860312</v>
      </c>
      <c r="Q475" s="36">
        <f t="shared" si="61"/>
        <v>0.81330300516565124</v>
      </c>
      <c r="R475" s="19">
        <v>8427.6658312788531</v>
      </c>
      <c r="S475" s="36">
        <f t="shared" si="62"/>
        <v>44.628536534473362</v>
      </c>
      <c r="T475" s="36">
        <f t="shared" si="63"/>
        <v>1.1932998998556938</v>
      </c>
      <c r="U475" s="30"/>
    </row>
    <row r="476" spans="1:22" x14ac:dyDescent="0.25">
      <c r="A476" s="35" t="s">
        <v>3</v>
      </c>
      <c r="B476" s="16">
        <v>1.3</v>
      </c>
      <c r="C476" s="8">
        <v>0.01</v>
      </c>
      <c r="D476" s="8">
        <v>25.690999999999999</v>
      </c>
      <c r="E476" s="8">
        <v>8.1000000000000003E-2</v>
      </c>
      <c r="F476" s="8">
        <v>1.0580000000000001</v>
      </c>
      <c r="G476" s="8">
        <v>4.4999999999999998E-2</v>
      </c>
      <c r="H476" s="8">
        <v>1.2999999999999999E-2</v>
      </c>
      <c r="I476" s="8">
        <v>3.7999999999999999E-2</v>
      </c>
      <c r="J476" s="8">
        <v>0.12</v>
      </c>
      <c r="K476" s="39">
        <f t="shared" si="56"/>
        <v>0.28400000000000003</v>
      </c>
      <c r="L476" s="39">
        <f t="shared" si="57"/>
        <v>44.998835999999997</v>
      </c>
      <c r="M476" s="30">
        <f t="shared" si="58"/>
        <v>9994.641018350947</v>
      </c>
      <c r="N476" s="30">
        <f>(RedShift*Age*(2*InitialTangentVelocity-UniverseAcceleration*Age))/(2+RedShift)*(1+RedShift)</f>
        <v>2.7696855242492154E+26</v>
      </c>
      <c r="O476" s="36">
        <f t="shared" si="59"/>
        <v>8975.9394895989608</v>
      </c>
      <c r="P476" s="36">
        <f t="shared" si="60"/>
        <v>44.765399580845056</v>
      </c>
      <c r="Q476" s="36">
        <f t="shared" si="61"/>
        <v>0.67561696324986831</v>
      </c>
      <c r="R476" s="19">
        <v>8717.2050034010863</v>
      </c>
      <c r="S476" s="36">
        <f t="shared" si="62"/>
        <v>44.701886297267421</v>
      </c>
      <c r="T476" s="36">
        <f t="shared" si="63"/>
        <v>1.0932742257608252</v>
      </c>
      <c r="U476" s="30"/>
    </row>
    <row r="477" spans="1:22" x14ac:dyDescent="0.25">
      <c r="A477" s="35" t="s">
        <v>502</v>
      </c>
      <c r="B477" s="16">
        <v>1.34</v>
      </c>
      <c r="C477" s="8">
        <v>0.01</v>
      </c>
      <c r="D477" s="8">
        <v>25.87</v>
      </c>
      <c r="E477" s="8">
        <v>0.106</v>
      </c>
      <c r="F477" s="8">
        <v>1.1919999999999999</v>
      </c>
      <c r="G477" s="8">
        <v>9.8000000000000004E-2</v>
      </c>
      <c r="H477" s="8">
        <v>0.09</v>
      </c>
      <c r="I477" s="8">
        <v>6.5000000000000002E-2</v>
      </c>
      <c r="J477" s="8">
        <v>0.12</v>
      </c>
      <c r="K477" s="39">
        <f t="shared" si="56"/>
        <v>0.38900000000000001</v>
      </c>
      <c r="L477" s="39">
        <f t="shared" si="57"/>
        <v>44.956524000000002</v>
      </c>
      <c r="M477" s="30">
        <f t="shared" si="58"/>
        <v>9801.7766013026867</v>
      </c>
      <c r="N477" s="30">
        <f>(RedShift*Age*(2*InitialTangentVelocity-UniverseAcceleration*Age))/(2+RedShift)*(1+RedShift)</f>
        <v>2.8697720513946962E+26</v>
      </c>
      <c r="O477" s="36">
        <f t="shared" si="59"/>
        <v>9300.2978340812151</v>
      </c>
      <c r="P477" s="36">
        <f t="shared" si="60"/>
        <v>44.842484283429272</v>
      </c>
      <c r="Q477" s="36">
        <f t="shared" si="61"/>
        <v>8.5943503912427222E-2</v>
      </c>
      <c r="R477" s="19">
        <v>9050.2880114257769</v>
      </c>
      <c r="S477" s="36">
        <f t="shared" si="62"/>
        <v>44.783312000878311</v>
      </c>
      <c r="T477" s="36">
        <f t="shared" si="63"/>
        <v>0.19826988084755262</v>
      </c>
      <c r="U477" s="30"/>
    </row>
    <row r="478" spans="1:22" x14ac:dyDescent="0.25">
      <c r="A478" s="35" t="s">
        <v>6</v>
      </c>
      <c r="B478" s="16">
        <v>1.39</v>
      </c>
      <c r="C478" s="8">
        <v>0.01</v>
      </c>
      <c r="D478" s="8">
        <v>25.956</v>
      </c>
      <c r="E478" s="8">
        <v>0.14899999999999999</v>
      </c>
      <c r="F478" s="8">
        <v>1.1930000000000001</v>
      </c>
      <c r="G478" s="8">
        <v>0.189</v>
      </c>
      <c r="H478" s="8">
        <v>0.112</v>
      </c>
      <c r="I478" s="8">
        <v>7.6999999999999999E-2</v>
      </c>
      <c r="J478" s="8">
        <v>0.12</v>
      </c>
      <c r="K478" s="39">
        <f t="shared" si="56"/>
        <v>0.53499999999999992</v>
      </c>
      <c r="L478" s="39">
        <f t="shared" si="57"/>
        <v>44.973810999999998</v>
      </c>
      <c r="M478" s="30">
        <f t="shared" si="58"/>
        <v>9880.1195589411327</v>
      </c>
      <c r="N478" s="30">
        <f>(RedShift*Age*(2*InitialTangentVelocity-UniverseAcceleration*Age))/(2+RedShift)*(1+RedShift)</f>
        <v>2.9956165117113533E+26</v>
      </c>
      <c r="O478" s="36">
        <f t="shared" si="59"/>
        <v>9708.1319549638538</v>
      </c>
      <c r="P478" s="36">
        <f t="shared" si="60"/>
        <v>44.935678353608097</v>
      </c>
      <c r="Q478" s="36">
        <f t="shared" si="61"/>
        <v>5.0802645500908619E-3</v>
      </c>
      <c r="R478" s="19">
        <v>9469.7939418974202</v>
      </c>
      <c r="S478" s="36">
        <f t="shared" si="62"/>
        <v>44.881702645348724</v>
      </c>
      <c r="T478" s="36">
        <f t="shared" si="63"/>
        <v>2.9640838489177205E-2</v>
      </c>
      <c r="U478" s="30"/>
    </row>
    <row r="479" spans="1:22" s="35" customFormat="1" x14ac:dyDescent="0.25">
      <c r="A479" s="35" t="s">
        <v>509</v>
      </c>
      <c r="B479" s="16">
        <v>1.54992</v>
      </c>
      <c r="C479" s="8">
        <v>6.9999999999999994E-5</v>
      </c>
      <c r="D479" s="8">
        <v>25.7576</v>
      </c>
      <c r="E479" s="8">
        <v>7.8972200000000006E-2</v>
      </c>
      <c r="F479" s="8">
        <f>-0.831631+1</f>
        <v>0.16836899999999999</v>
      </c>
      <c r="G479" s="8">
        <v>0.36499999999999999</v>
      </c>
      <c r="H479" s="8">
        <v>-0.197134</v>
      </c>
      <c r="I479" s="8">
        <v>6.8996000000000002E-2</v>
      </c>
      <c r="J479" s="8">
        <v>0.12</v>
      </c>
      <c r="K479" s="39">
        <f t="shared" si="56"/>
        <v>0.63296819999999998</v>
      </c>
      <c r="L479" s="39">
        <f t="shared" si="57"/>
        <v>45.592379663000003</v>
      </c>
      <c r="M479" s="30">
        <f t="shared" si="58"/>
        <v>13136.386947167128</v>
      </c>
      <c r="N479" s="30">
        <f>(RedShift*Age*(2*InitialTangentVelocity-UniverseAcceleration*Age))/(2+RedShift)*(1+RedShift)</f>
        <v>3.4032236013126692E+26</v>
      </c>
      <c r="O479" s="36">
        <f t="shared" si="59"/>
        <v>11029.09656981294</v>
      </c>
      <c r="P479" s="36">
        <f t="shared" si="60"/>
        <v>45.21269969691803</v>
      </c>
      <c r="Q479" s="36">
        <f t="shared" si="61"/>
        <v>0.35980863398792895</v>
      </c>
      <c r="R479" s="19">
        <v>10833.440950930488</v>
      </c>
      <c r="S479" s="36">
        <f t="shared" si="62"/>
        <v>45.173832102448273</v>
      </c>
      <c r="T479" s="36">
        <f t="shared" si="63"/>
        <v>0.43724600126521806</v>
      </c>
      <c r="U479" s="30"/>
    </row>
    <row r="480" spans="1:22" s="33" customFormat="1" x14ac:dyDescent="0.25">
      <c r="A480" s="22" t="s">
        <v>34</v>
      </c>
      <c r="B480" s="16">
        <v>1.8</v>
      </c>
      <c r="C480" s="8">
        <v>0.01</v>
      </c>
      <c r="D480" s="8">
        <v>26.136900000000001</v>
      </c>
      <c r="E480" s="8">
        <v>7.3994099999999993E-2</v>
      </c>
      <c r="F480" s="8">
        <f>-0.472842+1</f>
        <v>0.52715800000000002</v>
      </c>
      <c r="G480" s="8">
        <v>0.6804</v>
      </c>
      <c r="H480" s="8">
        <v>-1.5653799999999999E-2</v>
      </c>
      <c r="I480" s="8">
        <v>7.1185600000000002E-2</v>
      </c>
      <c r="J480" s="8">
        <v>0.12</v>
      </c>
      <c r="K480" s="39">
        <f t="shared" si="56"/>
        <v>0.94557969999999991</v>
      </c>
      <c r="L480" s="39">
        <f t="shared" si="57"/>
        <v>45.456388619999998</v>
      </c>
      <c r="M480" s="30">
        <f t="shared" si="58"/>
        <v>12338.93635168419</v>
      </c>
      <c r="N480" s="30">
        <f>(RedShift*Age*(2*InitialTangentVelocity-UniverseAcceleration*Age))/(2+RedShift)*(1+RedShift)</f>
        <v>4.0543398732012809E+26</v>
      </c>
      <c r="O480" s="36">
        <f t="shared" si="59"/>
        <v>13139.220699789643</v>
      </c>
      <c r="P480" s="36">
        <f t="shared" si="60"/>
        <v>45.592848037755914</v>
      </c>
      <c r="Q480" s="36">
        <f t="shared" si="61"/>
        <v>2.0826234188450889E-2</v>
      </c>
      <c r="R480" s="19">
        <v>13025.059409166108</v>
      </c>
      <c r="S480" s="36">
        <f t="shared" si="62"/>
        <v>45.57389856427784</v>
      </c>
      <c r="T480" s="36">
        <f t="shared" si="63"/>
        <v>1.5443757033034104E-2</v>
      </c>
      <c r="U480" s="30"/>
      <c r="V480" s="36"/>
    </row>
    <row r="481" spans="1:22" s="34" customFormat="1" x14ac:dyDescent="0.25">
      <c r="A481" s="22" t="s">
        <v>15</v>
      </c>
      <c r="B481" s="36">
        <v>1.9139999999999999</v>
      </c>
      <c r="C481" s="39">
        <v>0</v>
      </c>
      <c r="D481" s="39">
        <v>26.2</v>
      </c>
      <c r="E481" s="39">
        <v>0.11</v>
      </c>
      <c r="F481" s="39">
        <f>-1.5+1</f>
        <v>-0.5</v>
      </c>
      <c r="G481" s="39">
        <v>0.51</v>
      </c>
      <c r="H481" s="39">
        <v>-7.0999999999999994E-2</v>
      </c>
      <c r="I481" s="39">
        <v>0.11</v>
      </c>
      <c r="J481" s="8">
        <v>0.12</v>
      </c>
      <c r="K481" s="39">
        <f t="shared" si="56"/>
        <v>0.85</v>
      </c>
      <c r="L481" s="39">
        <f t="shared" si="57"/>
        <v>45.541730000000001</v>
      </c>
      <c r="M481" s="30">
        <f t="shared" si="58"/>
        <v>12833.526153740904</v>
      </c>
      <c r="N481" s="30">
        <f>(RedShift*Age*(2*InitialTangentVelocity-UniverseAcceleration*Age))/(2+RedShift)*(1+RedShift)</f>
        <v>4.3559598920159747E+26</v>
      </c>
      <c r="O481" s="36">
        <f t="shared" si="59"/>
        <v>14116.70461051856</v>
      </c>
      <c r="P481" s="36">
        <f t="shared" si="60"/>
        <v>45.748666636376413</v>
      </c>
      <c r="Q481" s="36">
        <f t="shared" si="61"/>
        <v>5.9270271937416311E-2</v>
      </c>
      <c r="R481" s="19">
        <v>14045.107539661623</v>
      </c>
      <c r="S481" s="36">
        <f t="shared" si="62"/>
        <v>45.737625344139687</v>
      </c>
      <c r="T481" s="36">
        <f t="shared" si="63"/>
        <v>5.3114167274195059E-2</v>
      </c>
      <c r="U481" s="30"/>
      <c r="V481" s="36"/>
    </row>
    <row r="482" spans="1:22" s="10" customFormat="1" x14ac:dyDescent="0.25">
      <c r="A482" s="22" t="s">
        <v>33</v>
      </c>
      <c r="B482" s="16">
        <v>2.25</v>
      </c>
      <c r="C482" s="8">
        <v>0.12</v>
      </c>
      <c r="D482" s="8">
        <v>26.791</v>
      </c>
      <c r="E482" s="8">
        <v>7.2377999999999998E-2</v>
      </c>
      <c r="F482" s="8">
        <f>0.1517+1</f>
        <v>1.1516999999999999</v>
      </c>
      <c r="G482" s="8">
        <v>1.0577000000000001</v>
      </c>
      <c r="H482" s="8">
        <v>4.2164699999999999E-2</v>
      </c>
      <c r="I482" s="8">
        <v>0.13100000000000001</v>
      </c>
      <c r="J482" s="8">
        <v>0.12</v>
      </c>
      <c r="K482" s="8">
        <f>PeakMagnitudeError+StretchError+ColorError+ScatterError</f>
        <v>1.381078</v>
      </c>
      <c r="L482" s="39">
        <f>PeakMagnitude+α*(Stretch-1)-β*Color-Mb</f>
        <v>46.021324389</v>
      </c>
      <c r="M482" s="30">
        <f t="shared" si="58"/>
        <v>16005.339024969737</v>
      </c>
      <c r="N482" s="30">
        <f>(RedShift*Age*(2*InitialTangentVelocity-UniverseAcceleration*Age))/(2+RedShift)*(1+RedShift)</f>
        <v>5.2595690581970388E+26</v>
      </c>
      <c r="O482" s="36">
        <f t="shared" si="59"/>
        <v>17045.102483445593</v>
      </c>
      <c r="P482" s="36">
        <f t="shared" si="60"/>
        <v>46.157998083811968</v>
      </c>
      <c r="Q482" s="36">
        <f t="shared" si="61"/>
        <v>9.7933991641133648E-3</v>
      </c>
      <c r="R482" s="19">
        <v>17116.864254064749</v>
      </c>
      <c r="S482" s="36">
        <f t="shared" si="62"/>
        <v>46.167121032461964</v>
      </c>
      <c r="T482" s="36">
        <f t="shared" si="63"/>
        <v>1.1144449923870235E-2</v>
      </c>
      <c r="U482" s="30"/>
      <c r="V482" s="36"/>
    </row>
    <row r="483" spans="1:22" ht="18.75" x14ac:dyDescent="0.3">
      <c r="A483" s="22"/>
      <c r="B483" s="36"/>
      <c r="C483" s="39"/>
      <c r="D483" s="39"/>
      <c r="E483" s="39"/>
      <c r="F483" s="39"/>
      <c r="G483" s="39"/>
      <c r="H483" s="39"/>
      <c r="I483" s="39"/>
      <c r="J483" s="39"/>
      <c r="K483" s="39"/>
      <c r="L483" s="39">
        <f>AVERAGE(L7:L482)</f>
        <v>40.510829272420203</v>
      </c>
      <c r="M483" s="30">
        <f>AVERAGE(M7:M482)</f>
        <v>2760.2572495500931</v>
      </c>
      <c r="N483" s="30"/>
      <c r="O483" s="36"/>
      <c r="P483" s="29">
        <f>AVERAGE(P7:P482)</f>
        <v>40.483672728581226</v>
      </c>
      <c r="Q483" s="40">
        <f>SUM(Q7:Q482)</f>
        <v>398.45375736748247</v>
      </c>
      <c r="R483" s="49"/>
      <c r="S483" s="36"/>
      <c r="T483" s="40">
        <f>SUM(T7:T482)/(COUNT(T7:T482)-4)</f>
        <v>2.3085535705988023</v>
      </c>
      <c r="U483" s="30"/>
    </row>
    <row r="484" spans="1:22" ht="18.75" x14ac:dyDescent="0.3">
      <c r="Q484" s="40">
        <f>SUM(Q7:Q482)/(COUNT(Q7:Q482)-2)</f>
        <v>0.84061974128160855</v>
      </c>
      <c r="T484" s="32"/>
      <c r="U484" s="41"/>
    </row>
    <row r="487" spans="1:22" s="35" customFormat="1" x14ac:dyDescent="0.25">
      <c r="A487" s="22"/>
      <c r="B487" s="36"/>
      <c r="C487" s="39"/>
      <c r="D487" s="39"/>
      <c r="E487" s="39"/>
      <c r="F487" s="39"/>
      <c r="G487" s="39"/>
      <c r="H487" s="39"/>
      <c r="I487" s="39"/>
      <c r="J487" s="8"/>
      <c r="K487" s="39"/>
      <c r="L487" s="39"/>
      <c r="M487" s="30"/>
      <c r="N487" s="30"/>
      <c r="O487" s="36"/>
      <c r="P487" s="36"/>
      <c r="Q487" s="36"/>
      <c r="R487" s="49"/>
      <c r="S487" s="16"/>
      <c r="T487" s="36"/>
      <c r="U487" s="30"/>
    </row>
    <row r="488" spans="1:22" x14ac:dyDescent="0.25">
      <c r="L488" s="2"/>
    </row>
  </sheetData>
  <sortState xmlns:xlrd2="http://schemas.microsoft.com/office/spreadsheetml/2017/richdata2" ref="A2:P478">
    <sortCondition ref="B2:B478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"/>
  <sheetViews>
    <sheetView zoomScale="130" zoomScaleNormal="130"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E5C69-41A1-4B4E-B3AC-50943BEA87E1}">
  <dimension ref="A1:H103"/>
  <sheetViews>
    <sheetView workbookViewId="0"/>
  </sheetViews>
  <sheetFormatPr defaultRowHeight="15" x14ac:dyDescent="0.25"/>
  <cols>
    <col min="1" max="7" width="9.140625" style="19"/>
    <col min="8" max="8" width="11" style="16" bestFit="1" customWidth="1"/>
  </cols>
  <sheetData>
    <row r="1" spans="1:8" s="45" customFormat="1" ht="20.25" x14ac:dyDescent="0.35">
      <c r="A1" s="72" t="s">
        <v>678</v>
      </c>
      <c r="B1" s="72">
        <v>0.1</v>
      </c>
      <c r="C1" s="72"/>
      <c r="D1" s="72"/>
      <c r="E1" s="72"/>
      <c r="F1" s="19"/>
      <c r="G1" s="19"/>
      <c r="H1" s="16"/>
    </row>
    <row r="2" spans="1:8" s="45" customFormat="1" ht="20.25" x14ac:dyDescent="0.35">
      <c r="A2" s="72" t="s">
        <v>679</v>
      </c>
      <c r="B2" s="72">
        <v>0.2</v>
      </c>
      <c r="C2" s="72"/>
      <c r="D2" s="72"/>
      <c r="E2" s="72"/>
      <c r="F2" s="19"/>
      <c r="G2" s="19"/>
      <c r="H2" s="16"/>
    </row>
    <row r="3" spans="1:8" s="45" customFormat="1" ht="18.75" x14ac:dyDescent="0.3">
      <c r="A3" s="72"/>
      <c r="B3" s="19"/>
      <c r="C3" s="19"/>
      <c r="D3" s="19"/>
      <c r="E3" s="19"/>
      <c r="F3" s="19"/>
      <c r="G3" s="19"/>
      <c r="H3" s="16"/>
    </row>
    <row r="4" spans="1:8" s="70" customFormat="1" ht="21.75" x14ac:dyDescent="0.35">
      <c r="A4" s="73" t="s">
        <v>680</v>
      </c>
      <c r="B4" s="73" t="s">
        <v>683</v>
      </c>
      <c r="C4" s="73"/>
      <c r="D4" s="73" t="s">
        <v>677</v>
      </c>
      <c r="E4" s="73" t="s">
        <v>707</v>
      </c>
      <c r="F4" s="73" t="s">
        <v>681</v>
      </c>
      <c r="G4" s="73" t="s">
        <v>682</v>
      </c>
      <c r="H4" s="71"/>
    </row>
    <row r="5" spans="1:8" x14ac:dyDescent="0.25">
      <c r="A5" s="19">
        <v>0</v>
      </c>
      <c r="B5" s="19">
        <f t="shared" ref="B5:B36" si="0">(_xlfn.SINGLE(veloc)+accel*_xlfn.SINGLE(time))</f>
        <v>0.2</v>
      </c>
      <c r="D5" s="19">
        <f>time</f>
        <v>0</v>
      </c>
      <c r="E5" s="19">
        <f t="shared" ref="E5:E36" si="1">time+time*veloc+accel/2*time^2</f>
        <v>0</v>
      </c>
    </row>
    <row r="6" spans="1:8" x14ac:dyDescent="0.25">
      <c r="A6" s="19">
        <f>A5+1</f>
        <v>1</v>
      </c>
      <c r="B6" s="19">
        <f t="shared" si="0"/>
        <v>0.30000000000000004</v>
      </c>
      <c r="C6" s="19">
        <f>(A6-A5)+B6</f>
        <v>1.3</v>
      </c>
      <c r="D6" s="19">
        <f t="shared" ref="D6:D37" si="2">D5+(A6-A5)+(_xlfn.SINGLE(veloc)+accel*_xlfn.SINGLE(time))</f>
        <v>1.3</v>
      </c>
      <c r="E6" s="19">
        <f t="shared" si="1"/>
        <v>1.25</v>
      </c>
      <c r="F6" s="19">
        <f t="shared" ref="F6:F37" si="3">(D6-D5)/(A6-A5)</f>
        <v>1.3</v>
      </c>
    </row>
    <row r="7" spans="1:8" x14ac:dyDescent="0.25">
      <c r="A7" s="19">
        <f t="shared" ref="A7:A70" si="4">A6+1</f>
        <v>2</v>
      </c>
      <c r="B7" s="19">
        <f t="shared" si="0"/>
        <v>0.4</v>
      </c>
      <c r="C7" s="19">
        <f t="shared" ref="C7:C70" si="5">(A7-A6)+B7</f>
        <v>1.4</v>
      </c>
      <c r="D7" s="19">
        <f t="shared" si="2"/>
        <v>2.6999999999999997</v>
      </c>
      <c r="E7" s="19">
        <f t="shared" si="1"/>
        <v>2.6</v>
      </c>
      <c r="F7" s="19">
        <f t="shared" si="3"/>
        <v>1.3999999999999997</v>
      </c>
      <c r="G7" s="19">
        <f t="shared" ref="G7:G38" si="6">(F7-F6)/(A7-A6)</f>
        <v>9.9999999999999645E-2</v>
      </c>
    </row>
    <row r="8" spans="1:8" x14ac:dyDescent="0.25">
      <c r="A8" s="19">
        <f t="shared" si="4"/>
        <v>3</v>
      </c>
      <c r="B8" s="19">
        <f t="shared" si="0"/>
        <v>0.5</v>
      </c>
      <c r="C8" s="19">
        <f t="shared" si="5"/>
        <v>1.5</v>
      </c>
      <c r="D8" s="19">
        <f t="shared" si="2"/>
        <v>4.1999999999999993</v>
      </c>
      <c r="E8" s="19">
        <f t="shared" si="1"/>
        <v>4.05</v>
      </c>
      <c r="F8" s="19">
        <f t="shared" si="3"/>
        <v>1.4999999999999996</v>
      </c>
      <c r="G8" s="19">
        <f t="shared" si="6"/>
        <v>9.9999999999999867E-2</v>
      </c>
    </row>
    <row r="9" spans="1:8" x14ac:dyDescent="0.25">
      <c r="A9" s="19">
        <f t="shared" si="4"/>
        <v>4</v>
      </c>
      <c r="B9" s="19">
        <f t="shared" si="0"/>
        <v>0.60000000000000009</v>
      </c>
      <c r="C9" s="19">
        <f t="shared" si="5"/>
        <v>1.6</v>
      </c>
      <c r="D9" s="19">
        <f t="shared" si="2"/>
        <v>5.7999999999999989</v>
      </c>
      <c r="E9" s="19">
        <f t="shared" si="1"/>
        <v>5.6</v>
      </c>
      <c r="F9" s="19">
        <f t="shared" si="3"/>
        <v>1.5999999999999996</v>
      </c>
      <c r="G9" s="19">
        <f t="shared" si="6"/>
        <v>0.10000000000000009</v>
      </c>
    </row>
    <row r="10" spans="1:8" x14ac:dyDescent="0.25">
      <c r="A10" s="19">
        <f t="shared" si="4"/>
        <v>5</v>
      </c>
      <c r="B10" s="19">
        <f t="shared" si="0"/>
        <v>0.7</v>
      </c>
      <c r="C10" s="19">
        <f t="shared" si="5"/>
        <v>1.7</v>
      </c>
      <c r="D10" s="19">
        <f t="shared" si="2"/>
        <v>7.4999999999999991</v>
      </c>
      <c r="E10" s="19">
        <f t="shared" si="1"/>
        <v>7.25</v>
      </c>
      <c r="F10" s="19">
        <f t="shared" si="3"/>
        <v>1.7000000000000002</v>
      </c>
      <c r="G10" s="19">
        <f t="shared" si="6"/>
        <v>0.10000000000000053</v>
      </c>
    </row>
    <row r="11" spans="1:8" x14ac:dyDescent="0.25">
      <c r="A11" s="19">
        <f t="shared" si="4"/>
        <v>6</v>
      </c>
      <c r="B11" s="19">
        <f t="shared" si="0"/>
        <v>0.8</v>
      </c>
      <c r="C11" s="19">
        <f t="shared" si="5"/>
        <v>1.8</v>
      </c>
      <c r="D11" s="19">
        <f t="shared" si="2"/>
        <v>9.3000000000000007</v>
      </c>
      <c r="E11" s="19">
        <f t="shared" si="1"/>
        <v>9</v>
      </c>
      <c r="F11" s="19">
        <f t="shared" si="3"/>
        <v>1.8000000000000016</v>
      </c>
      <c r="G11" s="19">
        <f t="shared" si="6"/>
        <v>0.10000000000000142</v>
      </c>
    </row>
    <row r="12" spans="1:8" x14ac:dyDescent="0.25">
      <c r="A12" s="19">
        <f t="shared" si="4"/>
        <v>7</v>
      </c>
      <c r="B12" s="19">
        <f t="shared" si="0"/>
        <v>0.90000000000000013</v>
      </c>
      <c r="C12" s="19">
        <f t="shared" si="5"/>
        <v>1.9000000000000001</v>
      </c>
      <c r="D12" s="19">
        <f t="shared" si="2"/>
        <v>11.200000000000001</v>
      </c>
      <c r="E12" s="19">
        <f t="shared" si="1"/>
        <v>10.850000000000001</v>
      </c>
      <c r="F12" s="19">
        <f t="shared" si="3"/>
        <v>1.9000000000000004</v>
      </c>
      <c r="G12" s="19">
        <f t="shared" si="6"/>
        <v>9.9999999999998757E-2</v>
      </c>
    </row>
    <row r="13" spans="1:8" x14ac:dyDescent="0.25">
      <c r="A13" s="19">
        <f t="shared" si="4"/>
        <v>8</v>
      </c>
      <c r="B13" s="19">
        <f t="shared" si="0"/>
        <v>1</v>
      </c>
      <c r="C13" s="19">
        <f t="shared" si="5"/>
        <v>2</v>
      </c>
      <c r="D13" s="19">
        <f t="shared" si="2"/>
        <v>13.200000000000001</v>
      </c>
      <c r="E13" s="19">
        <f t="shared" si="1"/>
        <v>12.8</v>
      </c>
      <c r="F13" s="19">
        <f t="shared" si="3"/>
        <v>2</v>
      </c>
      <c r="G13" s="19">
        <f t="shared" si="6"/>
        <v>9.9999999999999645E-2</v>
      </c>
    </row>
    <row r="14" spans="1:8" x14ac:dyDescent="0.25">
      <c r="A14" s="19">
        <f t="shared" si="4"/>
        <v>9</v>
      </c>
      <c r="B14" s="19">
        <f t="shared" si="0"/>
        <v>1.1000000000000001</v>
      </c>
      <c r="C14" s="19">
        <f t="shared" si="5"/>
        <v>2.1</v>
      </c>
      <c r="D14" s="19">
        <f t="shared" si="2"/>
        <v>15.3</v>
      </c>
      <c r="E14" s="19">
        <f t="shared" si="1"/>
        <v>14.850000000000001</v>
      </c>
      <c r="F14" s="19">
        <f t="shared" si="3"/>
        <v>2.0999999999999996</v>
      </c>
      <c r="G14" s="19">
        <f t="shared" si="6"/>
        <v>9.9999999999999645E-2</v>
      </c>
    </row>
    <row r="15" spans="1:8" x14ac:dyDescent="0.25">
      <c r="A15" s="19">
        <f t="shared" si="4"/>
        <v>10</v>
      </c>
      <c r="B15" s="19">
        <f t="shared" si="0"/>
        <v>1.2</v>
      </c>
      <c r="C15" s="19">
        <f t="shared" si="5"/>
        <v>2.2000000000000002</v>
      </c>
      <c r="D15" s="19">
        <f t="shared" si="2"/>
        <v>17.5</v>
      </c>
      <c r="E15" s="19">
        <f t="shared" si="1"/>
        <v>17</v>
      </c>
      <c r="F15" s="19">
        <f t="shared" si="3"/>
        <v>2.1999999999999993</v>
      </c>
      <c r="G15" s="19">
        <f t="shared" si="6"/>
        <v>9.9999999999999645E-2</v>
      </c>
    </row>
    <row r="16" spans="1:8" x14ac:dyDescent="0.25">
      <c r="A16" s="19">
        <f t="shared" si="4"/>
        <v>11</v>
      </c>
      <c r="B16" s="19">
        <f t="shared" si="0"/>
        <v>1.3</v>
      </c>
      <c r="C16" s="19">
        <f t="shared" si="5"/>
        <v>2.2999999999999998</v>
      </c>
      <c r="D16" s="19">
        <f t="shared" si="2"/>
        <v>19.8</v>
      </c>
      <c r="E16" s="19">
        <f t="shared" si="1"/>
        <v>19.25</v>
      </c>
      <c r="F16" s="19">
        <f t="shared" si="3"/>
        <v>2.3000000000000007</v>
      </c>
      <c r="G16" s="19">
        <f t="shared" si="6"/>
        <v>0.10000000000000142</v>
      </c>
    </row>
    <row r="17" spans="1:7" x14ac:dyDescent="0.25">
      <c r="A17" s="19">
        <f t="shared" si="4"/>
        <v>12</v>
      </c>
      <c r="B17" s="19">
        <f t="shared" si="0"/>
        <v>1.4000000000000001</v>
      </c>
      <c r="C17" s="19">
        <f t="shared" si="5"/>
        <v>2.4000000000000004</v>
      </c>
      <c r="D17" s="19">
        <f t="shared" si="2"/>
        <v>22.2</v>
      </c>
      <c r="E17" s="19">
        <f t="shared" si="1"/>
        <v>21.6</v>
      </c>
      <c r="F17" s="19">
        <f t="shared" si="3"/>
        <v>2.3999999999999986</v>
      </c>
      <c r="G17" s="19">
        <f t="shared" si="6"/>
        <v>9.9999999999997868E-2</v>
      </c>
    </row>
    <row r="18" spans="1:7" x14ac:dyDescent="0.25">
      <c r="A18" s="19">
        <f t="shared" si="4"/>
        <v>13</v>
      </c>
      <c r="B18" s="19">
        <f t="shared" si="0"/>
        <v>1.5</v>
      </c>
      <c r="C18" s="19">
        <f t="shared" si="5"/>
        <v>2.5</v>
      </c>
      <c r="D18" s="19">
        <f t="shared" si="2"/>
        <v>24.7</v>
      </c>
      <c r="E18" s="19">
        <f t="shared" si="1"/>
        <v>24.05</v>
      </c>
      <c r="F18" s="19">
        <f t="shared" si="3"/>
        <v>2.5</v>
      </c>
      <c r="G18" s="19">
        <f t="shared" si="6"/>
        <v>0.10000000000000142</v>
      </c>
    </row>
    <row r="19" spans="1:7" x14ac:dyDescent="0.25">
      <c r="A19" s="19">
        <f t="shared" si="4"/>
        <v>14</v>
      </c>
      <c r="B19" s="19">
        <f t="shared" si="0"/>
        <v>1.6</v>
      </c>
      <c r="C19" s="19">
        <f t="shared" si="5"/>
        <v>2.6</v>
      </c>
      <c r="D19" s="19">
        <f t="shared" si="2"/>
        <v>27.3</v>
      </c>
      <c r="E19" s="19">
        <f t="shared" si="1"/>
        <v>26.6</v>
      </c>
      <c r="F19" s="19">
        <f t="shared" si="3"/>
        <v>2.6000000000000014</v>
      </c>
      <c r="G19" s="19">
        <f t="shared" si="6"/>
        <v>0.10000000000000142</v>
      </c>
    </row>
    <row r="20" spans="1:7" x14ac:dyDescent="0.25">
      <c r="A20" s="19">
        <f t="shared" si="4"/>
        <v>15</v>
      </c>
      <c r="B20" s="19">
        <f t="shared" si="0"/>
        <v>1.7</v>
      </c>
      <c r="C20" s="19">
        <f t="shared" si="5"/>
        <v>2.7</v>
      </c>
      <c r="D20" s="19">
        <f t="shared" si="2"/>
        <v>30</v>
      </c>
      <c r="E20" s="19">
        <f t="shared" si="1"/>
        <v>29.25</v>
      </c>
      <c r="F20" s="19">
        <f t="shared" si="3"/>
        <v>2.6999999999999993</v>
      </c>
      <c r="G20" s="19">
        <f t="shared" si="6"/>
        <v>9.9999999999997868E-2</v>
      </c>
    </row>
    <row r="21" spans="1:7" x14ac:dyDescent="0.25">
      <c r="A21" s="19">
        <f t="shared" si="4"/>
        <v>16</v>
      </c>
      <c r="B21" s="19">
        <f t="shared" si="0"/>
        <v>1.8</v>
      </c>
      <c r="C21" s="19">
        <f t="shared" si="5"/>
        <v>2.8</v>
      </c>
      <c r="D21" s="19">
        <f t="shared" si="2"/>
        <v>32.799999999999997</v>
      </c>
      <c r="E21" s="19">
        <f t="shared" si="1"/>
        <v>32</v>
      </c>
      <c r="F21" s="19">
        <f t="shared" si="3"/>
        <v>2.7999999999999972</v>
      </c>
      <c r="G21" s="19">
        <f t="shared" si="6"/>
        <v>9.9999999999997868E-2</v>
      </c>
    </row>
    <row r="22" spans="1:7" x14ac:dyDescent="0.25">
      <c r="A22" s="19">
        <f t="shared" si="4"/>
        <v>17</v>
      </c>
      <c r="B22" s="19">
        <f t="shared" si="0"/>
        <v>1.9000000000000001</v>
      </c>
      <c r="C22" s="19">
        <f t="shared" si="5"/>
        <v>2.9000000000000004</v>
      </c>
      <c r="D22" s="19">
        <f t="shared" si="2"/>
        <v>35.699999999999996</v>
      </c>
      <c r="E22" s="19">
        <f t="shared" si="1"/>
        <v>34.85</v>
      </c>
      <c r="F22" s="19">
        <f t="shared" si="3"/>
        <v>2.8999999999999986</v>
      </c>
      <c r="G22" s="19">
        <f t="shared" si="6"/>
        <v>0.10000000000000142</v>
      </c>
    </row>
    <row r="23" spans="1:7" x14ac:dyDescent="0.25">
      <c r="A23" s="19">
        <f t="shared" si="4"/>
        <v>18</v>
      </c>
      <c r="B23" s="19">
        <f t="shared" si="0"/>
        <v>2</v>
      </c>
      <c r="C23" s="19">
        <f t="shared" si="5"/>
        <v>3</v>
      </c>
      <c r="D23" s="19">
        <f t="shared" si="2"/>
        <v>38.699999999999996</v>
      </c>
      <c r="E23" s="19">
        <f t="shared" si="1"/>
        <v>37.799999999999997</v>
      </c>
      <c r="F23" s="19">
        <f t="shared" si="3"/>
        <v>3</v>
      </c>
      <c r="G23" s="19">
        <f t="shared" si="6"/>
        <v>0.10000000000000142</v>
      </c>
    </row>
    <row r="24" spans="1:7" x14ac:dyDescent="0.25">
      <c r="A24" s="19">
        <f t="shared" si="4"/>
        <v>19</v>
      </c>
      <c r="B24" s="19">
        <f t="shared" si="0"/>
        <v>2.1</v>
      </c>
      <c r="C24" s="19">
        <f t="shared" si="5"/>
        <v>3.1</v>
      </c>
      <c r="D24" s="19">
        <f t="shared" si="2"/>
        <v>41.8</v>
      </c>
      <c r="E24" s="19">
        <f t="shared" si="1"/>
        <v>40.85</v>
      </c>
      <c r="F24" s="19">
        <f t="shared" si="3"/>
        <v>3.1000000000000014</v>
      </c>
      <c r="G24" s="19">
        <f t="shared" si="6"/>
        <v>0.10000000000000142</v>
      </c>
    </row>
    <row r="25" spans="1:7" x14ac:dyDescent="0.25">
      <c r="A25" s="19">
        <f t="shared" si="4"/>
        <v>20</v>
      </c>
      <c r="B25" s="19">
        <f t="shared" si="0"/>
        <v>2.2000000000000002</v>
      </c>
      <c r="C25" s="19">
        <f t="shared" si="5"/>
        <v>3.2</v>
      </c>
      <c r="D25" s="19">
        <f t="shared" si="2"/>
        <v>45</v>
      </c>
      <c r="E25" s="19">
        <f t="shared" si="1"/>
        <v>44</v>
      </c>
      <c r="F25" s="19">
        <f t="shared" si="3"/>
        <v>3.2000000000000028</v>
      </c>
      <c r="G25" s="19">
        <f t="shared" si="6"/>
        <v>0.10000000000000142</v>
      </c>
    </row>
    <row r="26" spans="1:7" x14ac:dyDescent="0.25">
      <c r="A26" s="19">
        <f t="shared" si="4"/>
        <v>21</v>
      </c>
      <c r="B26" s="19">
        <f t="shared" si="0"/>
        <v>2.3000000000000003</v>
      </c>
      <c r="C26" s="19">
        <f t="shared" si="5"/>
        <v>3.3000000000000003</v>
      </c>
      <c r="D26" s="19">
        <f t="shared" si="2"/>
        <v>48.3</v>
      </c>
      <c r="E26" s="19">
        <f t="shared" si="1"/>
        <v>47.25</v>
      </c>
      <c r="F26" s="19">
        <f t="shared" si="3"/>
        <v>3.2999999999999972</v>
      </c>
      <c r="G26" s="19">
        <f t="shared" si="6"/>
        <v>9.9999999999994316E-2</v>
      </c>
    </row>
    <row r="27" spans="1:7" x14ac:dyDescent="0.25">
      <c r="A27" s="19">
        <f t="shared" si="4"/>
        <v>22</v>
      </c>
      <c r="B27" s="19">
        <f t="shared" si="0"/>
        <v>2.4000000000000004</v>
      </c>
      <c r="C27" s="19">
        <f t="shared" si="5"/>
        <v>3.4000000000000004</v>
      </c>
      <c r="D27" s="19">
        <f t="shared" si="2"/>
        <v>51.699999999999996</v>
      </c>
      <c r="E27" s="19">
        <f t="shared" si="1"/>
        <v>50.6</v>
      </c>
      <c r="F27" s="19">
        <f t="shared" si="3"/>
        <v>3.3999999999999986</v>
      </c>
      <c r="G27" s="19">
        <f t="shared" si="6"/>
        <v>0.10000000000000142</v>
      </c>
    </row>
    <row r="28" spans="1:7" x14ac:dyDescent="0.25">
      <c r="A28" s="19">
        <f t="shared" si="4"/>
        <v>23</v>
      </c>
      <c r="B28" s="19">
        <f t="shared" si="0"/>
        <v>2.5000000000000004</v>
      </c>
      <c r="C28" s="19">
        <f t="shared" si="5"/>
        <v>3.5000000000000004</v>
      </c>
      <c r="D28" s="19">
        <f t="shared" si="2"/>
        <v>55.199999999999996</v>
      </c>
      <c r="E28" s="19">
        <f t="shared" si="1"/>
        <v>54.050000000000004</v>
      </c>
      <c r="F28" s="19">
        <f t="shared" si="3"/>
        <v>3.5</v>
      </c>
      <c r="G28" s="19">
        <f t="shared" si="6"/>
        <v>0.10000000000000142</v>
      </c>
    </row>
    <row r="29" spans="1:7" x14ac:dyDescent="0.25">
      <c r="A29" s="19">
        <f t="shared" si="4"/>
        <v>24</v>
      </c>
      <c r="B29" s="19">
        <f t="shared" si="0"/>
        <v>2.6000000000000005</v>
      </c>
      <c r="C29" s="19">
        <f t="shared" si="5"/>
        <v>3.6000000000000005</v>
      </c>
      <c r="D29" s="19">
        <f t="shared" si="2"/>
        <v>58.8</v>
      </c>
      <c r="E29" s="19">
        <f t="shared" si="1"/>
        <v>57.6</v>
      </c>
      <c r="F29" s="19">
        <f t="shared" si="3"/>
        <v>3.6000000000000014</v>
      </c>
      <c r="G29" s="19">
        <f t="shared" si="6"/>
        <v>0.10000000000000142</v>
      </c>
    </row>
    <row r="30" spans="1:7" x14ac:dyDescent="0.25">
      <c r="A30" s="19">
        <f t="shared" si="4"/>
        <v>25</v>
      </c>
      <c r="B30" s="19">
        <f t="shared" si="0"/>
        <v>2.7</v>
      </c>
      <c r="C30" s="19">
        <f t="shared" si="5"/>
        <v>3.7</v>
      </c>
      <c r="D30" s="19">
        <f t="shared" si="2"/>
        <v>62.5</v>
      </c>
      <c r="E30" s="19">
        <f t="shared" si="1"/>
        <v>61.25</v>
      </c>
      <c r="F30" s="19">
        <f t="shared" si="3"/>
        <v>3.7000000000000028</v>
      </c>
      <c r="G30" s="19">
        <f t="shared" si="6"/>
        <v>0.10000000000000142</v>
      </c>
    </row>
    <row r="31" spans="1:7" x14ac:dyDescent="0.25">
      <c r="A31" s="19">
        <f t="shared" si="4"/>
        <v>26</v>
      </c>
      <c r="B31" s="19">
        <f t="shared" si="0"/>
        <v>2.8000000000000003</v>
      </c>
      <c r="C31" s="19">
        <f t="shared" si="5"/>
        <v>3.8000000000000003</v>
      </c>
      <c r="D31" s="19">
        <f t="shared" si="2"/>
        <v>66.3</v>
      </c>
      <c r="E31" s="19">
        <f t="shared" si="1"/>
        <v>65</v>
      </c>
      <c r="F31" s="19">
        <f t="shared" si="3"/>
        <v>3.7999999999999972</v>
      </c>
      <c r="G31" s="19">
        <f t="shared" si="6"/>
        <v>9.9999999999994316E-2</v>
      </c>
    </row>
    <row r="32" spans="1:7" x14ac:dyDescent="0.25">
      <c r="A32" s="19">
        <f t="shared" si="4"/>
        <v>27</v>
      </c>
      <c r="B32" s="19">
        <f t="shared" si="0"/>
        <v>2.9000000000000004</v>
      </c>
      <c r="C32" s="19">
        <f t="shared" si="5"/>
        <v>3.9000000000000004</v>
      </c>
      <c r="D32" s="19">
        <f t="shared" si="2"/>
        <v>70.2</v>
      </c>
      <c r="E32" s="19">
        <f t="shared" si="1"/>
        <v>68.849999999999994</v>
      </c>
      <c r="F32" s="19">
        <f t="shared" si="3"/>
        <v>3.9000000000000057</v>
      </c>
      <c r="G32" s="19">
        <f t="shared" si="6"/>
        <v>0.10000000000000853</v>
      </c>
    </row>
    <row r="33" spans="1:7" x14ac:dyDescent="0.25">
      <c r="A33" s="19">
        <f t="shared" si="4"/>
        <v>28</v>
      </c>
      <c r="B33" s="19">
        <f t="shared" si="0"/>
        <v>3.0000000000000004</v>
      </c>
      <c r="C33" s="19">
        <f t="shared" si="5"/>
        <v>4</v>
      </c>
      <c r="D33" s="19">
        <f t="shared" si="2"/>
        <v>74.2</v>
      </c>
      <c r="E33" s="19">
        <f t="shared" si="1"/>
        <v>72.800000000000011</v>
      </c>
      <c r="F33" s="19">
        <f t="shared" si="3"/>
        <v>4</v>
      </c>
      <c r="G33" s="19">
        <f t="shared" si="6"/>
        <v>9.9999999999994316E-2</v>
      </c>
    </row>
    <row r="34" spans="1:7" x14ac:dyDescent="0.25">
      <c r="A34" s="19">
        <f t="shared" si="4"/>
        <v>29</v>
      </c>
      <c r="B34" s="19">
        <f t="shared" si="0"/>
        <v>3.1000000000000005</v>
      </c>
      <c r="C34" s="19">
        <f t="shared" si="5"/>
        <v>4.1000000000000005</v>
      </c>
      <c r="D34" s="19">
        <f t="shared" si="2"/>
        <v>78.3</v>
      </c>
      <c r="E34" s="19">
        <f t="shared" si="1"/>
        <v>76.849999999999994</v>
      </c>
      <c r="F34" s="19">
        <f t="shared" si="3"/>
        <v>4.0999999999999943</v>
      </c>
      <c r="G34" s="19">
        <f t="shared" si="6"/>
        <v>9.9999999999994316E-2</v>
      </c>
    </row>
    <row r="35" spans="1:7" x14ac:dyDescent="0.25">
      <c r="A35" s="19">
        <f t="shared" si="4"/>
        <v>30</v>
      </c>
      <c r="B35" s="19">
        <f t="shared" si="0"/>
        <v>3.2</v>
      </c>
      <c r="C35" s="19">
        <f t="shared" si="5"/>
        <v>4.2</v>
      </c>
      <c r="D35" s="19">
        <f t="shared" si="2"/>
        <v>82.5</v>
      </c>
      <c r="E35" s="19">
        <f t="shared" si="1"/>
        <v>81</v>
      </c>
      <c r="F35" s="19">
        <f t="shared" si="3"/>
        <v>4.2000000000000028</v>
      </c>
      <c r="G35" s="19">
        <f t="shared" si="6"/>
        <v>0.10000000000000853</v>
      </c>
    </row>
    <row r="36" spans="1:7" x14ac:dyDescent="0.25">
      <c r="A36" s="19">
        <f t="shared" si="4"/>
        <v>31</v>
      </c>
      <c r="B36" s="19">
        <f t="shared" si="0"/>
        <v>3.3000000000000003</v>
      </c>
      <c r="C36" s="19">
        <f t="shared" si="5"/>
        <v>4.3000000000000007</v>
      </c>
      <c r="D36" s="19">
        <f t="shared" si="2"/>
        <v>86.8</v>
      </c>
      <c r="E36" s="19">
        <f t="shared" si="1"/>
        <v>85.25</v>
      </c>
      <c r="F36" s="19">
        <f t="shared" si="3"/>
        <v>4.2999999999999972</v>
      </c>
      <c r="G36" s="19">
        <f t="shared" si="6"/>
        <v>9.9999999999994316E-2</v>
      </c>
    </row>
    <row r="37" spans="1:7" x14ac:dyDescent="0.25">
      <c r="A37" s="19">
        <f t="shared" si="4"/>
        <v>32</v>
      </c>
      <c r="B37" s="19">
        <f t="shared" ref="B37:B68" si="7">(_xlfn.SINGLE(veloc)+accel*_xlfn.SINGLE(time))</f>
        <v>3.4000000000000004</v>
      </c>
      <c r="C37" s="19">
        <f t="shared" si="5"/>
        <v>4.4000000000000004</v>
      </c>
      <c r="D37" s="19">
        <f t="shared" si="2"/>
        <v>91.2</v>
      </c>
      <c r="E37" s="19">
        <f t="shared" ref="E37:E68" si="8">time+time*veloc+accel/2*time^2</f>
        <v>89.6</v>
      </c>
      <c r="F37" s="19">
        <f t="shared" si="3"/>
        <v>4.4000000000000057</v>
      </c>
      <c r="G37" s="19">
        <f t="shared" si="6"/>
        <v>0.10000000000000853</v>
      </c>
    </row>
    <row r="38" spans="1:7" x14ac:dyDescent="0.25">
      <c r="A38" s="19">
        <f t="shared" si="4"/>
        <v>33</v>
      </c>
      <c r="B38" s="19">
        <f t="shared" si="7"/>
        <v>3.5000000000000004</v>
      </c>
      <c r="C38" s="19">
        <f t="shared" si="5"/>
        <v>4.5</v>
      </c>
      <c r="D38" s="19">
        <f t="shared" ref="D38:D69" si="9">D37+(A38-A37)+(_xlfn.SINGLE(veloc)+accel*_xlfn.SINGLE(time))</f>
        <v>95.7</v>
      </c>
      <c r="E38" s="19">
        <f t="shared" si="8"/>
        <v>94.050000000000011</v>
      </c>
      <c r="F38" s="19">
        <f t="shared" ref="F38:F69" si="10">(D38-D37)/(A38-A37)</f>
        <v>4.5</v>
      </c>
      <c r="G38" s="19">
        <f t="shared" si="6"/>
        <v>9.9999999999994316E-2</v>
      </c>
    </row>
    <row r="39" spans="1:7" x14ac:dyDescent="0.25">
      <c r="A39" s="19">
        <f t="shared" si="4"/>
        <v>34</v>
      </c>
      <c r="B39" s="19">
        <f t="shared" si="7"/>
        <v>3.6000000000000005</v>
      </c>
      <c r="C39" s="19">
        <f t="shared" si="5"/>
        <v>4.6000000000000005</v>
      </c>
      <c r="D39" s="19">
        <f t="shared" si="9"/>
        <v>100.3</v>
      </c>
      <c r="E39" s="19">
        <f t="shared" si="8"/>
        <v>98.6</v>
      </c>
      <c r="F39" s="19">
        <f t="shared" si="10"/>
        <v>4.5999999999999943</v>
      </c>
      <c r="G39" s="19">
        <f t="shared" ref="G39:G70" si="11">(F39-F38)/(A39-A38)</f>
        <v>9.9999999999994316E-2</v>
      </c>
    </row>
    <row r="40" spans="1:7" x14ac:dyDescent="0.25">
      <c r="A40" s="19">
        <f t="shared" si="4"/>
        <v>35</v>
      </c>
      <c r="B40" s="19">
        <f t="shared" si="7"/>
        <v>3.7</v>
      </c>
      <c r="C40" s="19">
        <f t="shared" si="5"/>
        <v>4.7</v>
      </c>
      <c r="D40" s="19">
        <f t="shared" si="9"/>
        <v>105</v>
      </c>
      <c r="E40" s="19">
        <f t="shared" si="8"/>
        <v>103.25</v>
      </c>
      <c r="F40" s="19">
        <f t="shared" si="10"/>
        <v>4.7000000000000028</v>
      </c>
      <c r="G40" s="19">
        <f t="shared" si="11"/>
        <v>0.10000000000000853</v>
      </c>
    </row>
    <row r="41" spans="1:7" x14ac:dyDescent="0.25">
      <c r="A41" s="19">
        <f t="shared" si="4"/>
        <v>36</v>
      </c>
      <c r="B41" s="19">
        <f t="shared" si="7"/>
        <v>3.8000000000000003</v>
      </c>
      <c r="C41" s="19">
        <f t="shared" si="5"/>
        <v>4.8000000000000007</v>
      </c>
      <c r="D41" s="19">
        <f t="shared" si="9"/>
        <v>109.8</v>
      </c>
      <c r="E41" s="19">
        <f t="shared" si="8"/>
        <v>108</v>
      </c>
      <c r="F41" s="19">
        <f t="shared" si="10"/>
        <v>4.7999999999999972</v>
      </c>
      <c r="G41" s="19">
        <f t="shared" si="11"/>
        <v>9.9999999999994316E-2</v>
      </c>
    </row>
    <row r="42" spans="1:7" x14ac:dyDescent="0.25">
      <c r="A42" s="19">
        <f t="shared" si="4"/>
        <v>37</v>
      </c>
      <c r="B42" s="19">
        <f t="shared" si="7"/>
        <v>3.9000000000000004</v>
      </c>
      <c r="C42" s="19">
        <f t="shared" si="5"/>
        <v>4.9000000000000004</v>
      </c>
      <c r="D42" s="19">
        <f t="shared" si="9"/>
        <v>114.7</v>
      </c>
      <c r="E42" s="19">
        <f t="shared" si="8"/>
        <v>112.85</v>
      </c>
      <c r="F42" s="19">
        <f t="shared" si="10"/>
        <v>4.9000000000000057</v>
      </c>
      <c r="G42" s="19">
        <f t="shared" si="11"/>
        <v>0.10000000000000853</v>
      </c>
    </row>
    <row r="43" spans="1:7" x14ac:dyDescent="0.25">
      <c r="A43" s="19">
        <f t="shared" si="4"/>
        <v>38</v>
      </c>
      <c r="B43" s="19">
        <f t="shared" si="7"/>
        <v>4</v>
      </c>
      <c r="C43" s="19">
        <f t="shared" si="5"/>
        <v>5</v>
      </c>
      <c r="D43" s="19">
        <f t="shared" si="9"/>
        <v>119.7</v>
      </c>
      <c r="E43" s="19">
        <f t="shared" si="8"/>
        <v>117.80000000000001</v>
      </c>
      <c r="F43" s="19">
        <f t="shared" si="10"/>
        <v>5</v>
      </c>
      <c r="G43" s="19">
        <f t="shared" si="11"/>
        <v>9.9999999999994316E-2</v>
      </c>
    </row>
    <row r="44" spans="1:7" x14ac:dyDescent="0.25">
      <c r="A44" s="19">
        <f t="shared" si="4"/>
        <v>39</v>
      </c>
      <c r="B44" s="19">
        <f t="shared" si="7"/>
        <v>4.1000000000000005</v>
      </c>
      <c r="C44" s="19">
        <f t="shared" si="5"/>
        <v>5.1000000000000005</v>
      </c>
      <c r="D44" s="19">
        <f t="shared" si="9"/>
        <v>124.8</v>
      </c>
      <c r="E44" s="19">
        <f t="shared" si="8"/>
        <v>122.85</v>
      </c>
      <c r="F44" s="19">
        <f t="shared" si="10"/>
        <v>5.0999999999999943</v>
      </c>
      <c r="G44" s="19">
        <f t="shared" si="11"/>
        <v>9.9999999999994316E-2</v>
      </c>
    </row>
    <row r="45" spans="1:7" x14ac:dyDescent="0.25">
      <c r="A45" s="19">
        <f t="shared" si="4"/>
        <v>40</v>
      </c>
      <c r="B45" s="19">
        <f t="shared" si="7"/>
        <v>4.2</v>
      </c>
      <c r="C45" s="19">
        <f t="shared" si="5"/>
        <v>5.2</v>
      </c>
      <c r="D45" s="19">
        <f t="shared" si="9"/>
        <v>130</v>
      </c>
      <c r="E45" s="19">
        <f t="shared" si="8"/>
        <v>128</v>
      </c>
      <c r="F45" s="19">
        <f t="shared" si="10"/>
        <v>5.2000000000000028</v>
      </c>
      <c r="G45" s="19">
        <f t="shared" si="11"/>
        <v>0.10000000000000853</v>
      </c>
    </row>
    <row r="46" spans="1:7" x14ac:dyDescent="0.25">
      <c r="A46" s="19">
        <f t="shared" si="4"/>
        <v>41</v>
      </c>
      <c r="B46" s="19">
        <f t="shared" si="7"/>
        <v>4.3000000000000007</v>
      </c>
      <c r="C46" s="19">
        <f t="shared" si="5"/>
        <v>5.3000000000000007</v>
      </c>
      <c r="D46" s="19">
        <f t="shared" si="9"/>
        <v>135.30000000000001</v>
      </c>
      <c r="E46" s="19">
        <f t="shared" si="8"/>
        <v>133.25</v>
      </c>
      <c r="F46" s="19">
        <f t="shared" si="10"/>
        <v>5.3000000000000114</v>
      </c>
      <c r="G46" s="19">
        <f t="shared" si="11"/>
        <v>0.10000000000000853</v>
      </c>
    </row>
    <row r="47" spans="1:7" x14ac:dyDescent="0.25">
      <c r="A47" s="19">
        <f t="shared" si="4"/>
        <v>42</v>
      </c>
      <c r="B47" s="19">
        <f t="shared" si="7"/>
        <v>4.4000000000000004</v>
      </c>
      <c r="C47" s="19">
        <f t="shared" si="5"/>
        <v>5.4</v>
      </c>
      <c r="D47" s="19">
        <f t="shared" si="9"/>
        <v>140.70000000000002</v>
      </c>
      <c r="E47" s="19">
        <f t="shared" si="8"/>
        <v>138.6</v>
      </c>
      <c r="F47" s="19">
        <f t="shared" si="10"/>
        <v>5.4000000000000057</v>
      </c>
      <c r="G47" s="19">
        <f t="shared" si="11"/>
        <v>9.9999999999994316E-2</v>
      </c>
    </row>
    <row r="48" spans="1:7" x14ac:dyDescent="0.25">
      <c r="A48" s="19">
        <f t="shared" si="4"/>
        <v>43</v>
      </c>
      <c r="B48" s="19">
        <f t="shared" si="7"/>
        <v>4.5</v>
      </c>
      <c r="C48" s="19">
        <f t="shared" si="5"/>
        <v>5.5</v>
      </c>
      <c r="D48" s="19">
        <f t="shared" si="9"/>
        <v>146.20000000000002</v>
      </c>
      <c r="E48" s="19">
        <f t="shared" si="8"/>
        <v>144.05000000000001</v>
      </c>
      <c r="F48" s="19">
        <f t="shared" si="10"/>
        <v>5.5</v>
      </c>
      <c r="G48" s="19">
        <f t="shared" si="11"/>
        <v>9.9999999999994316E-2</v>
      </c>
    </row>
    <row r="49" spans="1:7" x14ac:dyDescent="0.25">
      <c r="A49" s="19">
        <f t="shared" si="4"/>
        <v>44</v>
      </c>
      <c r="B49" s="19">
        <f t="shared" si="7"/>
        <v>4.6000000000000005</v>
      </c>
      <c r="C49" s="19">
        <f t="shared" si="5"/>
        <v>5.6000000000000005</v>
      </c>
      <c r="D49" s="19">
        <f t="shared" si="9"/>
        <v>151.80000000000001</v>
      </c>
      <c r="E49" s="19">
        <f t="shared" si="8"/>
        <v>149.60000000000002</v>
      </c>
      <c r="F49" s="19">
        <f t="shared" si="10"/>
        <v>5.5999999999999943</v>
      </c>
      <c r="G49" s="19">
        <f t="shared" si="11"/>
        <v>9.9999999999994316E-2</v>
      </c>
    </row>
    <row r="50" spans="1:7" x14ac:dyDescent="0.25">
      <c r="A50" s="19">
        <f t="shared" si="4"/>
        <v>45</v>
      </c>
      <c r="B50" s="19">
        <f t="shared" si="7"/>
        <v>4.7</v>
      </c>
      <c r="C50" s="19">
        <f t="shared" si="5"/>
        <v>5.7</v>
      </c>
      <c r="D50" s="19">
        <f t="shared" si="9"/>
        <v>157.5</v>
      </c>
      <c r="E50" s="19">
        <f t="shared" si="8"/>
        <v>155.25</v>
      </c>
      <c r="F50" s="19">
        <f t="shared" si="10"/>
        <v>5.6999999999999886</v>
      </c>
      <c r="G50" s="19">
        <f t="shared" si="11"/>
        <v>9.9999999999994316E-2</v>
      </c>
    </row>
    <row r="51" spans="1:7" x14ac:dyDescent="0.25">
      <c r="A51" s="19">
        <f t="shared" si="4"/>
        <v>46</v>
      </c>
      <c r="B51" s="19">
        <f t="shared" si="7"/>
        <v>4.8000000000000007</v>
      </c>
      <c r="C51" s="19">
        <f t="shared" si="5"/>
        <v>5.8000000000000007</v>
      </c>
      <c r="D51" s="19">
        <f t="shared" si="9"/>
        <v>163.30000000000001</v>
      </c>
      <c r="E51" s="19">
        <f t="shared" si="8"/>
        <v>161</v>
      </c>
      <c r="F51" s="19">
        <f t="shared" si="10"/>
        <v>5.8000000000000114</v>
      </c>
      <c r="G51" s="19">
        <f t="shared" si="11"/>
        <v>0.10000000000002274</v>
      </c>
    </row>
    <row r="52" spans="1:7" x14ac:dyDescent="0.25">
      <c r="A52" s="19">
        <f t="shared" si="4"/>
        <v>47</v>
      </c>
      <c r="B52" s="19">
        <f t="shared" si="7"/>
        <v>4.9000000000000004</v>
      </c>
      <c r="C52" s="19">
        <f t="shared" si="5"/>
        <v>5.9</v>
      </c>
      <c r="D52" s="19">
        <f t="shared" si="9"/>
        <v>169.20000000000002</v>
      </c>
      <c r="E52" s="19">
        <f t="shared" si="8"/>
        <v>166.85</v>
      </c>
      <c r="F52" s="19">
        <f t="shared" si="10"/>
        <v>5.9000000000000057</v>
      </c>
      <c r="G52" s="19">
        <f t="shared" si="11"/>
        <v>9.9999999999994316E-2</v>
      </c>
    </row>
    <row r="53" spans="1:7" x14ac:dyDescent="0.25">
      <c r="A53" s="19">
        <f t="shared" si="4"/>
        <v>48</v>
      </c>
      <c r="B53" s="19">
        <f t="shared" si="7"/>
        <v>5.0000000000000009</v>
      </c>
      <c r="C53" s="19">
        <f t="shared" si="5"/>
        <v>6.0000000000000009</v>
      </c>
      <c r="D53" s="19">
        <f t="shared" si="9"/>
        <v>175.20000000000002</v>
      </c>
      <c r="E53" s="19">
        <f t="shared" si="8"/>
        <v>172.8</v>
      </c>
      <c r="F53" s="19">
        <f t="shared" si="10"/>
        <v>6</v>
      </c>
      <c r="G53" s="19">
        <f t="shared" si="11"/>
        <v>9.9999999999994316E-2</v>
      </c>
    </row>
    <row r="54" spans="1:7" x14ac:dyDescent="0.25">
      <c r="A54" s="19">
        <f t="shared" si="4"/>
        <v>49</v>
      </c>
      <c r="B54" s="19">
        <f t="shared" si="7"/>
        <v>5.1000000000000005</v>
      </c>
      <c r="C54" s="19">
        <f t="shared" si="5"/>
        <v>6.1000000000000005</v>
      </c>
      <c r="D54" s="19">
        <f t="shared" si="9"/>
        <v>181.3</v>
      </c>
      <c r="E54" s="19">
        <f t="shared" si="8"/>
        <v>178.85000000000002</v>
      </c>
      <c r="F54" s="19">
        <f t="shared" si="10"/>
        <v>6.0999999999999943</v>
      </c>
      <c r="G54" s="19">
        <f t="shared" si="11"/>
        <v>9.9999999999994316E-2</v>
      </c>
    </row>
    <row r="55" spans="1:7" x14ac:dyDescent="0.25">
      <c r="A55" s="19">
        <f t="shared" si="4"/>
        <v>50</v>
      </c>
      <c r="B55" s="19">
        <f t="shared" si="7"/>
        <v>5.2</v>
      </c>
      <c r="C55" s="19">
        <f t="shared" si="5"/>
        <v>6.2</v>
      </c>
      <c r="D55" s="19">
        <f t="shared" si="9"/>
        <v>187.5</v>
      </c>
      <c r="E55" s="19">
        <f t="shared" si="8"/>
        <v>185</v>
      </c>
      <c r="F55" s="19">
        <f t="shared" si="10"/>
        <v>6.1999999999999886</v>
      </c>
      <c r="G55" s="19">
        <f t="shared" si="11"/>
        <v>9.9999999999994316E-2</v>
      </c>
    </row>
    <row r="56" spans="1:7" x14ac:dyDescent="0.25">
      <c r="A56" s="19">
        <f t="shared" si="4"/>
        <v>51</v>
      </c>
      <c r="B56" s="19">
        <f t="shared" si="7"/>
        <v>5.3000000000000007</v>
      </c>
      <c r="C56" s="19">
        <f t="shared" si="5"/>
        <v>6.3000000000000007</v>
      </c>
      <c r="D56" s="19">
        <f t="shared" si="9"/>
        <v>193.8</v>
      </c>
      <c r="E56" s="19">
        <f t="shared" si="8"/>
        <v>191.25</v>
      </c>
      <c r="F56" s="19">
        <f t="shared" si="10"/>
        <v>6.3000000000000114</v>
      </c>
      <c r="G56" s="19">
        <f t="shared" si="11"/>
        <v>0.10000000000002274</v>
      </c>
    </row>
    <row r="57" spans="1:7" x14ac:dyDescent="0.25">
      <c r="A57" s="19">
        <f t="shared" si="4"/>
        <v>52</v>
      </c>
      <c r="B57" s="19">
        <f t="shared" si="7"/>
        <v>5.4</v>
      </c>
      <c r="C57" s="19">
        <f t="shared" si="5"/>
        <v>6.4</v>
      </c>
      <c r="D57" s="19">
        <f t="shared" si="9"/>
        <v>200.20000000000002</v>
      </c>
      <c r="E57" s="19">
        <f t="shared" si="8"/>
        <v>197.60000000000002</v>
      </c>
      <c r="F57" s="19">
        <f t="shared" si="10"/>
        <v>6.4000000000000057</v>
      </c>
      <c r="G57" s="19">
        <f t="shared" si="11"/>
        <v>9.9999999999994316E-2</v>
      </c>
    </row>
    <row r="58" spans="1:7" x14ac:dyDescent="0.25">
      <c r="A58" s="19">
        <f t="shared" si="4"/>
        <v>53</v>
      </c>
      <c r="B58" s="19">
        <f t="shared" si="7"/>
        <v>5.5000000000000009</v>
      </c>
      <c r="C58" s="19">
        <f t="shared" si="5"/>
        <v>6.5000000000000009</v>
      </c>
      <c r="D58" s="19">
        <f t="shared" si="9"/>
        <v>206.70000000000002</v>
      </c>
      <c r="E58" s="19">
        <f t="shared" si="8"/>
        <v>204.05</v>
      </c>
      <c r="F58" s="19">
        <f t="shared" si="10"/>
        <v>6.5</v>
      </c>
      <c r="G58" s="19">
        <f t="shared" si="11"/>
        <v>9.9999999999994316E-2</v>
      </c>
    </row>
    <row r="59" spans="1:7" x14ac:dyDescent="0.25">
      <c r="A59" s="19">
        <f t="shared" si="4"/>
        <v>54</v>
      </c>
      <c r="B59" s="19">
        <f t="shared" si="7"/>
        <v>5.6000000000000005</v>
      </c>
      <c r="C59" s="19">
        <f t="shared" si="5"/>
        <v>6.6000000000000005</v>
      </c>
      <c r="D59" s="19">
        <f t="shared" si="9"/>
        <v>213.3</v>
      </c>
      <c r="E59" s="19">
        <f t="shared" si="8"/>
        <v>210.60000000000002</v>
      </c>
      <c r="F59" s="19">
        <f t="shared" si="10"/>
        <v>6.5999999999999943</v>
      </c>
      <c r="G59" s="19">
        <f t="shared" si="11"/>
        <v>9.9999999999994316E-2</v>
      </c>
    </row>
    <row r="60" spans="1:7" x14ac:dyDescent="0.25">
      <c r="A60" s="19">
        <f t="shared" si="4"/>
        <v>55</v>
      </c>
      <c r="B60" s="19">
        <f t="shared" si="7"/>
        <v>5.7</v>
      </c>
      <c r="C60" s="19">
        <f t="shared" si="5"/>
        <v>6.7</v>
      </c>
      <c r="D60" s="19">
        <f t="shared" si="9"/>
        <v>220</v>
      </c>
      <c r="E60" s="19">
        <f t="shared" si="8"/>
        <v>217.25</v>
      </c>
      <c r="F60" s="19">
        <f t="shared" si="10"/>
        <v>6.6999999999999886</v>
      </c>
      <c r="G60" s="19">
        <f t="shared" si="11"/>
        <v>9.9999999999994316E-2</v>
      </c>
    </row>
    <row r="61" spans="1:7" x14ac:dyDescent="0.25">
      <c r="A61" s="19">
        <f t="shared" si="4"/>
        <v>56</v>
      </c>
      <c r="B61" s="19">
        <f t="shared" si="7"/>
        <v>5.8000000000000007</v>
      </c>
      <c r="C61" s="19">
        <f t="shared" si="5"/>
        <v>6.8000000000000007</v>
      </c>
      <c r="D61" s="19">
        <f t="shared" si="9"/>
        <v>226.8</v>
      </c>
      <c r="E61" s="19">
        <f t="shared" si="8"/>
        <v>224</v>
      </c>
      <c r="F61" s="19">
        <f t="shared" si="10"/>
        <v>6.8000000000000114</v>
      </c>
      <c r="G61" s="19">
        <f t="shared" si="11"/>
        <v>0.10000000000002274</v>
      </c>
    </row>
    <row r="62" spans="1:7" x14ac:dyDescent="0.25">
      <c r="A62" s="19">
        <f t="shared" si="4"/>
        <v>57</v>
      </c>
      <c r="B62" s="19">
        <f t="shared" si="7"/>
        <v>5.9</v>
      </c>
      <c r="C62" s="19">
        <f t="shared" si="5"/>
        <v>6.9</v>
      </c>
      <c r="D62" s="19">
        <f t="shared" si="9"/>
        <v>233.70000000000002</v>
      </c>
      <c r="E62" s="19">
        <f t="shared" si="8"/>
        <v>230.85000000000002</v>
      </c>
      <c r="F62" s="19">
        <f t="shared" si="10"/>
        <v>6.9000000000000057</v>
      </c>
      <c r="G62" s="19">
        <f t="shared" si="11"/>
        <v>9.9999999999994316E-2</v>
      </c>
    </row>
    <row r="63" spans="1:7" x14ac:dyDescent="0.25">
      <c r="A63" s="19">
        <f t="shared" si="4"/>
        <v>58</v>
      </c>
      <c r="B63" s="19">
        <f t="shared" si="7"/>
        <v>6.0000000000000009</v>
      </c>
      <c r="C63" s="19">
        <f t="shared" si="5"/>
        <v>7.0000000000000009</v>
      </c>
      <c r="D63" s="19">
        <f t="shared" si="9"/>
        <v>240.70000000000002</v>
      </c>
      <c r="E63" s="19">
        <f t="shared" si="8"/>
        <v>237.8</v>
      </c>
      <c r="F63" s="19">
        <f t="shared" si="10"/>
        <v>7</v>
      </c>
      <c r="G63" s="19">
        <f t="shared" si="11"/>
        <v>9.9999999999994316E-2</v>
      </c>
    </row>
    <row r="64" spans="1:7" x14ac:dyDescent="0.25">
      <c r="A64" s="19">
        <f t="shared" si="4"/>
        <v>59</v>
      </c>
      <c r="B64" s="19">
        <f t="shared" si="7"/>
        <v>6.1000000000000005</v>
      </c>
      <c r="C64" s="19">
        <f t="shared" si="5"/>
        <v>7.1000000000000005</v>
      </c>
      <c r="D64" s="19">
        <f t="shared" si="9"/>
        <v>247.8</v>
      </c>
      <c r="E64" s="19">
        <f t="shared" si="8"/>
        <v>244.85000000000002</v>
      </c>
      <c r="F64" s="19">
        <f t="shared" si="10"/>
        <v>7.0999999999999943</v>
      </c>
      <c r="G64" s="19">
        <f t="shared" si="11"/>
        <v>9.9999999999994316E-2</v>
      </c>
    </row>
    <row r="65" spans="1:7" x14ac:dyDescent="0.25">
      <c r="A65" s="19">
        <f t="shared" si="4"/>
        <v>60</v>
      </c>
      <c r="B65" s="19">
        <f t="shared" si="7"/>
        <v>6.2</v>
      </c>
      <c r="C65" s="19">
        <f t="shared" si="5"/>
        <v>7.2</v>
      </c>
      <c r="D65" s="19">
        <f t="shared" si="9"/>
        <v>255</v>
      </c>
      <c r="E65" s="19">
        <f t="shared" si="8"/>
        <v>252</v>
      </c>
      <c r="F65" s="19">
        <f t="shared" si="10"/>
        <v>7.1999999999999886</v>
      </c>
      <c r="G65" s="19">
        <f t="shared" si="11"/>
        <v>9.9999999999994316E-2</v>
      </c>
    </row>
    <row r="66" spans="1:7" x14ac:dyDescent="0.25">
      <c r="A66" s="19">
        <f t="shared" si="4"/>
        <v>61</v>
      </c>
      <c r="B66" s="19">
        <f t="shared" si="7"/>
        <v>6.3000000000000007</v>
      </c>
      <c r="C66" s="19">
        <f t="shared" si="5"/>
        <v>7.3000000000000007</v>
      </c>
      <c r="D66" s="19">
        <f t="shared" si="9"/>
        <v>262.3</v>
      </c>
      <c r="E66" s="19">
        <f t="shared" si="8"/>
        <v>259.25</v>
      </c>
      <c r="F66" s="19">
        <f t="shared" si="10"/>
        <v>7.3000000000000114</v>
      </c>
      <c r="G66" s="19">
        <f t="shared" si="11"/>
        <v>0.10000000000002274</v>
      </c>
    </row>
    <row r="67" spans="1:7" x14ac:dyDescent="0.25">
      <c r="A67" s="19">
        <f t="shared" si="4"/>
        <v>62</v>
      </c>
      <c r="B67" s="19">
        <f t="shared" si="7"/>
        <v>6.4</v>
      </c>
      <c r="C67" s="19">
        <f t="shared" si="5"/>
        <v>7.4</v>
      </c>
      <c r="D67" s="19">
        <f t="shared" si="9"/>
        <v>269.7</v>
      </c>
      <c r="E67" s="19">
        <f t="shared" si="8"/>
        <v>266.60000000000002</v>
      </c>
      <c r="F67" s="19">
        <f t="shared" si="10"/>
        <v>7.3999999999999773</v>
      </c>
      <c r="G67" s="19">
        <f t="shared" si="11"/>
        <v>9.9999999999965894E-2</v>
      </c>
    </row>
    <row r="68" spans="1:7" x14ac:dyDescent="0.25">
      <c r="A68" s="19">
        <f t="shared" si="4"/>
        <v>63</v>
      </c>
      <c r="B68" s="19">
        <f t="shared" si="7"/>
        <v>6.5000000000000009</v>
      </c>
      <c r="C68" s="19">
        <f t="shared" si="5"/>
        <v>7.5000000000000009</v>
      </c>
      <c r="D68" s="19">
        <f t="shared" si="9"/>
        <v>277.2</v>
      </c>
      <c r="E68" s="19">
        <f t="shared" si="8"/>
        <v>274.05</v>
      </c>
      <c r="F68" s="19">
        <f t="shared" si="10"/>
        <v>7.5</v>
      </c>
      <c r="G68" s="19">
        <f t="shared" si="11"/>
        <v>0.10000000000002274</v>
      </c>
    </row>
    <row r="69" spans="1:7" x14ac:dyDescent="0.25">
      <c r="A69" s="19">
        <f t="shared" si="4"/>
        <v>64</v>
      </c>
      <c r="B69" s="19">
        <f t="shared" ref="B69:B101" si="12">(_xlfn.SINGLE(veloc)+accel*_xlfn.SINGLE(time))</f>
        <v>6.6000000000000005</v>
      </c>
      <c r="C69" s="19">
        <f t="shared" si="5"/>
        <v>7.6000000000000005</v>
      </c>
      <c r="D69" s="19">
        <f t="shared" si="9"/>
        <v>284.8</v>
      </c>
      <c r="E69" s="19">
        <f t="shared" ref="E69:E101" si="13">time+time*veloc+accel/2*time^2</f>
        <v>281.60000000000002</v>
      </c>
      <c r="F69" s="19">
        <f t="shared" si="10"/>
        <v>7.6000000000000227</v>
      </c>
      <c r="G69" s="19">
        <f t="shared" si="11"/>
        <v>0.10000000000002274</v>
      </c>
    </row>
    <row r="70" spans="1:7" x14ac:dyDescent="0.25">
      <c r="A70" s="19">
        <f t="shared" si="4"/>
        <v>65</v>
      </c>
      <c r="B70" s="19">
        <f t="shared" si="12"/>
        <v>6.7</v>
      </c>
      <c r="C70" s="19">
        <f t="shared" si="5"/>
        <v>7.7</v>
      </c>
      <c r="D70" s="19">
        <f t="shared" ref="D70:D101" si="14">D69+(A70-A69)+(_xlfn.SINGLE(veloc)+accel*_xlfn.SINGLE(time))</f>
        <v>292.5</v>
      </c>
      <c r="E70" s="19">
        <f t="shared" si="13"/>
        <v>289.25</v>
      </c>
      <c r="F70" s="19">
        <f t="shared" ref="F70:F101" si="15">(D70-D69)/(A70-A69)</f>
        <v>7.6999999999999886</v>
      </c>
      <c r="G70" s="19">
        <f t="shared" si="11"/>
        <v>9.9999999999965894E-2</v>
      </c>
    </row>
    <row r="71" spans="1:7" x14ac:dyDescent="0.25">
      <c r="A71" s="19">
        <f t="shared" ref="A71:A101" si="16">A70+1</f>
        <v>66</v>
      </c>
      <c r="B71" s="19">
        <f t="shared" si="12"/>
        <v>6.8000000000000007</v>
      </c>
      <c r="C71" s="19">
        <f t="shared" ref="C71:C101" si="17">(A71-A70)+B71</f>
        <v>7.8000000000000007</v>
      </c>
      <c r="D71" s="19">
        <f t="shared" si="14"/>
        <v>300.3</v>
      </c>
      <c r="E71" s="19">
        <f t="shared" si="13"/>
        <v>297</v>
      </c>
      <c r="F71" s="19">
        <f t="shared" si="15"/>
        <v>7.8000000000000114</v>
      </c>
      <c r="G71" s="19">
        <f t="shared" ref="G71:G101" si="18">(F71-F70)/(A71-A70)</f>
        <v>0.10000000000002274</v>
      </c>
    </row>
    <row r="72" spans="1:7" x14ac:dyDescent="0.25">
      <c r="A72" s="19">
        <f t="shared" si="16"/>
        <v>67</v>
      </c>
      <c r="B72" s="19">
        <f t="shared" si="12"/>
        <v>6.9</v>
      </c>
      <c r="C72" s="19">
        <f t="shared" si="17"/>
        <v>7.9</v>
      </c>
      <c r="D72" s="19">
        <f t="shared" si="14"/>
        <v>308.2</v>
      </c>
      <c r="E72" s="19">
        <f t="shared" si="13"/>
        <v>304.85000000000002</v>
      </c>
      <c r="F72" s="19">
        <f t="shared" si="15"/>
        <v>7.8999999999999773</v>
      </c>
      <c r="G72" s="19">
        <f t="shared" si="18"/>
        <v>9.9999999999965894E-2</v>
      </c>
    </row>
    <row r="73" spans="1:7" x14ac:dyDescent="0.25">
      <c r="A73" s="19">
        <f t="shared" si="16"/>
        <v>68</v>
      </c>
      <c r="B73" s="19">
        <f t="shared" si="12"/>
        <v>7.0000000000000009</v>
      </c>
      <c r="C73" s="19">
        <f t="shared" si="17"/>
        <v>8</v>
      </c>
      <c r="D73" s="19">
        <f t="shared" si="14"/>
        <v>316.2</v>
      </c>
      <c r="E73" s="19">
        <f t="shared" si="13"/>
        <v>312.8</v>
      </c>
      <c r="F73" s="19">
        <f t="shared" si="15"/>
        <v>8</v>
      </c>
      <c r="G73" s="19">
        <f t="shared" si="18"/>
        <v>0.10000000000002274</v>
      </c>
    </row>
    <row r="74" spans="1:7" x14ac:dyDescent="0.25">
      <c r="A74" s="19">
        <f t="shared" si="16"/>
        <v>69</v>
      </c>
      <c r="B74" s="19">
        <f t="shared" si="12"/>
        <v>7.1000000000000005</v>
      </c>
      <c r="C74" s="19">
        <f t="shared" si="17"/>
        <v>8.1000000000000014</v>
      </c>
      <c r="D74" s="19">
        <f t="shared" si="14"/>
        <v>324.3</v>
      </c>
      <c r="E74" s="19">
        <f t="shared" si="13"/>
        <v>320.85000000000002</v>
      </c>
      <c r="F74" s="19">
        <f t="shared" si="15"/>
        <v>8.1000000000000227</v>
      </c>
      <c r="G74" s="19">
        <f t="shared" si="18"/>
        <v>0.10000000000002274</v>
      </c>
    </row>
    <row r="75" spans="1:7" x14ac:dyDescent="0.25">
      <c r="A75" s="19">
        <f t="shared" si="16"/>
        <v>70</v>
      </c>
      <c r="B75" s="19">
        <f t="shared" si="12"/>
        <v>7.2</v>
      </c>
      <c r="C75" s="19">
        <f t="shared" si="17"/>
        <v>8.1999999999999993</v>
      </c>
      <c r="D75" s="19">
        <f t="shared" si="14"/>
        <v>332.5</v>
      </c>
      <c r="E75" s="19">
        <f t="shared" si="13"/>
        <v>329</v>
      </c>
      <c r="F75" s="19">
        <f t="shared" si="15"/>
        <v>8.1999999999999886</v>
      </c>
      <c r="G75" s="19">
        <f t="shared" si="18"/>
        <v>9.9999999999965894E-2</v>
      </c>
    </row>
    <row r="76" spans="1:7" x14ac:dyDescent="0.25">
      <c r="A76" s="19">
        <f t="shared" si="16"/>
        <v>71</v>
      </c>
      <c r="B76" s="19">
        <f t="shared" si="12"/>
        <v>7.3000000000000007</v>
      </c>
      <c r="C76" s="19">
        <f t="shared" si="17"/>
        <v>8.3000000000000007</v>
      </c>
      <c r="D76" s="19">
        <f t="shared" si="14"/>
        <v>340.8</v>
      </c>
      <c r="E76" s="19">
        <f t="shared" si="13"/>
        <v>337.25</v>
      </c>
      <c r="F76" s="19">
        <f t="shared" si="15"/>
        <v>8.3000000000000114</v>
      </c>
      <c r="G76" s="19">
        <f t="shared" si="18"/>
        <v>0.10000000000002274</v>
      </c>
    </row>
    <row r="77" spans="1:7" x14ac:dyDescent="0.25">
      <c r="A77" s="19">
        <f t="shared" si="16"/>
        <v>72</v>
      </c>
      <c r="B77" s="19">
        <f t="shared" si="12"/>
        <v>7.4</v>
      </c>
      <c r="C77" s="19">
        <f t="shared" si="17"/>
        <v>8.4</v>
      </c>
      <c r="D77" s="19">
        <f t="shared" si="14"/>
        <v>349.2</v>
      </c>
      <c r="E77" s="19">
        <f t="shared" si="13"/>
        <v>345.6</v>
      </c>
      <c r="F77" s="19">
        <f t="shared" si="15"/>
        <v>8.3999999999999773</v>
      </c>
      <c r="G77" s="19">
        <f t="shared" si="18"/>
        <v>9.9999999999965894E-2</v>
      </c>
    </row>
    <row r="78" spans="1:7" x14ac:dyDescent="0.25">
      <c r="A78" s="19">
        <f t="shared" si="16"/>
        <v>73</v>
      </c>
      <c r="B78" s="19">
        <f t="shared" si="12"/>
        <v>7.5000000000000009</v>
      </c>
      <c r="C78" s="19">
        <f t="shared" si="17"/>
        <v>8.5</v>
      </c>
      <c r="D78" s="19">
        <f t="shared" si="14"/>
        <v>357.7</v>
      </c>
      <c r="E78" s="19">
        <f t="shared" si="13"/>
        <v>354.04999999999995</v>
      </c>
      <c r="F78" s="19">
        <f t="shared" si="15"/>
        <v>8.5</v>
      </c>
      <c r="G78" s="19">
        <f t="shared" si="18"/>
        <v>0.10000000000002274</v>
      </c>
    </row>
    <row r="79" spans="1:7" x14ac:dyDescent="0.25">
      <c r="A79" s="19">
        <f t="shared" si="16"/>
        <v>74</v>
      </c>
      <c r="B79" s="19">
        <f t="shared" si="12"/>
        <v>7.6000000000000005</v>
      </c>
      <c r="C79" s="19">
        <f t="shared" si="17"/>
        <v>8.6000000000000014</v>
      </c>
      <c r="D79" s="19">
        <f t="shared" si="14"/>
        <v>366.3</v>
      </c>
      <c r="E79" s="19">
        <f t="shared" si="13"/>
        <v>362.6</v>
      </c>
      <c r="F79" s="19">
        <f t="shared" si="15"/>
        <v>8.6000000000000227</v>
      </c>
      <c r="G79" s="19">
        <f t="shared" si="18"/>
        <v>0.10000000000002274</v>
      </c>
    </row>
    <row r="80" spans="1:7" x14ac:dyDescent="0.25">
      <c r="A80" s="19">
        <f t="shared" si="16"/>
        <v>75</v>
      </c>
      <c r="B80" s="19">
        <f t="shared" si="12"/>
        <v>7.7</v>
      </c>
      <c r="C80" s="19">
        <f t="shared" si="17"/>
        <v>8.6999999999999993</v>
      </c>
      <c r="D80" s="19">
        <f t="shared" si="14"/>
        <v>375</v>
      </c>
      <c r="E80" s="19">
        <f t="shared" si="13"/>
        <v>371.25</v>
      </c>
      <c r="F80" s="19">
        <f t="shared" si="15"/>
        <v>8.6999999999999886</v>
      </c>
      <c r="G80" s="19">
        <f t="shared" si="18"/>
        <v>9.9999999999965894E-2</v>
      </c>
    </row>
    <row r="81" spans="1:7" x14ac:dyDescent="0.25">
      <c r="A81" s="19">
        <f t="shared" si="16"/>
        <v>76</v>
      </c>
      <c r="B81" s="19">
        <f t="shared" si="12"/>
        <v>7.8000000000000007</v>
      </c>
      <c r="C81" s="19">
        <f t="shared" si="17"/>
        <v>8.8000000000000007</v>
      </c>
      <c r="D81" s="19">
        <f t="shared" si="14"/>
        <v>383.8</v>
      </c>
      <c r="E81" s="19">
        <f t="shared" si="13"/>
        <v>380</v>
      </c>
      <c r="F81" s="19">
        <f t="shared" si="15"/>
        <v>8.8000000000000114</v>
      </c>
      <c r="G81" s="19">
        <f t="shared" si="18"/>
        <v>0.10000000000002274</v>
      </c>
    </row>
    <row r="82" spans="1:7" x14ac:dyDescent="0.25">
      <c r="A82" s="19">
        <f t="shared" si="16"/>
        <v>77</v>
      </c>
      <c r="B82" s="19">
        <f t="shared" si="12"/>
        <v>7.9</v>
      </c>
      <c r="C82" s="19">
        <f t="shared" si="17"/>
        <v>8.9</v>
      </c>
      <c r="D82" s="19">
        <f t="shared" si="14"/>
        <v>392.7</v>
      </c>
      <c r="E82" s="19">
        <f t="shared" si="13"/>
        <v>388.85</v>
      </c>
      <c r="F82" s="19">
        <f t="shared" si="15"/>
        <v>8.8999999999999773</v>
      </c>
      <c r="G82" s="19">
        <f t="shared" si="18"/>
        <v>9.9999999999965894E-2</v>
      </c>
    </row>
    <row r="83" spans="1:7" x14ac:dyDescent="0.25">
      <c r="A83" s="19">
        <f t="shared" si="16"/>
        <v>78</v>
      </c>
      <c r="B83" s="19">
        <f t="shared" si="12"/>
        <v>8</v>
      </c>
      <c r="C83" s="19">
        <f t="shared" si="17"/>
        <v>9</v>
      </c>
      <c r="D83" s="19">
        <f t="shared" si="14"/>
        <v>401.7</v>
      </c>
      <c r="E83" s="19">
        <f t="shared" si="13"/>
        <v>397.79999999999995</v>
      </c>
      <c r="F83" s="19">
        <f t="shared" si="15"/>
        <v>9</v>
      </c>
      <c r="G83" s="19">
        <f t="shared" si="18"/>
        <v>0.10000000000002274</v>
      </c>
    </row>
    <row r="84" spans="1:7" x14ac:dyDescent="0.25">
      <c r="A84" s="19">
        <f t="shared" si="16"/>
        <v>79</v>
      </c>
      <c r="B84" s="19">
        <f t="shared" si="12"/>
        <v>8.1</v>
      </c>
      <c r="C84" s="19">
        <f t="shared" si="17"/>
        <v>9.1</v>
      </c>
      <c r="D84" s="19">
        <f t="shared" si="14"/>
        <v>410.8</v>
      </c>
      <c r="E84" s="19">
        <f t="shared" si="13"/>
        <v>406.85</v>
      </c>
      <c r="F84" s="19">
        <f t="shared" si="15"/>
        <v>9.1000000000000227</v>
      </c>
      <c r="G84" s="19">
        <f t="shared" si="18"/>
        <v>0.10000000000002274</v>
      </c>
    </row>
    <row r="85" spans="1:7" x14ac:dyDescent="0.25">
      <c r="A85" s="19">
        <f t="shared" si="16"/>
        <v>80</v>
      </c>
      <c r="B85" s="19">
        <f t="shared" si="12"/>
        <v>8.1999999999999993</v>
      </c>
      <c r="C85" s="19">
        <f t="shared" si="17"/>
        <v>9.1999999999999993</v>
      </c>
      <c r="D85" s="19">
        <f t="shared" si="14"/>
        <v>420</v>
      </c>
      <c r="E85" s="19">
        <f t="shared" si="13"/>
        <v>416</v>
      </c>
      <c r="F85" s="19">
        <f t="shared" si="15"/>
        <v>9.1999999999999886</v>
      </c>
      <c r="G85" s="19">
        <f t="shared" si="18"/>
        <v>9.9999999999965894E-2</v>
      </c>
    </row>
    <row r="86" spans="1:7" x14ac:dyDescent="0.25">
      <c r="A86" s="19">
        <f t="shared" si="16"/>
        <v>81</v>
      </c>
      <c r="B86" s="19">
        <f t="shared" si="12"/>
        <v>8.2999999999999989</v>
      </c>
      <c r="C86" s="19">
        <f t="shared" si="17"/>
        <v>9.2999999999999989</v>
      </c>
      <c r="D86" s="19">
        <f t="shared" si="14"/>
        <v>429.3</v>
      </c>
      <c r="E86" s="19">
        <f t="shared" si="13"/>
        <v>425.25</v>
      </c>
      <c r="F86" s="19">
        <f t="shared" si="15"/>
        <v>9.3000000000000114</v>
      </c>
      <c r="G86" s="19">
        <f t="shared" si="18"/>
        <v>0.10000000000002274</v>
      </c>
    </row>
    <row r="87" spans="1:7" x14ac:dyDescent="0.25">
      <c r="A87" s="19">
        <f t="shared" si="16"/>
        <v>82</v>
      </c>
      <c r="B87" s="19">
        <f t="shared" si="12"/>
        <v>8.4</v>
      </c>
      <c r="C87" s="19">
        <f t="shared" si="17"/>
        <v>9.4</v>
      </c>
      <c r="D87" s="19">
        <f t="shared" si="14"/>
        <v>438.7</v>
      </c>
      <c r="E87" s="19">
        <f t="shared" si="13"/>
        <v>434.6</v>
      </c>
      <c r="F87" s="19">
        <f t="shared" si="15"/>
        <v>9.3999999999999773</v>
      </c>
      <c r="G87" s="19">
        <f t="shared" si="18"/>
        <v>9.9999999999965894E-2</v>
      </c>
    </row>
    <row r="88" spans="1:7" x14ac:dyDescent="0.25">
      <c r="A88" s="19">
        <f t="shared" si="16"/>
        <v>83</v>
      </c>
      <c r="B88" s="19">
        <f t="shared" si="12"/>
        <v>8.5</v>
      </c>
      <c r="C88" s="19">
        <f t="shared" si="17"/>
        <v>9.5</v>
      </c>
      <c r="D88" s="19">
        <f t="shared" si="14"/>
        <v>448.2</v>
      </c>
      <c r="E88" s="19">
        <f t="shared" si="13"/>
        <v>444.05000000000007</v>
      </c>
      <c r="F88" s="19">
        <f t="shared" si="15"/>
        <v>9.5</v>
      </c>
      <c r="G88" s="19">
        <f t="shared" si="18"/>
        <v>0.10000000000002274</v>
      </c>
    </row>
    <row r="89" spans="1:7" x14ac:dyDescent="0.25">
      <c r="A89" s="19">
        <f t="shared" si="16"/>
        <v>84</v>
      </c>
      <c r="B89" s="19">
        <f t="shared" si="12"/>
        <v>8.6</v>
      </c>
      <c r="C89" s="19">
        <f t="shared" si="17"/>
        <v>9.6</v>
      </c>
      <c r="D89" s="19">
        <f t="shared" si="14"/>
        <v>457.8</v>
      </c>
      <c r="E89" s="19">
        <f t="shared" si="13"/>
        <v>453.6</v>
      </c>
      <c r="F89" s="19">
        <f t="shared" si="15"/>
        <v>9.6000000000000227</v>
      </c>
      <c r="G89" s="19">
        <f t="shared" si="18"/>
        <v>0.10000000000002274</v>
      </c>
    </row>
    <row r="90" spans="1:7" x14ac:dyDescent="0.25">
      <c r="A90" s="19">
        <f t="shared" si="16"/>
        <v>85</v>
      </c>
      <c r="B90" s="19">
        <f t="shared" si="12"/>
        <v>8.6999999999999993</v>
      </c>
      <c r="C90" s="19">
        <f t="shared" si="17"/>
        <v>9.6999999999999993</v>
      </c>
      <c r="D90" s="19">
        <f t="shared" si="14"/>
        <v>467.5</v>
      </c>
      <c r="E90" s="19">
        <f t="shared" si="13"/>
        <v>463.25</v>
      </c>
      <c r="F90" s="19">
        <f t="shared" si="15"/>
        <v>9.6999999999999886</v>
      </c>
      <c r="G90" s="19">
        <f t="shared" si="18"/>
        <v>9.9999999999965894E-2</v>
      </c>
    </row>
    <row r="91" spans="1:7" x14ac:dyDescent="0.25">
      <c r="A91" s="19">
        <f t="shared" si="16"/>
        <v>86</v>
      </c>
      <c r="B91" s="19">
        <f t="shared" si="12"/>
        <v>8.7999999999999989</v>
      </c>
      <c r="C91" s="19">
        <f t="shared" si="17"/>
        <v>9.7999999999999989</v>
      </c>
      <c r="D91" s="19">
        <f t="shared" si="14"/>
        <v>477.3</v>
      </c>
      <c r="E91" s="19">
        <f t="shared" si="13"/>
        <v>473</v>
      </c>
      <c r="F91" s="19">
        <f t="shared" si="15"/>
        <v>9.8000000000000114</v>
      </c>
      <c r="G91" s="19">
        <f t="shared" si="18"/>
        <v>0.10000000000002274</v>
      </c>
    </row>
    <row r="92" spans="1:7" x14ac:dyDescent="0.25">
      <c r="A92" s="19">
        <f t="shared" si="16"/>
        <v>87</v>
      </c>
      <c r="B92" s="19">
        <f t="shared" si="12"/>
        <v>8.9</v>
      </c>
      <c r="C92" s="19">
        <f t="shared" si="17"/>
        <v>9.9</v>
      </c>
      <c r="D92" s="19">
        <f t="shared" si="14"/>
        <v>487.2</v>
      </c>
      <c r="E92" s="19">
        <f t="shared" si="13"/>
        <v>482.85</v>
      </c>
      <c r="F92" s="19">
        <f t="shared" si="15"/>
        <v>9.8999999999999773</v>
      </c>
      <c r="G92" s="19">
        <f t="shared" si="18"/>
        <v>9.9999999999965894E-2</v>
      </c>
    </row>
    <row r="93" spans="1:7" x14ac:dyDescent="0.25">
      <c r="A93" s="19">
        <f t="shared" si="16"/>
        <v>88</v>
      </c>
      <c r="B93" s="19">
        <f t="shared" si="12"/>
        <v>9</v>
      </c>
      <c r="C93" s="19">
        <f t="shared" si="17"/>
        <v>10</v>
      </c>
      <c r="D93" s="19">
        <f t="shared" si="14"/>
        <v>497.2</v>
      </c>
      <c r="E93" s="19">
        <f t="shared" si="13"/>
        <v>492.80000000000007</v>
      </c>
      <c r="F93" s="19">
        <f t="shared" si="15"/>
        <v>10</v>
      </c>
      <c r="G93" s="19">
        <f t="shared" si="18"/>
        <v>0.10000000000002274</v>
      </c>
    </row>
    <row r="94" spans="1:7" x14ac:dyDescent="0.25">
      <c r="A94" s="19">
        <f t="shared" si="16"/>
        <v>89</v>
      </c>
      <c r="B94" s="19">
        <f t="shared" si="12"/>
        <v>9.1</v>
      </c>
      <c r="C94" s="19">
        <f t="shared" si="17"/>
        <v>10.1</v>
      </c>
      <c r="D94" s="19">
        <f t="shared" si="14"/>
        <v>507.3</v>
      </c>
      <c r="E94" s="19">
        <f t="shared" si="13"/>
        <v>502.85</v>
      </c>
      <c r="F94" s="19">
        <f t="shared" si="15"/>
        <v>10.100000000000023</v>
      </c>
      <c r="G94" s="19">
        <f t="shared" si="18"/>
        <v>0.10000000000002274</v>
      </c>
    </row>
    <row r="95" spans="1:7" x14ac:dyDescent="0.25">
      <c r="A95" s="19">
        <f t="shared" si="16"/>
        <v>90</v>
      </c>
      <c r="B95" s="19">
        <f t="shared" si="12"/>
        <v>9.1999999999999993</v>
      </c>
      <c r="C95" s="19">
        <f t="shared" si="17"/>
        <v>10.199999999999999</v>
      </c>
      <c r="D95" s="19">
        <f t="shared" si="14"/>
        <v>517.5</v>
      </c>
      <c r="E95" s="19">
        <f t="shared" si="13"/>
        <v>513</v>
      </c>
      <c r="F95" s="19">
        <f t="shared" si="15"/>
        <v>10.199999999999989</v>
      </c>
      <c r="G95" s="19">
        <f t="shared" si="18"/>
        <v>9.9999999999965894E-2</v>
      </c>
    </row>
    <row r="96" spans="1:7" x14ac:dyDescent="0.25">
      <c r="A96" s="19">
        <f t="shared" si="16"/>
        <v>91</v>
      </c>
      <c r="B96" s="19">
        <f t="shared" si="12"/>
        <v>9.2999999999999989</v>
      </c>
      <c r="C96" s="19">
        <f t="shared" si="17"/>
        <v>10.299999999999999</v>
      </c>
      <c r="D96" s="19">
        <f t="shared" si="14"/>
        <v>527.79999999999995</v>
      </c>
      <c r="E96" s="19">
        <f t="shared" si="13"/>
        <v>523.25</v>
      </c>
      <c r="F96" s="19">
        <f t="shared" si="15"/>
        <v>10.299999999999955</v>
      </c>
      <c r="G96" s="19">
        <f t="shared" si="18"/>
        <v>9.9999999999965894E-2</v>
      </c>
    </row>
    <row r="97" spans="1:8" x14ac:dyDescent="0.25">
      <c r="A97" s="19">
        <f t="shared" si="16"/>
        <v>92</v>
      </c>
      <c r="B97" s="19">
        <f t="shared" si="12"/>
        <v>9.4</v>
      </c>
      <c r="C97" s="19">
        <f t="shared" si="17"/>
        <v>10.4</v>
      </c>
      <c r="D97" s="19">
        <f t="shared" si="14"/>
        <v>538.19999999999993</v>
      </c>
      <c r="E97" s="19">
        <f t="shared" si="13"/>
        <v>533.6</v>
      </c>
      <c r="F97" s="19">
        <f t="shared" si="15"/>
        <v>10.399999999999977</v>
      </c>
      <c r="G97" s="19">
        <f t="shared" si="18"/>
        <v>0.10000000000002274</v>
      </c>
    </row>
    <row r="98" spans="1:8" x14ac:dyDescent="0.25">
      <c r="A98" s="19">
        <f t="shared" si="16"/>
        <v>93</v>
      </c>
      <c r="B98" s="19">
        <f t="shared" si="12"/>
        <v>9.5</v>
      </c>
      <c r="C98" s="19">
        <f t="shared" si="17"/>
        <v>10.5</v>
      </c>
      <c r="D98" s="19">
        <f t="shared" si="14"/>
        <v>548.69999999999993</v>
      </c>
      <c r="E98" s="19">
        <f t="shared" si="13"/>
        <v>544.05000000000007</v>
      </c>
      <c r="F98" s="19">
        <f t="shared" si="15"/>
        <v>10.5</v>
      </c>
      <c r="G98" s="19">
        <f t="shared" si="18"/>
        <v>0.10000000000002274</v>
      </c>
    </row>
    <row r="99" spans="1:8" x14ac:dyDescent="0.25">
      <c r="A99" s="19">
        <f t="shared" si="16"/>
        <v>94</v>
      </c>
      <c r="B99" s="19">
        <f t="shared" si="12"/>
        <v>9.6</v>
      </c>
      <c r="C99" s="19">
        <f t="shared" si="17"/>
        <v>10.6</v>
      </c>
      <c r="D99" s="19">
        <f t="shared" si="14"/>
        <v>559.29999999999995</v>
      </c>
      <c r="E99" s="19">
        <f t="shared" si="13"/>
        <v>554.6</v>
      </c>
      <c r="F99" s="19">
        <f t="shared" si="15"/>
        <v>10.600000000000023</v>
      </c>
      <c r="G99" s="19">
        <f t="shared" si="18"/>
        <v>0.10000000000002274</v>
      </c>
    </row>
    <row r="100" spans="1:8" x14ac:dyDescent="0.25">
      <c r="A100" s="19">
        <f t="shared" si="16"/>
        <v>95</v>
      </c>
      <c r="B100" s="19">
        <f t="shared" si="12"/>
        <v>9.6999999999999993</v>
      </c>
      <c r="C100" s="19">
        <f t="shared" si="17"/>
        <v>10.7</v>
      </c>
      <c r="D100" s="19">
        <f t="shared" si="14"/>
        <v>570</v>
      </c>
      <c r="E100" s="19">
        <f t="shared" si="13"/>
        <v>565.25</v>
      </c>
      <c r="F100" s="19">
        <f t="shared" si="15"/>
        <v>10.700000000000045</v>
      </c>
      <c r="G100" s="19">
        <f t="shared" si="18"/>
        <v>0.10000000000002274</v>
      </c>
    </row>
    <row r="101" spans="1:8" x14ac:dyDescent="0.25">
      <c r="A101" s="19">
        <f t="shared" si="16"/>
        <v>96</v>
      </c>
      <c r="B101" s="19">
        <f t="shared" si="12"/>
        <v>9.8000000000000007</v>
      </c>
      <c r="C101" s="19">
        <f t="shared" si="17"/>
        <v>10.8</v>
      </c>
      <c r="D101" s="19">
        <f t="shared" si="14"/>
        <v>580.79999999999995</v>
      </c>
      <c r="E101" s="19">
        <f t="shared" si="13"/>
        <v>576</v>
      </c>
      <c r="F101" s="19">
        <f t="shared" si="15"/>
        <v>10.799999999999955</v>
      </c>
      <c r="G101" s="19">
        <f t="shared" si="18"/>
        <v>9.9999999999909051E-2</v>
      </c>
    </row>
    <row r="102" spans="1:8" x14ac:dyDescent="0.25">
      <c r="H102" s="16">
        <f>SUM(H6:H101)</f>
        <v>0</v>
      </c>
    </row>
    <row r="103" spans="1:8" x14ac:dyDescent="0.25">
      <c r="H103" s="16">
        <f>H102-1</f>
        <v>-1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1F459-316D-412B-98F8-527418E8C421}">
  <dimension ref="A1:G10000"/>
  <sheetViews>
    <sheetView workbookViewId="0"/>
  </sheetViews>
  <sheetFormatPr defaultRowHeight="15" x14ac:dyDescent="0.25"/>
  <cols>
    <col min="1" max="1" width="9.140625" style="17"/>
    <col min="5" max="5" width="9.140625" style="16"/>
    <col min="7" max="7" width="9.140625" style="45"/>
  </cols>
  <sheetData>
    <row r="1" spans="1:7" x14ac:dyDescent="0.25">
      <c r="A1" s="17">
        <v>3000</v>
      </c>
      <c r="B1" s="15">
        <v>1.0829044000000001</v>
      </c>
      <c r="C1">
        <f>LOG10(B1)</f>
        <v>3.4590118319625177E-2</v>
      </c>
      <c r="E1" s="16">
        <v>3000</v>
      </c>
      <c r="F1" s="15">
        <v>1.0829044000000001</v>
      </c>
      <c r="G1" s="45">
        <f t="shared" ref="G1:G64" si="0">LOG10(F1)</f>
        <v>3.4590118319625177E-2</v>
      </c>
    </row>
    <row r="2" spans="1:7" x14ac:dyDescent="0.25">
      <c r="A2" s="17">
        <v>2987.9517999999998</v>
      </c>
      <c r="B2" s="15">
        <v>1.0827213</v>
      </c>
      <c r="C2" s="45">
        <f t="shared" ref="C2:C65" si="1">LOG10(B2)</f>
        <v>3.4516680587679156E-2</v>
      </c>
      <c r="E2" s="16">
        <v>2987.9517999999998</v>
      </c>
      <c r="F2" s="15">
        <v>1.0828009000000001</v>
      </c>
      <c r="G2" s="45">
        <f t="shared" si="0"/>
        <v>3.4548608074522834E-2</v>
      </c>
    </row>
    <row r="3" spans="1:7" x14ac:dyDescent="0.25">
      <c r="A3" s="17">
        <v>2975.9036000000001</v>
      </c>
      <c r="B3" s="15">
        <v>1.082695</v>
      </c>
      <c r="C3" s="45">
        <f t="shared" si="1"/>
        <v>3.4506131165958603E-2</v>
      </c>
      <c r="E3" s="16">
        <v>2975.9036000000001</v>
      </c>
      <c r="F3" s="15">
        <v>1.082786</v>
      </c>
      <c r="G3" s="45">
        <f t="shared" si="0"/>
        <v>3.4542631876772027E-2</v>
      </c>
    </row>
    <row r="4" spans="1:7" x14ac:dyDescent="0.25">
      <c r="A4" s="17">
        <v>2963.8553999999999</v>
      </c>
      <c r="B4" s="15">
        <v>1.0826646</v>
      </c>
      <c r="C4" s="45">
        <f t="shared" si="1"/>
        <v>3.4493936838281371E-2</v>
      </c>
      <c r="E4" s="16">
        <v>2963.8553999999999</v>
      </c>
      <c r="F4" s="15">
        <v>1.0827688</v>
      </c>
      <c r="G4" s="45">
        <f t="shared" si="0"/>
        <v>3.453573307643789E-2</v>
      </c>
    </row>
    <row r="5" spans="1:7" x14ac:dyDescent="0.25">
      <c r="A5" s="17">
        <v>2951.8072000000002</v>
      </c>
      <c r="B5" s="15">
        <v>1.0826296</v>
      </c>
      <c r="C5" s="45">
        <f t="shared" si="1"/>
        <v>3.4479896892238064E-2</v>
      </c>
      <c r="E5" s="16">
        <v>2951.8072000000002</v>
      </c>
      <c r="F5" s="15">
        <v>1.0827488999999999</v>
      </c>
      <c r="G5" s="45">
        <f t="shared" si="0"/>
        <v>3.4527751188143795E-2</v>
      </c>
    </row>
    <row r="6" spans="1:7" x14ac:dyDescent="0.25">
      <c r="A6" s="17">
        <v>2939.759</v>
      </c>
      <c r="B6" s="15">
        <v>1.0825891999999999</v>
      </c>
      <c r="C6" s="45">
        <f t="shared" si="1"/>
        <v>3.4463690218740725E-2</v>
      </c>
      <c r="E6" s="16">
        <v>2939.759</v>
      </c>
      <c r="F6" s="15">
        <v>1.0827259</v>
      </c>
      <c r="G6" s="45">
        <f t="shared" si="0"/>
        <v>3.4518525707353989E-2</v>
      </c>
    </row>
    <row r="7" spans="1:7" x14ac:dyDescent="0.25">
      <c r="A7" s="17">
        <v>2927.7107999999998</v>
      </c>
      <c r="B7" s="15">
        <v>1.0825425</v>
      </c>
      <c r="C7" s="45">
        <f t="shared" si="1"/>
        <v>3.4444955513311018E-2</v>
      </c>
      <c r="E7" s="16">
        <v>2927.7107999999998</v>
      </c>
      <c r="F7" s="15">
        <v>1.0826994000000001</v>
      </c>
      <c r="G7" s="45">
        <f t="shared" si="0"/>
        <v>3.4507896106073375E-2</v>
      </c>
    </row>
    <row r="8" spans="1:7" x14ac:dyDescent="0.25">
      <c r="A8" s="17">
        <v>2915.6626999999999</v>
      </c>
      <c r="B8" s="15">
        <v>1.0824886</v>
      </c>
      <c r="C8" s="45">
        <f t="shared" si="1"/>
        <v>3.4423331368900904E-2</v>
      </c>
      <c r="E8" s="16">
        <v>2915.6626999999999</v>
      </c>
      <c r="F8" s="15">
        <v>1.0826688</v>
      </c>
      <c r="G8" s="45">
        <f t="shared" si="0"/>
        <v>3.4495621601305849E-2</v>
      </c>
    </row>
    <row r="9" spans="1:7" x14ac:dyDescent="0.25">
      <c r="A9" s="17">
        <v>2903.6145000000001</v>
      </c>
      <c r="B9" s="15">
        <v>1.0824263000000001</v>
      </c>
      <c r="C9" s="45">
        <f t="shared" si="1"/>
        <v>3.4398335886417948E-2</v>
      </c>
      <c r="E9" s="16">
        <v>2903.6145000000001</v>
      </c>
      <c r="F9" s="15">
        <v>1.0826334</v>
      </c>
      <c r="G9" s="45">
        <f t="shared" si="0"/>
        <v>3.4481421251201599E-2</v>
      </c>
    </row>
    <row r="10" spans="1:7" x14ac:dyDescent="0.25">
      <c r="A10" s="17">
        <v>2891.5663</v>
      </c>
      <c r="B10" s="15">
        <v>1.0823543</v>
      </c>
      <c r="C10" s="45">
        <f t="shared" si="1"/>
        <v>3.436944685931876E-2</v>
      </c>
      <c r="E10" s="16">
        <v>2891.5663</v>
      </c>
      <c r="F10" s="15">
        <v>1.0825925999999999</v>
      </c>
      <c r="G10" s="45">
        <f t="shared" si="0"/>
        <v>3.4465054170015823E-2</v>
      </c>
    </row>
    <row r="11" spans="1:7" x14ac:dyDescent="0.25">
      <c r="A11" s="17">
        <v>2879.5180999999998</v>
      </c>
      <c r="B11" s="15">
        <v>1.082271</v>
      </c>
      <c r="C11" s="45">
        <f t="shared" si="1"/>
        <v>3.4336021461989809E-2</v>
      </c>
      <c r="E11" s="16">
        <v>2879.5180999999998</v>
      </c>
      <c r="F11" s="15">
        <v>1.0825456</v>
      </c>
      <c r="G11" s="45">
        <f t="shared" si="0"/>
        <v>3.4446199169764463E-2</v>
      </c>
    </row>
    <row r="12" spans="1:7" x14ac:dyDescent="0.25">
      <c r="A12" s="17">
        <v>2867.4699000000001</v>
      </c>
      <c r="B12" s="15">
        <v>1.0821746000000001</v>
      </c>
      <c r="C12" s="45">
        <f t="shared" si="1"/>
        <v>3.4297336278048839E-2</v>
      </c>
      <c r="E12" s="16">
        <v>2867.4699000000001</v>
      </c>
      <c r="F12" s="15">
        <v>1.0824914999999999</v>
      </c>
      <c r="G12" s="45">
        <f t="shared" si="0"/>
        <v>3.4424494847491292E-2</v>
      </c>
    </row>
    <row r="13" spans="1:7" x14ac:dyDescent="0.25">
      <c r="A13" s="17">
        <v>2855.4216999999999</v>
      </c>
      <c r="B13" s="15">
        <v>1.0820631999999999</v>
      </c>
      <c r="C13" s="45">
        <f t="shared" si="1"/>
        <v>3.4252627322936019E-2</v>
      </c>
      <c r="E13" s="16">
        <v>2855.4216999999999</v>
      </c>
      <c r="F13" s="15">
        <v>1.0824293</v>
      </c>
      <c r="G13" s="45">
        <f t="shared" si="0"/>
        <v>3.4399539554178231E-2</v>
      </c>
    </row>
    <row r="14" spans="1:7" x14ac:dyDescent="0.25">
      <c r="A14" s="17">
        <v>2843.3735000000001</v>
      </c>
      <c r="B14" s="15">
        <v>1.0819342999999999</v>
      </c>
      <c r="C14" s="45">
        <f t="shared" si="1"/>
        <v>3.4200889223623486E-2</v>
      </c>
      <c r="E14" s="16">
        <v>2843.3735000000001</v>
      </c>
      <c r="F14" s="15">
        <v>1.0823579999999999</v>
      </c>
      <c r="G14" s="45">
        <f t="shared" si="0"/>
        <v>3.437093148116252E-2</v>
      </c>
    </row>
    <row r="15" spans="1:7" x14ac:dyDescent="0.25">
      <c r="A15" s="17">
        <v>2831.3253</v>
      </c>
      <c r="B15" s="15">
        <v>1.0817852999999999</v>
      </c>
      <c r="C15" s="45">
        <f t="shared" si="1"/>
        <v>3.4141075671159621E-2</v>
      </c>
      <c r="E15" s="16">
        <v>2831.3253</v>
      </c>
      <c r="F15" s="15">
        <v>1.0822765999999999</v>
      </c>
      <c r="G15" s="45">
        <f t="shared" si="0"/>
        <v>3.433826862818623E-2</v>
      </c>
    </row>
    <row r="16" spans="1:7" x14ac:dyDescent="0.25">
      <c r="A16" s="17">
        <v>2819.2770999999998</v>
      </c>
      <c r="B16" s="15">
        <v>1.0816131</v>
      </c>
      <c r="C16" s="45">
        <f t="shared" si="1"/>
        <v>3.4071938604272947E-2</v>
      </c>
      <c r="E16" s="16">
        <v>2819.2770999999998</v>
      </c>
      <c r="F16" s="15">
        <v>1.0821841000000001</v>
      </c>
      <c r="G16" s="45">
        <f t="shared" si="0"/>
        <v>3.4301148767705111E-2</v>
      </c>
    </row>
    <row r="17" spans="1:7" x14ac:dyDescent="0.25">
      <c r="A17" s="17">
        <v>2807.2289000000001</v>
      </c>
      <c r="B17" s="15">
        <v>1.0814142</v>
      </c>
      <c r="C17" s="45">
        <f t="shared" si="1"/>
        <v>3.3992067977865199E-2</v>
      </c>
      <c r="E17" s="16">
        <v>2807.2289000000001</v>
      </c>
      <c r="F17" s="15">
        <v>1.0820795000000001</v>
      </c>
      <c r="G17" s="45">
        <f t="shared" si="0"/>
        <v>3.4259169405447709E-2</v>
      </c>
    </row>
    <row r="18" spans="1:7" x14ac:dyDescent="0.25">
      <c r="A18" s="17">
        <v>2795.1806999999999</v>
      </c>
      <c r="B18" s="15">
        <v>1.0811847000000001</v>
      </c>
      <c r="C18" s="45">
        <f t="shared" si="1"/>
        <v>3.3899891306573171E-2</v>
      </c>
      <c r="E18" s="16">
        <v>2795.1806999999999</v>
      </c>
      <c r="F18" s="15">
        <v>1.0819618</v>
      </c>
      <c r="G18" s="45">
        <f t="shared" si="0"/>
        <v>3.4211927737212947E-2</v>
      </c>
    </row>
    <row r="19" spans="1:7" x14ac:dyDescent="0.25">
      <c r="A19" s="17">
        <v>2783.1325000000002</v>
      </c>
      <c r="B19" s="15">
        <v>1.0809200999999999</v>
      </c>
      <c r="C19" s="45">
        <f t="shared" si="1"/>
        <v>3.3793592740023234E-2</v>
      </c>
      <c r="E19" s="16">
        <v>2783.1325000000002</v>
      </c>
      <c r="F19" s="15">
        <v>1.0818302</v>
      </c>
      <c r="G19" s="45">
        <f t="shared" si="0"/>
        <v>3.4159100890742547E-2</v>
      </c>
    </row>
    <row r="20" spans="1:7" x14ac:dyDescent="0.25">
      <c r="A20" s="17">
        <v>2771.0843</v>
      </c>
      <c r="B20" s="15">
        <v>1.0806153999999999</v>
      </c>
      <c r="C20" s="45">
        <f t="shared" si="1"/>
        <v>3.3671152438198487E-2</v>
      </c>
      <c r="E20" s="16">
        <v>2771.0843</v>
      </c>
      <c r="F20" s="15">
        <v>1.0816840999999999</v>
      </c>
      <c r="G20" s="45">
        <f t="shared" si="0"/>
        <v>3.4100445929319337E-2</v>
      </c>
    </row>
    <row r="21" spans="1:7" x14ac:dyDescent="0.25">
      <c r="A21" s="17">
        <v>2759.0360999999998</v>
      </c>
      <c r="B21" s="15">
        <v>1.0802651999999999</v>
      </c>
      <c r="C21" s="45">
        <f t="shared" si="1"/>
        <v>3.3530385818428723E-2</v>
      </c>
      <c r="E21" s="16">
        <v>2759.0360999999998</v>
      </c>
      <c r="F21" s="15">
        <v>1.0815231999999999</v>
      </c>
      <c r="G21" s="45">
        <f t="shared" si="0"/>
        <v>3.4035840024682178E-2</v>
      </c>
    </row>
    <row r="22" spans="1:7" x14ac:dyDescent="0.25">
      <c r="A22" s="17">
        <v>2746.9879999999998</v>
      </c>
      <c r="B22" s="15">
        <v>1.0798634</v>
      </c>
      <c r="C22" s="45">
        <f t="shared" si="1"/>
        <v>3.3368821803359275E-2</v>
      </c>
      <c r="E22" s="16">
        <v>2746.9879999999998</v>
      </c>
      <c r="F22" s="15">
        <v>1.0813470999999999</v>
      </c>
      <c r="G22" s="45">
        <f t="shared" si="0"/>
        <v>3.396511987245468E-2</v>
      </c>
    </row>
    <row r="23" spans="1:7" x14ac:dyDescent="0.25">
      <c r="A23" s="17">
        <v>2734.9398000000001</v>
      </c>
      <c r="B23" s="15">
        <v>1.0794035</v>
      </c>
      <c r="C23" s="45">
        <f t="shared" si="1"/>
        <v>3.318382194507629E-2</v>
      </c>
      <c r="E23" s="16">
        <v>2734.9398000000001</v>
      </c>
      <c r="F23" s="15">
        <v>1.0811557999999999</v>
      </c>
      <c r="G23" s="45">
        <f t="shared" si="0"/>
        <v>3.3888282486844869E-2</v>
      </c>
    </row>
    <row r="24" spans="1:7" x14ac:dyDescent="0.25">
      <c r="A24" s="17">
        <v>2722.8915999999999</v>
      </c>
      <c r="B24" s="15">
        <v>1.0788783</v>
      </c>
      <c r="C24" s="45">
        <f t="shared" si="1"/>
        <v>3.2972458010674631E-2</v>
      </c>
      <c r="E24" s="16">
        <v>2722.8915999999999</v>
      </c>
      <c r="F24" s="15">
        <v>1.0809496000000001</v>
      </c>
      <c r="G24" s="45">
        <f t="shared" si="0"/>
        <v>3.3805445153900902E-2</v>
      </c>
    </row>
    <row r="25" spans="1:7" x14ac:dyDescent="0.25">
      <c r="A25" s="17">
        <v>2710.8434000000002</v>
      </c>
      <c r="B25" s="15">
        <v>1.0782803000000001</v>
      </c>
      <c r="C25" s="45">
        <f t="shared" si="1"/>
        <v>3.2731670794722258E-2</v>
      </c>
      <c r="E25" s="16">
        <v>2710.8434000000002</v>
      </c>
      <c r="F25" s="15">
        <v>1.0807287999999999</v>
      </c>
      <c r="G25" s="45">
        <f t="shared" si="0"/>
        <v>3.3716724998360856E-2</v>
      </c>
    </row>
    <row r="26" spans="1:7" x14ac:dyDescent="0.25">
      <c r="A26" s="17">
        <v>2698.7952</v>
      </c>
      <c r="B26" s="15">
        <v>1.0776015999999999</v>
      </c>
      <c r="C26" s="45">
        <f t="shared" si="1"/>
        <v>3.2458227546643334E-2</v>
      </c>
      <c r="E26" s="16">
        <v>2698.7952</v>
      </c>
      <c r="F26" s="15">
        <v>1.0804940000000001</v>
      </c>
      <c r="G26" s="45">
        <f t="shared" si="0"/>
        <v>3.3622359581938238E-2</v>
      </c>
    </row>
    <row r="27" spans="1:7" x14ac:dyDescent="0.25">
      <c r="A27" s="17">
        <v>2686.7469999999998</v>
      </c>
      <c r="B27" s="15">
        <v>1.0768340000000001</v>
      </c>
      <c r="C27" s="45">
        <f t="shared" si="1"/>
        <v>3.2148759527812987E-2</v>
      </c>
      <c r="E27" s="16">
        <v>2686.7469999999998</v>
      </c>
      <c r="F27" s="15">
        <v>1.0802457999999999</v>
      </c>
      <c r="G27" s="45">
        <f t="shared" si="0"/>
        <v>3.3522586447863933E-2</v>
      </c>
    </row>
    <row r="28" spans="1:7" x14ac:dyDescent="0.25">
      <c r="A28" s="17">
        <v>2674.6988000000001</v>
      </c>
      <c r="B28" s="15">
        <v>1.0759692999999999</v>
      </c>
      <c r="C28" s="45">
        <f t="shared" si="1"/>
        <v>3.1799880037803721E-2</v>
      </c>
      <c r="E28" s="16">
        <v>2674.6988000000001</v>
      </c>
      <c r="F28" s="15">
        <v>1.0799851</v>
      </c>
      <c r="G28" s="45">
        <f t="shared" si="0"/>
        <v>3.3417763790265828E-2</v>
      </c>
    </row>
    <row r="29" spans="1:7" x14ac:dyDescent="0.25">
      <c r="A29" s="17">
        <v>2662.6505999999999</v>
      </c>
      <c r="B29" s="15">
        <v>1.0749993</v>
      </c>
      <c r="C29" s="45">
        <f t="shared" si="1"/>
        <v>3.1408181455125236E-2</v>
      </c>
      <c r="E29" s="16">
        <v>2662.6505999999999</v>
      </c>
      <c r="F29" s="15">
        <v>1.0797125999999999</v>
      </c>
      <c r="G29" s="45">
        <f t="shared" si="0"/>
        <v>3.3308169519783701E-2</v>
      </c>
    </row>
    <row r="30" spans="1:7" x14ac:dyDescent="0.25">
      <c r="A30" s="17">
        <v>2650.6024000000002</v>
      </c>
      <c r="B30" s="15">
        <v>1.0739163</v>
      </c>
      <c r="C30" s="45">
        <f t="shared" si="1"/>
        <v>3.0970434189739871E-2</v>
      </c>
      <c r="E30" s="16">
        <v>2650.6024000000002</v>
      </c>
      <c r="F30" s="15">
        <v>1.0794291</v>
      </c>
      <c r="G30" s="45">
        <f t="shared" si="0"/>
        <v>3.3194121899539901E-2</v>
      </c>
    </row>
    <row r="31" spans="1:7" x14ac:dyDescent="0.25">
      <c r="A31" s="17">
        <v>2638.5542</v>
      </c>
      <c r="B31" s="15">
        <v>1.072713</v>
      </c>
      <c r="C31" s="45">
        <f t="shared" si="1"/>
        <v>3.0483543784573124E-2</v>
      </c>
      <c r="E31" s="16">
        <v>2638.5542</v>
      </c>
      <c r="F31" s="15">
        <v>1.0791356000000001</v>
      </c>
      <c r="G31" s="45">
        <f t="shared" si="0"/>
        <v>3.3076019874408016E-2</v>
      </c>
    </row>
    <row r="32" spans="1:7" x14ac:dyDescent="0.25">
      <c r="A32" s="17">
        <v>2626.5059999999999</v>
      </c>
      <c r="B32" s="15">
        <v>1.071383</v>
      </c>
      <c r="C32" s="45">
        <f t="shared" si="1"/>
        <v>2.9944750992630751E-2</v>
      </c>
      <c r="E32" s="16">
        <v>2626.5059999999999</v>
      </c>
      <c r="F32" s="15">
        <v>1.0788329000000001</v>
      </c>
      <c r="G32" s="45">
        <f t="shared" si="0"/>
        <v>3.2954182191852116E-2</v>
      </c>
    </row>
    <row r="33" spans="1:7" x14ac:dyDescent="0.25">
      <c r="A33" s="17">
        <v>2614.4578000000001</v>
      </c>
      <c r="B33" s="15">
        <v>1.0699213000000001</v>
      </c>
      <c r="C33" s="45">
        <f t="shared" si="1"/>
        <v>2.9351833542459006E-2</v>
      </c>
      <c r="E33" s="16">
        <v>2614.4578000000001</v>
      </c>
      <c r="F33" s="15">
        <v>1.0785217</v>
      </c>
      <c r="G33" s="45">
        <f t="shared" si="0"/>
        <v>3.2828887589188512E-2</v>
      </c>
    </row>
    <row r="34" spans="1:7" x14ac:dyDescent="0.25">
      <c r="A34" s="17">
        <v>2602.4096</v>
      </c>
      <c r="B34" s="15">
        <v>1.0683240000000001</v>
      </c>
      <c r="C34" s="45">
        <f t="shared" si="1"/>
        <v>2.8702984970240372E-2</v>
      </c>
      <c r="E34" s="16">
        <v>2602.4096</v>
      </c>
      <c r="F34" s="15">
        <v>1.0782027999999999</v>
      </c>
      <c r="G34" s="45">
        <f t="shared" si="0"/>
        <v>3.2700455319523709E-2</v>
      </c>
    </row>
    <row r="35" spans="1:7" x14ac:dyDescent="0.25">
      <c r="A35" s="17">
        <v>2590.3613999999998</v>
      </c>
      <c r="B35" s="15">
        <v>1.0665891000000001</v>
      </c>
      <c r="C35" s="45">
        <f t="shared" si="1"/>
        <v>2.7997141100053777E-2</v>
      </c>
      <c r="E35" s="16">
        <v>2590.3613999999998</v>
      </c>
      <c r="F35" s="15">
        <v>1.077877</v>
      </c>
      <c r="G35" s="45">
        <f t="shared" si="0"/>
        <v>3.2569204942537684E-2</v>
      </c>
    </row>
    <row r="36" spans="1:7" x14ac:dyDescent="0.25">
      <c r="A36" s="17">
        <v>2578.3132999999998</v>
      </c>
      <c r="B36" s="15">
        <v>1.0647167</v>
      </c>
      <c r="C36" s="45">
        <f t="shared" si="1"/>
        <v>2.7234065996407406E-2</v>
      </c>
      <c r="E36" s="16">
        <v>2578.3132999999998</v>
      </c>
      <c r="F36" s="15">
        <v>1.0775447</v>
      </c>
      <c r="G36" s="45">
        <f t="shared" si="0"/>
        <v>3.2435295130383707E-2</v>
      </c>
    </row>
    <row r="37" spans="1:7" x14ac:dyDescent="0.25">
      <c r="A37" s="17">
        <v>2566.2651000000001</v>
      </c>
      <c r="B37" s="15">
        <v>1.0627089999999999</v>
      </c>
      <c r="C37" s="45">
        <f t="shared" si="1"/>
        <v>2.6414358600592044E-2</v>
      </c>
      <c r="E37" s="16">
        <v>2566.2651000000001</v>
      </c>
      <c r="F37" s="15">
        <v>1.0772067000000001</v>
      </c>
      <c r="G37" s="45">
        <f t="shared" si="0"/>
        <v>3.2299045968566469E-2</v>
      </c>
    </row>
    <row r="38" spans="1:7" x14ac:dyDescent="0.25">
      <c r="A38" s="17">
        <v>2554.2168999999999</v>
      </c>
      <c r="B38" s="15">
        <v>1.0605703</v>
      </c>
      <c r="C38" s="45">
        <f t="shared" si="1"/>
        <v>2.5539461056431283E-2</v>
      </c>
      <c r="E38" s="16">
        <v>2554.2168999999999</v>
      </c>
      <c r="F38" s="15">
        <v>1.0768633999999999</v>
      </c>
      <c r="G38" s="45">
        <f t="shared" si="0"/>
        <v>3.2160616586068877E-2</v>
      </c>
    </row>
    <row r="39" spans="1:7" x14ac:dyDescent="0.25">
      <c r="A39" s="17">
        <v>2542.1687000000002</v>
      </c>
      <c r="B39" s="15">
        <v>1.0583076</v>
      </c>
      <c r="C39" s="45">
        <f t="shared" si="1"/>
        <v>2.4611914926719484E-2</v>
      </c>
      <c r="E39" s="16">
        <v>2542.1687000000002</v>
      </c>
      <c r="F39" s="15">
        <v>1.0765152</v>
      </c>
      <c r="G39" s="45">
        <f t="shared" si="0"/>
        <v>3.2020166281680557E-2</v>
      </c>
    </row>
    <row r="40" spans="1:7" x14ac:dyDescent="0.25">
      <c r="A40" s="17">
        <v>2530.1205</v>
      </c>
      <c r="B40" s="15">
        <v>1.0559303</v>
      </c>
      <c r="C40" s="45">
        <f t="shared" si="1"/>
        <v>2.3635252170889392E-2</v>
      </c>
      <c r="E40" s="16">
        <v>2530.1205</v>
      </c>
      <c r="F40" s="15">
        <v>1.0761624000000001</v>
      </c>
      <c r="G40" s="45">
        <f t="shared" si="0"/>
        <v>3.1877814176017136E-2</v>
      </c>
    </row>
    <row r="41" spans="1:7" x14ac:dyDescent="0.25">
      <c r="A41" s="17">
        <v>2518.0722999999998</v>
      </c>
      <c r="B41" s="15">
        <v>1.0534498000000001</v>
      </c>
      <c r="C41" s="45">
        <f t="shared" si="1"/>
        <v>2.261384502011499E-2</v>
      </c>
      <c r="E41" s="16">
        <v>2518.0722999999998</v>
      </c>
      <c r="F41" s="15">
        <v>1.0758053999999999</v>
      </c>
      <c r="G41" s="45">
        <f t="shared" si="0"/>
        <v>3.1733719890348136E-2</v>
      </c>
    </row>
    <row r="42" spans="1:7" x14ac:dyDescent="0.25">
      <c r="A42" s="17">
        <v>2506.0241000000001</v>
      </c>
      <c r="B42" s="15">
        <v>1.05088</v>
      </c>
      <c r="C42" s="45">
        <f t="shared" si="1"/>
        <v>2.1553126767309153E-2</v>
      </c>
      <c r="E42" s="16">
        <v>2506.0241000000001</v>
      </c>
      <c r="F42" s="15">
        <v>1.0754444000000001</v>
      </c>
      <c r="G42" s="45">
        <f t="shared" si="0"/>
        <v>3.1587962471159858E-2</v>
      </c>
    </row>
    <row r="43" spans="1:7" x14ac:dyDescent="0.25">
      <c r="A43" s="17">
        <v>2493.9758999999999</v>
      </c>
      <c r="B43" s="15">
        <v>1.0482365</v>
      </c>
      <c r="C43" s="45">
        <f t="shared" si="1"/>
        <v>2.045927793154716E-2</v>
      </c>
      <c r="E43" s="16">
        <v>2493.9758999999999</v>
      </c>
      <c r="F43" s="15">
        <v>1.0750796</v>
      </c>
      <c r="G43" s="45">
        <f t="shared" si="0"/>
        <v>3.144062105249356E-2</v>
      </c>
    </row>
    <row r="44" spans="1:7" x14ac:dyDescent="0.25">
      <c r="A44" s="17">
        <v>2481.9277000000002</v>
      </c>
      <c r="B44" s="15">
        <v>1.0455365000000001</v>
      </c>
      <c r="C44" s="45">
        <f t="shared" si="1"/>
        <v>1.9339198771951387E-2</v>
      </c>
      <c r="E44" s="16">
        <v>2481.9277000000002</v>
      </c>
      <c r="F44" s="15">
        <v>1.074711</v>
      </c>
      <c r="G44" s="45">
        <f t="shared" si="0"/>
        <v>3.1291694038301336E-2</v>
      </c>
    </row>
    <row r="45" spans="1:7" x14ac:dyDescent="0.25">
      <c r="A45" s="17">
        <v>2469.8795</v>
      </c>
      <c r="B45" s="15">
        <v>1.0427983999999999</v>
      </c>
      <c r="C45" s="45">
        <f t="shared" si="1"/>
        <v>1.8200356144446102E-2</v>
      </c>
      <c r="E45" s="16">
        <v>2469.8795</v>
      </c>
      <c r="F45" s="15">
        <v>1.0743388</v>
      </c>
      <c r="G45" s="45">
        <f t="shared" si="0"/>
        <v>3.1141260662787586E-2</v>
      </c>
    </row>
    <row r="46" spans="1:7" x14ac:dyDescent="0.25">
      <c r="A46" s="17">
        <v>2457.8312999999998</v>
      </c>
      <c r="B46" s="15">
        <v>1.0400414</v>
      </c>
      <c r="C46" s="45">
        <f t="shared" si="1"/>
        <v>1.7050627215793132E-2</v>
      </c>
      <c r="E46" s="16">
        <v>2457.8312999999998</v>
      </c>
      <c r="F46" s="15">
        <v>1.0739628999999999</v>
      </c>
      <c r="G46" s="45">
        <f t="shared" si="0"/>
        <v>3.0989278939351321E-2</v>
      </c>
    </row>
    <row r="47" spans="1:7" x14ac:dyDescent="0.25">
      <c r="A47" s="17">
        <v>2445.7831000000001</v>
      </c>
      <c r="B47" s="15">
        <v>1.0372853</v>
      </c>
      <c r="C47" s="45">
        <f t="shared" si="1"/>
        <v>1.5898223288284098E-2</v>
      </c>
      <c r="E47" s="16">
        <v>2445.7831000000001</v>
      </c>
      <c r="F47" s="15">
        <v>1.0735832999999999</v>
      </c>
      <c r="G47" s="45">
        <f t="shared" si="0"/>
        <v>3.0835747260221497E-2</v>
      </c>
    </row>
    <row r="48" spans="1:7" x14ac:dyDescent="0.25">
      <c r="A48" s="17">
        <v>2433.7348999999999</v>
      </c>
      <c r="B48" s="15">
        <v>1.0345495</v>
      </c>
      <c r="C48" s="45">
        <f t="shared" si="1"/>
        <v>1.4751275149215617E-2</v>
      </c>
      <c r="E48" s="16">
        <v>2433.7348999999999</v>
      </c>
      <c r="F48" s="15">
        <v>1.0731999999999999</v>
      </c>
      <c r="G48" s="45">
        <f t="shared" si="0"/>
        <v>3.0680663999901367E-2</v>
      </c>
    </row>
    <row r="49" spans="1:7" x14ac:dyDescent="0.25">
      <c r="A49" s="17">
        <v>2421.6867000000002</v>
      </c>
      <c r="B49" s="15">
        <v>1.0318533000000001</v>
      </c>
      <c r="C49" s="45">
        <f t="shared" si="1"/>
        <v>1.3617957437296472E-2</v>
      </c>
      <c r="E49" s="16">
        <v>2421.6867000000002</v>
      </c>
      <c r="F49" s="15">
        <v>1.0728129</v>
      </c>
      <c r="G49" s="45">
        <f t="shared" si="0"/>
        <v>3.0523987033264234E-2</v>
      </c>
    </row>
    <row r="50" spans="1:7" x14ac:dyDescent="0.25">
      <c r="A50" s="17">
        <v>2409.6386000000002</v>
      </c>
      <c r="B50" s="15">
        <v>1.0292148000000001</v>
      </c>
      <c r="C50" s="45">
        <f t="shared" si="1"/>
        <v>1.25060226919411E-2</v>
      </c>
      <c r="E50" s="16">
        <v>2409.6386000000002</v>
      </c>
      <c r="F50" s="15">
        <v>1.0724218000000001</v>
      </c>
      <c r="G50" s="45">
        <f t="shared" si="0"/>
        <v>3.0365633661715546E-2</v>
      </c>
    </row>
    <row r="51" spans="1:7" x14ac:dyDescent="0.25">
      <c r="A51" s="17">
        <v>2397.5904</v>
      </c>
      <c r="B51" s="15">
        <v>1.0266512000000001</v>
      </c>
      <c r="C51" s="45">
        <f t="shared" si="1"/>
        <v>1.142291911333038E-2</v>
      </c>
      <c r="E51" s="16">
        <v>2397.5904</v>
      </c>
      <c r="F51" s="15">
        <v>1.0720266000000001</v>
      </c>
      <c r="G51" s="45">
        <f t="shared" si="0"/>
        <v>3.0205561560012164E-2</v>
      </c>
    </row>
    <row r="52" spans="1:7" x14ac:dyDescent="0.25">
      <c r="A52" s="17">
        <v>2385.5421999999999</v>
      </c>
      <c r="B52" s="15">
        <v>1.0241781000000001</v>
      </c>
      <c r="C52" s="45">
        <f t="shared" si="1"/>
        <v>1.0375485078888571E-2</v>
      </c>
      <c r="E52" s="16">
        <v>2385.5421999999999</v>
      </c>
      <c r="F52" s="15">
        <v>1.0716270000000001</v>
      </c>
      <c r="G52" s="45">
        <f t="shared" si="0"/>
        <v>3.0043647268469285E-2</v>
      </c>
    </row>
    <row r="53" spans="1:7" x14ac:dyDescent="0.25">
      <c r="A53" s="17">
        <v>2373.4940000000001</v>
      </c>
      <c r="B53" s="15">
        <v>1.0218092000000001</v>
      </c>
      <c r="C53" s="45">
        <f t="shared" si="1"/>
        <v>9.3698085940881089E-3</v>
      </c>
      <c r="E53" s="16">
        <v>2373.4940000000001</v>
      </c>
      <c r="F53" s="15">
        <v>1.071223</v>
      </c>
      <c r="G53" s="45">
        <f t="shared" si="0"/>
        <v>2.9879888748024271E-2</v>
      </c>
    </row>
    <row r="54" spans="1:7" x14ac:dyDescent="0.25">
      <c r="A54" s="17">
        <v>2361.4458</v>
      </c>
      <c r="B54" s="15">
        <v>1.0195565</v>
      </c>
      <c r="C54" s="45">
        <f t="shared" si="1"/>
        <v>8.4112977535143636E-3</v>
      </c>
      <c r="E54" s="16">
        <v>2361.4458</v>
      </c>
      <c r="F54" s="15">
        <v>1.0708141</v>
      </c>
      <c r="G54" s="45">
        <f t="shared" si="0"/>
        <v>2.9714081147579525E-2</v>
      </c>
    </row>
    <row r="55" spans="1:7" x14ac:dyDescent="0.25">
      <c r="A55" s="17">
        <v>2349.3975999999998</v>
      </c>
      <c r="B55" s="15">
        <v>1.0174296</v>
      </c>
      <c r="C55" s="45">
        <f t="shared" si="1"/>
        <v>7.5043683746223999E-3</v>
      </c>
      <c r="E55" s="16">
        <v>2349.3975999999998</v>
      </c>
      <c r="F55" s="15">
        <v>1.0704001999999999</v>
      </c>
      <c r="G55" s="45">
        <f t="shared" si="0"/>
        <v>2.954618156994392E-2</v>
      </c>
    </row>
    <row r="56" spans="1:7" x14ac:dyDescent="0.25">
      <c r="A56" s="17">
        <v>2337.3494000000001</v>
      </c>
      <c r="B56" s="15">
        <v>1.0154361999999999</v>
      </c>
      <c r="C56" s="45">
        <f t="shared" si="1"/>
        <v>6.6526418143108938E-3</v>
      </c>
      <c r="E56" s="16">
        <v>2337.3494000000001</v>
      </c>
      <c r="F56" s="15">
        <v>1.0699810000000001</v>
      </c>
      <c r="G56" s="45">
        <f t="shared" si="0"/>
        <v>2.9376065845565881E-2</v>
      </c>
    </row>
    <row r="57" spans="1:7" x14ac:dyDescent="0.25">
      <c r="A57" s="17">
        <v>2325.3011999999999</v>
      </c>
      <c r="B57" s="15">
        <v>1.0135816</v>
      </c>
      <c r="C57" s="45">
        <f t="shared" si="1"/>
        <v>5.8587180050229896E-3</v>
      </c>
      <c r="E57" s="16">
        <v>2325.3011999999999</v>
      </c>
      <c r="F57" s="15">
        <v>1.0695562000000001</v>
      </c>
      <c r="G57" s="45">
        <f t="shared" si="0"/>
        <v>2.9203609579475483E-2</v>
      </c>
    </row>
    <row r="58" spans="1:7" x14ac:dyDescent="0.25">
      <c r="A58" s="17">
        <v>2313.2530000000002</v>
      </c>
      <c r="B58" s="15">
        <v>1.0118691</v>
      </c>
      <c r="C58" s="45">
        <f t="shared" si="1"/>
        <v>5.1243338232911202E-3</v>
      </c>
      <c r="E58" s="16">
        <v>2313.2530000000002</v>
      </c>
      <c r="F58" s="15">
        <v>1.0691256</v>
      </c>
      <c r="G58" s="45">
        <f t="shared" si="0"/>
        <v>2.9028728766037511E-2</v>
      </c>
    </row>
    <row r="59" spans="1:7" x14ac:dyDescent="0.25">
      <c r="A59" s="17">
        <v>2301.2048</v>
      </c>
      <c r="B59" s="15">
        <v>1.0102998999999999</v>
      </c>
      <c r="C59" s="45">
        <f t="shared" si="1"/>
        <v>4.4503100025368742E-3</v>
      </c>
      <c r="E59" s="16">
        <v>2301.2048</v>
      </c>
      <c r="F59" s="15">
        <v>1.0686886</v>
      </c>
      <c r="G59" s="45">
        <f t="shared" si="0"/>
        <v>2.885117667452726E-2</v>
      </c>
    </row>
    <row r="60" spans="1:7" x14ac:dyDescent="0.25">
      <c r="A60" s="17">
        <v>2289.1565999999998</v>
      </c>
      <c r="B60" s="15">
        <v>1.0088731</v>
      </c>
      <c r="C60" s="45">
        <f t="shared" si="1"/>
        <v>3.8365424155947106E-3</v>
      </c>
      <c r="E60" s="16">
        <v>2289.1565999999998</v>
      </c>
      <c r="F60" s="15">
        <v>1.0682450999999999</v>
      </c>
      <c r="G60" s="45">
        <f t="shared" si="0"/>
        <v>2.8670909401387681E-2</v>
      </c>
    </row>
    <row r="61" spans="1:7" x14ac:dyDescent="0.25">
      <c r="A61" s="17">
        <v>2277.1084000000001</v>
      </c>
      <c r="B61" s="15">
        <v>1.0075862</v>
      </c>
      <c r="C61" s="45">
        <f t="shared" si="1"/>
        <v>3.2822107267381391E-3</v>
      </c>
      <c r="E61" s="16">
        <v>2277.1084000000001</v>
      </c>
      <c r="F61" s="15">
        <v>1.0677947000000001</v>
      </c>
      <c r="G61" s="45">
        <f t="shared" si="0"/>
        <v>2.8487760906169474E-2</v>
      </c>
    </row>
    <row r="62" spans="1:7" x14ac:dyDescent="0.25">
      <c r="A62" s="17">
        <v>2265.0601999999999</v>
      </c>
      <c r="B62" s="15">
        <v>1.006435</v>
      </c>
      <c r="C62" s="45">
        <f t="shared" si="1"/>
        <v>2.7857314821147774E-3</v>
      </c>
      <c r="E62" s="16">
        <v>2265.0601999999999</v>
      </c>
      <c r="F62" s="15">
        <v>1.067337</v>
      </c>
      <c r="G62" s="45">
        <f t="shared" si="0"/>
        <v>2.8301564815865581E-2</v>
      </c>
    </row>
    <row r="63" spans="1:7" x14ac:dyDescent="0.25">
      <c r="A63" s="17">
        <v>2253.0120000000002</v>
      </c>
      <c r="B63" s="15">
        <v>1.0054137999999999</v>
      </c>
      <c r="C63" s="45">
        <f t="shared" si="1"/>
        <v>2.3448419251966934E-3</v>
      </c>
      <c r="E63" s="16">
        <v>2253.0120000000002</v>
      </c>
      <c r="F63" s="15">
        <v>1.0668717000000001</v>
      </c>
      <c r="G63" s="45">
        <f t="shared" si="0"/>
        <v>2.8112195120548255E-2</v>
      </c>
    </row>
    <row r="64" spans="1:7" x14ac:dyDescent="0.25">
      <c r="A64" s="17">
        <v>2240.9639000000002</v>
      </c>
      <c r="B64" s="15">
        <v>1.0045158000000001</v>
      </c>
      <c r="C64" s="45">
        <f t="shared" si="1"/>
        <v>1.9567721433509638E-3</v>
      </c>
      <c r="E64" s="16">
        <v>2240.9639000000002</v>
      </c>
      <c r="F64" s="15">
        <v>1.0663982000000001</v>
      </c>
      <c r="G64" s="45">
        <f t="shared" si="0"/>
        <v>2.7919403349982139E-2</v>
      </c>
    </row>
    <row r="65" spans="1:7" x14ac:dyDescent="0.25">
      <c r="A65" s="17">
        <v>2228.9157</v>
      </c>
      <c r="B65" s="15">
        <v>1.0037332000000001</v>
      </c>
      <c r="C65" s="45">
        <f t="shared" si="1"/>
        <v>1.6182893369438036E-3</v>
      </c>
      <c r="E65" s="16">
        <v>2228.9157</v>
      </c>
      <c r="F65" s="15">
        <v>1.0659164000000001</v>
      </c>
      <c r="G65" s="45">
        <f t="shared" ref="G65:G128" si="2">LOG10(F65)</f>
        <v>2.7723144237990046E-2</v>
      </c>
    </row>
    <row r="66" spans="1:7" x14ac:dyDescent="0.25">
      <c r="A66" s="17">
        <v>2216.8674999999998</v>
      </c>
      <c r="B66" s="15">
        <v>1.0030576</v>
      </c>
      <c r="C66" s="45">
        <f>LOG10(B66)</f>
        <v>1.3258728448424016E-3</v>
      </c>
      <c r="E66" s="16">
        <v>2216.8674999999998</v>
      </c>
      <c r="F66" s="15">
        <v>1.0654256</v>
      </c>
      <c r="G66" s="45">
        <f t="shared" si="2"/>
        <v>2.7523127783112493E-2</v>
      </c>
    </row>
    <row r="67" spans="1:7" x14ac:dyDescent="0.25">
      <c r="A67" s="17">
        <v>2204.8193000000001</v>
      </c>
      <c r="B67" s="45">
        <v>1.00248</v>
      </c>
      <c r="C67" s="45">
        <f t="shared" ref="C67:C130" si="3">LOG10(B67)</f>
        <v>1.0757169767271564E-3</v>
      </c>
      <c r="E67" s="16">
        <v>2204.8193000000001</v>
      </c>
      <c r="F67" s="15">
        <v>1.0649256</v>
      </c>
      <c r="G67" s="45">
        <f t="shared" si="2"/>
        <v>2.7319267269466829E-2</v>
      </c>
    </row>
    <row r="68" spans="1:7" x14ac:dyDescent="0.25">
      <c r="A68" s="17">
        <v>2192.7710999999999</v>
      </c>
      <c r="B68" s="45">
        <v>1.0019910999999999</v>
      </c>
      <c r="C68" s="45">
        <f t="shared" si="3"/>
        <v>8.6386400821795062E-4</v>
      </c>
      <c r="E68" s="16">
        <v>2192.7710999999999</v>
      </c>
      <c r="F68" s="15">
        <v>1.0644157999999999</v>
      </c>
      <c r="G68" s="45">
        <f t="shared" si="2"/>
        <v>2.7111312517725625E-2</v>
      </c>
    </row>
    <row r="69" spans="1:7" x14ac:dyDescent="0.25">
      <c r="A69" s="17">
        <v>2180.7229000000002</v>
      </c>
      <c r="B69" s="45">
        <v>1.0015817</v>
      </c>
      <c r="C69" s="45">
        <f t="shared" si="3"/>
        <v>6.8638090067556885E-4</v>
      </c>
      <c r="E69" s="16">
        <v>2180.7229000000002</v>
      </c>
      <c r="F69" s="15">
        <v>1.0638958000000001</v>
      </c>
      <c r="G69" s="45">
        <f t="shared" si="2"/>
        <v>2.6899094405412265E-2</v>
      </c>
    </row>
    <row r="70" spans="1:7" x14ac:dyDescent="0.25">
      <c r="A70" s="17">
        <v>2168.6747</v>
      </c>
      <c r="B70" s="45">
        <v>1.0012425</v>
      </c>
      <c r="C70" s="45">
        <f t="shared" si="3"/>
        <v>5.3927593792343377E-4</v>
      </c>
      <c r="E70" s="16">
        <v>2168.6747</v>
      </c>
      <c r="F70" s="15">
        <v>1.0633652</v>
      </c>
      <c r="G70" s="45">
        <f t="shared" si="2"/>
        <v>2.6682443362708304E-2</v>
      </c>
    </row>
    <row r="71" spans="1:7" x14ac:dyDescent="0.25">
      <c r="A71" s="17">
        <v>2156.6264999999999</v>
      </c>
      <c r="B71" s="45">
        <v>1.0009648</v>
      </c>
      <c r="C71" s="45">
        <f t="shared" si="3"/>
        <v>4.1880531692639974E-4</v>
      </c>
      <c r="E71" s="16">
        <v>2156.6264999999999</v>
      </c>
      <c r="F71" s="15">
        <v>1.0628234999999999</v>
      </c>
      <c r="G71" s="45">
        <f t="shared" si="2"/>
        <v>2.6461148492749449E-2</v>
      </c>
    </row>
    <row r="72" spans="1:7" x14ac:dyDescent="0.25">
      <c r="A72" s="17">
        <v>2144.5783000000001</v>
      </c>
      <c r="B72" s="45">
        <v>1.00074</v>
      </c>
      <c r="C72" s="45">
        <f t="shared" si="3"/>
        <v>3.2125906540888925E-4</v>
      </c>
      <c r="E72" s="16">
        <v>2144.5783000000001</v>
      </c>
      <c r="F72">
        <v>1.0622701000000001</v>
      </c>
      <c r="G72" s="45">
        <f t="shared" si="2"/>
        <v>2.6234957447123987E-2</v>
      </c>
    </row>
    <row r="73" spans="1:7" x14ac:dyDescent="0.25">
      <c r="A73" s="17">
        <v>2132.5300999999999</v>
      </c>
      <c r="B73" s="45">
        <v>1.0005603000000001</v>
      </c>
      <c r="C73" s="45">
        <f t="shared" si="3"/>
        <v>2.432670533078478E-4</v>
      </c>
      <c r="E73" s="16">
        <v>2132.5300999999999</v>
      </c>
      <c r="F73">
        <v>1.0617046000000001</v>
      </c>
      <c r="G73" s="45">
        <f t="shared" si="2"/>
        <v>2.6003699009516972E-2</v>
      </c>
    </row>
    <row r="74" spans="1:7" x14ac:dyDescent="0.25">
      <c r="A74" s="17">
        <v>2120.4819000000002</v>
      </c>
      <c r="B74" s="45">
        <v>1.0004185000000001</v>
      </c>
      <c r="C74" s="45">
        <f t="shared" si="3"/>
        <v>1.8171421962769521E-4</v>
      </c>
      <c r="E74" s="16">
        <v>2120.4819000000002</v>
      </c>
      <c r="F74">
        <v>1.0611264</v>
      </c>
      <c r="G74" s="45">
        <f t="shared" si="2"/>
        <v>2.576711957795022E-2</v>
      </c>
    </row>
    <row r="75" spans="1:7" x14ac:dyDescent="0.25">
      <c r="A75" s="17">
        <v>2108.4337</v>
      </c>
      <c r="B75" s="45">
        <v>1.0003081</v>
      </c>
      <c r="C75" s="45">
        <f t="shared" si="3"/>
        <v>1.3378552127299727E-4</v>
      </c>
      <c r="E75" s="16">
        <v>2108.4337</v>
      </c>
      <c r="F75">
        <v>1.0605351000000001</v>
      </c>
      <c r="G75" s="45">
        <f t="shared" si="2"/>
        <v>2.5525046717790351E-2</v>
      </c>
    </row>
    <row r="76" spans="1:7" x14ac:dyDescent="0.25">
      <c r="A76" s="17">
        <v>2096.3854999999999</v>
      </c>
      <c r="B76" s="45">
        <v>1.0002233</v>
      </c>
      <c r="C76" s="45">
        <f t="shared" si="3"/>
        <v>9.696713183162016E-5</v>
      </c>
      <c r="E76" s="16">
        <v>2096.3854999999999</v>
      </c>
      <c r="F76">
        <v>1.0599301000000001</v>
      </c>
      <c r="G76" s="45">
        <f t="shared" si="2"/>
        <v>2.5277225467358055E-2</v>
      </c>
    </row>
    <row r="77" spans="1:7" x14ac:dyDescent="0.25">
      <c r="A77" s="17">
        <v>2084.3373000000001</v>
      </c>
      <c r="B77" s="45">
        <v>1.000159</v>
      </c>
      <c r="C77" s="45">
        <f t="shared" si="3"/>
        <v>6.9047333505066084E-5</v>
      </c>
      <c r="E77" s="16">
        <v>2084.3373000000001</v>
      </c>
      <c r="F77">
        <v>1.0593108</v>
      </c>
      <c r="G77" s="45">
        <f t="shared" si="2"/>
        <v>2.50234000713884E-2</v>
      </c>
    </row>
    <row r="78" spans="1:7" x14ac:dyDescent="0.25">
      <c r="A78" s="17">
        <v>2072.2892000000002</v>
      </c>
      <c r="B78" s="45">
        <v>1.000111</v>
      </c>
      <c r="C78" s="45">
        <f t="shared" si="3"/>
        <v>4.8204012218061511E-5</v>
      </c>
      <c r="E78" s="16">
        <v>2072.2892000000002</v>
      </c>
      <c r="F78">
        <v>1.0586766000000001</v>
      </c>
      <c r="G78" s="45">
        <f t="shared" si="2"/>
        <v>2.4763313945611817E-2</v>
      </c>
    </row>
    <row r="79" spans="1:7" x14ac:dyDescent="0.25">
      <c r="A79" s="17">
        <v>2060.241</v>
      </c>
      <c r="B79" s="45">
        <v>1.0000756</v>
      </c>
      <c r="C79" s="45">
        <f t="shared" si="3"/>
        <v>3.2831421819757209E-5</v>
      </c>
      <c r="E79" s="16">
        <v>2060.241</v>
      </c>
      <c r="F79">
        <v>1.0580270000000001</v>
      </c>
      <c r="G79" s="45">
        <f t="shared" si="2"/>
        <v>2.4496750687249852E-2</v>
      </c>
    </row>
    <row r="80" spans="1:7" x14ac:dyDescent="0.25">
      <c r="A80" s="17">
        <v>2048.1927999999998</v>
      </c>
      <c r="B80" s="45">
        <v>1.0000498</v>
      </c>
      <c r="C80" s="45">
        <f t="shared" si="3"/>
        <v>2.1627326682812259E-5</v>
      </c>
      <c r="E80" s="16">
        <v>2048.1927999999998</v>
      </c>
      <c r="F80">
        <v>1.0573612999999999</v>
      </c>
      <c r="G80" s="45">
        <f t="shared" si="2"/>
        <v>2.4223410945182849E-2</v>
      </c>
    </row>
    <row r="81" spans="1:7" x14ac:dyDescent="0.25">
      <c r="A81" s="17">
        <v>2036.1446000000001</v>
      </c>
      <c r="B81" s="45">
        <v>1.0000311</v>
      </c>
      <c r="C81" s="45">
        <f t="shared" si="3"/>
        <v>1.350634836454122E-5</v>
      </c>
      <c r="E81" s="16">
        <v>2036.1446000000001</v>
      </c>
      <c r="F81">
        <v>1.0566789999999999</v>
      </c>
      <c r="G81" s="45">
        <f t="shared" si="2"/>
        <v>2.3943076520818896E-2</v>
      </c>
    </row>
    <row r="82" spans="1:7" x14ac:dyDescent="0.25">
      <c r="A82" s="17">
        <v>2024.0963999999999</v>
      </c>
      <c r="B82" s="45">
        <v>1.0000176000000001</v>
      </c>
      <c r="C82" s="45">
        <f t="shared" si="3"/>
        <v>7.6435156187840208E-6</v>
      </c>
      <c r="E82" s="16">
        <v>2024.0963999999999</v>
      </c>
      <c r="F82">
        <v>1.0559794</v>
      </c>
      <c r="G82" s="45">
        <f t="shared" si="2"/>
        <v>2.3655446082651153E-2</v>
      </c>
    </row>
    <row r="83" spans="1:7" x14ac:dyDescent="0.25">
      <c r="A83" s="17">
        <v>2012.0482</v>
      </c>
      <c r="B83" s="45">
        <v>1.0000078999999999</v>
      </c>
      <c r="C83" s="45">
        <f t="shared" si="3"/>
        <v>3.4309128549258738E-6</v>
      </c>
      <c r="E83" s="16">
        <v>2012.0482</v>
      </c>
      <c r="F83">
        <v>1.0552618</v>
      </c>
      <c r="G83" s="45">
        <f t="shared" si="2"/>
        <v>2.3360217160237888E-2</v>
      </c>
    </row>
    <row r="84" spans="1:7" x14ac:dyDescent="0.25">
      <c r="A84" s="17">
        <v>2000</v>
      </c>
      <c r="B84" s="45">
        <v>1.0000005999999999</v>
      </c>
      <c r="C84" s="45">
        <f t="shared" si="3"/>
        <v>2.6057661092825235E-7</v>
      </c>
      <c r="E84" s="16">
        <v>2000</v>
      </c>
      <c r="F84">
        <v>1.0545256000000001</v>
      </c>
      <c r="G84" s="45">
        <f t="shared" si="2"/>
        <v>2.3057127274921364E-2</v>
      </c>
    </row>
    <row r="85" spans="1:7" x14ac:dyDescent="0.25">
      <c r="A85" s="17">
        <v>1987.9518</v>
      </c>
      <c r="B85" s="45">
        <v>0.99999495999999999</v>
      </c>
      <c r="C85" s="45">
        <f t="shared" si="3"/>
        <v>-2.1888497047033605E-6</v>
      </c>
      <c r="E85" s="16">
        <v>1987.9518</v>
      </c>
      <c r="F85">
        <v>1.0537700000000001</v>
      </c>
      <c r="G85" s="45">
        <f t="shared" si="2"/>
        <v>2.2745830391717632E-2</v>
      </c>
    </row>
    <row r="86" spans="1:7" x14ac:dyDescent="0.25">
      <c r="A86" s="17">
        <v>1975.9036000000001</v>
      </c>
      <c r="B86" s="45">
        <v>0.99999026999999996</v>
      </c>
      <c r="C86" s="45">
        <f t="shared" si="3"/>
        <v>-4.2257058670288688E-6</v>
      </c>
      <c r="E86" s="16">
        <v>1975.9036000000001</v>
      </c>
      <c r="F86">
        <v>1.0529945000000001</v>
      </c>
      <c r="G86" s="45">
        <f t="shared" si="2"/>
        <v>2.2426102784832622E-2</v>
      </c>
    </row>
    <row r="87" spans="1:7" x14ac:dyDescent="0.25">
      <c r="A87" s="17">
        <v>1963.8553999999999</v>
      </c>
      <c r="B87" s="45">
        <v>0.99998600999999998</v>
      </c>
      <c r="C87" s="45">
        <f t="shared" si="3"/>
        <v>-6.075822302310962E-6</v>
      </c>
      <c r="E87" s="16">
        <v>1963.8553999999999</v>
      </c>
      <c r="F87">
        <v>1.0521982999999999</v>
      </c>
      <c r="G87" s="45">
        <f t="shared" si="2"/>
        <v>2.2097595787299106E-2</v>
      </c>
    </row>
    <row r="88" spans="1:7" x14ac:dyDescent="0.25">
      <c r="A88" s="17">
        <v>1951.8072</v>
      </c>
      <c r="B88" s="45">
        <v>0.99998180000000003</v>
      </c>
      <c r="C88" s="45">
        <f t="shared" si="3"/>
        <v>-7.9042314993502198E-6</v>
      </c>
      <c r="E88" s="16">
        <v>1951.8072</v>
      </c>
      <c r="F88">
        <v>1.0513806999999999</v>
      </c>
      <c r="G88" s="45">
        <f t="shared" si="2"/>
        <v>2.1760000492533273E-2</v>
      </c>
    </row>
    <row r="89" spans="1:7" x14ac:dyDescent="0.25">
      <c r="A89" s="17">
        <v>1939.759</v>
      </c>
      <c r="B89" s="45">
        <v>0.99997731000000001</v>
      </c>
      <c r="C89" s="45">
        <f t="shared" si="3"/>
        <v>-9.8542535913110336E-6</v>
      </c>
      <c r="E89" s="16">
        <v>1939.759</v>
      </c>
      <c r="F89">
        <v>1.0505409000000001</v>
      </c>
      <c r="G89" s="45">
        <f t="shared" si="2"/>
        <v>2.1412965165136428E-2</v>
      </c>
    </row>
    <row r="90" spans="1:7" x14ac:dyDescent="0.25">
      <c r="A90" s="17">
        <v>1927.7108000000001</v>
      </c>
      <c r="B90" s="45">
        <v>0.99997227</v>
      </c>
      <c r="C90" s="45">
        <f t="shared" si="3"/>
        <v>-1.2043152962266281E-5</v>
      </c>
      <c r="E90" s="16">
        <v>1927.7108000000001</v>
      </c>
      <c r="F90">
        <v>1.0496782</v>
      </c>
      <c r="G90" s="45">
        <f t="shared" si="2"/>
        <v>2.1056177751280089E-2</v>
      </c>
    </row>
    <row r="91" spans="1:7" x14ac:dyDescent="0.25">
      <c r="A91" s="17">
        <v>1915.6627000000001</v>
      </c>
      <c r="B91" s="45">
        <v>0.99996640999999997</v>
      </c>
      <c r="C91" s="45">
        <f t="shared" si="3"/>
        <v>-1.4588196657276809E-5</v>
      </c>
      <c r="E91" s="16">
        <v>1915.6627000000001</v>
      </c>
      <c r="F91">
        <v>1.0487918000000001</v>
      </c>
      <c r="G91" s="45">
        <f t="shared" si="2"/>
        <v>2.0689283155070137E-2</v>
      </c>
    </row>
    <row r="92" spans="1:7" x14ac:dyDescent="0.25">
      <c r="A92" s="17">
        <v>1903.6144999999999</v>
      </c>
      <c r="B92" s="45">
        <v>0.99995944000000003</v>
      </c>
      <c r="C92" s="45">
        <f t="shared" si="3"/>
        <v>-1.7615341427520825E-5</v>
      </c>
      <c r="E92" s="16">
        <v>1903.6144999999999</v>
      </c>
      <c r="F92">
        <v>1.0478810999999999</v>
      </c>
      <c r="G92" s="45">
        <f t="shared" si="2"/>
        <v>2.0312007320062841E-2</v>
      </c>
    </row>
    <row r="93" spans="1:7" x14ac:dyDescent="0.25">
      <c r="A93" s="17">
        <v>1891.5663</v>
      </c>
      <c r="B93" s="45">
        <v>0.99995107000000005</v>
      </c>
      <c r="C93" s="45">
        <f t="shared" si="3"/>
        <v>-2.1250548898421769E-5</v>
      </c>
      <c r="E93" s="16">
        <v>1891.5663</v>
      </c>
      <c r="F93">
        <v>1.046945</v>
      </c>
      <c r="G93" s="45">
        <f t="shared" si="2"/>
        <v>1.9923867138336097E-2</v>
      </c>
    </row>
    <row r="94" spans="1:7" x14ac:dyDescent="0.25">
      <c r="A94" s="17">
        <v>1879.5181</v>
      </c>
      <c r="B94" s="45">
        <v>0.99994092000000001</v>
      </c>
      <c r="C94" s="45">
        <f t="shared" si="3"/>
        <v>-2.5658875961498938E-5</v>
      </c>
      <c r="E94" s="16">
        <v>1879.5181</v>
      </c>
      <c r="F94">
        <v>1.0459830000000001</v>
      </c>
      <c r="G94" s="45">
        <f t="shared" si="2"/>
        <v>1.9524626150577894E-2</v>
      </c>
    </row>
    <row r="95" spans="1:7" x14ac:dyDescent="0.25">
      <c r="A95" s="17">
        <v>1867.4699000000001</v>
      </c>
      <c r="B95" s="45">
        <v>0.99992855999999997</v>
      </c>
      <c r="C95" s="45">
        <f t="shared" si="3"/>
        <v>-3.1027106088608919E-5</v>
      </c>
      <c r="E95" s="16">
        <v>1867.4699000000001</v>
      </c>
      <c r="F95">
        <v>1.0449941</v>
      </c>
      <c r="G95" s="45">
        <f t="shared" si="2"/>
        <v>1.911383844259756E-2</v>
      </c>
    </row>
    <row r="96" spans="1:7" x14ac:dyDescent="0.25">
      <c r="A96" s="17">
        <v>1855.4217000000001</v>
      </c>
      <c r="B96" s="45">
        <v>0.99991344000000004</v>
      </c>
      <c r="C96" s="45">
        <f t="shared" si="3"/>
        <v>-3.7594157452135957E-5</v>
      </c>
      <c r="E96" s="16">
        <v>1855.4217000000001</v>
      </c>
      <c r="F96">
        <v>1.0439775</v>
      </c>
      <c r="G96" s="45">
        <f t="shared" si="2"/>
        <v>1.8691138770513441E-2</v>
      </c>
    </row>
    <row r="97" spans="1:7" x14ac:dyDescent="0.25">
      <c r="A97" s="17">
        <v>1843.3734999999999</v>
      </c>
      <c r="B97" s="45">
        <v>0.99989488000000004</v>
      </c>
      <c r="C97" s="45">
        <f t="shared" si="3"/>
        <v>-4.5655435629392594E-5</v>
      </c>
      <c r="E97" s="16">
        <v>1843.3734999999999</v>
      </c>
      <c r="F97">
        <v>1.0429324</v>
      </c>
      <c r="G97" s="45">
        <f t="shared" si="2"/>
        <v>1.8256159568986928E-2</v>
      </c>
    </row>
    <row r="98" spans="1:7" x14ac:dyDescent="0.25">
      <c r="A98" s="17">
        <v>1831.3253</v>
      </c>
      <c r="B98" s="45">
        <v>0.99987203000000002</v>
      </c>
      <c r="C98" s="45">
        <f t="shared" si="3"/>
        <v>-5.5580221225459189E-5</v>
      </c>
      <c r="E98" s="16">
        <v>1831.3253</v>
      </c>
      <c r="F98">
        <v>1.0418578000000001</v>
      </c>
      <c r="G98" s="45">
        <f t="shared" si="2"/>
        <v>1.7808447476341357E-2</v>
      </c>
    </row>
    <row r="99" spans="1:7" x14ac:dyDescent="0.25">
      <c r="A99" s="17">
        <v>1819.2771</v>
      </c>
      <c r="B99" s="45">
        <v>0.99984381</v>
      </c>
      <c r="C99" s="45">
        <f t="shared" si="3"/>
        <v>-6.7837753055715057E-5</v>
      </c>
      <c r="E99" s="16">
        <v>1819.2771</v>
      </c>
      <c r="F99">
        <v>1.0407527000000001</v>
      </c>
      <c r="G99" s="45">
        <f t="shared" si="2"/>
        <v>1.7347546240131507E-2</v>
      </c>
    </row>
    <row r="100" spans="1:7" x14ac:dyDescent="0.25">
      <c r="A100" s="17">
        <v>1807.2289000000001</v>
      </c>
      <c r="B100" s="45">
        <v>0.99980884999999997</v>
      </c>
      <c r="C100" s="45">
        <f t="shared" si="3"/>
        <v>-8.3023325422964977E-5</v>
      </c>
      <c r="E100" s="16">
        <v>1807.2289000000001</v>
      </c>
      <c r="F100">
        <v>1.0396160999999999</v>
      </c>
      <c r="G100" s="45">
        <f t="shared" si="2"/>
        <v>1.6872996576393698E-2</v>
      </c>
    </row>
    <row r="101" spans="1:7" x14ac:dyDescent="0.25">
      <c r="A101" s="17">
        <v>1795.1806999999999</v>
      </c>
      <c r="B101" s="45">
        <v>0.99976544000000001</v>
      </c>
      <c r="C101" s="45">
        <f t="shared" si="3"/>
        <v>-1.0188006263613168E-4</v>
      </c>
      <c r="E101" s="16">
        <v>1795.1806999999999</v>
      </c>
      <c r="F101">
        <v>1.0384469000000001</v>
      </c>
      <c r="G101" s="45">
        <f t="shared" si="2"/>
        <v>1.6384294201323847E-2</v>
      </c>
    </row>
    <row r="102" spans="1:7" x14ac:dyDescent="0.25">
      <c r="A102" s="17">
        <v>1783.1324999999999</v>
      </c>
      <c r="B102" s="45">
        <v>0.99971135</v>
      </c>
      <c r="C102" s="45">
        <f t="shared" si="3"/>
        <v>-1.2537719813614429E-4</v>
      </c>
      <c r="E102" s="16">
        <v>1783.1324999999999</v>
      </c>
      <c r="F102">
        <v>1.0372437000000001</v>
      </c>
      <c r="G102" s="45">
        <f t="shared" si="2"/>
        <v>1.5880805695712926E-2</v>
      </c>
    </row>
    <row r="103" spans="1:7" x14ac:dyDescent="0.25">
      <c r="A103" s="17">
        <v>1771.0843</v>
      </c>
      <c r="B103" s="45">
        <v>0.99964377999999998</v>
      </c>
      <c r="C103" s="45">
        <f t="shared" si="3"/>
        <v>-1.5473194128613424E-4</v>
      </c>
      <c r="E103" s="16">
        <v>1771.0843</v>
      </c>
      <c r="F103">
        <v>1.0360050000000001</v>
      </c>
      <c r="G103" s="45">
        <f t="shared" si="2"/>
        <v>1.5361851419995609E-2</v>
      </c>
    </row>
    <row r="104" spans="1:7" x14ac:dyDescent="0.25">
      <c r="A104" s="17">
        <v>1759.0361</v>
      </c>
      <c r="B104" s="45">
        <v>0.99955910999999997</v>
      </c>
      <c r="C104" s="45">
        <f t="shared" si="3"/>
        <v>-1.9151831648463925E-4</v>
      </c>
      <c r="E104" s="16">
        <v>1759.0361</v>
      </c>
      <c r="F104">
        <v>1.0347291000000001</v>
      </c>
      <c r="G104" s="45">
        <f t="shared" si="2"/>
        <v>1.4826663054107406E-2</v>
      </c>
    </row>
    <row r="105" spans="1:7" x14ac:dyDescent="0.25">
      <c r="A105" s="17">
        <v>1746.9880000000001</v>
      </c>
      <c r="B105" s="45">
        <v>0.99945271000000002</v>
      </c>
      <c r="C105" s="45">
        <f t="shared" si="3"/>
        <v>-2.3775009206075559E-4</v>
      </c>
      <c r="E105" s="16">
        <v>1746.9880000000001</v>
      </c>
      <c r="F105">
        <v>1.0334136</v>
      </c>
      <c r="G105" s="45">
        <f t="shared" si="2"/>
        <v>1.4274172679053397E-2</v>
      </c>
    </row>
    <row r="106" spans="1:7" x14ac:dyDescent="0.25">
      <c r="A106" s="17">
        <v>1734.9398000000001</v>
      </c>
      <c r="B106" s="45">
        <v>0.99931857000000002</v>
      </c>
      <c r="C106" s="45">
        <f t="shared" si="3"/>
        <v>-2.9604216626943116E-4</v>
      </c>
      <c r="E106" s="16">
        <v>1734.9398000000001</v>
      </c>
      <c r="F106">
        <v>1.0320560000000001</v>
      </c>
      <c r="G106" s="45">
        <f t="shared" si="2"/>
        <v>1.3703263019053214E-2</v>
      </c>
    </row>
    <row r="107" spans="1:7" x14ac:dyDescent="0.25">
      <c r="A107" s="17">
        <v>1722.8915999999999</v>
      </c>
      <c r="B107" s="45">
        <v>0.99914895999999997</v>
      </c>
      <c r="C107" s="45">
        <f t="shared" si="3"/>
        <v>-3.6975933819915102E-4</v>
      </c>
      <c r="E107" s="16">
        <v>1722.8915999999999</v>
      </c>
      <c r="F107">
        <v>1.0306526</v>
      </c>
      <c r="G107" s="45">
        <f t="shared" si="2"/>
        <v>1.3112303181151527E-2</v>
      </c>
    </row>
    <row r="108" spans="1:7" x14ac:dyDescent="0.25">
      <c r="A108" s="17">
        <v>1710.8434</v>
      </c>
      <c r="B108" s="45">
        <v>0.99893383000000002</v>
      </c>
      <c r="C108" s="45">
        <f t="shared" si="3"/>
        <v>-4.6327875863603124E-4</v>
      </c>
      <c r="E108" s="16">
        <v>1710.8434</v>
      </c>
      <c r="F108">
        <v>1.029199</v>
      </c>
      <c r="G108" s="45">
        <f t="shared" si="2"/>
        <v>1.2499355565229979E-2</v>
      </c>
    </row>
    <row r="109" spans="1:7" x14ac:dyDescent="0.25">
      <c r="A109" s="17">
        <v>1698.7952</v>
      </c>
      <c r="B109" s="45">
        <v>0.99866012999999998</v>
      </c>
      <c r="C109" s="45">
        <f t="shared" si="3"/>
        <v>-5.8228832997130671E-4</v>
      </c>
      <c r="E109" s="16">
        <v>1698.7952</v>
      </c>
      <c r="F109">
        <v>1.0276892</v>
      </c>
      <c r="G109" s="45">
        <f t="shared" si="2"/>
        <v>1.1861792544995673E-2</v>
      </c>
    </row>
    <row r="110" spans="1:7" x14ac:dyDescent="0.25">
      <c r="A110" s="17">
        <v>1686.7470000000001</v>
      </c>
      <c r="B110" s="45">
        <v>0.99831082000000004</v>
      </c>
      <c r="C110" s="45">
        <f t="shared" si="3"/>
        <v>-7.3422184409760796E-4</v>
      </c>
      <c r="E110" s="16">
        <v>1686.7470000000001</v>
      </c>
      <c r="F110">
        <v>1.0261153000000001</v>
      </c>
      <c r="G110" s="45">
        <f t="shared" si="2"/>
        <v>1.1196163251775465E-2</v>
      </c>
    </row>
    <row r="111" spans="1:7" x14ac:dyDescent="0.25">
      <c r="A111" s="17">
        <v>1674.6987999999999</v>
      </c>
      <c r="B111" s="45">
        <v>0.99786364999999999</v>
      </c>
      <c r="C111" s="45">
        <f t="shared" si="3"/>
        <v>-9.287974883009011E-4</v>
      </c>
      <c r="E111" s="16">
        <v>1674.6987999999999</v>
      </c>
      <c r="F111">
        <v>1.024467</v>
      </c>
      <c r="G111" s="45">
        <f t="shared" si="2"/>
        <v>1.0497973524206432E-2</v>
      </c>
    </row>
    <row r="112" spans="1:7" x14ac:dyDescent="0.25">
      <c r="A112" s="17">
        <v>1662.6505999999999</v>
      </c>
      <c r="B112" s="45">
        <v>0.99728945000000002</v>
      </c>
      <c r="C112" s="45">
        <f t="shared" si="3"/>
        <v>-1.1787751951683834E-3</v>
      </c>
      <c r="E112" s="16">
        <v>1662.6505999999999</v>
      </c>
      <c r="F112">
        <v>1.0227302</v>
      </c>
      <c r="G112" s="45">
        <f t="shared" si="2"/>
        <v>9.7610803346944199E-3</v>
      </c>
    </row>
    <row r="113" spans="1:7" x14ac:dyDescent="0.25">
      <c r="A113" s="17">
        <v>1650.6024</v>
      </c>
      <c r="B113" s="45">
        <v>0.99654995000000002</v>
      </c>
      <c r="C113" s="45">
        <f t="shared" si="3"/>
        <v>-1.5009283074941602E-3</v>
      </c>
      <c r="E113" s="16">
        <v>1650.6024</v>
      </c>
      <c r="F113">
        <v>1.0208862000000001</v>
      </c>
      <c r="G113" s="45">
        <f t="shared" si="2"/>
        <v>8.9773332068348276E-3</v>
      </c>
    </row>
    <row r="114" spans="1:7" x14ac:dyDescent="0.25">
      <c r="A114" s="17">
        <v>1638.5542</v>
      </c>
      <c r="B114" s="45">
        <v>0.99559485000000003</v>
      </c>
      <c r="C114" s="45">
        <f t="shared" si="3"/>
        <v>-1.9173585704417243E-3</v>
      </c>
      <c r="E114" s="16">
        <v>1638.5542</v>
      </c>
      <c r="F114">
        <v>1.0189101</v>
      </c>
      <c r="G114" s="45">
        <f t="shared" si="2"/>
        <v>8.1358672289116151E-3</v>
      </c>
    </row>
    <row r="115" spans="1:7" x14ac:dyDescent="0.25">
      <c r="A115" s="17">
        <v>1626.5060000000001</v>
      </c>
      <c r="B115" s="45">
        <v>0.99435797999999997</v>
      </c>
      <c r="C115" s="45">
        <f t="shared" si="3"/>
        <v>-2.4572365785116884E-3</v>
      </c>
      <c r="E115" s="16">
        <v>1626.5060000000001</v>
      </c>
      <c r="F115">
        <v>1.0167683000000001</v>
      </c>
      <c r="G115" s="45">
        <f t="shared" si="2"/>
        <v>7.2219976662463003E-3</v>
      </c>
    </row>
    <row r="116" spans="1:7" x14ac:dyDescent="0.25">
      <c r="A116" s="17">
        <v>1614.4577999999999</v>
      </c>
      <c r="B116" s="45">
        <v>0.99275230999999997</v>
      </c>
      <c r="C116" s="45">
        <f t="shared" si="3"/>
        <v>-3.1590937185382488E-3</v>
      </c>
      <c r="E116" s="16">
        <v>1614.4577999999999</v>
      </c>
      <c r="F116">
        <v>1.0144162999999999</v>
      </c>
      <c r="G116" s="45">
        <f t="shared" si="2"/>
        <v>6.2162189911085276E-3</v>
      </c>
    </row>
    <row r="117" spans="1:7" x14ac:dyDescent="0.25">
      <c r="A117" s="17">
        <v>1602.4096</v>
      </c>
      <c r="B117" s="45">
        <v>0.99066357000000005</v>
      </c>
      <c r="C117" s="45">
        <f t="shared" si="3"/>
        <v>-4.0738071688241435E-3</v>
      </c>
      <c r="E117" s="16">
        <v>1602.4096</v>
      </c>
      <c r="F117">
        <v>1.011795</v>
      </c>
      <c r="G117" s="45">
        <f t="shared" si="2"/>
        <v>5.0925289193810312E-3</v>
      </c>
    </row>
    <row r="118" spans="1:7" x14ac:dyDescent="0.25">
      <c r="A118" s="17">
        <v>1590.3614</v>
      </c>
      <c r="B118" s="45">
        <v>0.98794210000000005</v>
      </c>
      <c r="C118" s="45">
        <f t="shared" si="3"/>
        <v>-5.2685072214196998E-3</v>
      </c>
      <c r="E118" s="16">
        <v>1590.3614</v>
      </c>
      <c r="F118">
        <v>1.0088273000000001</v>
      </c>
      <c r="G118" s="45">
        <f t="shared" si="2"/>
        <v>3.8168262205892176E-3</v>
      </c>
    </row>
    <row r="119" spans="1:7" x14ac:dyDescent="0.25">
      <c r="A119" s="17">
        <v>1578.3133</v>
      </c>
      <c r="B119" s="45">
        <v>0.98439290000000002</v>
      </c>
      <c r="C119" s="45">
        <f t="shared" si="3"/>
        <v>-6.8315273360995982E-3</v>
      </c>
      <c r="E119" s="16">
        <v>1578.3133</v>
      </c>
      <c r="F119">
        <v>1.005414</v>
      </c>
      <c r="G119" s="45">
        <f t="shared" si="2"/>
        <v>2.3449283163798984E-3</v>
      </c>
    </row>
    <row r="120" spans="1:7" x14ac:dyDescent="0.25">
      <c r="A120" s="17">
        <v>1566.2651000000001</v>
      </c>
      <c r="B120" s="45">
        <v>0.97976399000000003</v>
      </c>
      <c r="C120" s="45">
        <f t="shared" si="3"/>
        <v>-8.8785265368475415E-3</v>
      </c>
      <c r="E120" s="16">
        <v>1566.2651000000001</v>
      </c>
      <c r="F120">
        <v>1.0014305999999999</v>
      </c>
      <c r="G120" s="45">
        <f t="shared" si="2"/>
        <v>6.2085769211605169E-4</v>
      </c>
    </row>
    <row r="121" spans="1:7" x14ac:dyDescent="0.25">
      <c r="A121" s="17">
        <v>1554.2168999999999</v>
      </c>
      <c r="B121" s="45">
        <v>0.97373346999999999</v>
      </c>
      <c r="C121" s="45">
        <f t="shared" si="3"/>
        <v>-1.1559901795599467E-2</v>
      </c>
      <c r="E121" s="16">
        <v>1554.2168999999999</v>
      </c>
      <c r="F121">
        <v>0.99672576999999996</v>
      </c>
      <c r="G121" s="45">
        <f t="shared" si="2"/>
        <v>-1.4243130603007277E-3</v>
      </c>
    </row>
    <row r="122" spans="1:7" x14ac:dyDescent="0.25">
      <c r="A122" s="17">
        <v>1542.1686999999999</v>
      </c>
      <c r="B122" s="45">
        <v>0.96589718999999996</v>
      </c>
      <c r="C122" s="45">
        <f t="shared" si="3"/>
        <v>-1.5069097385605142E-2</v>
      </c>
      <c r="E122" s="16">
        <v>1542.1686999999999</v>
      </c>
      <c r="F122">
        <v>0.99112445000000005</v>
      </c>
      <c r="G122" s="45">
        <f t="shared" si="2"/>
        <v>-3.8718101414852162E-3</v>
      </c>
    </row>
    <row r="123" spans="1:7" x14ac:dyDescent="0.25">
      <c r="A123" s="17">
        <v>1530.1205</v>
      </c>
      <c r="B123" s="45">
        <v>0.95575966000000001</v>
      </c>
      <c r="C123" s="45">
        <f t="shared" si="3"/>
        <v>-1.9651303810117697E-2</v>
      </c>
      <c r="E123" s="16">
        <v>1530.1205</v>
      </c>
      <c r="F123">
        <v>0.98443486999999996</v>
      </c>
      <c r="G123" s="45">
        <f t="shared" si="2"/>
        <v>-6.8130114052640462E-3</v>
      </c>
    </row>
    <row r="124" spans="1:7" x14ac:dyDescent="0.25">
      <c r="A124" s="17">
        <v>1518.0723</v>
      </c>
      <c r="B124" s="45">
        <v>0.94273357999999996</v>
      </c>
      <c r="C124" s="45">
        <f t="shared" si="3"/>
        <v>-2.5611023151984609E-2</v>
      </c>
      <c r="E124" s="16">
        <v>1518.0723</v>
      </c>
      <c r="F124">
        <v>0.97646157</v>
      </c>
      <c r="G124" s="45">
        <f t="shared" si="2"/>
        <v>-1.0344844301741809E-2</v>
      </c>
    </row>
    <row r="125" spans="1:7" x14ac:dyDescent="0.25">
      <c r="A125" s="17">
        <v>1506.0241000000001</v>
      </c>
      <c r="B125" s="45">
        <v>0.92615466999999996</v>
      </c>
      <c r="C125" s="45">
        <f t="shared" si="3"/>
        <v>-3.3316479065111405E-2</v>
      </c>
      <c r="E125" s="16">
        <v>1506.0241000000001</v>
      </c>
      <c r="F125">
        <v>0.96702136999999999</v>
      </c>
      <c r="G125" s="45">
        <f t="shared" si="2"/>
        <v>-1.4563928429377343E-2</v>
      </c>
    </row>
    <row r="126" spans="1:7" x14ac:dyDescent="0.25">
      <c r="A126" s="17">
        <v>1493.9758999999999</v>
      </c>
      <c r="B126" s="45">
        <v>0.90532035</v>
      </c>
      <c r="C126" s="45">
        <f t="shared" si="3"/>
        <v>-4.3197717348078091E-2</v>
      </c>
      <c r="E126" s="16">
        <v>1493.9758999999999</v>
      </c>
      <c r="F126">
        <v>0.9559588</v>
      </c>
      <c r="G126" s="45">
        <f t="shared" si="2"/>
        <v>-1.9560824583967396E-2</v>
      </c>
    </row>
    <row r="127" spans="1:7" x14ac:dyDescent="0.25">
      <c r="A127" s="17">
        <v>1481.9277</v>
      </c>
      <c r="B127" s="45">
        <v>0.87955833000000005</v>
      </c>
      <c r="C127" s="45">
        <f t="shared" si="3"/>
        <v>-5.5735353981253503E-2</v>
      </c>
      <c r="E127" s="16">
        <v>1481.9277</v>
      </c>
      <c r="F127">
        <v>0.94315773000000003</v>
      </c>
      <c r="G127" s="45">
        <f t="shared" si="2"/>
        <v>-2.5415671482852415E-2</v>
      </c>
    </row>
    <row r="128" spans="1:7" x14ac:dyDescent="0.25">
      <c r="A128" s="17">
        <v>1469.8795</v>
      </c>
      <c r="B128" s="45">
        <v>0.84832518000000001</v>
      </c>
      <c r="C128" s="45">
        <f t="shared" si="3"/>
        <v>-7.1437642072061991E-2</v>
      </c>
      <c r="E128" s="16">
        <v>1469.8795</v>
      </c>
      <c r="F128">
        <v>0.92854718999999997</v>
      </c>
      <c r="G128" s="45">
        <f t="shared" si="2"/>
        <v>-3.2196019941629989E-2</v>
      </c>
    </row>
    <row r="129" spans="1:7" x14ac:dyDescent="0.25">
      <c r="A129" s="17">
        <v>1457.8313000000001</v>
      </c>
      <c r="B129" s="45">
        <v>0.81132274000000004</v>
      </c>
      <c r="C129" s="45">
        <f t="shared" si="3"/>
        <v>-9.0806351314005357E-2</v>
      </c>
      <c r="E129" s="16">
        <v>1457.8313000000001</v>
      </c>
      <c r="F129">
        <v>0.91210188000000003</v>
      </c>
      <c r="G129" s="45">
        <f t="shared" ref="G129:G192" si="4">LOG10(F129)</f>
        <v>-3.995664911606546E-2</v>
      </c>
    </row>
    <row r="130" spans="1:7" x14ac:dyDescent="0.25">
      <c r="A130" s="17">
        <v>1445.7831000000001</v>
      </c>
      <c r="B130" s="45">
        <v>0.76860680999999997</v>
      </c>
      <c r="C130" s="45">
        <f t="shared" si="3"/>
        <v>-0.11429577192433789</v>
      </c>
      <c r="E130" s="16">
        <v>1445.7831000000001</v>
      </c>
      <c r="F130">
        <v>0.89383886999999995</v>
      </c>
      <c r="G130" s="45">
        <f t="shared" si="4"/>
        <v>-4.874076328110033E-2</v>
      </c>
    </row>
    <row r="131" spans="1:7" x14ac:dyDescent="0.25">
      <c r="A131" s="17">
        <v>1433.7348999999999</v>
      </c>
      <c r="B131" s="45">
        <v>0.72065499</v>
      </c>
      <c r="C131" s="45">
        <f t="shared" ref="C131:C194" si="5">LOG10(B131)</f>
        <v>-0.14227260185489177</v>
      </c>
      <c r="E131" s="16">
        <v>1433.7348999999999</v>
      </c>
      <c r="F131">
        <v>0.87381231000000004</v>
      </c>
      <c r="G131" s="45">
        <f t="shared" si="4"/>
        <v>-5.8581841375804307E-2</v>
      </c>
    </row>
    <row r="132" spans="1:7" x14ac:dyDescent="0.25">
      <c r="A132" s="17">
        <v>1421.6867</v>
      </c>
      <c r="B132" s="45">
        <v>0.66836589999999996</v>
      </c>
      <c r="C132" s="45">
        <f t="shared" si="5"/>
        <v>-0.17498571589955447</v>
      </c>
      <c r="E132" s="16">
        <v>1421.6867</v>
      </c>
      <c r="F132">
        <v>0.85210733999999999</v>
      </c>
      <c r="G132" s="45">
        <f t="shared" si="4"/>
        <v>-6.9505693691773229E-2</v>
      </c>
    </row>
    <row r="133" spans="1:7" x14ac:dyDescent="0.25">
      <c r="A133" s="17">
        <v>1409.6386</v>
      </c>
      <c r="B133" s="45">
        <v>0.61298200999999997</v>
      </c>
      <c r="C133" s="45">
        <f t="shared" si="5"/>
        <v>-0.21255227111352129</v>
      </c>
      <c r="E133" s="16">
        <v>1409.6386</v>
      </c>
      <c r="F133">
        <v>0.82883412999999995</v>
      </c>
      <c r="G133" s="45">
        <f t="shared" si="4"/>
        <v>-8.1532373711920264E-2</v>
      </c>
    </row>
    <row r="134" spans="1:7" x14ac:dyDescent="0.25">
      <c r="A134" s="17">
        <v>1397.5904</v>
      </c>
      <c r="B134" s="45">
        <v>0.55595322999999996</v>
      </c>
      <c r="C134" s="45">
        <f t="shared" si="5"/>
        <v>-0.25496174224397516</v>
      </c>
      <c r="E134" s="16">
        <v>1397.5904</v>
      </c>
      <c r="F134">
        <v>0.80412225000000004</v>
      </c>
      <c r="G134" s="45">
        <f t="shared" si="4"/>
        <v>-9.4677920823184269E-2</v>
      </c>
    </row>
    <row r="135" spans="1:7" x14ac:dyDescent="0.25">
      <c r="A135" s="17">
        <v>1385.5422000000001</v>
      </c>
      <c r="B135" s="45">
        <v>0.49877616000000002</v>
      </c>
      <c r="C135" s="45">
        <f t="shared" si="5"/>
        <v>-0.30209431266719111</v>
      </c>
      <c r="E135" s="16">
        <v>1385.5422000000001</v>
      </c>
      <c r="F135">
        <v>0.77811565999999999</v>
      </c>
      <c r="G135" s="45">
        <f t="shared" si="4"/>
        <v>-0.10895584418456232</v>
      </c>
    </row>
    <row r="136" spans="1:7" x14ac:dyDescent="0.25">
      <c r="A136" s="17">
        <v>1373.4939999999999</v>
      </c>
      <c r="B136" s="45">
        <v>0.44284588000000003</v>
      </c>
      <c r="C136" s="45">
        <f t="shared" si="5"/>
        <v>-0.35374739140977707</v>
      </c>
      <c r="E136" s="16">
        <v>1373.4939999999999</v>
      </c>
      <c r="F136">
        <v>0.75096825</v>
      </c>
      <c r="G136" s="45">
        <f t="shared" si="4"/>
        <v>-0.12437842403615651</v>
      </c>
    </row>
    <row r="137" spans="1:7" x14ac:dyDescent="0.25">
      <c r="A137" s="17">
        <v>1361.4458</v>
      </c>
      <c r="B137" s="45">
        <v>0.38934646000000001</v>
      </c>
      <c r="C137" s="45">
        <f t="shared" si="5"/>
        <v>-0.40966376962445322</v>
      </c>
      <c r="E137" s="16">
        <v>1361.4458</v>
      </c>
      <c r="F137">
        <v>0.72284002999999997</v>
      </c>
      <c r="G137" s="45">
        <f t="shared" si="4"/>
        <v>-0.14095780474596056</v>
      </c>
    </row>
    <row r="138" spans="1:7" x14ac:dyDescent="0.25">
      <c r="A138" s="17">
        <v>1349.3976</v>
      </c>
      <c r="B138" s="45">
        <v>0.33919009999999999</v>
      </c>
      <c r="C138" s="45">
        <f t="shared" si="5"/>
        <v>-0.46955683205835319</v>
      </c>
      <c r="E138" s="16">
        <v>1349.3976</v>
      </c>
      <c r="F138">
        <v>0.69389383000000004</v>
      </c>
      <c r="G138" s="45">
        <f t="shared" si="4"/>
        <v>-0.15870697417403085</v>
      </c>
    </row>
    <row r="139" spans="1:7" x14ac:dyDescent="0.25">
      <c r="A139" s="17">
        <v>1337.3494000000001</v>
      </c>
      <c r="B139" s="45">
        <v>0.29300134</v>
      </c>
      <c r="C139" s="45">
        <f t="shared" si="5"/>
        <v>-0.53313039345723867</v>
      </c>
      <c r="E139" s="16">
        <v>1337.3494000000001</v>
      </c>
      <c r="F139">
        <v>0.66429273</v>
      </c>
      <c r="G139" s="45">
        <f t="shared" si="4"/>
        <v>-0.17764050043841464</v>
      </c>
    </row>
    <row r="140" spans="1:7" x14ac:dyDescent="0.25">
      <c r="A140" s="17">
        <v>1325.3012000000001</v>
      </c>
      <c r="B140" s="45">
        <v>0.25113500999999999</v>
      </c>
      <c r="C140" s="45">
        <f t="shared" si="5"/>
        <v>-0.60009273933827545</v>
      </c>
      <c r="E140" s="16">
        <v>1325.3012000000001</v>
      </c>
      <c r="F140">
        <v>0.63419793999999996</v>
      </c>
      <c r="G140" s="45">
        <f t="shared" si="4"/>
        <v>-0.19777517298077768</v>
      </c>
    </row>
    <row r="141" spans="1:7" x14ac:dyDescent="0.25">
      <c r="A141" s="17">
        <v>1313.2529999999999</v>
      </c>
      <c r="B141" s="45">
        <v>0.21371480000000001</v>
      </c>
      <c r="C141" s="45">
        <f t="shared" si="5"/>
        <v>-0.67016540139339864</v>
      </c>
      <c r="E141" s="16">
        <v>1313.2529999999999</v>
      </c>
      <c r="F141">
        <v>0.60376722000000005</v>
      </c>
      <c r="G141" s="45">
        <f t="shared" si="4"/>
        <v>-0.21913046958315643</v>
      </c>
    </row>
    <row r="142" spans="1:7" x14ac:dyDescent="0.25">
      <c r="A142" s="17">
        <v>1301.2048</v>
      </c>
      <c r="B142" s="45">
        <v>0.18068081999999999</v>
      </c>
      <c r="C142" s="45">
        <f t="shared" si="5"/>
        <v>-0.74308794710850123</v>
      </c>
      <c r="E142" s="16">
        <v>1301.2048</v>
      </c>
      <c r="F142">
        <v>0.57315369000000005</v>
      </c>
      <c r="G142" s="45">
        <f t="shared" si="4"/>
        <v>-0.24172890723134466</v>
      </c>
    </row>
    <row r="143" spans="1:7" x14ac:dyDescent="0.25">
      <c r="A143" s="17">
        <v>1289.1566</v>
      </c>
      <c r="B143" s="45">
        <v>0.15183798000000001</v>
      </c>
      <c r="C143" s="45">
        <f t="shared" si="5"/>
        <v>-0.81861958258201495</v>
      </c>
      <c r="E143" s="16">
        <v>1289.1566</v>
      </c>
      <c r="F143">
        <v>0.54250507000000003</v>
      </c>
      <c r="G143" s="45">
        <f t="shared" si="4"/>
        <v>-0.26559619874628193</v>
      </c>
    </row>
    <row r="144" spans="1:7" x14ac:dyDescent="0.25">
      <c r="A144" s="17">
        <v>1277.1084000000001</v>
      </c>
      <c r="B144" s="45">
        <v>0.12689987999999999</v>
      </c>
      <c r="C144" s="45">
        <f t="shared" si="5"/>
        <v>-0.89653878858585057</v>
      </c>
      <c r="E144" s="16">
        <v>1277.1084000000001</v>
      </c>
      <c r="F144">
        <v>0.51196311000000005</v>
      </c>
      <c r="G144" s="45">
        <f t="shared" si="4"/>
        <v>-0.29076133140821681</v>
      </c>
    </row>
    <row r="145" spans="1:7" x14ac:dyDescent="0.25">
      <c r="A145" s="17">
        <v>1265.0601999999999</v>
      </c>
      <c r="B145" s="45">
        <v>0.10552570999999999</v>
      </c>
      <c r="C145" s="45">
        <f t="shared" si="5"/>
        <v>-0.97664171713569758</v>
      </c>
      <c r="E145" s="16">
        <v>1265.0601999999999</v>
      </c>
      <c r="F145">
        <v>0.48166323999999999</v>
      </c>
      <c r="G145" s="45">
        <f t="shared" si="4"/>
        <v>-0.31725649729017874</v>
      </c>
    </row>
    <row r="146" spans="1:7" x14ac:dyDescent="0.25">
      <c r="A146" s="17">
        <v>1253.0119999999999</v>
      </c>
      <c r="B146" s="45">
        <v>8.7349515000000003E-2</v>
      </c>
      <c r="C146" s="45">
        <f t="shared" si="5"/>
        <v>-1.0587395020537862</v>
      </c>
      <c r="E146" s="16">
        <v>1253.0119999999999</v>
      </c>
      <c r="F146">
        <v>0.45173437999999999</v>
      </c>
      <c r="G146" s="45">
        <f t="shared" si="4"/>
        <v>-0.34511685547336918</v>
      </c>
    </row>
    <row r="147" spans="1:7" x14ac:dyDescent="0.25">
      <c r="A147" s="17">
        <v>1240.9639</v>
      </c>
      <c r="B147" s="45">
        <v>7.2001942999999999E-2</v>
      </c>
      <c r="C147" s="45">
        <f t="shared" si="5"/>
        <v>-1.1426557838077227</v>
      </c>
      <c r="E147" s="16">
        <v>1240.9639</v>
      </c>
      <c r="F147">
        <v>0.42229867999999998</v>
      </c>
      <c r="G147" s="45">
        <f t="shared" si="4"/>
        <v>-0.37438027606884572</v>
      </c>
    </row>
    <row r="148" spans="1:7" x14ac:dyDescent="0.25">
      <c r="A148" s="17">
        <v>1228.9157</v>
      </c>
      <c r="B148" s="45">
        <v>5.9125783000000001E-2</v>
      </c>
      <c r="C148" s="45">
        <f t="shared" si="5"/>
        <v>-1.2282230948743829</v>
      </c>
      <c r="E148" s="16">
        <v>1228.9157</v>
      </c>
      <c r="F148">
        <v>0.39347135</v>
      </c>
      <c r="G148" s="45">
        <f t="shared" si="4"/>
        <v>-0.40508688462610459</v>
      </c>
    </row>
    <row r="149" spans="1:7" x14ac:dyDescent="0.25">
      <c r="A149" s="17">
        <v>1216.8675000000001</v>
      </c>
      <c r="B149" s="45">
        <v>4.8385999999999998E-2</v>
      </c>
      <c r="C149" s="45">
        <f t="shared" si="5"/>
        <v>-1.315280278898415</v>
      </c>
      <c r="E149" s="16">
        <v>1216.8675000000001</v>
      </c>
      <c r="F149">
        <v>0.36536035</v>
      </c>
      <c r="G149" s="45">
        <f t="shared" si="4"/>
        <v>-0.43727858536482889</v>
      </c>
    </row>
    <row r="150" spans="1:7" x14ac:dyDescent="0.25">
      <c r="A150" s="17">
        <v>1204.8193000000001</v>
      </c>
      <c r="B150" s="45">
        <v>3.9475766000000002E-2</v>
      </c>
      <c r="C150" s="45">
        <f t="shared" si="5"/>
        <v>-1.4036694340531575</v>
      </c>
      <c r="E150" s="16">
        <v>1204.8193000000001</v>
      </c>
      <c r="F150">
        <v>0.33806602000000002</v>
      </c>
      <c r="G150" s="45">
        <f t="shared" si="4"/>
        <v>-0.47099847924346244</v>
      </c>
    </row>
    <row r="151" spans="1:7" x14ac:dyDescent="0.25">
      <c r="A151" s="17">
        <v>1192.7710999999999</v>
      </c>
      <c r="B151" s="45">
        <v>3.2119348999999998E-2</v>
      </c>
      <c r="C151" s="45">
        <f t="shared" si="5"/>
        <v>-1.4932332656527858</v>
      </c>
      <c r="E151" s="16">
        <v>1192.7710999999999</v>
      </c>
      <c r="F151">
        <v>0.31168056</v>
      </c>
      <c r="G151" s="45">
        <f t="shared" si="4"/>
        <v>-0.5062902844989523</v>
      </c>
    </row>
    <row r="152" spans="1:7" x14ac:dyDescent="0.25">
      <c r="A152" s="17">
        <v>1180.7229</v>
      </c>
      <c r="B152" s="45">
        <v>2.6072759000000001E-2</v>
      </c>
      <c r="C152" s="45">
        <f t="shared" si="5"/>
        <v>-1.5838130096803078</v>
      </c>
      <c r="E152" s="16">
        <v>1180.7229</v>
      </c>
      <c r="F152">
        <v>0.28628745999999999</v>
      </c>
      <c r="G152" s="45">
        <f t="shared" si="4"/>
        <v>-0.54319767458432411</v>
      </c>
    </row>
    <row r="153" spans="1:7" x14ac:dyDescent="0.25">
      <c r="A153" s="17">
        <v>1168.6747</v>
      </c>
      <c r="B153" s="45">
        <v>2.1122891000000001E-2</v>
      </c>
      <c r="C153" s="45">
        <f t="shared" si="5"/>
        <v>-1.675246642036772</v>
      </c>
      <c r="E153" s="16">
        <v>1168.6747</v>
      </c>
      <c r="F153">
        <v>0.26196086000000002</v>
      </c>
      <c r="G153" s="45">
        <f t="shared" si="4"/>
        <v>-0.58176359248112963</v>
      </c>
    </row>
    <row r="154" spans="1:7" x14ac:dyDescent="0.25">
      <c r="A154" s="17">
        <v>1156.6265000000001</v>
      </c>
      <c r="B154" s="45">
        <v>1.7085678999999999E-2</v>
      </c>
      <c r="C154" s="45">
        <f t="shared" si="5"/>
        <v>-1.7673677572753079</v>
      </c>
      <c r="E154" s="16">
        <v>1156.6265000000001</v>
      </c>
      <c r="F154">
        <v>0.23876479</v>
      </c>
      <c r="G154" s="45">
        <f t="shared" si="4"/>
        <v>-0.6220297170575394</v>
      </c>
    </row>
    <row r="155" spans="1:7" x14ac:dyDescent="0.25">
      <c r="A155" s="17">
        <v>1144.5782999999999</v>
      </c>
      <c r="B155" s="45">
        <v>1.3803673000000001E-2</v>
      </c>
      <c r="C155" s="45">
        <f t="shared" si="5"/>
        <v>-1.8600053374113883</v>
      </c>
      <c r="E155" s="16">
        <v>1144.5782999999999</v>
      </c>
      <c r="F155">
        <v>0.21675262000000001</v>
      </c>
      <c r="G155" s="45">
        <f t="shared" si="4"/>
        <v>-0.66403564428005357</v>
      </c>
    </row>
    <row r="156" spans="1:7" x14ac:dyDescent="0.25">
      <c r="A156" s="17">
        <v>1132.5300999999999</v>
      </c>
      <c r="B156" s="45">
        <v>1.1143347E-2</v>
      </c>
      <c r="C156" s="45">
        <f t="shared" si="5"/>
        <v>-1.9529843454898568</v>
      </c>
      <c r="E156" s="16">
        <v>1132.5300999999999</v>
      </c>
      <c r="F156">
        <v>0.19596635000000001</v>
      </c>
      <c r="G156" s="45">
        <f t="shared" si="4"/>
        <v>-0.70781849631675375</v>
      </c>
    </row>
    <row r="157" spans="1:7" x14ac:dyDescent="0.25">
      <c r="A157" s="17">
        <v>1120.4819</v>
      </c>
      <c r="B157" s="45">
        <v>8.9923432000000008E-3</v>
      </c>
      <c r="C157" s="45">
        <f t="shared" si="5"/>
        <v>-2.0461271262610183</v>
      </c>
      <c r="E157" s="16">
        <v>1120.4819</v>
      </c>
      <c r="F157">
        <v>0.17643628</v>
      </c>
      <c r="G157" s="45">
        <f t="shared" si="4"/>
        <v>-0.75341210750496579</v>
      </c>
    </row>
    <row r="158" spans="1:7" x14ac:dyDescent="0.25">
      <c r="A158" s="17">
        <v>1108.4337</v>
      </c>
      <c r="B158" s="15">
        <v>7.2567825000000004E-3</v>
      </c>
      <c r="C158" s="45">
        <f t="shared" si="5"/>
        <v>-2.1392558933805441</v>
      </c>
      <c r="E158" s="16">
        <v>1108.4337</v>
      </c>
      <c r="F158">
        <v>0.15818070000000001</v>
      </c>
      <c r="G158" s="45">
        <f t="shared" si="4"/>
        <v>-0.80084650689919312</v>
      </c>
    </row>
    <row r="159" spans="1:7" x14ac:dyDescent="0.25">
      <c r="A159" s="17">
        <v>1096.3855000000001</v>
      </c>
      <c r="B159" s="15">
        <v>5.8587244000000002E-3</v>
      </c>
      <c r="C159" s="45">
        <f t="shared" si="5"/>
        <v>-2.2321969311398413</v>
      </c>
      <c r="E159" s="16">
        <v>1096.3855000000001</v>
      </c>
      <c r="F159">
        <v>0.14120583</v>
      </c>
      <c r="G159" s="45">
        <f t="shared" si="4"/>
        <v>-0.85014737209044433</v>
      </c>
    </row>
    <row r="160" spans="1:7" x14ac:dyDescent="0.25">
      <c r="A160" s="17">
        <v>1084.3372999999999</v>
      </c>
      <c r="B160" s="15">
        <v>4.7338685000000002E-3</v>
      </c>
      <c r="C160" s="45">
        <f t="shared" si="5"/>
        <v>-2.3247838103100995</v>
      </c>
      <c r="E160" s="16">
        <v>1084.3372999999999</v>
      </c>
      <c r="F160">
        <v>0.12550610000000001</v>
      </c>
      <c r="G160" s="45">
        <f t="shared" si="4"/>
        <v>-0.90133516556175708</v>
      </c>
    </row>
    <row r="161" spans="1:7" x14ac:dyDescent="0.25">
      <c r="A161" s="17">
        <v>1072.2891999999999</v>
      </c>
      <c r="B161" s="15">
        <v>3.8294536999999998E-3</v>
      </c>
      <c r="C161" s="45">
        <f t="shared" si="5"/>
        <v>-2.4168631769446298</v>
      </c>
      <c r="E161" s="16">
        <v>1072.2891999999999</v>
      </c>
      <c r="F161">
        <v>0.11106455</v>
      </c>
      <c r="G161" s="45">
        <f t="shared" si="4"/>
        <v>-0.95442453868430832</v>
      </c>
    </row>
    <row r="162" spans="1:7" x14ac:dyDescent="0.25">
      <c r="A162" s="17">
        <v>1060.241</v>
      </c>
      <c r="B162" s="15">
        <v>3.1024174999999998E-3</v>
      </c>
      <c r="C162" s="45">
        <f t="shared" si="5"/>
        <v>-2.5082997585064741</v>
      </c>
      <c r="E162" s="16">
        <v>1060.241</v>
      </c>
      <c r="F162">
        <v>9.7853551999999996E-2</v>
      </c>
      <c r="G162" s="45">
        <f t="shared" si="4"/>
        <v>-1.0094234052026934</v>
      </c>
    </row>
    <row r="163" spans="1:7" x14ac:dyDescent="0.25">
      <c r="A163" s="17">
        <v>1048.1928</v>
      </c>
      <c r="B163" s="15">
        <v>2.5177861000000002E-3</v>
      </c>
      <c r="C163" s="45">
        <f t="shared" si="5"/>
        <v>-2.5989811684043147</v>
      </c>
      <c r="E163" s="16">
        <v>1048.1928</v>
      </c>
      <c r="F163">
        <v>8.5835764999999994E-2</v>
      </c>
      <c r="G163" s="45">
        <f t="shared" si="4"/>
        <v>-1.0663317179118936</v>
      </c>
    </row>
    <row r="164" spans="1:7" x14ac:dyDescent="0.25">
      <c r="A164" s="17">
        <v>1036.1446000000001</v>
      </c>
      <c r="B164" s="15">
        <v>2.0472854E-3</v>
      </c>
      <c r="C164" s="45">
        <f t="shared" si="5"/>
        <v>-2.6888216106812521</v>
      </c>
      <c r="E164" s="16">
        <v>1036.1446000000001</v>
      </c>
      <c r="F164">
        <v>7.4965214000000002E-2</v>
      </c>
      <c r="G164" s="45">
        <f t="shared" si="4"/>
        <v>-1.1251402149073733</v>
      </c>
    </row>
    <row r="165" spans="1:7" x14ac:dyDescent="0.25">
      <c r="A165" s="17">
        <v>1024.0963999999999</v>
      </c>
      <c r="B165" s="15">
        <v>1.6681508E-3</v>
      </c>
      <c r="C165" s="45">
        <f t="shared" si="5"/>
        <v>-2.777764691919157</v>
      </c>
      <c r="E165" s="16">
        <v>1024.0963999999999</v>
      </c>
      <c r="F165">
        <v>6.5188566000000003E-2</v>
      </c>
      <c r="G165" s="45">
        <f t="shared" si="4"/>
        <v>-1.1858285723443329</v>
      </c>
    </row>
    <row r="166" spans="1:7" x14ac:dyDescent="0.25">
      <c r="A166" s="17">
        <v>1012.0482</v>
      </c>
      <c r="B166" s="15">
        <v>1.3621223E-3</v>
      </c>
      <c r="C166" s="45">
        <f t="shared" si="5"/>
        <v>-2.8657838969528964</v>
      </c>
      <c r="E166" s="16">
        <v>1012.0482</v>
      </c>
      <c r="F166">
        <v>5.6446472999999997E-2</v>
      </c>
      <c r="G166" s="45">
        <f t="shared" si="4"/>
        <v>-1.2483631893367422</v>
      </c>
    </row>
    <row r="167" spans="1:7" x14ac:dyDescent="0.25">
      <c r="A167" s="17">
        <v>1000</v>
      </c>
      <c r="B167" s="15">
        <v>1.1146003E-3</v>
      </c>
      <c r="C167" s="45">
        <f t="shared" si="5"/>
        <v>-2.9528808443873666</v>
      </c>
      <c r="E167" s="16">
        <v>1000</v>
      </c>
      <c r="F167">
        <v>4.8674971999999997E-2</v>
      </c>
      <c r="G167" s="45">
        <f t="shared" si="4"/>
        <v>-1.3126942896332823</v>
      </c>
    </row>
    <row r="168" spans="1:7" x14ac:dyDescent="0.25">
      <c r="A168" s="17">
        <v>987.95181000000002</v>
      </c>
      <c r="B168" s="15">
        <v>9.1394269999999997E-4</v>
      </c>
      <c r="C168" s="45">
        <f t="shared" si="5"/>
        <v>-3.0390810316774228</v>
      </c>
      <c r="E168" s="16">
        <v>987.95181000000002</v>
      </c>
      <c r="F168">
        <v>4.1806863E-2</v>
      </c>
      <c r="G168" s="45">
        <f t="shared" si="4"/>
        <v>-1.3787524187423854</v>
      </c>
    </row>
    <row r="169" spans="1:7" x14ac:dyDescent="0.25">
      <c r="A169" s="17">
        <v>975.90360999999996</v>
      </c>
      <c r="B169" s="15">
        <v>7.5088401999999998E-4</v>
      </c>
      <c r="C169" s="45">
        <f t="shared" si="5"/>
        <v>-3.1244271380474875</v>
      </c>
      <c r="E169" s="16">
        <v>975.90360999999996</v>
      </c>
      <c r="F169">
        <v>3.5773051E-2</v>
      </c>
      <c r="G169" s="45">
        <f t="shared" si="4"/>
        <v>-1.4464440183090059</v>
      </c>
    </row>
    <row r="170" spans="1:7" x14ac:dyDescent="0.25">
      <c r="A170" s="17">
        <v>963.85541999999998</v>
      </c>
      <c r="B170" s="15">
        <v>6.1805748999999998E-4</v>
      </c>
      <c r="C170" s="45">
        <f t="shared" si="5"/>
        <v>-3.2089711261595331</v>
      </c>
      <c r="E170" s="16">
        <v>963.85541999999998</v>
      </c>
      <c r="F170">
        <v>3.0503780000000001E-2</v>
      </c>
      <c r="G170" s="45">
        <f t="shared" si="4"/>
        <v>-1.5156463399508349</v>
      </c>
    </row>
    <row r="171" spans="1:7" x14ac:dyDescent="0.25">
      <c r="A171" s="17">
        <v>951.80723</v>
      </c>
      <c r="B171" s="15">
        <v>5.0961151999999997E-4</v>
      </c>
      <c r="C171" s="45">
        <f t="shared" si="5"/>
        <v>-3.2927607631376143</v>
      </c>
      <c r="E171" s="16">
        <v>951.80723</v>
      </c>
      <c r="F171">
        <v>2.5929766999999999E-2</v>
      </c>
      <c r="G171" s="45">
        <f t="shared" si="4"/>
        <v>-1.5862013857014901</v>
      </c>
    </row>
    <row r="172" spans="1:7" x14ac:dyDescent="0.25">
      <c r="A172" s="17">
        <v>939.75904000000003</v>
      </c>
      <c r="B172" s="15">
        <v>4.2088975999999997E-4</v>
      </c>
      <c r="C172" s="45">
        <f t="shared" si="5"/>
        <v>-3.3758316402524358</v>
      </c>
      <c r="E172" s="16">
        <v>939.75904000000003</v>
      </c>
      <c r="F172">
        <v>2.1983175000000001E-2</v>
      </c>
      <c r="G172" s="45">
        <f t="shared" si="4"/>
        <v>-1.6579095828224459</v>
      </c>
    </row>
    <row r="173" spans="1:7" x14ac:dyDescent="0.25">
      <c r="A173" s="17">
        <v>927.71083999999996</v>
      </c>
      <c r="B173" s="15">
        <v>3.4818430000000002E-4</v>
      </c>
      <c r="C173" s="45">
        <f t="shared" si="5"/>
        <v>-3.4581908155767822</v>
      </c>
      <c r="E173" s="16">
        <v>927.71083999999996</v>
      </c>
      <c r="F173">
        <v>1.8598447000000001E-2</v>
      </c>
      <c r="G173" s="45">
        <f t="shared" si="4"/>
        <v>-1.7305233185503002</v>
      </c>
    </row>
    <row r="174" spans="1:7" x14ac:dyDescent="0.25">
      <c r="A174" s="17">
        <v>915.66264999999999</v>
      </c>
      <c r="B174" s="15">
        <v>2.8853172999999998E-4</v>
      </c>
      <c r="C174" s="45">
        <f t="shared" si="5"/>
        <v>-3.5398064202684689</v>
      </c>
      <c r="E174" s="16">
        <v>915.66264999999999</v>
      </c>
      <c r="F174">
        <v>1.5712977999999999E-2</v>
      </c>
      <c r="G174" s="45">
        <f t="shared" si="4"/>
        <v>-1.8037414975570754</v>
      </c>
    </row>
    <row r="175" spans="1:7" x14ac:dyDescent="0.25">
      <c r="A175" s="17">
        <v>903.61446000000001</v>
      </c>
      <c r="B175" s="15">
        <v>2.3955676000000001E-4</v>
      </c>
      <c r="C175" s="45">
        <f t="shared" si="5"/>
        <v>-3.620591569371586</v>
      </c>
      <c r="E175" s="16">
        <v>903.61446000000001</v>
      </c>
      <c r="F175">
        <v>1.3267637000000001E-2</v>
      </c>
      <c r="G175" s="45">
        <f t="shared" si="4"/>
        <v>-1.8772064192036204</v>
      </c>
    </row>
    <row r="176" spans="1:7" x14ac:dyDescent="0.25">
      <c r="A176" s="17">
        <v>891.56627000000003</v>
      </c>
      <c r="B176" s="15">
        <v>1.9934250000000001E-4</v>
      </c>
      <c r="C176" s="45">
        <f t="shared" si="5"/>
        <v>-3.7004000994542459</v>
      </c>
      <c r="E176" s="16">
        <v>891.56627000000003</v>
      </c>
      <c r="F176">
        <v>1.1207155E-2</v>
      </c>
      <c r="G176" s="45">
        <f t="shared" si="4"/>
        <v>-1.9505046215366684</v>
      </c>
    </row>
    <row r="177" spans="1:7" x14ac:dyDescent="0.25">
      <c r="A177" s="17">
        <v>879.51806999999997</v>
      </c>
      <c r="B177" s="15">
        <v>1.6633376000000001E-4</v>
      </c>
      <c r="C177" s="45">
        <f t="shared" si="5"/>
        <v>-3.7790195950757837</v>
      </c>
      <c r="E177" s="16">
        <v>879.51806999999997</v>
      </c>
      <c r="F177">
        <v>9.4803929000000006E-3</v>
      </c>
      <c r="G177" s="45">
        <f t="shared" si="4"/>
        <v>-2.0231736636359785</v>
      </c>
    </row>
    <row r="178" spans="1:7" x14ac:dyDescent="0.25">
      <c r="A178" s="17">
        <v>867.46987999999999</v>
      </c>
      <c r="B178" s="15">
        <v>1.3926231999999999E-4</v>
      </c>
      <c r="C178" s="45">
        <f t="shared" si="5"/>
        <v>-3.8561663740979273</v>
      </c>
      <c r="E178" s="16">
        <v>867.46987999999999</v>
      </c>
      <c r="F178">
        <v>8.0405062000000003E-3</v>
      </c>
      <c r="G178" s="45">
        <f t="shared" si="4"/>
        <v>-2.0947166088452738</v>
      </c>
    </row>
    <row r="179" spans="1:7" x14ac:dyDescent="0.25">
      <c r="A179" s="17">
        <v>855.42169000000001</v>
      </c>
      <c r="B179" s="15">
        <v>1.1708359E-4</v>
      </c>
      <c r="C179" s="45">
        <f t="shared" si="5"/>
        <v>-3.9315039697598797</v>
      </c>
      <c r="E179" s="16">
        <v>855.42169000000001</v>
      </c>
      <c r="F179">
        <v>6.8450365999999999E-3</v>
      </c>
      <c r="G179" s="45">
        <f t="shared" si="4"/>
        <v>-2.1646242253772456</v>
      </c>
    </row>
    <row r="180" spans="1:7" x14ac:dyDescent="0.25">
      <c r="A180" s="17">
        <v>843.37348999999995</v>
      </c>
      <c r="B180" s="15">
        <v>9.8936672000000001E-5</v>
      </c>
      <c r="C180" s="45">
        <f t="shared" si="5"/>
        <v>-4.0046427023844542</v>
      </c>
      <c r="E180" s="16">
        <v>843.37348999999995</v>
      </c>
      <c r="F180">
        <v>5.8559320999999999E-3</v>
      </c>
      <c r="G180" s="45">
        <f t="shared" si="4"/>
        <v>-2.2324039675996445</v>
      </c>
    </row>
    <row r="181" spans="1:7" x14ac:dyDescent="0.25">
      <c r="A181" s="17">
        <v>831.32529999999997</v>
      </c>
      <c r="B181" s="15">
        <v>8.4103244000000005E-5</v>
      </c>
      <c r="C181" s="45">
        <f t="shared" si="5"/>
        <v>-4.0751872524288641</v>
      </c>
      <c r="E181" s="16">
        <v>831.32529999999997</v>
      </c>
      <c r="F181">
        <v>5.0395068999999999E-3</v>
      </c>
      <c r="G181" s="45">
        <f t="shared" si="4"/>
        <v>-2.2976119558333772</v>
      </c>
    </row>
    <row r="182" spans="1:7" x14ac:dyDescent="0.25">
      <c r="A182" s="17">
        <v>819.27710999999999</v>
      </c>
      <c r="B182" s="15">
        <v>7.1985263000000002E-5</v>
      </c>
      <c r="C182" s="45">
        <f t="shared" si="5"/>
        <v>-4.1427564043029985</v>
      </c>
      <c r="E182" s="16">
        <v>819.27710999999999</v>
      </c>
      <c r="F182">
        <v>4.3663375000000003E-3</v>
      </c>
      <c r="G182" s="45">
        <f t="shared" si="4"/>
        <v>-2.3598826981452725</v>
      </c>
    </row>
    <row r="183" spans="1:7" x14ac:dyDescent="0.25">
      <c r="A183" s="17">
        <v>807.22892000000002</v>
      </c>
      <c r="B183" s="15">
        <v>6.2083894000000001E-5</v>
      </c>
      <c r="C183" s="45">
        <f t="shared" si="5"/>
        <v>-4.2070210512589554</v>
      </c>
      <c r="E183" s="16">
        <v>807.22892000000002</v>
      </c>
      <c r="F183">
        <v>3.8110868999999999E-3</v>
      </c>
      <c r="G183" s="45">
        <f t="shared" si="4"/>
        <v>-2.4189511483781345</v>
      </c>
    </row>
    <row r="184" spans="1:7" x14ac:dyDescent="0.25">
      <c r="A184" s="17">
        <v>795.18071999999995</v>
      </c>
      <c r="B184" s="15">
        <v>5.3984136000000002E-5</v>
      </c>
      <c r="C184" s="45">
        <f t="shared" si="5"/>
        <v>-4.2677338449894728</v>
      </c>
      <c r="E184" s="16">
        <v>795.18071999999995</v>
      </c>
      <c r="F184">
        <v>3.3522539999999998E-3</v>
      </c>
      <c r="G184" s="45">
        <f t="shared" si="4"/>
        <v>-2.4746630823391422</v>
      </c>
    </row>
    <row r="185" spans="1:7" x14ac:dyDescent="0.25">
      <c r="A185" s="17">
        <v>783.13252999999997</v>
      </c>
      <c r="B185" s="15">
        <v>4.7342570000000001E-5</v>
      </c>
      <c r="C185" s="45">
        <f t="shared" si="5"/>
        <v>-4.3247481700122785</v>
      </c>
      <c r="E185" s="16">
        <v>783.13252999999997</v>
      </c>
      <c r="F185">
        <v>2.9718507000000001E-3</v>
      </c>
      <c r="G185" s="45">
        <f t="shared" si="4"/>
        <v>-2.5269730124736571</v>
      </c>
    </row>
    <row r="186" spans="1:7" x14ac:dyDescent="0.25">
      <c r="A186" s="17">
        <v>771.08434</v>
      </c>
      <c r="B186" s="15">
        <v>4.1877006999999998E-5</v>
      </c>
      <c r="C186" s="45">
        <f t="shared" si="5"/>
        <v>-4.3780243654324007</v>
      </c>
      <c r="E186" s="16">
        <v>771.08434</v>
      </c>
      <c r="F186">
        <v>2.6550277000000001E-3</v>
      </c>
      <c r="G186" s="45">
        <f t="shared" si="4"/>
        <v>-2.5759309435488422</v>
      </c>
    </row>
    <row r="187" spans="1:7" x14ac:dyDescent="0.25">
      <c r="A187" s="17">
        <v>759.03614000000005</v>
      </c>
      <c r="B187" s="15">
        <v>3.7357546000000002E-5</v>
      </c>
      <c r="C187" s="45">
        <f t="shared" si="5"/>
        <v>-4.4276216601095681</v>
      </c>
      <c r="E187" s="16">
        <v>759.03614000000005</v>
      </c>
      <c r="F187">
        <v>2.3896643999999998E-3</v>
      </c>
      <c r="G187" s="45">
        <f t="shared" si="4"/>
        <v>-2.6216630862744656</v>
      </c>
    </row>
    <row r="188" spans="1:7" x14ac:dyDescent="0.25">
      <c r="A188" s="17">
        <v>746.98794999999996</v>
      </c>
      <c r="B188" s="15">
        <v>3.3598432000000001E-5</v>
      </c>
      <c r="C188" s="45">
        <f t="shared" si="5"/>
        <v>-4.4736809901588916</v>
      </c>
      <c r="E188" s="16">
        <v>746.98794999999996</v>
      </c>
      <c r="F188">
        <v>2.1659625000000002E-3</v>
      </c>
      <c r="G188" s="45">
        <f t="shared" si="4"/>
        <v>-2.6643490667245735</v>
      </c>
    </row>
    <row r="189" spans="1:7" x14ac:dyDescent="0.25">
      <c r="A189" s="17">
        <v>734.93975999999998</v>
      </c>
      <c r="B189" s="15">
        <v>3.0450692000000001E-5</v>
      </c>
      <c r="C189" s="45">
        <f t="shared" si="5"/>
        <v>-4.5164028334624158</v>
      </c>
      <c r="E189" s="16">
        <v>734.93975999999998</v>
      </c>
      <c r="F189">
        <v>1.9760520999999999E-3</v>
      </c>
      <c r="G189" s="45">
        <f t="shared" si="4"/>
        <v>-2.7042016091187251</v>
      </c>
    </row>
    <row r="190" spans="1:7" x14ac:dyDescent="0.25">
      <c r="A190" s="17">
        <v>722.89157</v>
      </c>
      <c r="B190" s="15">
        <v>2.7795562000000001E-5</v>
      </c>
      <c r="C190" s="45">
        <f t="shared" si="5"/>
        <v>-4.556024540512583</v>
      </c>
      <c r="E190" s="16">
        <v>722.89157</v>
      </c>
      <c r="F190">
        <v>1.8136437E-3</v>
      </c>
      <c r="G190" s="45">
        <f t="shared" si="4"/>
        <v>-2.7414480283688514</v>
      </c>
    </row>
    <row r="191" spans="1:7" x14ac:dyDescent="0.25">
      <c r="A191" s="17">
        <v>710.84337000000005</v>
      </c>
      <c r="B191" s="15">
        <v>2.5538737000000001E-5</v>
      </c>
      <c r="C191" s="45">
        <f t="shared" si="5"/>
        <v>-4.5928005842649924</v>
      </c>
      <c r="E191" s="16">
        <v>710.84337000000005</v>
      </c>
      <c r="F191">
        <v>1.6737185E-3</v>
      </c>
      <c r="G191" s="45">
        <f t="shared" si="4"/>
        <v>-2.7763175834854841</v>
      </c>
    </row>
    <row r="192" spans="1:7" x14ac:dyDescent="0.25">
      <c r="A192" s="17">
        <v>698.79517999999996</v>
      </c>
      <c r="B192" s="15">
        <v>2.3605482E-5</v>
      </c>
      <c r="C192" s="45">
        <f t="shared" si="5"/>
        <v>-4.6269871272893619</v>
      </c>
      <c r="E192" s="16">
        <v>698.79517999999996</v>
      </c>
      <c r="F192">
        <v>1.5522755E-3</v>
      </c>
      <c r="G192" s="45">
        <f t="shared" si="4"/>
        <v>-2.8090311970523931</v>
      </c>
    </row>
    <row r="193" spans="1:7" x14ac:dyDescent="0.25">
      <c r="A193" s="17">
        <v>686.74698999999998</v>
      </c>
      <c r="B193" s="15">
        <v>2.1936577E-5</v>
      </c>
      <c r="C193" s="45">
        <f t="shared" si="5"/>
        <v>-4.6588311391127135</v>
      </c>
      <c r="E193" s="16">
        <v>686.74698999999998</v>
      </c>
      <c r="F193">
        <v>1.4461163E-3</v>
      </c>
      <c r="G193" s="45">
        <f t="shared" ref="G193:G250" si="6">LOG10(F193)</f>
        <v>-2.8397967786755212</v>
      </c>
    </row>
    <row r="194" spans="1:7" x14ac:dyDescent="0.25">
      <c r="A194" s="17">
        <v>674.69880000000001</v>
      </c>
      <c r="B194" s="15">
        <v>2.0485014999999999E-5</v>
      </c>
      <c r="C194" s="45">
        <f t="shared" si="5"/>
        <v>-4.6885637137018152</v>
      </c>
      <c r="E194" s="16">
        <v>674.69880000000001</v>
      </c>
      <c r="F194">
        <v>1.3526815000000001E-3</v>
      </c>
      <c r="G194" s="45">
        <f t="shared" si="6"/>
        <v>-2.8688044495781555</v>
      </c>
    </row>
    <row r="195" spans="1:7" x14ac:dyDescent="0.25">
      <c r="A195" s="17">
        <v>662.65060000000005</v>
      </c>
      <c r="B195" s="15">
        <v>1.9213374E-5</v>
      </c>
      <c r="C195" s="45">
        <f t="shared" ref="C195:C250" si="7">LOG10(B195)</f>
        <v>-4.7163963633571919</v>
      </c>
      <c r="E195" s="16">
        <v>662.65060000000005</v>
      </c>
      <c r="F195">
        <v>1.2699075E-3</v>
      </c>
      <c r="G195" s="45">
        <f t="shared" si="6"/>
        <v>-2.8962279118807457</v>
      </c>
    </row>
    <row r="196" spans="1:7" x14ac:dyDescent="0.25">
      <c r="A196" s="17">
        <v>650.60240999999996</v>
      </c>
      <c r="B196" s="15">
        <v>1.8091731E-5</v>
      </c>
      <c r="C196" s="45">
        <f t="shared" si="7"/>
        <v>-4.7425198782599765</v>
      </c>
      <c r="E196" s="16">
        <v>650.60240999999996</v>
      </c>
      <c r="F196">
        <v>1.1961325000000001E-3</v>
      </c>
      <c r="G196" s="45">
        <f t="shared" si="6"/>
        <v>-2.9222207092844363</v>
      </c>
    </row>
    <row r="197" spans="1:7" x14ac:dyDescent="0.25">
      <c r="A197" s="17">
        <v>638.55421999999999</v>
      </c>
      <c r="B197" s="15">
        <v>1.7096043000000001E-5</v>
      </c>
      <c r="C197" s="45">
        <f t="shared" si="7"/>
        <v>-4.7671043985043031</v>
      </c>
      <c r="E197" s="16">
        <v>638.55421999999999</v>
      </c>
      <c r="F197">
        <v>1.1299971E-3</v>
      </c>
      <c r="G197" s="45">
        <f t="shared" si="6"/>
        <v>-2.9469226710790704</v>
      </c>
    </row>
    <row r="198" spans="1:7" x14ac:dyDescent="0.25">
      <c r="A198" s="17">
        <v>626.50602000000003</v>
      </c>
      <c r="B198" s="15">
        <v>1.6206875000000001E-5</v>
      </c>
      <c r="C198" s="45">
        <f t="shared" si="7"/>
        <v>-4.7903007174828804</v>
      </c>
      <c r="E198" s="16">
        <v>626.50602000000003</v>
      </c>
      <c r="F198">
        <v>1.0704006E-3</v>
      </c>
      <c r="G198" s="45">
        <f t="shared" si="6"/>
        <v>-2.9704536561377095</v>
      </c>
    </row>
    <row r="199" spans="1:7" x14ac:dyDescent="0.25">
      <c r="A199" s="17">
        <v>614.45782999999994</v>
      </c>
      <c r="B199" s="15">
        <v>1.5408422999999999E-5</v>
      </c>
      <c r="C199" s="45">
        <f t="shared" si="7"/>
        <v>-4.8122418075790803</v>
      </c>
      <c r="E199" s="16">
        <v>614.45782999999994</v>
      </c>
      <c r="F199">
        <v>1.0164245999999999E-3</v>
      </c>
      <c r="G199" s="45">
        <f t="shared" si="6"/>
        <v>-2.9929248324892712</v>
      </c>
    </row>
    <row r="200" spans="1:7" x14ac:dyDescent="0.25">
      <c r="A200" s="17">
        <v>602.40963999999997</v>
      </c>
      <c r="B200" s="15">
        <v>1.468775E-5</v>
      </c>
      <c r="C200" s="45">
        <f t="shared" si="7"/>
        <v>-4.8330447282006004</v>
      </c>
      <c r="E200" s="16">
        <v>602.40963999999997</v>
      </c>
      <c r="F200">
        <v>9.6732090999999997E-4</v>
      </c>
      <c r="G200" s="45">
        <f t="shared" si="6"/>
        <v>-3.0144294242400265</v>
      </c>
    </row>
    <row r="201" spans="1:7" x14ac:dyDescent="0.25">
      <c r="A201" s="17">
        <v>590.36144999999999</v>
      </c>
      <c r="B201" s="15">
        <v>1.40342E-5</v>
      </c>
      <c r="C201" s="45">
        <f t="shared" si="7"/>
        <v>-4.8528123386752755</v>
      </c>
      <c r="E201" s="16">
        <v>590.36144999999999</v>
      </c>
      <c r="F201">
        <v>9.2245805000000004E-4</v>
      </c>
      <c r="G201" s="45">
        <f t="shared" si="6"/>
        <v>-3.0350533748358592</v>
      </c>
    </row>
    <row r="202" spans="1:7" x14ac:dyDescent="0.25">
      <c r="A202" s="17">
        <v>578.31325000000004</v>
      </c>
      <c r="B202" s="15">
        <v>1.3438931000000001E-5</v>
      </c>
      <c r="C202" s="45">
        <f t="shared" si="7"/>
        <v>-4.8716352758703989</v>
      </c>
      <c r="E202" s="16">
        <v>578.31325000000004</v>
      </c>
      <c r="F202">
        <v>8.8130984000000005E-4</v>
      </c>
      <c r="G202" s="45">
        <f t="shared" si="6"/>
        <v>-3.0548713808663694</v>
      </c>
    </row>
    <row r="203" spans="1:7" x14ac:dyDescent="0.25">
      <c r="A203" s="17">
        <v>566.26505999999995</v>
      </c>
      <c r="B203" s="15">
        <v>1.2894563000000001E-5</v>
      </c>
      <c r="C203" s="45">
        <f t="shared" si="7"/>
        <v>-4.8895933716264324</v>
      </c>
      <c r="E203" s="16">
        <v>566.26505999999995</v>
      </c>
      <c r="F203">
        <v>8.4343188000000002E-4</v>
      </c>
      <c r="G203" s="45">
        <f t="shared" si="6"/>
        <v>-3.0739499875677554</v>
      </c>
    </row>
    <row r="204" spans="1:7" x14ac:dyDescent="0.25">
      <c r="A204" s="17">
        <v>554.21686999999997</v>
      </c>
      <c r="B204" s="15">
        <v>1.2394894000000001E-5</v>
      </c>
      <c r="C204" s="45">
        <f t="shared" si="7"/>
        <v>-4.9067571829269729</v>
      </c>
      <c r="E204" s="16">
        <v>554.21686999999997</v>
      </c>
      <c r="F204">
        <v>8.0844703E-4</v>
      </c>
      <c r="G204" s="45">
        <f t="shared" si="6"/>
        <v>-3.0923484300956479</v>
      </c>
    </row>
    <row r="205" spans="1:7" x14ac:dyDescent="0.25">
      <c r="A205" s="17">
        <v>542.16867000000002</v>
      </c>
      <c r="B205" s="15">
        <v>1.1934681000000001E-5</v>
      </c>
      <c r="C205" s="45">
        <f t="shared" si="7"/>
        <v>-4.9231891846833022</v>
      </c>
      <c r="E205" s="16">
        <v>542.16867000000002</v>
      </c>
      <c r="F205">
        <v>7.7603332999999996E-4</v>
      </c>
      <c r="G205" s="45">
        <f t="shared" si="6"/>
        <v>-3.1101196257466674</v>
      </c>
    </row>
    <row r="206" spans="1:7" x14ac:dyDescent="0.25">
      <c r="A206" s="17">
        <v>530.12048000000004</v>
      </c>
      <c r="B206" s="15">
        <v>1.1509462999999999E-5</v>
      </c>
      <c r="C206" s="45">
        <f t="shared" si="7"/>
        <v>-4.9389449388877855</v>
      </c>
      <c r="E206" s="16">
        <v>530.12048000000004</v>
      </c>
      <c r="F206">
        <v>7.4591423000000003E-4</v>
      </c>
      <c r="G206" s="45">
        <f t="shared" si="6"/>
        <v>-3.1273111076201197</v>
      </c>
    </row>
    <row r="207" spans="1:7" x14ac:dyDescent="0.25">
      <c r="A207" s="17">
        <v>518.07228999999995</v>
      </c>
      <c r="B207" s="15">
        <v>1.1115422000000001E-5</v>
      </c>
      <c r="C207" s="45">
        <f t="shared" si="7"/>
        <v>-4.9540740445446279</v>
      </c>
      <c r="E207" s="16">
        <v>518.07228999999995</v>
      </c>
      <c r="F207">
        <v>7.1785128E-4</v>
      </c>
      <c r="G207" s="45">
        <f t="shared" si="6"/>
        <v>-3.1439655208905504</v>
      </c>
    </row>
    <row r="208" spans="1:7" x14ac:dyDescent="0.25">
      <c r="A208" s="17">
        <v>506.02409999999998</v>
      </c>
      <c r="B208" s="15">
        <v>1.0749273E-5</v>
      </c>
      <c r="C208" s="45">
        <f t="shared" si="7"/>
        <v>-4.9686209071683738</v>
      </c>
      <c r="E208" s="16">
        <v>506.02409999999998</v>
      </c>
      <c r="F208">
        <v>6.9163779999999999E-4</v>
      </c>
      <c r="G208" s="45">
        <f t="shared" si="6"/>
        <v>-3.1601212793038296</v>
      </c>
    </row>
    <row r="209" spans="1:7" x14ac:dyDescent="0.25">
      <c r="A209" s="17">
        <v>493.97590000000002</v>
      </c>
      <c r="B209" s="15">
        <v>1.0408177E-5</v>
      </c>
      <c r="C209" s="45">
        <f t="shared" si="7"/>
        <v>-4.9826253308325512</v>
      </c>
      <c r="E209" s="16">
        <v>493.97590000000002</v>
      </c>
      <c r="F209">
        <v>6.6709326000000005E-4</v>
      </c>
      <c r="G209" s="45">
        <f t="shared" si="6"/>
        <v>-3.1758134472346828</v>
      </c>
    </row>
    <row r="210" spans="1:7" x14ac:dyDescent="0.25">
      <c r="A210" s="17">
        <v>481.92770999999999</v>
      </c>
      <c r="B210" s="15">
        <v>1.0089660999999999E-5</v>
      </c>
      <c r="C210" s="45">
        <f t="shared" si="7"/>
        <v>-4.9961234252697935</v>
      </c>
      <c r="E210" s="16">
        <v>481.92770999999999</v>
      </c>
      <c r="F210">
        <v>6.4406003999999996E-4</v>
      </c>
      <c r="G210" s="45">
        <f t="shared" si="6"/>
        <v>-3.1910736453338471</v>
      </c>
    </row>
    <row r="211" spans="1:7" x14ac:dyDescent="0.25">
      <c r="A211" s="17">
        <v>469.87952000000001</v>
      </c>
      <c r="B211" s="15">
        <v>9.7915691999999996E-6</v>
      </c>
      <c r="C211" s="45">
        <f t="shared" si="7"/>
        <v>-5.0091477024471391</v>
      </c>
      <c r="E211" s="16">
        <v>469.87952000000001</v>
      </c>
      <c r="F211">
        <v>6.2239930000000004E-4</v>
      </c>
      <c r="G211" s="45">
        <f t="shared" si="6"/>
        <v>-3.2059309044603794</v>
      </c>
    </row>
    <row r="212" spans="1:7" x14ac:dyDescent="0.25">
      <c r="A212" s="17">
        <v>457.83132999999998</v>
      </c>
      <c r="B212" s="15">
        <v>9.5120075000000003E-6</v>
      </c>
      <c r="C212" s="45">
        <f t="shared" si="7"/>
        <v>-5.0217278159579806</v>
      </c>
      <c r="E212" s="16">
        <v>457.83132999999998</v>
      </c>
      <c r="F212">
        <v>6.0198830999999998E-4</v>
      </c>
      <c r="G212" s="45">
        <f t="shared" si="6"/>
        <v>-3.2204119422169053</v>
      </c>
    </row>
    <row r="213" spans="1:7" x14ac:dyDescent="0.25">
      <c r="A213" s="17">
        <v>445.78313000000003</v>
      </c>
      <c r="B213" s="15">
        <v>9.2493073000000003E-6</v>
      </c>
      <c r="C213" s="45">
        <f t="shared" si="7"/>
        <v>-5.0338907912666366</v>
      </c>
      <c r="E213" s="16">
        <v>445.78313000000003</v>
      </c>
      <c r="F213">
        <v>5.8271851E-4</v>
      </c>
      <c r="G213" s="45">
        <f t="shared" si="6"/>
        <v>-3.2345411863663749</v>
      </c>
    </row>
    <row r="214" spans="1:7" x14ac:dyDescent="0.25">
      <c r="A214" s="17">
        <v>433.73493999999999</v>
      </c>
      <c r="B214" s="15">
        <v>9.0019919999999993E-6</v>
      </c>
      <c r="C214" s="45">
        <f t="shared" si="7"/>
        <v>-5.0456613773514833</v>
      </c>
      <c r="E214" s="16">
        <v>433.73493999999999</v>
      </c>
      <c r="F214">
        <v>5.6449314999999995E-4</v>
      </c>
      <c r="G214" s="45">
        <f t="shared" si="6"/>
        <v>-3.2483413237748877</v>
      </c>
    </row>
    <row r="215" spans="1:7" x14ac:dyDescent="0.25">
      <c r="A215" s="17">
        <v>421.68675000000002</v>
      </c>
      <c r="B215" s="15">
        <v>8.7687497999999998E-6</v>
      </c>
      <c r="C215" s="45">
        <f t="shared" si="7"/>
        <v>-5.0570623215330697</v>
      </c>
      <c r="E215" s="16">
        <v>421.68675000000002</v>
      </c>
      <c r="F215">
        <v>5.4722582000000001E-4</v>
      </c>
      <c r="G215" s="45">
        <f t="shared" si="6"/>
        <v>-3.2618334192942027</v>
      </c>
    </row>
    <row r="216" spans="1:7" x14ac:dyDescent="0.25">
      <c r="A216" s="17">
        <v>409.63855000000001</v>
      </c>
      <c r="B216" s="15">
        <v>8.5484110999999994E-6</v>
      </c>
      <c r="C216" s="45">
        <f t="shared" si="7"/>
        <v>-5.0681146004330486</v>
      </c>
      <c r="E216" s="16">
        <v>409.63855000000001</v>
      </c>
      <c r="F216">
        <v>5.3083904000000002E-4</v>
      </c>
      <c r="G216" s="45">
        <f t="shared" si="6"/>
        <v>-3.2750371449012445</v>
      </c>
    </row>
    <row r="217" spans="1:7" x14ac:dyDescent="0.25">
      <c r="A217" s="17">
        <v>397.59035999999998</v>
      </c>
      <c r="B217" s="15">
        <v>8.3399290000000006E-6</v>
      </c>
      <c r="C217" s="45">
        <f t="shared" si="7"/>
        <v>-5.0788376466092</v>
      </c>
      <c r="E217" s="16">
        <v>397.59035999999998</v>
      </c>
      <c r="F217">
        <v>5.1526312000000002E-4</v>
      </c>
      <c r="G217" s="45">
        <f t="shared" si="6"/>
        <v>-3.2879709410896338</v>
      </c>
    </row>
    <row r="218" spans="1:7" x14ac:dyDescent="0.25">
      <c r="A218" s="17">
        <v>385.54217</v>
      </c>
      <c r="B218" s="15">
        <v>8.1423635000000003E-6</v>
      </c>
      <c r="C218" s="45">
        <f t="shared" si="7"/>
        <v>-5.0892495132904063</v>
      </c>
      <c r="E218" s="16">
        <v>385.54217</v>
      </c>
      <c r="F218">
        <v>5.0043517E-4</v>
      </c>
      <c r="G218" s="45">
        <f t="shared" si="6"/>
        <v>-3.30065217619646</v>
      </c>
    </row>
    <row r="219" spans="1:7" x14ac:dyDescent="0.25">
      <c r="A219" s="17">
        <v>373.49398000000002</v>
      </c>
      <c r="B219" s="15">
        <v>7.9548675000000001E-6</v>
      </c>
      <c r="C219" s="45">
        <f t="shared" si="7"/>
        <v>-5.0993670497695165</v>
      </c>
      <c r="E219" s="16">
        <v>373.49398000000002</v>
      </c>
      <c r="F219">
        <v>4.8629818000000001E-4</v>
      </c>
      <c r="G219" s="45">
        <f t="shared" si="6"/>
        <v>-3.3130973558018333</v>
      </c>
    </row>
    <row r="220" spans="1:7" x14ac:dyDescent="0.25">
      <c r="A220" s="17">
        <v>361.44578000000001</v>
      </c>
      <c r="B220" s="15">
        <v>7.7766750999999995E-6</v>
      </c>
      <c r="C220" s="45">
        <f t="shared" si="7"/>
        <v>-5.1092060449595813</v>
      </c>
      <c r="E220" s="16">
        <v>361.44578000000001</v>
      </c>
      <c r="F220">
        <v>4.7280036999999999E-4</v>
      </c>
      <c r="G220" s="45">
        <f t="shared" si="6"/>
        <v>-3.3253221922602711</v>
      </c>
    </row>
    <row r="221" spans="1:7" x14ac:dyDescent="0.25">
      <c r="A221" s="17">
        <v>349.39758999999998</v>
      </c>
      <c r="B221" s="15">
        <v>7.6070917000000004E-6</v>
      </c>
      <c r="C221" s="45">
        <f t="shared" si="7"/>
        <v>-5.1187813484927194</v>
      </c>
      <c r="E221" s="16">
        <v>349.39758999999998</v>
      </c>
      <c r="F221">
        <v>4.5989450999999999E-4</v>
      </c>
      <c r="G221" s="45">
        <f t="shared" si="6"/>
        <v>-3.337341774794166</v>
      </c>
    </row>
    <row r="222" spans="1:7" x14ac:dyDescent="0.25">
      <c r="A222" s="17">
        <v>337.3494</v>
      </c>
      <c r="B222" s="15">
        <v>7.4454849999999999E-6</v>
      </c>
      <c r="C222" s="45">
        <f t="shared" si="7"/>
        <v>-5.1281070069832291</v>
      </c>
      <c r="E222" s="16">
        <v>337.3494</v>
      </c>
      <c r="F222">
        <v>4.4753734999999998E-4</v>
      </c>
      <c r="G222" s="45">
        <f t="shared" si="6"/>
        <v>-3.3491707140419043</v>
      </c>
    </row>
    <row r="223" spans="1:7" x14ac:dyDescent="0.25">
      <c r="A223" s="17">
        <v>325.30119999999999</v>
      </c>
      <c r="B223" s="15">
        <v>7.2912777999999999E-6</v>
      </c>
      <c r="C223" s="45">
        <f t="shared" si="7"/>
        <v>-5.1371963546917305</v>
      </c>
      <c r="E223" s="16">
        <v>325.30119999999999</v>
      </c>
      <c r="F223">
        <v>4.3568917999999999E-4</v>
      </c>
      <c r="G223" s="45">
        <f t="shared" si="6"/>
        <v>-3.3608232252940891</v>
      </c>
    </row>
    <row r="224" spans="1:7" x14ac:dyDescent="0.25">
      <c r="A224" s="17">
        <v>313.25301000000002</v>
      </c>
      <c r="B224" s="15">
        <v>7.1439410999999999E-6</v>
      </c>
      <c r="C224" s="45">
        <f t="shared" si="7"/>
        <v>-5.1460621347536692</v>
      </c>
      <c r="E224" s="16">
        <v>313.25301000000002</v>
      </c>
      <c r="F224">
        <v>4.2431334E-4</v>
      </c>
      <c r="G224" s="45">
        <f t="shared" si="6"/>
        <v>-3.3723133142213246</v>
      </c>
    </row>
    <row r="225" spans="1:7" x14ac:dyDescent="0.25">
      <c r="A225" s="17">
        <v>301.20481999999998</v>
      </c>
      <c r="B225" s="15">
        <v>7.0029888999999997E-6</v>
      </c>
      <c r="C225" s="45">
        <f t="shared" si="7"/>
        <v>-5.1547165620245012</v>
      </c>
      <c r="E225" s="16">
        <v>301.20481999999998</v>
      </c>
      <c r="F225">
        <v>4.1337587E-4</v>
      </c>
      <c r="G225" s="45">
        <f t="shared" si="6"/>
        <v>-3.3836548780515057</v>
      </c>
    </row>
    <row r="226" spans="1:7" x14ac:dyDescent="0.25">
      <c r="A226" s="17">
        <v>289.15663000000001</v>
      </c>
      <c r="B226" s="15">
        <v>6.8679724E-6</v>
      </c>
      <c r="C226" s="45">
        <f t="shared" si="7"/>
        <v>-5.1631714587865707</v>
      </c>
      <c r="E226" s="16">
        <v>289.15663000000001</v>
      </c>
      <c r="F226">
        <v>4.0284517000000001E-4</v>
      </c>
      <c r="G226" s="45">
        <f t="shared" si="6"/>
        <v>-3.3948618390570995</v>
      </c>
    </row>
    <row r="227" spans="1:7" x14ac:dyDescent="0.25">
      <c r="A227" s="17">
        <v>277.10843</v>
      </c>
      <c r="B227" s="15">
        <v>6.7384763999999999E-6</v>
      </c>
      <c r="C227" s="45">
        <f t="shared" si="7"/>
        <v>-5.171438288312256</v>
      </c>
      <c r="E227" s="16">
        <v>277.10843</v>
      </c>
      <c r="F227">
        <v>3.9269164999999998E-4</v>
      </c>
      <c r="G227" s="45">
        <f t="shared" si="6"/>
        <v>-3.4059483332533356</v>
      </c>
    </row>
    <row r="228" spans="1:7" x14ac:dyDescent="0.25">
      <c r="A228" s="17">
        <v>265.06024000000002</v>
      </c>
      <c r="B228" s="15">
        <v>6.6141145000000004E-6</v>
      </c>
      <c r="C228" s="45">
        <f t="shared" si="7"/>
        <v>-5.1795282910842824</v>
      </c>
      <c r="E228" s="16">
        <v>265.06024000000002</v>
      </c>
      <c r="F228">
        <v>3.8288744999999999E-4</v>
      </c>
      <c r="G228" s="45">
        <f t="shared" si="6"/>
        <v>-3.4169288684004751</v>
      </c>
    </row>
    <row r="229" spans="1:7" x14ac:dyDescent="0.25">
      <c r="A229" s="17">
        <v>253.01204999999999</v>
      </c>
      <c r="B229" s="15">
        <v>6.4945262000000004E-6</v>
      </c>
      <c r="C229" s="45">
        <f t="shared" si="7"/>
        <v>-5.1874525268436313</v>
      </c>
      <c r="E229" s="16">
        <v>253.01204999999999</v>
      </c>
      <c r="F229">
        <v>3.7340616000000002E-4</v>
      </c>
      <c r="G229" s="45">
        <f t="shared" si="6"/>
        <v>-3.4278185218664747</v>
      </c>
    </row>
    <row r="230" spans="1:7" x14ac:dyDescent="0.25">
      <c r="A230" s="17">
        <v>240.96386000000001</v>
      </c>
      <c r="B230" s="15">
        <v>6.3793731999999996E-6</v>
      </c>
      <c r="C230" s="45">
        <f t="shared" si="7"/>
        <v>-5.1952219904252308</v>
      </c>
      <c r="E230" s="16">
        <v>240.96386000000001</v>
      </c>
      <c r="F230">
        <v>3.6422253999999999E-4</v>
      </c>
      <c r="G230" s="45">
        <f t="shared" si="6"/>
        <v>-3.4386331812903612</v>
      </c>
    </row>
    <row r="231" spans="1:7" x14ac:dyDescent="0.25">
      <c r="A231" s="17">
        <v>228.91566</v>
      </c>
      <c r="B231" s="15">
        <v>6.2683367000000003E-6</v>
      </c>
      <c r="C231" s="45">
        <f t="shared" si="7"/>
        <v>-5.2028476837055635</v>
      </c>
      <c r="E231" s="16">
        <v>228.91566</v>
      </c>
      <c r="F231">
        <v>3.5531225000000002E-4</v>
      </c>
      <c r="G231" s="45">
        <f t="shared" si="6"/>
        <v>-3.4493898192044736</v>
      </c>
    </row>
    <row r="232" spans="1:7" x14ac:dyDescent="0.25">
      <c r="A232" s="17">
        <v>216.86747</v>
      </c>
      <c r="B232" s="15">
        <v>6.1611142E-6</v>
      </c>
      <c r="C232" s="45">
        <f t="shared" si="7"/>
        <v>-5.2103407412195457</v>
      </c>
      <c r="E232" s="16">
        <v>216.86747</v>
      </c>
      <c r="F232">
        <v>3.4665158999999999E-4</v>
      </c>
      <c r="G232" s="45">
        <f t="shared" si="6"/>
        <v>-3.4601068034656635</v>
      </c>
    </row>
    <row r="233" spans="1:7" x14ac:dyDescent="0.25">
      <c r="A233" s="17">
        <v>204.81927999999999</v>
      </c>
      <c r="B233" s="15">
        <v>6.0574175000000002E-6</v>
      </c>
      <c r="C233" s="45">
        <f t="shared" si="7"/>
        <v>-5.2177124920957381</v>
      </c>
      <c r="E233" s="16">
        <v>204.81927999999999</v>
      </c>
      <c r="F233">
        <v>3.3821714999999997E-4</v>
      </c>
      <c r="G233" s="45">
        <f t="shared" si="6"/>
        <v>-3.4708043743801325</v>
      </c>
    </row>
    <row r="234" spans="1:7" x14ac:dyDescent="0.25">
      <c r="A234" s="17">
        <v>192.77108000000001</v>
      </c>
      <c r="B234" s="15">
        <v>5.9569693999999998E-6</v>
      </c>
      <c r="C234" s="45">
        <f t="shared" si="7"/>
        <v>-5.2249746307967868</v>
      </c>
      <c r="E234" s="16">
        <v>192.77108000000001</v>
      </c>
      <c r="F234">
        <v>3.2998555E-4</v>
      </c>
      <c r="G234" s="45">
        <f t="shared" si="6"/>
        <v>-3.4815050773726099</v>
      </c>
    </row>
    <row r="235" spans="1:7" x14ac:dyDescent="0.25">
      <c r="A235" s="17">
        <v>180.72289000000001</v>
      </c>
      <c r="B235" s="15">
        <v>5.8595018000000001E-6</v>
      </c>
      <c r="C235" s="45">
        <f t="shared" si="7"/>
        <v>-5.2321393079936476</v>
      </c>
      <c r="E235" s="16">
        <v>180.72289000000001</v>
      </c>
      <c r="F235">
        <v>3.2193298999999998E-4</v>
      </c>
      <c r="G235" s="45">
        <f t="shared" si="6"/>
        <v>-3.49223451681909</v>
      </c>
    </row>
    <row r="236" spans="1:7" x14ac:dyDescent="0.25">
      <c r="A236" s="17">
        <v>168.6747</v>
      </c>
      <c r="B236" s="15">
        <v>5.7647521999999997E-6</v>
      </c>
      <c r="C236" s="45">
        <f t="shared" si="7"/>
        <v>-5.2392193562765828</v>
      </c>
      <c r="E236" s="16">
        <v>168.6747</v>
      </c>
      <c r="F236">
        <v>3.1403483999999999E-4</v>
      </c>
      <c r="G236" s="45">
        <f t="shared" si="6"/>
        <v>-3.5030221672758666</v>
      </c>
    </row>
    <row r="237" spans="1:7" x14ac:dyDescent="0.25">
      <c r="A237" s="17">
        <v>156.62651</v>
      </c>
      <c r="B237" s="15">
        <v>5.6724615E-6</v>
      </c>
      <c r="C237" s="45">
        <f t="shared" si="7"/>
        <v>-5.2462284430665251</v>
      </c>
      <c r="E237" s="16">
        <v>156.62651</v>
      </c>
      <c r="F237">
        <v>3.0626505999999999E-4</v>
      </c>
      <c r="G237" s="45">
        <f t="shared" si="6"/>
        <v>-3.5139025464997795</v>
      </c>
    </row>
    <row r="238" spans="1:7" x14ac:dyDescent="0.25">
      <c r="A238" s="17">
        <v>144.57830999999999</v>
      </c>
      <c r="B238" s="15">
        <v>5.5823700999999997E-6</v>
      </c>
      <c r="C238" s="45">
        <f t="shared" si="7"/>
        <v>-5.2531813740352211</v>
      </c>
      <c r="E238" s="16">
        <v>144.57830999999999</v>
      </c>
      <c r="F238">
        <v>2.9859546999999999E-4</v>
      </c>
      <c r="G238" s="45">
        <f t="shared" si="6"/>
        <v>-3.5249167852544172</v>
      </c>
    </row>
    <row r="239" spans="1:7" x14ac:dyDescent="0.25">
      <c r="A239" s="17">
        <v>132.53012000000001</v>
      </c>
      <c r="B239" s="15">
        <v>5.4942140999999997E-6</v>
      </c>
      <c r="C239" s="45">
        <f t="shared" si="7"/>
        <v>-5.2600944208825355</v>
      </c>
      <c r="E239" s="16">
        <v>132.53012000000001</v>
      </c>
      <c r="F239">
        <v>2.9099477E-4</v>
      </c>
      <c r="G239" s="45">
        <f t="shared" si="6"/>
        <v>-3.5361148164455414</v>
      </c>
    </row>
    <row r="240" spans="1:7" x14ac:dyDescent="0.25">
      <c r="A240" s="17">
        <v>120.48193000000001</v>
      </c>
      <c r="B240" s="15">
        <v>5.4077204000000002E-6</v>
      </c>
      <c r="C240" s="45">
        <f t="shared" si="7"/>
        <v>-5.2669857711855501</v>
      </c>
      <c r="E240" s="16">
        <v>120.48193000000001</v>
      </c>
      <c r="F240">
        <v>2.8342720000000001E-4</v>
      </c>
      <c r="G240" s="45">
        <f t="shared" si="6"/>
        <v>-3.5475584736260934</v>
      </c>
    </row>
    <row r="241" spans="1:7" x14ac:dyDescent="0.25">
      <c r="A241" s="17">
        <v>108.43373</v>
      </c>
      <c r="B241" s="15">
        <v>5.3225993000000001E-6</v>
      </c>
      <c r="C241" s="45">
        <f t="shared" si="7"/>
        <v>-5.2738762274866771</v>
      </c>
      <c r="E241" s="16">
        <v>108.43373</v>
      </c>
      <c r="F241">
        <v>2.7585054000000002E-4</v>
      </c>
      <c r="G241" s="45">
        <f t="shared" si="6"/>
        <v>-3.5593261615384302</v>
      </c>
    </row>
    <row r="242" spans="1:7" x14ac:dyDescent="0.25">
      <c r="A242" s="17">
        <v>96.385542000000001</v>
      </c>
      <c r="B242" s="15">
        <v>5.2385355000000004E-6</v>
      </c>
      <c r="C242" s="45">
        <f t="shared" si="7"/>
        <v>-5.2807901086584197</v>
      </c>
      <c r="E242" s="16">
        <v>96.385542000000001</v>
      </c>
      <c r="F242">
        <v>2.6821316000000001E-4</v>
      </c>
      <c r="G242" s="45">
        <f t="shared" si="6"/>
        <v>-3.5715199171064658</v>
      </c>
    </row>
    <row r="243" spans="1:7" x14ac:dyDescent="0.25">
      <c r="A243" s="17">
        <v>84.337349000000003</v>
      </c>
      <c r="B243" s="15">
        <v>5.1551734000000003E-6</v>
      </c>
      <c r="C243" s="45">
        <f t="shared" si="7"/>
        <v>-5.287756722156093</v>
      </c>
      <c r="E243" s="16">
        <v>84.337349000000003</v>
      </c>
      <c r="F243">
        <v>2.6044925999999999E-4</v>
      </c>
      <c r="G243" s="45">
        <f t="shared" si="6"/>
        <v>-3.5842768721662934</v>
      </c>
    </row>
    <row r="244" spans="1:7" x14ac:dyDescent="0.25">
      <c r="A244" s="17">
        <v>72.289157000000003</v>
      </c>
      <c r="B244" s="15">
        <v>5.0720946E-6</v>
      </c>
      <c r="C244" s="45">
        <f t="shared" si="7"/>
        <v>-5.2948126549932688</v>
      </c>
      <c r="E244" s="16">
        <v>72.289157000000003</v>
      </c>
      <c r="F244">
        <v>2.5247097E-4</v>
      </c>
      <c r="G244" s="45">
        <f t="shared" si="6"/>
        <v>-3.5977885513814116</v>
      </c>
    </row>
    <row r="245" spans="1:7" x14ac:dyDescent="0.25">
      <c r="A245" s="17">
        <v>60.240963999999998</v>
      </c>
      <c r="B245" s="15">
        <v>4.9887785999999999E-6</v>
      </c>
      <c r="C245" s="45">
        <f t="shared" si="7"/>
        <v>-5.3020057694486464</v>
      </c>
      <c r="E245" s="16">
        <v>60.240963999999998</v>
      </c>
      <c r="F245">
        <v>2.4415390999999999E-4</v>
      </c>
      <c r="G245" s="45">
        <f t="shared" si="6"/>
        <v>-3.6123363163201518</v>
      </c>
    </row>
    <row r="246" spans="1:7" x14ac:dyDescent="0.25">
      <c r="A246" s="17">
        <v>48.192771</v>
      </c>
      <c r="B246" s="15">
        <v>4.904531E-6</v>
      </c>
      <c r="C246" s="45">
        <f t="shared" si="7"/>
        <v>-5.3094025160822866</v>
      </c>
      <c r="E246" s="16">
        <v>48.192771</v>
      </c>
      <c r="F246">
        <v>2.3530856E-4</v>
      </c>
      <c r="G246" s="45">
        <f t="shared" si="6"/>
        <v>-3.6283622738730821</v>
      </c>
    </row>
    <row r="247" spans="1:7" x14ac:dyDescent="0.25">
      <c r="A247" s="17">
        <v>36.144578000000003</v>
      </c>
      <c r="B247" s="15">
        <v>4.8183295E-6</v>
      </c>
      <c r="C247" s="45">
        <f t="shared" si="7"/>
        <v>-5.3171035042258552</v>
      </c>
      <c r="E247" s="16">
        <v>36.144578000000003</v>
      </c>
      <c r="F247">
        <v>2.2561515E-4</v>
      </c>
      <c r="G247" s="45">
        <f t="shared" si="6"/>
        <v>-3.6466317409453977</v>
      </c>
    </row>
    <row r="248" spans="1:7" x14ac:dyDescent="0.25">
      <c r="A248" s="17">
        <v>24.096385999999999</v>
      </c>
      <c r="B248" s="15">
        <v>4.7284390000000004E-6</v>
      </c>
      <c r="C248" s="45">
        <f t="shared" si="7"/>
        <v>-5.3252822092784875</v>
      </c>
      <c r="E248" s="16">
        <v>24.096385999999999</v>
      </c>
      <c r="F248">
        <v>2.1444319000000001E-4</v>
      </c>
      <c r="G248" s="45">
        <f t="shared" si="6"/>
        <v>-3.6686877409491894</v>
      </c>
    </row>
    <row r="249" spans="1:7" x14ac:dyDescent="0.25">
      <c r="A249" s="17">
        <v>12.048192999999999</v>
      </c>
      <c r="B249" s="15">
        <v>4.6310854999999999E-6</v>
      </c>
      <c r="C249" s="45">
        <f t="shared" si="7"/>
        <v>-5.334317200903012</v>
      </c>
      <c r="E249" s="16">
        <v>12.048192999999999</v>
      </c>
      <c r="F249">
        <v>2.0013539000000001E-4</v>
      </c>
      <c r="G249" s="45">
        <f t="shared" si="6"/>
        <v>-3.6986761081517856</v>
      </c>
    </row>
    <row r="250" spans="1:7" x14ac:dyDescent="0.25">
      <c r="A250" s="17">
        <v>0</v>
      </c>
      <c r="B250" s="15">
        <v>4.5093426999999996E-6</v>
      </c>
      <c r="C250" s="45">
        <f t="shared" si="7"/>
        <v>-5.3458867580260252</v>
      </c>
      <c r="E250" s="16">
        <v>0</v>
      </c>
      <c r="F250">
        <v>1.7223795E-4</v>
      </c>
      <c r="G250" s="45">
        <f t="shared" si="6"/>
        <v>-3.7638711521870434</v>
      </c>
    </row>
    <row r="251" spans="1:7" x14ac:dyDescent="0.25">
      <c r="B251" s="45"/>
      <c r="C251" s="45"/>
    </row>
    <row r="252" spans="1:7" x14ac:dyDescent="0.25">
      <c r="B252" s="45"/>
      <c r="C252" s="45"/>
    </row>
    <row r="253" spans="1:7" x14ac:dyDescent="0.25">
      <c r="B253" s="45"/>
      <c r="C253" s="45"/>
    </row>
    <row r="254" spans="1:7" x14ac:dyDescent="0.25">
      <c r="B254" s="45"/>
      <c r="C254" s="45"/>
    </row>
    <row r="255" spans="1:7" x14ac:dyDescent="0.25">
      <c r="B255" s="45"/>
      <c r="C255" s="45"/>
    </row>
    <row r="256" spans="1:7" x14ac:dyDescent="0.25">
      <c r="B256" s="45"/>
      <c r="C256" s="45"/>
    </row>
    <row r="257" spans="2:3" x14ac:dyDescent="0.25">
      <c r="B257" s="45"/>
      <c r="C257" s="45"/>
    </row>
    <row r="258" spans="2:3" x14ac:dyDescent="0.25">
      <c r="B258" s="45"/>
      <c r="C258" s="45"/>
    </row>
    <row r="259" spans="2:3" x14ac:dyDescent="0.25">
      <c r="B259" s="45"/>
      <c r="C259" s="45"/>
    </row>
    <row r="260" spans="2:3" x14ac:dyDescent="0.25">
      <c r="B260" s="45"/>
      <c r="C260" s="45"/>
    </row>
    <row r="261" spans="2:3" x14ac:dyDescent="0.25">
      <c r="B261" s="45"/>
      <c r="C261" s="45"/>
    </row>
    <row r="262" spans="2:3" x14ac:dyDescent="0.25">
      <c r="B262" s="45"/>
      <c r="C262" s="45"/>
    </row>
    <row r="263" spans="2:3" x14ac:dyDescent="0.25">
      <c r="B263" s="45"/>
      <c r="C263" s="45"/>
    </row>
    <row r="264" spans="2:3" x14ac:dyDescent="0.25">
      <c r="B264" s="45"/>
      <c r="C264" s="45"/>
    </row>
    <row r="265" spans="2:3" x14ac:dyDescent="0.25">
      <c r="B265" s="45"/>
      <c r="C265" s="45"/>
    </row>
    <row r="266" spans="2:3" x14ac:dyDescent="0.25">
      <c r="B266" s="45"/>
      <c r="C266" s="45"/>
    </row>
    <row r="267" spans="2:3" x14ac:dyDescent="0.25">
      <c r="B267" s="45"/>
      <c r="C267" s="45"/>
    </row>
    <row r="268" spans="2:3" x14ac:dyDescent="0.25">
      <c r="B268" s="45"/>
      <c r="C268" s="45"/>
    </row>
    <row r="269" spans="2:3" x14ac:dyDescent="0.25">
      <c r="B269" s="45"/>
      <c r="C269" s="45"/>
    </row>
    <row r="270" spans="2:3" x14ac:dyDescent="0.25">
      <c r="B270" s="45"/>
      <c r="C270" s="45"/>
    </row>
    <row r="271" spans="2:3" x14ac:dyDescent="0.25">
      <c r="B271" s="45"/>
      <c r="C271" s="45"/>
    </row>
    <row r="272" spans="2:3" x14ac:dyDescent="0.25">
      <c r="B272" s="45"/>
      <c r="C272" s="45"/>
    </row>
    <row r="273" spans="2:3" x14ac:dyDescent="0.25">
      <c r="B273" s="45"/>
      <c r="C273" s="45"/>
    </row>
    <row r="274" spans="2:3" x14ac:dyDescent="0.25">
      <c r="B274" s="45"/>
      <c r="C274" s="45"/>
    </row>
    <row r="275" spans="2:3" x14ac:dyDescent="0.25">
      <c r="B275" s="45"/>
      <c r="C275" s="45"/>
    </row>
    <row r="276" spans="2:3" x14ac:dyDescent="0.25">
      <c r="B276" s="45"/>
      <c r="C276" s="45"/>
    </row>
    <row r="277" spans="2:3" x14ac:dyDescent="0.25">
      <c r="B277" s="45"/>
      <c r="C277" s="45"/>
    </row>
    <row r="278" spans="2:3" x14ac:dyDescent="0.25">
      <c r="B278" s="45"/>
      <c r="C278" s="45"/>
    </row>
    <row r="279" spans="2:3" x14ac:dyDescent="0.25">
      <c r="B279" s="45"/>
      <c r="C279" s="45"/>
    </row>
    <row r="280" spans="2:3" x14ac:dyDescent="0.25">
      <c r="B280" s="45"/>
      <c r="C280" s="45"/>
    </row>
    <row r="281" spans="2:3" x14ac:dyDescent="0.25">
      <c r="B281" s="45"/>
      <c r="C281" s="45"/>
    </row>
    <row r="282" spans="2:3" x14ac:dyDescent="0.25">
      <c r="B282" s="45"/>
      <c r="C282" s="45"/>
    </row>
    <row r="283" spans="2:3" x14ac:dyDescent="0.25">
      <c r="B283" s="45"/>
      <c r="C283" s="45"/>
    </row>
    <row r="284" spans="2:3" x14ac:dyDescent="0.25">
      <c r="B284" s="45"/>
      <c r="C284" s="45"/>
    </row>
    <row r="285" spans="2:3" x14ac:dyDescent="0.25">
      <c r="B285" s="45"/>
      <c r="C285" s="45"/>
    </row>
    <row r="286" spans="2:3" x14ac:dyDescent="0.25">
      <c r="B286" s="45"/>
      <c r="C286" s="45"/>
    </row>
    <row r="287" spans="2:3" x14ac:dyDescent="0.25">
      <c r="B287" s="45"/>
      <c r="C287" s="45"/>
    </row>
    <row r="288" spans="2:3" x14ac:dyDescent="0.25">
      <c r="B288" s="45"/>
      <c r="C288" s="45"/>
    </row>
    <row r="289" spans="2:3" x14ac:dyDescent="0.25">
      <c r="B289" s="45"/>
      <c r="C289" s="45"/>
    </row>
    <row r="290" spans="2:3" x14ac:dyDescent="0.25">
      <c r="B290" s="45"/>
      <c r="C290" s="45"/>
    </row>
    <row r="291" spans="2:3" x14ac:dyDescent="0.25">
      <c r="B291" s="45"/>
      <c r="C291" s="45"/>
    </row>
    <row r="292" spans="2:3" x14ac:dyDescent="0.25">
      <c r="B292" s="45"/>
      <c r="C292" s="45"/>
    </row>
    <row r="293" spans="2:3" x14ac:dyDescent="0.25">
      <c r="B293" s="45"/>
      <c r="C293" s="45"/>
    </row>
    <row r="294" spans="2:3" x14ac:dyDescent="0.25">
      <c r="B294" s="45"/>
      <c r="C294" s="45"/>
    </row>
    <row r="295" spans="2:3" x14ac:dyDescent="0.25">
      <c r="B295" s="45"/>
      <c r="C295" s="45"/>
    </row>
    <row r="296" spans="2:3" x14ac:dyDescent="0.25">
      <c r="B296" s="45"/>
      <c r="C296" s="45"/>
    </row>
    <row r="297" spans="2:3" x14ac:dyDescent="0.25">
      <c r="B297" s="45"/>
      <c r="C297" s="45"/>
    </row>
    <row r="298" spans="2:3" x14ac:dyDescent="0.25">
      <c r="B298" s="45"/>
      <c r="C298" s="45"/>
    </row>
    <row r="299" spans="2:3" x14ac:dyDescent="0.25">
      <c r="B299" s="45"/>
      <c r="C299" s="45"/>
    </row>
    <row r="300" spans="2:3" x14ac:dyDescent="0.25">
      <c r="B300" s="45"/>
      <c r="C300" s="45"/>
    </row>
    <row r="301" spans="2:3" x14ac:dyDescent="0.25">
      <c r="B301" s="45"/>
      <c r="C301" s="45"/>
    </row>
    <row r="302" spans="2:3" x14ac:dyDescent="0.25">
      <c r="B302" s="45"/>
      <c r="C302" s="45"/>
    </row>
    <row r="303" spans="2:3" x14ac:dyDescent="0.25">
      <c r="B303" s="45"/>
      <c r="C303" s="45"/>
    </row>
    <row r="304" spans="2:3" x14ac:dyDescent="0.25">
      <c r="B304" s="45"/>
      <c r="C304" s="45"/>
    </row>
    <row r="305" spans="2:3" x14ac:dyDescent="0.25">
      <c r="B305" s="45"/>
      <c r="C305" s="45"/>
    </row>
    <row r="306" spans="2:3" x14ac:dyDescent="0.25">
      <c r="B306" s="45"/>
      <c r="C306" s="45"/>
    </row>
    <row r="307" spans="2:3" x14ac:dyDescent="0.25">
      <c r="B307" s="45"/>
      <c r="C307" s="45"/>
    </row>
    <row r="308" spans="2:3" x14ac:dyDescent="0.25">
      <c r="B308" s="45"/>
      <c r="C308" s="45"/>
    </row>
    <row r="309" spans="2:3" x14ac:dyDescent="0.25">
      <c r="B309" s="45"/>
      <c r="C309" s="45"/>
    </row>
    <row r="310" spans="2:3" x14ac:dyDescent="0.25">
      <c r="B310" s="45"/>
      <c r="C310" s="45"/>
    </row>
    <row r="311" spans="2:3" x14ac:dyDescent="0.25">
      <c r="B311" s="45"/>
      <c r="C311" s="45"/>
    </row>
    <row r="312" spans="2:3" x14ac:dyDescent="0.25">
      <c r="B312" s="45"/>
      <c r="C312" s="45"/>
    </row>
    <row r="313" spans="2:3" x14ac:dyDescent="0.25">
      <c r="B313" s="45"/>
      <c r="C313" s="45"/>
    </row>
    <row r="314" spans="2:3" x14ac:dyDescent="0.25">
      <c r="B314" s="45"/>
      <c r="C314" s="45"/>
    </row>
    <row r="315" spans="2:3" x14ac:dyDescent="0.25">
      <c r="B315" s="45"/>
      <c r="C315" s="45"/>
    </row>
    <row r="316" spans="2:3" x14ac:dyDescent="0.25">
      <c r="B316" s="45"/>
      <c r="C316" s="45"/>
    </row>
    <row r="317" spans="2:3" x14ac:dyDescent="0.25">
      <c r="B317" s="45"/>
      <c r="C317" s="45"/>
    </row>
    <row r="318" spans="2:3" x14ac:dyDescent="0.25">
      <c r="B318" s="45"/>
      <c r="C318" s="45"/>
    </row>
    <row r="319" spans="2:3" x14ac:dyDescent="0.25">
      <c r="B319" s="45"/>
      <c r="C319" s="45"/>
    </row>
    <row r="320" spans="2:3" x14ac:dyDescent="0.25">
      <c r="B320" s="45"/>
      <c r="C320" s="45"/>
    </row>
    <row r="321" spans="2:3" x14ac:dyDescent="0.25">
      <c r="B321" s="45"/>
      <c r="C321" s="45"/>
    </row>
    <row r="322" spans="2:3" x14ac:dyDescent="0.25">
      <c r="B322" s="45"/>
      <c r="C322" s="45"/>
    </row>
    <row r="323" spans="2:3" x14ac:dyDescent="0.25">
      <c r="B323" s="45"/>
      <c r="C323" s="45"/>
    </row>
    <row r="324" spans="2:3" x14ac:dyDescent="0.25">
      <c r="B324" s="45"/>
      <c r="C324" s="45"/>
    </row>
    <row r="325" spans="2:3" x14ac:dyDescent="0.25">
      <c r="B325" s="45"/>
      <c r="C325" s="45"/>
    </row>
    <row r="326" spans="2:3" x14ac:dyDescent="0.25">
      <c r="B326" s="45"/>
      <c r="C326" s="45"/>
    </row>
    <row r="327" spans="2:3" x14ac:dyDescent="0.25">
      <c r="B327" s="45"/>
      <c r="C327" s="45"/>
    </row>
    <row r="328" spans="2:3" x14ac:dyDescent="0.25">
      <c r="B328" s="45"/>
      <c r="C328" s="45"/>
    </row>
    <row r="329" spans="2:3" x14ac:dyDescent="0.25">
      <c r="B329" s="45"/>
      <c r="C329" s="45"/>
    </row>
    <row r="330" spans="2:3" x14ac:dyDescent="0.25">
      <c r="B330" s="45"/>
      <c r="C330" s="45"/>
    </row>
    <row r="331" spans="2:3" x14ac:dyDescent="0.25">
      <c r="B331" s="45"/>
      <c r="C331" s="45"/>
    </row>
    <row r="332" spans="2:3" x14ac:dyDescent="0.25">
      <c r="B332" s="45"/>
      <c r="C332" s="45"/>
    </row>
    <row r="333" spans="2:3" x14ac:dyDescent="0.25">
      <c r="B333" s="45"/>
      <c r="C333" s="45"/>
    </row>
    <row r="334" spans="2:3" x14ac:dyDescent="0.25">
      <c r="B334" s="45"/>
      <c r="C334" s="45"/>
    </row>
    <row r="335" spans="2:3" x14ac:dyDescent="0.25">
      <c r="B335" s="45"/>
      <c r="C335" s="45"/>
    </row>
    <row r="336" spans="2:3" x14ac:dyDescent="0.25">
      <c r="B336" s="45"/>
      <c r="C336" s="45"/>
    </row>
    <row r="337" spans="2:3" x14ac:dyDescent="0.25">
      <c r="B337" s="45"/>
      <c r="C337" s="45"/>
    </row>
    <row r="338" spans="2:3" x14ac:dyDescent="0.25">
      <c r="B338" s="45"/>
      <c r="C338" s="45"/>
    </row>
    <row r="339" spans="2:3" x14ac:dyDescent="0.25">
      <c r="B339" s="45"/>
      <c r="C339" s="45"/>
    </row>
    <row r="340" spans="2:3" x14ac:dyDescent="0.25">
      <c r="B340" s="45"/>
      <c r="C340" s="45"/>
    </row>
    <row r="341" spans="2:3" x14ac:dyDescent="0.25">
      <c r="B341" s="45"/>
      <c r="C341" s="45"/>
    </row>
    <row r="342" spans="2:3" x14ac:dyDescent="0.25">
      <c r="B342" s="45"/>
      <c r="C342" s="45"/>
    </row>
    <row r="343" spans="2:3" x14ac:dyDescent="0.25">
      <c r="B343" s="45"/>
      <c r="C343" s="45"/>
    </row>
    <row r="344" spans="2:3" x14ac:dyDescent="0.25">
      <c r="B344" s="45"/>
      <c r="C344" s="45"/>
    </row>
    <row r="345" spans="2:3" x14ac:dyDescent="0.25">
      <c r="B345" s="45"/>
      <c r="C345" s="45"/>
    </row>
    <row r="346" spans="2:3" x14ac:dyDescent="0.25">
      <c r="B346" s="45"/>
      <c r="C346" s="45"/>
    </row>
    <row r="347" spans="2:3" x14ac:dyDescent="0.25">
      <c r="B347" s="45"/>
      <c r="C347" s="45"/>
    </row>
    <row r="348" spans="2:3" x14ac:dyDescent="0.25">
      <c r="B348" s="45"/>
      <c r="C348" s="45"/>
    </row>
    <row r="349" spans="2:3" x14ac:dyDescent="0.25">
      <c r="B349" s="45"/>
      <c r="C349" s="45"/>
    </row>
    <row r="350" spans="2:3" x14ac:dyDescent="0.25">
      <c r="B350" s="45"/>
      <c r="C350" s="45"/>
    </row>
    <row r="351" spans="2:3" x14ac:dyDescent="0.25">
      <c r="B351" s="45"/>
      <c r="C351" s="45"/>
    </row>
    <row r="352" spans="2:3" x14ac:dyDescent="0.25">
      <c r="B352" s="45"/>
      <c r="C352" s="45"/>
    </row>
    <row r="353" spans="2:3" x14ac:dyDescent="0.25">
      <c r="B353" s="45"/>
      <c r="C353" s="45"/>
    </row>
    <row r="354" spans="2:3" x14ac:dyDescent="0.25">
      <c r="B354" s="45"/>
      <c r="C354" s="45"/>
    </row>
    <row r="355" spans="2:3" x14ac:dyDescent="0.25">
      <c r="B355" s="45"/>
      <c r="C355" s="45"/>
    </row>
    <row r="356" spans="2:3" x14ac:dyDescent="0.25">
      <c r="B356" s="45"/>
      <c r="C356" s="45"/>
    </row>
    <row r="357" spans="2:3" x14ac:dyDescent="0.25">
      <c r="B357" s="45"/>
      <c r="C357" s="45"/>
    </row>
    <row r="358" spans="2:3" x14ac:dyDescent="0.25">
      <c r="B358" s="45"/>
      <c r="C358" s="45"/>
    </row>
    <row r="359" spans="2:3" x14ac:dyDescent="0.25">
      <c r="B359" s="45"/>
      <c r="C359" s="45"/>
    </row>
    <row r="360" spans="2:3" x14ac:dyDescent="0.25">
      <c r="B360" s="45"/>
      <c r="C360" s="45"/>
    </row>
    <row r="361" spans="2:3" x14ac:dyDescent="0.25">
      <c r="B361" s="45"/>
      <c r="C361" s="45"/>
    </row>
    <row r="362" spans="2:3" x14ac:dyDescent="0.25">
      <c r="B362" s="45"/>
      <c r="C362" s="45"/>
    </row>
    <row r="363" spans="2:3" x14ac:dyDescent="0.25">
      <c r="B363" s="45"/>
      <c r="C363" s="45"/>
    </row>
    <row r="364" spans="2:3" x14ac:dyDescent="0.25">
      <c r="B364" s="45"/>
      <c r="C364" s="45"/>
    </row>
    <row r="365" spans="2:3" x14ac:dyDescent="0.25">
      <c r="B365" s="45"/>
      <c r="C365" s="45"/>
    </row>
    <row r="366" spans="2:3" x14ac:dyDescent="0.25">
      <c r="B366" s="45"/>
      <c r="C366" s="45"/>
    </row>
    <row r="367" spans="2:3" x14ac:dyDescent="0.25">
      <c r="B367" s="45"/>
      <c r="C367" s="45"/>
    </row>
    <row r="368" spans="2:3" x14ac:dyDescent="0.25">
      <c r="B368" s="45"/>
      <c r="C368" s="45"/>
    </row>
    <row r="369" spans="2:3" x14ac:dyDescent="0.25">
      <c r="B369" s="45"/>
      <c r="C369" s="45"/>
    </row>
    <row r="370" spans="2:3" x14ac:dyDescent="0.25">
      <c r="B370" s="45"/>
      <c r="C370" s="45"/>
    </row>
    <row r="371" spans="2:3" x14ac:dyDescent="0.25">
      <c r="B371" s="45"/>
      <c r="C371" s="45"/>
    </row>
    <row r="372" spans="2:3" x14ac:dyDescent="0.25">
      <c r="B372" s="45"/>
      <c r="C372" s="45"/>
    </row>
    <row r="373" spans="2:3" x14ac:dyDescent="0.25">
      <c r="B373" s="45"/>
      <c r="C373" s="45"/>
    </row>
    <row r="374" spans="2:3" x14ac:dyDescent="0.25">
      <c r="B374" s="45"/>
      <c r="C374" s="45"/>
    </row>
    <row r="375" spans="2:3" x14ac:dyDescent="0.25">
      <c r="B375" s="45"/>
      <c r="C375" s="45"/>
    </row>
    <row r="376" spans="2:3" x14ac:dyDescent="0.25">
      <c r="B376" s="45"/>
      <c r="C376" s="45"/>
    </row>
    <row r="377" spans="2:3" x14ac:dyDescent="0.25">
      <c r="B377" s="45"/>
      <c r="C377" s="45"/>
    </row>
    <row r="378" spans="2:3" x14ac:dyDescent="0.25">
      <c r="B378" s="45"/>
      <c r="C378" s="45"/>
    </row>
    <row r="379" spans="2:3" x14ac:dyDescent="0.25">
      <c r="B379" s="45"/>
      <c r="C379" s="45"/>
    </row>
    <row r="380" spans="2:3" x14ac:dyDescent="0.25">
      <c r="B380" s="45"/>
      <c r="C380" s="45"/>
    </row>
    <row r="381" spans="2:3" x14ac:dyDescent="0.25">
      <c r="B381" s="45"/>
      <c r="C381" s="45"/>
    </row>
    <row r="382" spans="2:3" x14ac:dyDescent="0.25">
      <c r="B382" s="45"/>
      <c r="C382" s="45"/>
    </row>
    <row r="383" spans="2:3" x14ac:dyDescent="0.25">
      <c r="B383" s="45"/>
      <c r="C383" s="45"/>
    </row>
    <row r="384" spans="2:3" x14ac:dyDescent="0.25">
      <c r="B384" s="45"/>
      <c r="C384" s="45"/>
    </row>
    <row r="385" spans="2:3" x14ac:dyDescent="0.25">
      <c r="B385" s="45"/>
      <c r="C385" s="45"/>
    </row>
    <row r="386" spans="2:3" x14ac:dyDescent="0.25">
      <c r="B386" s="45"/>
      <c r="C386" s="45"/>
    </row>
    <row r="387" spans="2:3" x14ac:dyDescent="0.25">
      <c r="B387" s="45"/>
      <c r="C387" s="45"/>
    </row>
    <row r="388" spans="2:3" x14ac:dyDescent="0.25">
      <c r="B388" s="45"/>
      <c r="C388" s="45"/>
    </row>
    <row r="389" spans="2:3" x14ac:dyDescent="0.25">
      <c r="B389" s="45"/>
      <c r="C389" s="45"/>
    </row>
    <row r="390" spans="2:3" x14ac:dyDescent="0.25">
      <c r="B390" s="45"/>
      <c r="C390" s="45"/>
    </row>
    <row r="391" spans="2:3" x14ac:dyDescent="0.25">
      <c r="B391" s="45"/>
      <c r="C391" s="45"/>
    </row>
    <row r="392" spans="2:3" x14ac:dyDescent="0.25">
      <c r="B392" s="45"/>
      <c r="C392" s="45"/>
    </row>
    <row r="393" spans="2:3" x14ac:dyDescent="0.25">
      <c r="B393" s="45"/>
      <c r="C393" s="45"/>
    </row>
    <row r="394" spans="2:3" x14ac:dyDescent="0.25">
      <c r="B394" s="45"/>
      <c r="C394" s="45"/>
    </row>
    <row r="395" spans="2:3" x14ac:dyDescent="0.25">
      <c r="B395" s="45"/>
      <c r="C395" s="45"/>
    </row>
    <row r="396" spans="2:3" x14ac:dyDescent="0.25">
      <c r="B396" s="45"/>
      <c r="C396" s="45"/>
    </row>
    <row r="397" spans="2:3" x14ac:dyDescent="0.25">
      <c r="B397" s="45"/>
      <c r="C397" s="45"/>
    </row>
    <row r="398" spans="2:3" x14ac:dyDescent="0.25">
      <c r="B398" s="45"/>
      <c r="C398" s="45"/>
    </row>
    <row r="399" spans="2:3" x14ac:dyDescent="0.25">
      <c r="B399" s="45"/>
      <c r="C399" s="45"/>
    </row>
    <row r="400" spans="2:3" x14ac:dyDescent="0.25">
      <c r="B400" s="45"/>
      <c r="C400" s="45"/>
    </row>
    <row r="401" spans="2:3" x14ac:dyDescent="0.25">
      <c r="B401" s="45"/>
      <c r="C401" s="45"/>
    </row>
    <row r="402" spans="2:3" x14ac:dyDescent="0.25">
      <c r="B402" s="45"/>
      <c r="C402" s="45"/>
    </row>
    <row r="403" spans="2:3" x14ac:dyDescent="0.25">
      <c r="B403" s="45"/>
      <c r="C403" s="45"/>
    </row>
    <row r="404" spans="2:3" x14ac:dyDescent="0.25">
      <c r="B404" s="45"/>
      <c r="C404" s="45"/>
    </row>
    <row r="405" spans="2:3" x14ac:dyDescent="0.25">
      <c r="B405" s="45"/>
      <c r="C405" s="45"/>
    </row>
    <row r="406" spans="2:3" x14ac:dyDescent="0.25">
      <c r="B406" s="45"/>
      <c r="C406" s="45"/>
    </row>
    <row r="407" spans="2:3" x14ac:dyDescent="0.25">
      <c r="B407" s="45"/>
      <c r="C407" s="45"/>
    </row>
    <row r="408" spans="2:3" x14ac:dyDescent="0.25">
      <c r="B408" s="45"/>
      <c r="C408" s="45"/>
    </row>
    <row r="409" spans="2:3" x14ac:dyDescent="0.25">
      <c r="B409" s="45"/>
      <c r="C409" s="45"/>
    </row>
    <row r="410" spans="2:3" x14ac:dyDescent="0.25">
      <c r="B410" s="45"/>
      <c r="C410" s="45"/>
    </row>
    <row r="411" spans="2:3" x14ac:dyDescent="0.25">
      <c r="B411" s="45"/>
      <c r="C411" s="45"/>
    </row>
    <row r="412" spans="2:3" x14ac:dyDescent="0.25">
      <c r="B412" s="45"/>
      <c r="C412" s="45"/>
    </row>
    <row r="413" spans="2:3" x14ac:dyDescent="0.25">
      <c r="B413" s="45"/>
      <c r="C413" s="45"/>
    </row>
    <row r="414" spans="2:3" x14ac:dyDescent="0.25">
      <c r="B414" s="45"/>
      <c r="C414" s="45"/>
    </row>
    <row r="415" spans="2:3" x14ac:dyDescent="0.25">
      <c r="B415" s="45"/>
      <c r="C415" s="45"/>
    </row>
    <row r="416" spans="2:3" x14ac:dyDescent="0.25">
      <c r="B416" s="45"/>
      <c r="C416" s="45"/>
    </row>
    <row r="417" spans="2:3" x14ac:dyDescent="0.25">
      <c r="B417" s="45"/>
      <c r="C417" s="45"/>
    </row>
    <row r="418" spans="2:3" x14ac:dyDescent="0.25">
      <c r="B418" s="45"/>
      <c r="C418" s="45"/>
    </row>
    <row r="419" spans="2:3" x14ac:dyDescent="0.25">
      <c r="B419" s="45"/>
      <c r="C419" s="45"/>
    </row>
    <row r="420" spans="2:3" x14ac:dyDescent="0.25">
      <c r="B420" s="45"/>
      <c r="C420" s="45"/>
    </row>
    <row r="421" spans="2:3" x14ac:dyDescent="0.25">
      <c r="B421" s="45"/>
      <c r="C421" s="45"/>
    </row>
    <row r="422" spans="2:3" x14ac:dyDescent="0.25">
      <c r="B422" s="45"/>
      <c r="C422" s="45"/>
    </row>
    <row r="423" spans="2:3" x14ac:dyDescent="0.25">
      <c r="B423" s="45"/>
      <c r="C423" s="45"/>
    </row>
    <row r="424" spans="2:3" x14ac:dyDescent="0.25">
      <c r="B424" s="45"/>
      <c r="C424" s="45"/>
    </row>
    <row r="425" spans="2:3" x14ac:dyDescent="0.25">
      <c r="B425" s="45"/>
      <c r="C425" s="45"/>
    </row>
    <row r="426" spans="2:3" x14ac:dyDescent="0.25">
      <c r="B426" s="45"/>
      <c r="C426" s="45"/>
    </row>
    <row r="427" spans="2:3" x14ac:dyDescent="0.25">
      <c r="B427" s="45"/>
      <c r="C427" s="45"/>
    </row>
    <row r="428" spans="2:3" x14ac:dyDescent="0.25">
      <c r="B428" s="45"/>
      <c r="C428" s="45"/>
    </row>
    <row r="429" spans="2:3" x14ac:dyDescent="0.25">
      <c r="B429" s="45"/>
      <c r="C429" s="45"/>
    </row>
    <row r="430" spans="2:3" x14ac:dyDescent="0.25">
      <c r="B430" s="45"/>
      <c r="C430" s="45"/>
    </row>
    <row r="431" spans="2:3" x14ac:dyDescent="0.25">
      <c r="B431" s="45"/>
      <c r="C431" s="45"/>
    </row>
    <row r="432" spans="2:3" x14ac:dyDescent="0.25">
      <c r="B432" s="45"/>
      <c r="C432" s="45"/>
    </row>
    <row r="433" spans="2:3" x14ac:dyDescent="0.25">
      <c r="B433" s="45"/>
      <c r="C433" s="45"/>
    </row>
    <row r="434" spans="2:3" x14ac:dyDescent="0.25">
      <c r="B434" s="45"/>
      <c r="C434" s="45"/>
    </row>
    <row r="435" spans="2:3" x14ac:dyDescent="0.25">
      <c r="B435" s="45"/>
      <c r="C435" s="45"/>
    </row>
    <row r="436" spans="2:3" x14ac:dyDescent="0.25">
      <c r="B436" s="45"/>
      <c r="C436" s="45"/>
    </row>
    <row r="437" spans="2:3" x14ac:dyDescent="0.25">
      <c r="B437" s="45"/>
      <c r="C437" s="45"/>
    </row>
    <row r="438" spans="2:3" x14ac:dyDescent="0.25">
      <c r="B438" s="45"/>
      <c r="C438" s="45"/>
    </row>
    <row r="439" spans="2:3" x14ac:dyDescent="0.25">
      <c r="B439" s="45"/>
      <c r="C439" s="45"/>
    </row>
    <row r="440" spans="2:3" x14ac:dyDescent="0.25">
      <c r="B440" s="45"/>
      <c r="C440" s="45"/>
    </row>
    <row r="441" spans="2:3" x14ac:dyDescent="0.25">
      <c r="B441" s="45"/>
      <c r="C441" s="45"/>
    </row>
    <row r="442" spans="2:3" x14ac:dyDescent="0.25">
      <c r="B442" s="45"/>
      <c r="C442" s="45"/>
    </row>
    <row r="443" spans="2:3" x14ac:dyDescent="0.25">
      <c r="B443" s="45"/>
      <c r="C443" s="45"/>
    </row>
    <row r="444" spans="2:3" x14ac:dyDescent="0.25">
      <c r="B444" s="45"/>
      <c r="C444" s="45"/>
    </row>
    <row r="445" spans="2:3" x14ac:dyDescent="0.25">
      <c r="B445" s="45"/>
      <c r="C445" s="45"/>
    </row>
    <row r="446" spans="2:3" x14ac:dyDescent="0.25">
      <c r="B446" s="45"/>
      <c r="C446" s="45"/>
    </row>
    <row r="447" spans="2:3" x14ac:dyDescent="0.25">
      <c r="B447" s="45"/>
      <c r="C447" s="45"/>
    </row>
    <row r="448" spans="2:3" x14ac:dyDescent="0.25">
      <c r="B448" s="45"/>
      <c r="C448" s="45"/>
    </row>
    <row r="449" spans="2:3" x14ac:dyDescent="0.25">
      <c r="B449" s="45"/>
      <c r="C449" s="45"/>
    </row>
    <row r="450" spans="2:3" x14ac:dyDescent="0.25">
      <c r="B450" s="45"/>
      <c r="C450" s="45"/>
    </row>
    <row r="451" spans="2:3" x14ac:dyDescent="0.25">
      <c r="B451" s="45"/>
      <c r="C451" s="45"/>
    </row>
    <row r="452" spans="2:3" x14ac:dyDescent="0.25">
      <c r="B452" s="45"/>
      <c r="C452" s="45"/>
    </row>
    <row r="453" spans="2:3" x14ac:dyDescent="0.25">
      <c r="B453" s="45"/>
      <c r="C453" s="45"/>
    </row>
    <row r="454" spans="2:3" x14ac:dyDescent="0.25">
      <c r="B454" s="45"/>
      <c r="C454" s="45"/>
    </row>
    <row r="455" spans="2:3" x14ac:dyDescent="0.25">
      <c r="B455" s="45"/>
      <c r="C455" s="45"/>
    </row>
    <row r="456" spans="2:3" x14ac:dyDescent="0.25">
      <c r="B456" s="45"/>
      <c r="C456" s="45"/>
    </row>
    <row r="457" spans="2:3" x14ac:dyDescent="0.25">
      <c r="B457" s="45"/>
      <c r="C457" s="45"/>
    </row>
    <row r="458" spans="2:3" x14ac:dyDescent="0.25">
      <c r="B458" s="45"/>
      <c r="C458" s="45"/>
    </row>
    <row r="459" spans="2:3" x14ac:dyDescent="0.25">
      <c r="B459" s="45"/>
      <c r="C459" s="45"/>
    </row>
    <row r="460" spans="2:3" x14ac:dyDescent="0.25">
      <c r="B460" s="45"/>
      <c r="C460" s="45"/>
    </row>
    <row r="461" spans="2:3" x14ac:dyDescent="0.25">
      <c r="B461" s="45"/>
      <c r="C461" s="45"/>
    </row>
    <row r="462" spans="2:3" x14ac:dyDescent="0.25">
      <c r="B462" s="45"/>
      <c r="C462" s="45"/>
    </row>
    <row r="463" spans="2:3" x14ac:dyDescent="0.25">
      <c r="B463" s="45"/>
      <c r="C463" s="45"/>
    </row>
    <row r="464" spans="2:3" x14ac:dyDescent="0.25">
      <c r="B464" s="45"/>
      <c r="C464" s="45"/>
    </row>
    <row r="465" spans="2:3" x14ac:dyDescent="0.25">
      <c r="B465" s="45"/>
      <c r="C465" s="45"/>
    </row>
    <row r="466" spans="2:3" x14ac:dyDescent="0.25">
      <c r="B466" s="45"/>
      <c r="C466" s="45"/>
    </row>
    <row r="467" spans="2:3" x14ac:dyDescent="0.25">
      <c r="B467" s="45"/>
      <c r="C467" s="45"/>
    </row>
    <row r="468" spans="2:3" x14ac:dyDescent="0.25">
      <c r="B468" s="45"/>
      <c r="C468" s="45"/>
    </row>
    <row r="469" spans="2:3" x14ac:dyDescent="0.25">
      <c r="B469" s="45"/>
      <c r="C469" s="45"/>
    </row>
    <row r="470" spans="2:3" x14ac:dyDescent="0.25">
      <c r="B470" s="45"/>
      <c r="C470" s="45"/>
    </row>
    <row r="471" spans="2:3" x14ac:dyDescent="0.25">
      <c r="B471" s="45"/>
      <c r="C471" s="45"/>
    </row>
    <row r="472" spans="2:3" x14ac:dyDescent="0.25">
      <c r="B472" s="45"/>
      <c r="C472" s="45"/>
    </row>
    <row r="473" spans="2:3" x14ac:dyDescent="0.25">
      <c r="B473" s="45"/>
      <c r="C473" s="45"/>
    </row>
    <row r="474" spans="2:3" x14ac:dyDescent="0.25">
      <c r="B474" s="45"/>
      <c r="C474" s="45"/>
    </row>
    <row r="475" spans="2:3" x14ac:dyDescent="0.25">
      <c r="B475" s="45"/>
      <c r="C475" s="45"/>
    </row>
    <row r="476" spans="2:3" x14ac:dyDescent="0.25">
      <c r="B476" s="45"/>
      <c r="C476" s="45"/>
    </row>
    <row r="477" spans="2:3" x14ac:dyDescent="0.25">
      <c r="B477" s="45"/>
      <c r="C477" s="45"/>
    </row>
    <row r="478" spans="2:3" x14ac:dyDescent="0.25">
      <c r="B478" s="45"/>
      <c r="C478" s="45"/>
    </row>
    <row r="479" spans="2:3" x14ac:dyDescent="0.25">
      <c r="B479" s="45"/>
      <c r="C479" s="45"/>
    </row>
    <row r="480" spans="2:3" x14ac:dyDescent="0.25">
      <c r="B480" s="45"/>
      <c r="C480" s="45"/>
    </row>
    <row r="481" spans="2:3" x14ac:dyDescent="0.25">
      <c r="B481" s="45"/>
      <c r="C481" s="45"/>
    </row>
    <row r="482" spans="2:3" x14ac:dyDescent="0.25">
      <c r="B482" s="45"/>
      <c r="C482" s="45"/>
    </row>
    <row r="483" spans="2:3" x14ac:dyDescent="0.25">
      <c r="B483" s="45"/>
      <c r="C483" s="45"/>
    </row>
    <row r="484" spans="2:3" x14ac:dyDescent="0.25">
      <c r="B484" s="45"/>
      <c r="C484" s="45"/>
    </row>
    <row r="485" spans="2:3" x14ac:dyDescent="0.25">
      <c r="B485" s="45"/>
      <c r="C485" s="45"/>
    </row>
    <row r="486" spans="2:3" x14ac:dyDescent="0.25">
      <c r="B486" s="45"/>
      <c r="C486" s="45"/>
    </row>
    <row r="487" spans="2:3" x14ac:dyDescent="0.25">
      <c r="B487" s="45"/>
      <c r="C487" s="45"/>
    </row>
    <row r="488" spans="2:3" x14ac:dyDescent="0.25">
      <c r="B488" s="45"/>
      <c r="C488" s="45"/>
    </row>
    <row r="489" spans="2:3" x14ac:dyDescent="0.25">
      <c r="B489" s="45"/>
      <c r="C489" s="45"/>
    </row>
    <row r="490" spans="2:3" x14ac:dyDescent="0.25">
      <c r="B490" s="45"/>
      <c r="C490" s="45"/>
    </row>
    <row r="491" spans="2:3" x14ac:dyDescent="0.25">
      <c r="B491" s="45"/>
      <c r="C491" s="45"/>
    </row>
    <row r="492" spans="2:3" x14ac:dyDescent="0.25">
      <c r="B492" s="45"/>
      <c r="C492" s="45"/>
    </row>
    <row r="493" spans="2:3" x14ac:dyDescent="0.25">
      <c r="B493" s="45"/>
      <c r="C493" s="45"/>
    </row>
    <row r="494" spans="2:3" x14ac:dyDescent="0.25">
      <c r="B494" s="45"/>
      <c r="C494" s="45"/>
    </row>
    <row r="495" spans="2:3" x14ac:dyDescent="0.25">
      <c r="B495" s="45"/>
      <c r="C495" s="45"/>
    </row>
    <row r="496" spans="2:3" x14ac:dyDescent="0.25">
      <c r="B496" s="45"/>
      <c r="C496" s="45"/>
    </row>
    <row r="497" spans="2:3" x14ac:dyDescent="0.25">
      <c r="B497" s="45"/>
      <c r="C497" s="45"/>
    </row>
    <row r="498" spans="2:3" x14ac:dyDescent="0.25">
      <c r="B498" s="45"/>
      <c r="C498" s="45"/>
    </row>
    <row r="499" spans="2:3" x14ac:dyDescent="0.25">
      <c r="B499" s="45"/>
      <c r="C499" s="45"/>
    </row>
    <row r="500" spans="2:3" x14ac:dyDescent="0.25">
      <c r="B500" s="45"/>
      <c r="C500" s="45"/>
    </row>
    <row r="501" spans="2:3" x14ac:dyDescent="0.25">
      <c r="B501" s="45"/>
      <c r="C501" s="45"/>
    </row>
    <row r="502" spans="2:3" x14ac:dyDescent="0.25">
      <c r="B502" s="45"/>
      <c r="C502" s="45"/>
    </row>
    <row r="503" spans="2:3" x14ac:dyDescent="0.25">
      <c r="B503" s="45"/>
      <c r="C503" s="45"/>
    </row>
    <row r="504" spans="2:3" x14ac:dyDescent="0.25">
      <c r="B504" s="45"/>
      <c r="C504" s="45"/>
    </row>
    <row r="505" spans="2:3" x14ac:dyDescent="0.25">
      <c r="B505" s="45"/>
      <c r="C505" s="45"/>
    </row>
    <row r="506" spans="2:3" x14ac:dyDescent="0.25">
      <c r="B506" s="45"/>
      <c r="C506" s="45"/>
    </row>
    <row r="507" spans="2:3" x14ac:dyDescent="0.25">
      <c r="B507" s="45"/>
      <c r="C507" s="45"/>
    </row>
    <row r="508" spans="2:3" x14ac:dyDescent="0.25">
      <c r="B508" s="45"/>
      <c r="C508" s="45"/>
    </row>
    <row r="509" spans="2:3" x14ac:dyDescent="0.25">
      <c r="B509" s="45"/>
      <c r="C509" s="45"/>
    </row>
    <row r="510" spans="2:3" x14ac:dyDescent="0.25">
      <c r="B510" s="45"/>
      <c r="C510" s="45"/>
    </row>
    <row r="511" spans="2:3" x14ac:dyDescent="0.25">
      <c r="B511" s="45"/>
      <c r="C511" s="45"/>
    </row>
    <row r="512" spans="2:3" x14ac:dyDescent="0.25">
      <c r="B512" s="45"/>
      <c r="C512" s="45"/>
    </row>
    <row r="513" spans="2:3" x14ac:dyDescent="0.25">
      <c r="B513" s="45"/>
      <c r="C513" s="45"/>
    </row>
    <row r="514" spans="2:3" x14ac:dyDescent="0.25">
      <c r="B514" s="45"/>
      <c r="C514" s="45"/>
    </row>
    <row r="515" spans="2:3" x14ac:dyDescent="0.25">
      <c r="B515" s="45"/>
      <c r="C515" s="45"/>
    </row>
    <row r="516" spans="2:3" x14ac:dyDescent="0.25">
      <c r="B516" s="45"/>
      <c r="C516" s="45"/>
    </row>
    <row r="517" spans="2:3" x14ac:dyDescent="0.25">
      <c r="B517" s="45"/>
      <c r="C517" s="45"/>
    </row>
    <row r="518" spans="2:3" x14ac:dyDescent="0.25">
      <c r="B518" s="45"/>
      <c r="C518" s="45"/>
    </row>
    <row r="519" spans="2:3" x14ac:dyDescent="0.25">
      <c r="B519" s="45"/>
      <c r="C519" s="45"/>
    </row>
    <row r="520" spans="2:3" x14ac:dyDescent="0.25">
      <c r="B520" s="45"/>
      <c r="C520" s="45"/>
    </row>
    <row r="521" spans="2:3" x14ac:dyDescent="0.25">
      <c r="B521" s="45"/>
      <c r="C521" s="45"/>
    </row>
    <row r="522" spans="2:3" x14ac:dyDescent="0.25">
      <c r="B522" s="45"/>
      <c r="C522" s="45"/>
    </row>
    <row r="523" spans="2:3" x14ac:dyDescent="0.25">
      <c r="B523" s="45"/>
      <c r="C523" s="45"/>
    </row>
    <row r="524" spans="2:3" x14ac:dyDescent="0.25">
      <c r="B524" s="45"/>
      <c r="C524" s="45"/>
    </row>
    <row r="525" spans="2:3" x14ac:dyDescent="0.25">
      <c r="B525" s="45"/>
      <c r="C525" s="45"/>
    </row>
    <row r="526" spans="2:3" x14ac:dyDescent="0.25">
      <c r="B526" s="45"/>
      <c r="C526" s="45"/>
    </row>
    <row r="527" spans="2:3" x14ac:dyDescent="0.25">
      <c r="B527" s="45"/>
      <c r="C527" s="45"/>
    </row>
    <row r="528" spans="2:3" x14ac:dyDescent="0.25">
      <c r="B528" s="45"/>
      <c r="C528" s="45"/>
    </row>
    <row r="529" spans="2:3" x14ac:dyDescent="0.25">
      <c r="B529" s="45"/>
      <c r="C529" s="45"/>
    </row>
    <row r="530" spans="2:3" x14ac:dyDescent="0.25">
      <c r="B530" s="45"/>
      <c r="C530" s="45"/>
    </row>
    <row r="531" spans="2:3" x14ac:dyDescent="0.25">
      <c r="B531" s="45"/>
      <c r="C531" s="45"/>
    </row>
    <row r="532" spans="2:3" x14ac:dyDescent="0.25">
      <c r="B532" s="45"/>
      <c r="C532" s="45"/>
    </row>
    <row r="533" spans="2:3" x14ac:dyDescent="0.25">
      <c r="B533" s="45"/>
      <c r="C533" s="45"/>
    </row>
    <row r="534" spans="2:3" x14ac:dyDescent="0.25">
      <c r="B534" s="45"/>
      <c r="C534" s="45"/>
    </row>
    <row r="535" spans="2:3" x14ac:dyDescent="0.25">
      <c r="B535" s="45"/>
      <c r="C535" s="45"/>
    </row>
    <row r="536" spans="2:3" x14ac:dyDescent="0.25">
      <c r="B536" s="45"/>
      <c r="C536" s="45"/>
    </row>
    <row r="537" spans="2:3" x14ac:dyDescent="0.25">
      <c r="B537" s="45"/>
      <c r="C537" s="45"/>
    </row>
    <row r="538" spans="2:3" x14ac:dyDescent="0.25">
      <c r="B538" s="45"/>
      <c r="C538" s="45"/>
    </row>
    <row r="539" spans="2:3" x14ac:dyDescent="0.25">
      <c r="B539" s="45"/>
      <c r="C539" s="45"/>
    </row>
    <row r="540" spans="2:3" x14ac:dyDescent="0.25">
      <c r="B540" s="45"/>
      <c r="C540" s="45"/>
    </row>
    <row r="541" spans="2:3" x14ac:dyDescent="0.25">
      <c r="B541" s="45"/>
      <c r="C541" s="45"/>
    </row>
    <row r="542" spans="2:3" x14ac:dyDescent="0.25">
      <c r="B542" s="45"/>
      <c r="C542" s="45"/>
    </row>
    <row r="543" spans="2:3" x14ac:dyDescent="0.25">
      <c r="B543" s="45"/>
      <c r="C543" s="45"/>
    </row>
    <row r="544" spans="2:3" x14ac:dyDescent="0.25">
      <c r="B544" s="45"/>
      <c r="C544" s="45"/>
    </row>
    <row r="545" spans="2:3" x14ac:dyDescent="0.25">
      <c r="B545" s="45"/>
      <c r="C545" s="45"/>
    </row>
    <row r="546" spans="2:3" x14ac:dyDescent="0.25">
      <c r="B546" s="45"/>
      <c r="C546" s="45"/>
    </row>
    <row r="547" spans="2:3" x14ac:dyDescent="0.25">
      <c r="B547" s="45"/>
      <c r="C547" s="45"/>
    </row>
    <row r="548" spans="2:3" x14ac:dyDescent="0.25">
      <c r="B548" s="45"/>
      <c r="C548" s="45"/>
    </row>
    <row r="549" spans="2:3" x14ac:dyDescent="0.25">
      <c r="B549" s="45"/>
      <c r="C549" s="45"/>
    </row>
    <row r="550" spans="2:3" x14ac:dyDescent="0.25">
      <c r="B550" s="45"/>
      <c r="C550" s="45"/>
    </row>
    <row r="551" spans="2:3" x14ac:dyDescent="0.25">
      <c r="B551" s="45"/>
      <c r="C551" s="45"/>
    </row>
    <row r="552" spans="2:3" x14ac:dyDescent="0.25">
      <c r="B552" s="45"/>
      <c r="C552" s="45"/>
    </row>
    <row r="553" spans="2:3" x14ac:dyDescent="0.25">
      <c r="B553" s="45"/>
      <c r="C553" s="45"/>
    </row>
    <row r="554" spans="2:3" x14ac:dyDescent="0.25">
      <c r="B554" s="45"/>
      <c r="C554" s="45"/>
    </row>
    <row r="555" spans="2:3" x14ac:dyDescent="0.25">
      <c r="B555" s="45"/>
      <c r="C555" s="45"/>
    </row>
    <row r="556" spans="2:3" x14ac:dyDescent="0.25">
      <c r="B556" s="45"/>
      <c r="C556" s="45"/>
    </row>
    <row r="557" spans="2:3" x14ac:dyDescent="0.25">
      <c r="B557" s="45"/>
      <c r="C557" s="45"/>
    </row>
    <row r="558" spans="2:3" x14ac:dyDescent="0.25">
      <c r="B558" s="45"/>
      <c r="C558" s="45"/>
    </row>
    <row r="559" spans="2:3" x14ac:dyDescent="0.25">
      <c r="B559" s="45"/>
      <c r="C559" s="45"/>
    </row>
    <row r="560" spans="2:3" x14ac:dyDescent="0.25">
      <c r="B560" s="45"/>
      <c r="C560" s="45"/>
    </row>
    <row r="561" spans="2:3" x14ac:dyDescent="0.25">
      <c r="B561" s="45"/>
      <c r="C561" s="45"/>
    </row>
    <row r="562" spans="2:3" x14ac:dyDescent="0.25">
      <c r="B562" s="45"/>
      <c r="C562" s="45"/>
    </row>
    <row r="563" spans="2:3" x14ac:dyDescent="0.25">
      <c r="B563" s="45"/>
      <c r="C563" s="45"/>
    </row>
    <row r="564" spans="2:3" x14ac:dyDescent="0.25">
      <c r="B564" s="45"/>
      <c r="C564" s="45"/>
    </row>
    <row r="565" spans="2:3" x14ac:dyDescent="0.25">
      <c r="B565" s="45"/>
      <c r="C565" s="45"/>
    </row>
    <row r="566" spans="2:3" x14ac:dyDescent="0.25">
      <c r="B566" s="45"/>
      <c r="C566" s="45"/>
    </row>
    <row r="567" spans="2:3" x14ac:dyDescent="0.25">
      <c r="B567" s="45"/>
      <c r="C567" s="45"/>
    </row>
    <row r="568" spans="2:3" x14ac:dyDescent="0.25">
      <c r="B568" s="45"/>
      <c r="C568" s="45"/>
    </row>
    <row r="569" spans="2:3" x14ac:dyDescent="0.25">
      <c r="B569" s="45"/>
      <c r="C569" s="45"/>
    </row>
    <row r="570" spans="2:3" x14ac:dyDescent="0.25">
      <c r="B570" s="45"/>
      <c r="C570" s="45"/>
    </row>
    <row r="571" spans="2:3" x14ac:dyDescent="0.25">
      <c r="B571" s="45"/>
      <c r="C571" s="45"/>
    </row>
    <row r="572" spans="2:3" x14ac:dyDescent="0.25">
      <c r="B572" s="45"/>
      <c r="C572" s="45"/>
    </row>
    <row r="573" spans="2:3" x14ac:dyDescent="0.25">
      <c r="B573" s="45"/>
      <c r="C573" s="45"/>
    </row>
    <row r="574" spans="2:3" x14ac:dyDescent="0.25">
      <c r="B574" s="45"/>
      <c r="C574" s="45"/>
    </row>
    <row r="575" spans="2:3" x14ac:dyDescent="0.25">
      <c r="B575" s="45"/>
      <c r="C575" s="45"/>
    </row>
    <row r="576" spans="2:3" x14ac:dyDescent="0.25">
      <c r="B576" s="45"/>
      <c r="C576" s="45"/>
    </row>
    <row r="577" spans="2:3" x14ac:dyDescent="0.25">
      <c r="B577" s="45"/>
      <c r="C577" s="45"/>
    </row>
    <row r="578" spans="2:3" x14ac:dyDescent="0.25">
      <c r="B578" s="45"/>
      <c r="C578" s="45"/>
    </row>
    <row r="579" spans="2:3" x14ac:dyDescent="0.25">
      <c r="B579" s="45"/>
      <c r="C579" s="45"/>
    </row>
    <row r="580" spans="2:3" x14ac:dyDescent="0.25">
      <c r="B580" s="45"/>
      <c r="C580" s="45"/>
    </row>
    <row r="581" spans="2:3" x14ac:dyDescent="0.25">
      <c r="B581" s="45"/>
      <c r="C581" s="45"/>
    </row>
    <row r="582" spans="2:3" x14ac:dyDescent="0.25">
      <c r="B582" s="45"/>
      <c r="C582" s="45"/>
    </row>
    <row r="583" spans="2:3" x14ac:dyDescent="0.25">
      <c r="B583" s="45"/>
      <c r="C583" s="45"/>
    </row>
    <row r="584" spans="2:3" x14ac:dyDescent="0.25">
      <c r="B584" s="45"/>
      <c r="C584" s="45"/>
    </row>
    <row r="585" spans="2:3" x14ac:dyDescent="0.25">
      <c r="B585" s="45"/>
      <c r="C585" s="45"/>
    </row>
    <row r="586" spans="2:3" x14ac:dyDescent="0.25">
      <c r="B586" s="45"/>
      <c r="C586" s="45"/>
    </row>
    <row r="587" spans="2:3" x14ac:dyDescent="0.25">
      <c r="B587" s="45"/>
      <c r="C587" s="45"/>
    </row>
    <row r="588" spans="2:3" x14ac:dyDescent="0.25">
      <c r="B588" s="45"/>
      <c r="C588" s="45"/>
    </row>
    <row r="589" spans="2:3" x14ac:dyDescent="0.25">
      <c r="B589" s="45"/>
      <c r="C589" s="45"/>
    </row>
    <row r="590" spans="2:3" x14ac:dyDescent="0.25">
      <c r="B590" s="45"/>
      <c r="C590" s="45"/>
    </row>
    <row r="591" spans="2:3" x14ac:dyDescent="0.25">
      <c r="B591" s="45"/>
      <c r="C591" s="45"/>
    </row>
    <row r="592" spans="2:3" x14ac:dyDescent="0.25">
      <c r="B592" s="45"/>
      <c r="C592" s="45"/>
    </row>
    <row r="593" spans="2:3" x14ac:dyDescent="0.25">
      <c r="B593" s="45"/>
      <c r="C593" s="45"/>
    </row>
    <row r="594" spans="2:3" x14ac:dyDescent="0.25">
      <c r="B594" s="45"/>
      <c r="C594" s="45"/>
    </row>
    <row r="595" spans="2:3" x14ac:dyDescent="0.25">
      <c r="B595" s="15"/>
      <c r="C595" s="45"/>
    </row>
    <row r="596" spans="2:3" x14ac:dyDescent="0.25">
      <c r="B596" s="15"/>
      <c r="C596" s="45"/>
    </row>
    <row r="597" spans="2:3" x14ac:dyDescent="0.25">
      <c r="B597" s="15"/>
      <c r="C597" s="45"/>
    </row>
    <row r="598" spans="2:3" x14ac:dyDescent="0.25">
      <c r="B598" s="15"/>
      <c r="C598" s="45"/>
    </row>
    <row r="599" spans="2:3" x14ac:dyDescent="0.25">
      <c r="B599" s="15"/>
      <c r="C599" s="45"/>
    </row>
    <row r="600" spans="2:3" x14ac:dyDescent="0.25">
      <c r="B600" s="15"/>
      <c r="C600" s="45"/>
    </row>
    <row r="601" spans="2:3" x14ac:dyDescent="0.25">
      <c r="B601" s="15"/>
      <c r="C601" s="45"/>
    </row>
    <row r="602" spans="2:3" x14ac:dyDescent="0.25">
      <c r="B602" s="15"/>
      <c r="C602" s="45"/>
    </row>
    <row r="603" spans="2:3" x14ac:dyDescent="0.25">
      <c r="B603" s="15"/>
      <c r="C603" s="45"/>
    </row>
    <row r="604" spans="2:3" x14ac:dyDescent="0.25">
      <c r="B604" s="15"/>
      <c r="C604" s="45"/>
    </row>
    <row r="605" spans="2:3" x14ac:dyDescent="0.25">
      <c r="B605" s="15"/>
      <c r="C605" s="45"/>
    </row>
    <row r="606" spans="2:3" x14ac:dyDescent="0.25">
      <c r="B606" s="15"/>
      <c r="C606" s="45"/>
    </row>
    <row r="607" spans="2:3" x14ac:dyDescent="0.25">
      <c r="B607" s="15"/>
      <c r="C607" s="45"/>
    </row>
    <row r="608" spans="2:3" x14ac:dyDescent="0.25">
      <c r="B608" s="15"/>
      <c r="C608" s="45"/>
    </row>
    <row r="609" spans="2:3" x14ac:dyDescent="0.25">
      <c r="B609" s="15"/>
      <c r="C609" s="45"/>
    </row>
    <row r="610" spans="2:3" x14ac:dyDescent="0.25">
      <c r="B610" s="15"/>
      <c r="C610" s="45"/>
    </row>
    <row r="611" spans="2:3" x14ac:dyDescent="0.25">
      <c r="B611" s="15"/>
      <c r="C611" s="45"/>
    </row>
    <row r="612" spans="2:3" x14ac:dyDescent="0.25">
      <c r="B612" s="15"/>
      <c r="C612" s="45"/>
    </row>
    <row r="613" spans="2:3" x14ac:dyDescent="0.25">
      <c r="B613" s="15"/>
      <c r="C613" s="45"/>
    </row>
    <row r="614" spans="2:3" x14ac:dyDescent="0.25">
      <c r="B614" s="15"/>
      <c r="C614" s="45"/>
    </row>
    <row r="615" spans="2:3" x14ac:dyDescent="0.25">
      <c r="B615" s="15"/>
      <c r="C615" s="45"/>
    </row>
    <row r="616" spans="2:3" x14ac:dyDescent="0.25">
      <c r="B616" s="15"/>
      <c r="C616" s="45"/>
    </row>
    <row r="617" spans="2:3" x14ac:dyDescent="0.25">
      <c r="B617" s="15"/>
      <c r="C617" s="45"/>
    </row>
    <row r="618" spans="2:3" x14ac:dyDescent="0.25">
      <c r="B618" s="15"/>
      <c r="C618" s="45"/>
    </row>
    <row r="619" spans="2:3" x14ac:dyDescent="0.25">
      <c r="B619" s="15"/>
      <c r="C619" s="45"/>
    </row>
    <row r="620" spans="2:3" x14ac:dyDescent="0.25">
      <c r="B620" s="15"/>
      <c r="C620" s="45"/>
    </row>
    <row r="621" spans="2:3" x14ac:dyDescent="0.25">
      <c r="B621" s="15"/>
      <c r="C621" s="45"/>
    </row>
    <row r="622" spans="2:3" x14ac:dyDescent="0.25">
      <c r="B622" s="15"/>
      <c r="C622" s="45"/>
    </row>
    <row r="623" spans="2:3" x14ac:dyDescent="0.25">
      <c r="B623" s="15"/>
      <c r="C623" s="45"/>
    </row>
    <row r="624" spans="2:3" x14ac:dyDescent="0.25">
      <c r="B624" s="15"/>
      <c r="C624" s="45"/>
    </row>
    <row r="625" spans="2:3" x14ac:dyDescent="0.25">
      <c r="B625" s="15"/>
      <c r="C625" s="45"/>
    </row>
    <row r="626" spans="2:3" x14ac:dyDescent="0.25">
      <c r="B626" s="15"/>
      <c r="C626" s="45"/>
    </row>
    <row r="627" spans="2:3" x14ac:dyDescent="0.25">
      <c r="B627" s="15"/>
      <c r="C627" s="45"/>
    </row>
    <row r="628" spans="2:3" x14ac:dyDescent="0.25">
      <c r="B628" s="15"/>
      <c r="C628" s="45"/>
    </row>
    <row r="629" spans="2:3" x14ac:dyDescent="0.25">
      <c r="B629" s="15"/>
      <c r="C629" s="45"/>
    </row>
    <row r="630" spans="2:3" x14ac:dyDescent="0.25">
      <c r="B630" s="15"/>
      <c r="C630" s="45"/>
    </row>
    <row r="631" spans="2:3" x14ac:dyDescent="0.25">
      <c r="B631" s="15"/>
      <c r="C631" s="45"/>
    </row>
    <row r="632" spans="2:3" x14ac:dyDescent="0.25">
      <c r="B632" s="15"/>
      <c r="C632" s="45"/>
    </row>
    <row r="633" spans="2:3" x14ac:dyDescent="0.25">
      <c r="B633" s="15"/>
      <c r="C633" s="45"/>
    </row>
    <row r="634" spans="2:3" x14ac:dyDescent="0.25">
      <c r="B634" s="15"/>
      <c r="C634" s="45"/>
    </row>
    <row r="635" spans="2:3" x14ac:dyDescent="0.25">
      <c r="B635" s="15"/>
      <c r="C635" s="45"/>
    </row>
    <row r="636" spans="2:3" x14ac:dyDescent="0.25">
      <c r="B636" s="15"/>
      <c r="C636" s="45"/>
    </row>
    <row r="637" spans="2:3" x14ac:dyDescent="0.25">
      <c r="B637" s="15"/>
      <c r="C637" s="45"/>
    </row>
    <row r="638" spans="2:3" x14ac:dyDescent="0.25">
      <c r="B638" s="15"/>
      <c r="C638" s="45"/>
    </row>
    <row r="639" spans="2:3" x14ac:dyDescent="0.25">
      <c r="B639" s="15"/>
      <c r="C639" s="45"/>
    </row>
    <row r="640" spans="2:3" x14ac:dyDescent="0.25">
      <c r="B640" s="15"/>
      <c r="C640" s="45"/>
    </row>
    <row r="641" spans="2:3" x14ac:dyDescent="0.25">
      <c r="B641" s="15"/>
      <c r="C641" s="45"/>
    </row>
    <row r="642" spans="2:3" x14ac:dyDescent="0.25">
      <c r="B642" s="15"/>
      <c r="C642" s="45"/>
    </row>
    <row r="643" spans="2:3" x14ac:dyDescent="0.25">
      <c r="B643" s="15"/>
      <c r="C643" s="45"/>
    </row>
    <row r="644" spans="2:3" x14ac:dyDescent="0.25">
      <c r="B644" s="15"/>
      <c r="C644" s="45"/>
    </row>
    <row r="645" spans="2:3" x14ac:dyDescent="0.25">
      <c r="B645" s="15"/>
      <c r="C645" s="45"/>
    </row>
    <row r="646" spans="2:3" x14ac:dyDescent="0.25">
      <c r="B646" s="15"/>
      <c r="C646" s="45"/>
    </row>
    <row r="647" spans="2:3" x14ac:dyDescent="0.25">
      <c r="B647" s="15"/>
      <c r="C647" s="45"/>
    </row>
    <row r="648" spans="2:3" x14ac:dyDescent="0.25">
      <c r="B648" s="15"/>
      <c r="C648" s="45"/>
    </row>
    <row r="649" spans="2:3" x14ac:dyDescent="0.25">
      <c r="B649" s="15"/>
      <c r="C649" s="45"/>
    </row>
    <row r="650" spans="2:3" x14ac:dyDescent="0.25">
      <c r="B650" s="15"/>
      <c r="C650" s="45"/>
    </row>
    <row r="651" spans="2:3" x14ac:dyDescent="0.25">
      <c r="B651" s="15"/>
      <c r="C651" s="45"/>
    </row>
    <row r="652" spans="2:3" x14ac:dyDescent="0.25">
      <c r="B652" s="15"/>
      <c r="C652" s="45"/>
    </row>
    <row r="653" spans="2:3" x14ac:dyDescent="0.25">
      <c r="B653" s="15"/>
      <c r="C653" s="45"/>
    </row>
    <row r="654" spans="2:3" x14ac:dyDescent="0.25">
      <c r="B654" s="15"/>
      <c r="C654" s="45"/>
    </row>
    <row r="655" spans="2:3" x14ac:dyDescent="0.25">
      <c r="B655" s="15"/>
      <c r="C655" s="45"/>
    </row>
    <row r="656" spans="2:3" x14ac:dyDescent="0.25">
      <c r="B656" s="15"/>
      <c r="C656" s="45"/>
    </row>
    <row r="657" spans="2:3" x14ac:dyDescent="0.25">
      <c r="B657" s="15"/>
      <c r="C657" s="45"/>
    </row>
    <row r="658" spans="2:3" x14ac:dyDescent="0.25">
      <c r="B658" s="15"/>
      <c r="C658" s="45"/>
    </row>
    <row r="659" spans="2:3" x14ac:dyDescent="0.25">
      <c r="B659" s="15"/>
      <c r="C659" s="45"/>
    </row>
    <row r="660" spans="2:3" x14ac:dyDescent="0.25">
      <c r="B660" s="15"/>
      <c r="C660" s="45"/>
    </row>
    <row r="661" spans="2:3" x14ac:dyDescent="0.25">
      <c r="B661" s="15"/>
      <c r="C661" s="45"/>
    </row>
    <row r="662" spans="2:3" x14ac:dyDescent="0.25">
      <c r="B662" s="15"/>
      <c r="C662" s="45"/>
    </row>
    <row r="663" spans="2:3" x14ac:dyDescent="0.25">
      <c r="B663" s="15"/>
      <c r="C663" s="45"/>
    </row>
    <row r="664" spans="2:3" x14ac:dyDescent="0.25">
      <c r="B664" s="15"/>
      <c r="C664" s="45"/>
    </row>
    <row r="665" spans="2:3" x14ac:dyDescent="0.25">
      <c r="B665" s="15"/>
      <c r="C665" s="45"/>
    </row>
    <row r="666" spans="2:3" x14ac:dyDescent="0.25">
      <c r="B666" s="15"/>
      <c r="C666" s="45"/>
    </row>
    <row r="667" spans="2:3" x14ac:dyDescent="0.25">
      <c r="B667" s="15"/>
      <c r="C667" s="45"/>
    </row>
    <row r="668" spans="2:3" x14ac:dyDescent="0.25">
      <c r="B668" s="15"/>
      <c r="C668" s="45"/>
    </row>
    <row r="669" spans="2:3" x14ac:dyDescent="0.25">
      <c r="B669" s="15"/>
      <c r="C669" s="45"/>
    </row>
    <row r="670" spans="2:3" x14ac:dyDescent="0.25">
      <c r="B670" s="15"/>
      <c r="C670" s="45"/>
    </row>
    <row r="671" spans="2:3" x14ac:dyDescent="0.25">
      <c r="B671" s="15"/>
      <c r="C671" s="45"/>
    </row>
    <row r="672" spans="2:3" x14ac:dyDescent="0.25">
      <c r="B672" s="15"/>
      <c r="C672" s="45"/>
    </row>
    <row r="673" spans="2:3" x14ac:dyDescent="0.25">
      <c r="B673" s="15"/>
      <c r="C673" s="45"/>
    </row>
    <row r="674" spans="2:3" x14ac:dyDescent="0.25">
      <c r="B674" s="15"/>
      <c r="C674" s="45"/>
    </row>
    <row r="675" spans="2:3" x14ac:dyDescent="0.25">
      <c r="B675" s="15"/>
      <c r="C675" s="45"/>
    </row>
    <row r="676" spans="2:3" x14ac:dyDescent="0.25">
      <c r="B676" s="15"/>
      <c r="C676" s="45"/>
    </row>
    <row r="677" spans="2:3" x14ac:dyDescent="0.25">
      <c r="B677" s="15"/>
      <c r="C677" s="45"/>
    </row>
    <row r="678" spans="2:3" x14ac:dyDescent="0.25">
      <c r="B678" s="15"/>
      <c r="C678" s="45"/>
    </row>
    <row r="679" spans="2:3" x14ac:dyDescent="0.25">
      <c r="B679" s="15"/>
      <c r="C679" s="45"/>
    </row>
    <row r="680" spans="2:3" x14ac:dyDescent="0.25">
      <c r="B680" s="15"/>
      <c r="C680" s="45"/>
    </row>
    <row r="681" spans="2:3" x14ac:dyDescent="0.25">
      <c r="B681" s="15"/>
      <c r="C681" s="45"/>
    </row>
    <row r="682" spans="2:3" x14ac:dyDescent="0.25">
      <c r="B682" s="15"/>
      <c r="C682" s="45"/>
    </row>
    <row r="683" spans="2:3" x14ac:dyDescent="0.25">
      <c r="B683" s="15"/>
      <c r="C683" s="45"/>
    </row>
    <row r="684" spans="2:3" x14ac:dyDescent="0.25">
      <c r="B684" s="15"/>
      <c r="C684" s="45"/>
    </row>
    <row r="685" spans="2:3" x14ac:dyDescent="0.25">
      <c r="B685" s="15"/>
      <c r="C685" s="45"/>
    </row>
    <row r="686" spans="2:3" x14ac:dyDescent="0.25">
      <c r="B686" s="15"/>
      <c r="C686" s="45"/>
    </row>
    <row r="687" spans="2:3" x14ac:dyDescent="0.25">
      <c r="B687" s="15"/>
      <c r="C687" s="45"/>
    </row>
    <row r="688" spans="2:3" x14ac:dyDescent="0.25">
      <c r="B688" s="15"/>
      <c r="C688" s="45"/>
    </row>
    <row r="689" spans="2:3" x14ac:dyDescent="0.25">
      <c r="B689" s="15"/>
      <c r="C689" s="45"/>
    </row>
    <row r="690" spans="2:3" x14ac:dyDescent="0.25">
      <c r="B690" s="15"/>
      <c r="C690" s="45"/>
    </row>
    <row r="691" spans="2:3" x14ac:dyDescent="0.25">
      <c r="B691" s="15"/>
      <c r="C691" s="45"/>
    </row>
    <row r="692" spans="2:3" x14ac:dyDescent="0.25">
      <c r="B692" s="15"/>
      <c r="C692" s="45"/>
    </row>
    <row r="693" spans="2:3" x14ac:dyDescent="0.25">
      <c r="B693" s="15"/>
      <c r="C693" s="45"/>
    </row>
    <row r="694" spans="2:3" x14ac:dyDescent="0.25">
      <c r="B694" s="15"/>
      <c r="C694" s="45"/>
    </row>
    <row r="695" spans="2:3" x14ac:dyDescent="0.25">
      <c r="B695" s="15"/>
      <c r="C695" s="45"/>
    </row>
    <row r="696" spans="2:3" x14ac:dyDescent="0.25">
      <c r="B696" s="15"/>
      <c r="C696" s="45"/>
    </row>
    <row r="697" spans="2:3" x14ac:dyDescent="0.25">
      <c r="B697" s="15"/>
      <c r="C697" s="45"/>
    </row>
    <row r="698" spans="2:3" x14ac:dyDescent="0.25">
      <c r="B698" s="15"/>
      <c r="C698" s="45"/>
    </row>
    <row r="699" spans="2:3" x14ac:dyDescent="0.25">
      <c r="B699" s="15"/>
      <c r="C699" s="45"/>
    </row>
    <row r="700" spans="2:3" x14ac:dyDescent="0.25">
      <c r="B700" s="15"/>
      <c r="C700" s="45"/>
    </row>
    <row r="701" spans="2:3" x14ac:dyDescent="0.25">
      <c r="B701" s="15"/>
      <c r="C701" s="45"/>
    </row>
    <row r="702" spans="2:3" x14ac:dyDescent="0.25">
      <c r="B702" s="15"/>
      <c r="C702" s="45"/>
    </row>
    <row r="703" spans="2:3" x14ac:dyDescent="0.25">
      <c r="B703" s="15"/>
      <c r="C703" s="45"/>
    </row>
    <row r="704" spans="2:3" x14ac:dyDescent="0.25">
      <c r="B704" s="15"/>
      <c r="C704" s="45"/>
    </row>
    <row r="705" spans="2:3" x14ac:dyDescent="0.25">
      <c r="B705" s="15"/>
      <c r="C705" s="45"/>
    </row>
    <row r="706" spans="2:3" x14ac:dyDescent="0.25">
      <c r="B706" s="15"/>
      <c r="C706" s="45"/>
    </row>
    <row r="707" spans="2:3" x14ac:dyDescent="0.25">
      <c r="B707" s="15"/>
      <c r="C707" s="45"/>
    </row>
    <row r="708" spans="2:3" x14ac:dyDescent="0.25">
      <c r="B708" s="15"/>
      <c r="C708" s="45"/>
    </row>
    <row r="709" spans="2:3" x14ac:dyDescent="0.25">
      <c r="B709" s="15"/>
      <c r="C709" s="45"/>
    </row>
    <row r="710" spans="2:3" x14ac:dyDescent="0.25">
      <c r="B710" s="15"/>
      <c r="C710" s="45"/>
    </row>
    <row r="711" spans="2:3" x14ac:dyDescent="0.25">
      <c r="B711" s="15"/>
      <c r="C711" s="45"/>
    </row>
    <row r="712" spans="2:3" x14ac:dyDescent="0.25">
      <c r="B712" s="15"/>
      <c r="C712" s="45"/>
    </row>
    <row r="713" spans="2:3" x14ac:dyDescent="0.25">
      <c r="B713" s="15"/>
      <c r="C713" s="45"/>
    </row>
    <row r="714" spans="2:3" x14ac:dyDescent="0.25">
      <c r="B714" s="15"/>
      <c r="C714" s="45"/>
    </row>
    <row r="715" spans="2:3" x14ac:dyDescent="0.25">
      <c r="B715" s="15"/>
      <c r="C715" s="45"/>
    </row>
    <row r="716" spans="2:3" x14ac:dyDescent="0.25">
      <c r="B716" s="15"/>
      <c r="C716" s="45"/>
    </row>
    <row r="717" spans="2:3" x14ac:dyDescent="0.25">
      <c r="B717" s="15"/>
      <c r="C717" s="45"/>
    </row>
    <row r="718" spans="2:3" x14ac:dyDescent="0.25">
      <c r="B718" s="15"/>
      <c r="C718" s="45"/>
    </row>
    <row r="719" spans="2:3" x14ac:dyDescent="0.25">
      <c r="B719" s="15"/>
      <c r="C719" s="45"/>
    </row>
    <row r="720" spans="2:3" x14ac:dyDescent="0.25">
      <c r="B720" s="15"/>
      <c r="C720" s="45"/>
    </row>
    <row r="721" spans="2:3" x14ac:dyDescent="0.25">
      <c r="B721" s="15"/>
      <c r="C721" s="45"/>
    </row>
    <row r="722" spans="2:3" x14ac:dyDescent="0.25">
      <c r="B722" s="15"/>
      <c r="C722" s="45"/>
    </row>
    <row r="723" spans="2:3" x14ac:dyDescent="0.25">
      <c r="B723" s="15"/>
      <c r="C723" s="45"/>
    </row>
    <row r="724" spans="2:3" x14ac:dyDescent="0.25">
      <c r="B724" s="15"/>
      <c r="C724" s="45"/>
    </row>
    <row r="725" spans="2:3" x14ac:dyDescent="0.25">
      <c r="B725" s="15"/>
      <c r="C725" s="45"/>
    </row>
    <row r="726" spans="2:3" x14ac:dyDescent="0.25">
      <c r="B726" s="15"/>
      <c r="C726" s="45"/>
    </row>
    <row r="727" spans="2:3" x14ac:dyDescent="0.25">
      <c r="B727" s="15"/>
      <c r="C727" s="45"/>
    </row>
    <row r="728" spans="2:3" x14ac:dyDescent="0.25">
      <c r="B728" s="15"/>
      <c r="C728" s="45"/>
    </row>
    <row r="729" spans="2:3" x14ac:dyDescent="0.25">
      <c r="B729" s="15"/>
      <c r="C729" s="45"/>
    </row>
    <row r="730" spans="2:3" x14ac:dyDescent="0.25">
      <c r="B730" s="15"/>
      <c r="C730" s="45"/>
    </row>
    <row r="731" spans="2:3" x14ac:dyDescent="0.25">
      <c r="B731" s="15"/>
      <c r="C731" s="45"/>
    </row>
    <row r="732" spans="2:3" x14ac:dyDescent="0.25">
      <c r="B732" s="15"/>
      <c r="C732" s="45"/>
    </row>
    <row r="733" spans="2:3" x14ac:dyDescent="0.25">
      <c r="B733" s="15"/>
      <c r="C733" s="45"/>
    </row>
    <row r="734" spans="2:3" x14ac:dyDescent="0.25">
      <c r="B734" s="15"/>
      <c r="C734" s="45"/>
    </row>
    <row r="735" spans="2:3" x14ac:dyDescent="0.25">
      <c r="B735" s="15"/>
      <c r="C735" s="45"/>
    </row>
    <row r="736" spans="2:3" x14ac:dyDescent="0.25">
      <c r="B736" s="15"/>
      <c r="C736" s="45"/>
    </row>
    <row r="737" spans="2:3" x14ac:dyDescent="0.25">
      <c r="B737" s="15"/>
      <c r="C737" s="45"/>
    </row>
    <row r="738" spans="2:3" x14ac:dyDescent="0.25">
      <c r="B738" s="15"/>
      <c r="C738" s="45"/>
    </row>
    <row r="739" spans="2:3" x14ac:dyDescent="0.25">
      <c r="B739" s="15"/>
      <c r="C739" s="45"/>
    </row>
    <row r="740" spans="2:3" x14ac:dyDescent="0.25">
      <c r="B740" s="15"/>
      <c r="C740" s="45"/>
    </row>
    <row r="741" spans="2:3" x14ac:dyDescent="0.25">
      <c r="B741" s="15"/>
      <c r="C741" s="45"/>
    </row>
    <row r="742" spans="2:3" x14ac:dyDescent="0.25">
      <c r="B742" s="15"/>
      <c r="C742" s="45"/>
    </row>
    <row r="743" spans="2:3" x14ac:dyDescent="0.25">
      <c r="B743" s="15"/>
      <c r="C743" s="45"/>
    </row>
    <row r="744" spans="2:3" x14ac:dyDescent="0.25">
      <c r="B744" s="15"/>
      <c r="C744" s="45"/>
    </row>
    <row r="745" spans="2:3" x14ac:dyDescent="0.25">
      <c r="B745" s="15"/>
      <c r="C745" s="45"/>
    </row>
    <row r="746" spans="2:3" x14ac:dyDescent="0.25">
      <c r="B746" s="15"/>
      <c r="C746" s="45"/>
    </row>
    <row r="747" spans="2:3" x14ac:dyDescent="0.25">
      <c r="B747" s="15"/>
      <c r="C747" s="45"/>
    </row>
    <row r="748" spans="2:3" x14ac:dyDescent="0.25">
      <c r="B748" s="15"/>
      <c r="C748" s="45"/>
    </row>
    <row r="749" spans="2:3" x14ac:dyDescent="0.25">
      <c r="B749" s="15"/>
      <c r="C749" s="45"/>
    </row>
    <row r="750" spans="2:3" x14ac:dyDescent="0.25">
      <c r="B750" s="15"/>
      <c r="C750" s="45"/>
    </row>
    <row r="751" spans="2:3" x14ac:dyDescent="0.25">
      <c r="B751" s="15"/>
      <c r="C751" s="45"/>
    </row>
    <row r="752" spans="2:3" x14ac:dyDescent="0.25">
      <c r="B752" s="15"/>
      <c r="C752" s="45"/>
    </row>
    <row r="753" spans="2:3" x14ac:dyDescent="0.25">
      <c r="B753" s="15"/>
      <c r="C753" s="45"/>
    </row>
    <row r="754" spans="2:3" x14ac:dyDescent="0.25">
      <c r="B754" s="15"/>
      <c r="C754" s="45"/>
    </row>
    <row r="755" spans="2:3" x14ac:dyDescent="0.25">
      <c r="B755" s="15"/>
      <c r="C755" s="45"/>
    </row>
    <row r="756" spans="2:3" x14ac:dyDescent="0.25">
      <c r="B756" s="15"/>
      <c r="C756" s="45"/>
    </row>
    <row r="757" spans="2:3" x14ac:dyDescent="0.25">
      <c r="B757" s="15"/>
      <c r="C757" s="45"/>
    </row>
    <row r="758" spans="2:3" x14ac:dyDescent="0.25">
      <c r="B758" s="15"/>
      <c r="C758" s="45"/>
    </row>
    <row r="759" spans="2:3" x14ac:dyDescent="0.25">
      <c r="B759" s="15"/>
      <c r="C759" s="45"/>
    </row>
    <row r="760" spans="2:3" x14ac:dyDescent="0.25">
      <c r="B760" s="15"/>
      <c r="C760" s="45"/>
    </row>
    <row r="761" spans="2:3" x14ac:dyDescent="0.25">
      <c r="B761" s="15"/>
      <c r="C761" s="45"/>
    </row>
    <row r="762" spans="2:3" x14ac:dyDescent="0.25">
      <c r="B762" s="15"/>
      <c r="C762" s="45"/>
    </row>
    <row r="763" spans="2:3" x14ac:dyDescent="0.25">
      <c r="B763" s="15"/>
      <c r="C763" s="45"/>
    </row>
    <row r="764" spans="2:3" x14ac:dyDescent="0.25">
      <c r="B764" s="15"/>
      <c r="C764" s="45"/>
    </row>
    <row r="765" spans="2:3" x14ac:dyDescent="0.25">
      <c r="B765" s="15"/>
      <c r="C765" s="45"/>
    </row>
    <row r="766" spans="2:3" x14ac:dyDescent="0.25">
      <c r="B766" s="15"/>
      <c r="C766" s="45"/>
    </row>
    <row r="767" spans="2:3" x14ac:dyDescent="0.25">
      <c r="B767" s="15"/>
      <c r="C767" s="45"/>
    </row>
    <row r="768" spans="2:3" x14ac:dyDescent="0.25">
      <c r="B768" s="15"/>
      <c r="C768" s="45"/>
    </row>
    <row r="769" spans="2:3" x14ac:dyDescent="0.25">
      <c r="B769" s="15"/>
      <c r="C769" s="45"/>
    </row>
    <row r="770" spans="2:3" x14ac:dyDescent="0.25">
      <c r="B770" s="15"/>
      <c r="C770" s="45"/>
    </row>
    <row r="771" spans="2:3" x14ac:dyDescent="0.25">
      <c r="B771" s="15"/>
      <c r="C771" s="45"/>
    </row>
    <row r="772" spans="2:3" x14ac:dyDescent="0.25">
      <c r="B772" s="15"/>
      <c r="C772" s="45"/>
    </row>
    <row r="773" spans="2:3" x14ac:dyDescent="0.25">
      <c r="B773" s="15"/>
      <c r="C773" s="45"/>
    </row>
    <row r="774" spans="2:3" x14ac:dyDescent="0.25">
      <c r="B774" s="15"/>
      <c r="C774" s="45"/>
    </row>
    <row r="775" spans="2:3" x14ac:dyDescent="0.25">
      <c r="B775" s="15"/>
      <c r="C775" s="45"/>
    </row>
    <row r="776" spans="2:3" x14ac:dyDescent="0.25">
      <c r="B776" s="15"/>
      <c r="C776" s="45"/>
    </row>
    <row r="777" spans="2:3" x14ac:dyDescent="0.25">
      <c r="B777" s="15"/>
      <c r="C777" s="45"/>
    </row>
    <row r="778" spans="2:3" x14ac:dyDescent="0.25">
      <c r="B778" s="15"/>
      <c r="C778" s="45"/>
    </row>
    <row r="779" spans="2:3" x14ac:dyDescent="0.25">
      <c r="B779" s="15"/>
      <c r="C779" s="45"/>
    </row>
    <row r="780" spans="2:3" x14ac:dyDescent="0.25">
      <c r="B780" s="15"/>
      <c r="C780" s="45"/>
    </row>
    <row r="781" spans="2:3" x14ac:dyDescent="0.25">
      <c r="B781" s="15"/>
      <c r="C781" s="45"/>
    </row>
    <row r="782" spans="2:3" x14ac:dyDescent="0.25">
      <c r="B782" s="15"/>
      <c r="C782" s="45"/>
    </row>
    <row r="783" spans="2:3" x14ac:dyDescent="0.25">
      <c r="B783" s="15"/>
      <c r="C783" s="45"/>
    </row>
    <row r="784" spans="2:3" x14ac:dyDescent="0.25">
      <c r="B784" s="15"/>
      <c r="C784" s="45"/>
    </row>
    <row r="785" spans="2:3" x14ac:dyDescent="0.25">
      <c r="B785" s="15"/>
      <c r="C785" s="45"/>
    </row>
    <row r="786" spans="2:3" x14ac:dyDescent="0.25">
      <c r="B786" s="15"/>
      <c r="C786" s="45"/>
    </row>
    <row r="787" spans="2:3" x14ac:dyDescent="0.25">
      <c r="B787" s="15"/>
      <c r="C787" s="45"/>
    </row>
    <row r="788" spans="2:3" x14ac:dyDescent="0.25">
      <c r="B788" s="15"/>
      <c r="C788" s="45"/>
    </row>
    <row r="789" spans="2:3" x14ac:dyDescent="0.25">
      <c r="B789" s="15"/>
      <c r="C789" s="45"/>
    </row>
    <row r="790" spans="2:3" x14ac:dyDescent="0.25">
      <c r="B790" s="15"/>
      <c r="C790" s="45"/>
    </row>
    <row r="791" spans="2:3" x14ac:dyDescent="0.25">
      <c r="B791" s="15"/>
      <c r="C791" s="45"/>
    </row>
    <row r="792" spans="2:3" x14ac:dyDescent="0.25">
      <c r="B792" s="15"/>
      <c r="C792" s="45"/>
    </row>
    <row r="793" spans="2:3" x14ac:dyDescent="0.25">
      <c r="B793" s="15"/>
      <c r="C793" s="45"/>
    </row>
    <row r="794" spans="2:3" x14ac:dyDescent="0.25">
      <c r="B794" s="15"/>
      <c r="C794" s="45"/>
    </row>
    <row r="795" spans="2:3" x14ac:dyDescent="0.25">
      <c r="B795" s="15"/>
      <c r="C795" s="45"/>
    </row>
    <row r="796" spans="2:3" x14ac:dyDescent="0.25">
      <c r="B796" s="15"/>
      <c r="C796" s="45"/>
    </row>
    <row r="797" spans="2:3" x14ac:dyDescent="0.25">
      <c r="B797" s="15"/>
      <c r="C797" s="45"/>
    </row>
    <row r="798" spans="2:3" x14ac:dyDescent="0.25">
      <c r="B798" s="15"/>
      <c r="C798" s="45"/>
    </row>
    <row r="799" spans="2:3" x14ac:dyDescent="0.25">
      <c r="B799" s="15"/>
      <c r="C799" s="45"/>
    </row>
    <row r="800" spans="2:3" x14ac:dyDescent="0.25">
      <c r="B800" s="15"/>
      <c r="C800" s="45"/>
    </row>
    <row r="801" spans="2:3" x14ac:dyDescent="0.25">
      <c r="B801" s="15"/>
      <c r="C801" s="45"/>
    </row>
    <row r="802" spans="2:3" x14ac:dyDescent="0.25">
      <c r="B802" s="15"/>
      <c r="C802" s="45"/>
    </row>
    <row r="803" spans="2:3" x14ac:dyDescent="0.25">
      <c r="B803" s="15"/>
      <c r="C803" s="45"/>
    </row>
    <row r="804" spans="2:3" x14ac:dyDescent="0.25">
      <c r="B804" s="15"/>
      <c r="C804" s="45"/>
    </row>
    <row r="805" spans="2:3" x14ac:dyDescent="0.25">
      <c r="B805" s="15"/>
      <c r="C805" s="45"/>
    </row>
    <row r="806" spans="2:3" x14ac:dyDescent="0.25">
      <c r="B806" s="15"/>
      <c r="C806" s="45"/>
    </row>
    <row r="807" spans="2:3" x14ac:dyDescent="0.25">
      <c r="B807" s="15"/>
      <c r="C807" s="45"/>
    </row>
    <row r="808" spans="2:3" x14ac:dyDescent="0.25">
      <c r="B808" s="15"/>
      <c r="C808" s="45"/>
    </row>
    <row r="809" spans="2:3" x14ac:dyDescent="0.25">
      <c r="B809" s="15"/>
      <c r="C809" s="45"/>
    </row>
    <row r="810" spans="2:3" x14ac:dyDescent="0.25">
      <c r="B810" s="15"/>
      <c r="C810" s="45"/>
    </row>
    <row r="811" spans="2:3" x14ac:dyDescent="0.25">
      <c r="B811" s="15"/>
      <c r="C811" s="45"/>
    </row>
    <row r="812" spans="2:3" x14ac:dyDescent="0.25">
      <c r="B812" s="15"/>
      <c r="C812" s="45"/>
    </row>
    <row r="813" spans="2:3" x14ac:dyDescent="0.25">
      <c r="B813" s="15"/>
      <c r="C813" s="45"/>
    </row>
    <row r="814" spans="2:3" x14ac:dyDescent="0.25">
      <c r="B814" s="15"/>
      <c r="C814" s="45"/>
    </row>
    <row r="815" spans="2:3" x14ac:dyDescent="0.25">
      <c r="B815" s="15"/>
      <c r="C815" s="45"/>
    </row>
    <row r="816" spans="2:3" x14ac:dyDescent="0.25">
      <c r="B816" s="15"/>
      <c r="C816" s="45"/>
    </row>
    <row r="817" spans="2:3" x14ac:dyDescent="0.25">
      <c r="B817" s="15"/>
      <c r="C817" s="45"/>
    </row>
    <row r="818" spans="2:3" x14ac:dyDescent="0.25">
      <c r="B818" s="15"/>
      <c r="C818" s="45"/>
    </row>
    <row r="819" spans="2:3" x14ac:dyDescent="0.25">
      <c r="B819" s="15"/>
      <c r="C819" s="45"/>
    </row>
    <row r="820" spans="2:3" x14ac:dyDescent="0.25">
      <c r="B820" s="15"/>
      <c r="C820" s="45"/>
    </row>
    <row r="821" spans="2:3" x14ac:dyDescent="0.25">
      <c r="B821" s="15"/>
      <c r="C821" s="45"/>
    </row>
    <row r="822" spans="2:3" x14ac:dyDescent="0.25">
      <c r="B822" s="15"/>
      <c r="C822" s="45"/>
    </row>
    <row r="823" spans="2:3" x14ac:dyDescent="0.25">
      <c r="B823" s="15"/>
      <c r="C823" s="45"/>
    </row>
    <row r="824" spans="2:3" x14ac:dyDescent="0.25">
      <c r="B824" s="15"/>
      <c r="C824" s="45"/>
    </row>
    <row r="825" spans="2:3" x14ac:dyDescent="0.25">
      <c r="B825" s="15"/>
      <c r="C825" s="45"/>
    </row>
    <row r="826" spans="2:3" x14ac:dyDescent="0.25">
      <c r="B826" s="15"/>
      <c r="C826" s="45"/>
    </row>
    <row r="827" spans="2:3" x14ac:dyDescent="0.25">
      <c r="B827" s="15"/>
      <c r="C827" s="45"/>
    </row>
    <row r="828" spans="2:3" x14ac:dyDescent="0.25">
      <c r="B828" s="15"/>
      <c r="C828" s="45"/>
    </row>
    <row r="829" spans="2:3" x14ac:dyDescent="0.25">
      <c r="B829" s="15"/>
      <c r="C829" s="45"/>
    </row>
    <row r="830" spans="2:3" x14ac:dyDescent="0.25">
      <c r="B830" s="15"/>
      <c r="C830" s="45"/>
    </row>
    <row r="831" spans="2:3" x14ac:dyDescent="0.25">
      <c r="B831" s="15"/>
      <c r="C831" s="45"/>
    </row>
    <row r="832" spans="2:3" x14ac:dyDescent="0.25">
      <c r="B832" s="15"/>
      <c r="C832" s="45"/>
    </row>
    <row r="833" spans="2:3" x14ac:dyDescent="0.25">
      <c r="B833" s="15"/>
      <c r="C833" s="45"/>
    </row>
    <row r="834" spans="2:3" x14ac:dyDescent="0.25">
      <c r="B834" s="15"/>
      <c r="C834" s="45"/>
    </row>
    <row r="835" spans="2:3" x14ac:dyDescent="0.25">
      <c r="B835" s="15"/>
      <c r="C835" s="45"/>
    </row>
    <row r="836" spans="2:3" x14ac:dyDescent="0.25">
      <c r="B836" s="15"/>
      <c r="C836" s="45"/>
    </row>
    <row r="837" spans="2:3" x14ac:dyDescent="0.25">
      <c r="B837" s="15"/>
      <c r="C837" s="45"/>
    </row>
    <row r="838" spans="2:3" x14ac:dyDescent="0.25">
      <c r="B838" s="15"/>
      <c r="C838" s="45"/>
    </row>
    <row r="839" spans="2:3" x14ac:dyDescent="0.25">
      <c r="B839" s="15"/>
      <c r="C839" s="45"/>
    </row>
    <row r="840" spans="2:3" x14ac:dyDescent="0.25">
      <c r="B840" s="15"/>
      <c r="C840" s="45"/>
    </row>
    <row r="841" spans="2:3" x14ac:dyDescent="0.25">
      <c r="B841" s="15"/>
      <c r="C841" s="45"/>
    </row>
    <row r="842" spans="2:3" x14ac:dyDescent="0.25">
      <c r="B842" s="15"/>
      <c r="C842" s="45"/>
    </row>
    <row r="843" spans="2:3" x14ac:dyDescent="0.25">
      <c r="B843" s="15"/>
      <c r="C843" s="45"/>
    </row>
    <row r="844" spans="2:3" x14ac:dyDescent="0.25">
      <c r="B844" s="15"/>
      <c r="C844" s="45"/>
    </row>
    <row r="845" spans="2:3" x14ac:dyDescent="0.25">
      <c r="B845" s="15"/>
      <c r="C845" s="45"/>
    </row>
    <row r="846" spans="2:3" x14ac:dyDescent="0.25">
      <c r="B846" s="15"/>
      <c r="C846" s="45"/>
    </row>
    <row r="847" spans="2:3" x14ac:dyDescent="0.25">
      <c r="B847" s="15"/>
      <c r="C847" s="45"/>
    </row>
    <row r="848" spans="2:3" x14ac:dyDescent="0.25">
      <c r="B848" s="15"/>
      <c r="C848" s="45"/>
    </row>
    <row r="849" spans="2:3" x14ac:dyDescent="0.25">
      <c r="B849" s="15"/>
      <c r="C849" s="45"/>
    </row>
    <row r="850" spans="2:3" x14ac:dyDescent="0.25">
      <c r="B850" s="15"/>
      <c r="C850" s="45"/>
    </row>
    <row r="851" spans="2:3" x14ac:dyDescent="0.25">
      <c r="B851" s="15"/>
      <c r="C851" s="45"/>
    </row>
    <row r="852" spans="2:3" x14ac:dyDescent="0.25">
      <c r="B852" s="15"/>
      <c r="C852" s="45"/>
    </row>
    <row r="853" spans="2:3" x14ac:dyDescent="0.25">
      <c r="B853" s="15"/>
      <c r="C853" s="45"/>
    </row>
    <row r="854" spans="2:3" x14ac:dyDescent="0.25">
      <c r="B854" s="15"/>
      <c r="C854" s="45"/>
    </row>
    <row r="855" spans="2:3" x14ac:dyDescent="0.25">
      <c r="B855" s="15"/>
      <c r="C855" s="45"/>
    </row>
    <row r="856" spans="2:3" x14ac:dyDescent="0.25">
      <c r="B856" s="15"/>
      <c r="C856" s="45"/>
    </row>
    <row r="857" spans="2:3" x14ac:dyDescent="0.25">
      <c r="B857" s="15"/>
      <c r="C857" s="45"/>
    </row>
    <row r="858" spans="2:3" x14ac:dyDescent="0.25">
      <c r="B858" s="15"/>
      <c r="C858" s="45"/>
    </row>
    <row r="859" spans="2:3" x14ac:dyDescent="0.25">
      <c r="B859" s="15"/>
      <c r="C859" s="45"/>
    </row>
    <row r="860" spans="2:3" x14ac:dyDescent="0.25">
      <c r="B860" s="15"/>
      <c r="C860" s="45"/>
    </row>
    <row r="861" spans="2:3" x14ac:dyDescent="0.25">
      <c r="B861" s="15"/>
      <c r="C861" s="45"/>
    </row>
    <row r="862" spans="2:3" x14ac:dyDescent="0.25">
      <c r="B862" s="15"/>
      <c r="C862" s="45"/>
    </row>
    <row r="863" spans="2:3" x14ac:dyDescent="0.25">
      <c r="B863" s="15"/>
      <c r="C863" s="45"/>
    </row>
    <row r="864" spans="2:3" x14ac:dyDescent="0.25">
      <c r="B864" s="15"/>
      <c r="C864" s="45"/>
    </row>
    <row r="865" spans="2:3" x14ac:dyDescent="0.25">
      <c r="B865" s="15"/>
      <c r="C865" s="45"/>
    </row>
    <row r="866" spans="2:3" x14ac:dyDescent="0.25">
      <c r="B866" s="15"/>
      <c r="C866" s="45"/>
    </row>
    <row r="867" spans="2:3" x14ac:dyDescent="0.25">
      <c r="B867" s="15"/>
      <c r="C867" s="45"/>
    </row>
    <row r="868" spans="2:3" x14ac:dyDescent="0.25">
      <c r="B868" s="15"/>
      <c r="C868" s="45"/>
    </row>
    <row r="869" spans="2:3" x14ac:dyDescent="0.25">
      <c r="B869" s="15"/>
      <c r="C869" s="45"/>
    </row>
    <row r="870" spans="2:3" x14ac:dyDescent="0.25">
      <c r="B870" s="15"/>
      <c r="C870" s="45"/>
    </row>
    <row r="871" spans="2:3" x14ac:dyDescent="0.25">
      <c r="B871" s="15"/>
      <c r="C871" s="45"/>
    </row>
    <row r="872" spans="2:3" x14ac:dyDescent="0.25">
      <c r="B872" s="15"/>
      <c r="C872" s="45"/>
    </row>
    <row r="873" spans="2:3" x14ac:dyDescent="0.25">
      <c r="B873" s="15"/>
      <c r="C873" s="45"/>
    </row>
    <row r="874" spans="2:3" x14ac:dyDescent="0.25">
      <c r="B874" s="15"/>
      <c r="C874" s="45"/>
    </row>
    <row r="875" spans="2:3" x14ac:dyDescent="0.25">
      <c r="B875" s="15"/>
      <c r="C875" s="45"/>
    </row>
    <row r="876" spans="2:3" x14ac:dyDescent="0.25">
      <c r="B876" s="15"/>
      <c r="C876" s="45"/>
    </row>
    <row r="877" spans="2:3" x14ac:dyDescent="0.25">
      <c r="B877" s="15"/>
      <c r="C877" s="45"/>
    </row>
    <row r="878" spans="2:3" x14ac:dyDescent="0.25">
      <c r="B878" s="15"/>
      <c r="C878" s="45"/>
    </row>
    <row r="879" spans="2:3" x14ac:dyDescent="0.25">
      <c r="B879" s="15"/>
      <c r="C879" s="45"/>
    </row>
    <row r="880" spans="2:3" x14ac:dyDescent="0.25">
      <c r="B880" s="15"/>
      <c r="C880" s="45"/>
    </row>
    <row r="881" spans="2:3" x14ac:dyDescent="0.25">
      <c r="B881" s="15"/>
      <c r="C881" s="45"/>
    </row>
    <row r="882" spans="2:3" x14ac:dyDescent="0.25">
      <c r="B882" s="15"/>
      <c r="C882" s="45"/>
    </row>
    <row r="883" spans="2:3" x14ac:dyDescent="0.25">
      <c r="B883" s="15"/>
      <c r="C883" s="45"/>
    </row>
    <row r="884" spans="2:3" x14ac:dyDescent="0.25">
      <c r="B884" s="15"/>
      <c r="C884" s="45"/>
    </row>
    <row r="885" spans="2:3" x14ac:dyDescent="0.25">
      <c r="B885" s="15"/>
      <c r="C885" s="45"/>
    </row>
    <row r="886" spans="2:3" x14ac:dyDescent="0.25">
      <c r="B886" s="15"/>
      <c r="C886" s="45"/>
    </row>
    <row r="887" spans="2:3" x14ac:dyDescent="0.25">
      <c r="B887" s="15"/>
      <c r="C887" s="45"/>
    </row>
    <row r="888" spans="2:3" x14ac:dyDescent="0.25">
      <c r="B888" s="15"/>
      <c r="C888" s="45"/>
    </row>
    <row r="889" spans="2:3" x14ac:dyDescent="0.25">
      <c r="B889" s="15"/>
      <c r="C889" s="45"/>
    </row>
    <row r="890" spans="2:3" x14ac:dyDescent="0.25">
      <c r="B890" s="15"/>
      <c r="C890" s="45"/>
    </row>
    <row r="891" spans="2:3" x14ac:dyDescent="0.25">
      <c r="B891" s="15"/>
      <c r="C891" s="45"/>
    </row>
    <row r="892" spans="2:3" x14ac:dyDescent="0.25">
      <c r="B892" s="15"/>
      <c r="C892" s="45"/>
    </row>
    <row r="893" spans="2:3" x14ac:dyDescent="0.25">
      <c r="B893" s="15"/>
      <c r="C893" s="45"/>
    </row>
    <row r="894" spans="2:3" x14ac:dyDescent="0.25">
      <c r="B894" s="15"/>
      <c r="C894" s="45"/>
    </row>
    <row r="895" spans="2:3" x14ac:dyDescent="0.25">
      <c r="B895" s="15"/>
      <c r="C895" s="45"/>
    </row>
    <row r="896" spans="2:3" x14ac:dyDescent="0.25">
      <c r="B896" s="15"/>
      <c r="C896" s="45"/>
    </row>
    <row r="897" spans="2:3" x14ac:dyDescent="0.25">
      <c r="B897" s="15"/>
      <c r="C897" s="45"/>
    </row>
    <row r="898" spans="2:3" x14ac:dyDescent="0.25">
      <c r="B898" s="15"/>
      <c r="C898" s="45"/>
    </row>
    <row r="899" spans="2:3" x14ac:dyDescent="0.25">
      <c r="B899" s="15"/>
      <c r="C899" s="45"/>
    </row>
    <row r="900" spans="2:3" x14ac:dyDescent="0.25">
      <c r="B900" s="15"/>
      <c r="C900" s="45"/>
    </row>
    <row r="901" spans="2:3" x14ac:dyDescent="0.25">
      <c r="B901" s="15"/>
      <c r="C901" s="45"/>
    </row>
    <row r="902" spans="2:3" x14ac:dyDescent="0.25">
      <c r="B902" s="15"/>
      <c r="C902" s="45"/>
    </row>
    <row r="903" spans="2:3" x14ac:dyDescent="0.25">
      <c r="B903" s="15"/>
      <c r="C903" s="45"/>
    </row>
    <row r="904" spans="2:3" x14ac:dyDescent="0.25">
      <c r="B904" s="15"/>
      <c r="C904" s="45"/>
    </row>
    <row r="905" spans="2:3" x14ac:dyDescent="0.25">
      <c r="B905" s="15"/>
      <c r="C905" s="45"/>
    </row>
    <row r="906" spans="2:3" x14ac:dyDescent="0.25">
      <c r="B906" s="15"/>
      <c r="C906" s="45"/>
    </row>
    <row r="907" spans="2:3" x14ac:dyDescent="0.25">
      <c r="B907" s="15"/>
      <c r="C907" s="45"/>
    </row>
    <row r="908" spans="2:3" x14ac:dyDescent="0.25">
      <c r="B908" s="15"/>
      <c r="C908" s="45"/>
    </row>
    <row r="909" spans="2:3" x14ac:dyDescent="0.25">
      <c r="B909" s="15"/>
      <c r="C909" s="45"/>
    </row>
    <row r="910" spans="2:3" x14ac:dyDescent="0.25">
      <c r="B910" s="15"/>
      <c r="C910" s="45"/>
    </row>
    <row r="911" spans="2:3" x14ac:dyDescent="0.25">
      <c r="B911" s="15"/>
      <c r="C911" s="45"/>
    </row>
    <row r="912" spans="2:3" x14ac:dyDescent="0.25">
      <c r="B912" s="15"/>
      <c r="C912" s="45"/>
    </row>
    <row r="913" spans="2:3" x14ac:dyDescent="0.25">
      <c r="B913" s="15"/>
      <c r="C913" s="45"/>
    </row>
    <row r="914" spans="2:3" x14ac:dyDescent="0.25">
      <c r="B914" s="15"/>
      <c r="C914" s="45"/>
    </row>
    <row r="915" spans="2:3" x14ac:dyDescent="0.25">
      <c r="B915" s="15"/>
      <c r="C915" s="45"/>
    </row>
    <row r="916" spans="2:3" x14ac:dyDescent="0.25">
      <c r="B916" s="15"/>
      <c r="C916" s="45"/>
    </row>
    <row r="917" spans="2:3" x14ac:dyDescent="0.25">
      <c r="B917" s="15"/>
      <c r="C917" s="45"/>
    </row>
    <row r="918" spans="2:3" x14ac:dyDescent="0.25">
      <c r="B918" s="15"/>
      <c r="C918" s="45"/>
    </row>
    <row r="919" spans="2:3" x14ac:dyDescent="0.25">
      <c r="B919" s="15"/>
      <c r="C919" s="45"/>
    </row>
    <row r="920" spans="2:3" x14ac:dyDescent="0.25">
      <c r="B920" s="15"/>
      <c r="C920" s="45"/>
    </row>
    <row r="921" spans="2:3" x14ac:dyDescent="0.25">
      <c r="B921" s="15"/>
      <c r="C921" s="45"/>
    </row>
    <row r="922" spans="2:3" x14ac:dyDescent="0.25">
      <c r="B922" s="15"/>
      <c r="C922" s="45"/>
    </row>
    <row r="923" spans="2:3" x14ac:dyDescent="0.25">
      <c r="B923" s="15"/>
      <c r="C923" s="45"/>
    </row>
    <row r="924" spans="2:3" x14ac:dyDescent="0.25">
      <c r="B924" s="15"/>
      <c r="C924" s="45"/>
    </row>
    <row r="925" spans="2:3" x14ac:dyDescent="0.25">
      <c r="B925" s="15"/>
      <c r="C925" s="45"/>
    </row>
    <row r="926" spans="2:3" x14ac:dyDescent="0.25">
      <c r="B926" s="15"/>
      <c r="C926" s="45"/>
    </row>
    <row r="927" spans="2:3" x14ac:dyDescent="0.25">
      <c r="B927" s="15"/>
      <c r="C927" s="45"/>
    </row>
    <row r="928" spans="2:3" x14ac:dyDescent="0.25">
      <c r="B928" s="15"/>
      <c r="C928" s="45"/>
    </row>
    <row r="929" spans="2:3" x14ac:dyDescent="0.25">
      <c r="B929" s="15"/>
      <c r="C929" s="45"/>
    </row>
    <row r="930" spans="2:3" x14ac:dyDescent="0.25">
      <c r="B930" s="15"/>
      <c r="C930" s="45"/>
    </row>
    <row r="931" spans="2:3" x14ac:dyDescent="0.25">
      <c r="B931" s="15"/>
      <c r="C931" s="45"/>
    </row>
    <row r="932" spans="2:3" x14ac:dyDescent="0.25">
      <c r="B932" s="15"/>
      <c r="C932" s="45"/>
    </row>
    <row r="933" spans="2:3" x14ac:dyDescent="0.25">
      <c r="B933" s="15"/>
      <c r="C933" s="45"/>
    </row>
    <row r="934" spans="2:3" x14ac:dyDescent="0.25">
      <c r="B934" s="15"/>
      <c r="C934" s="45"/>
    </row>
    <row r="935" spans="2:3" x14ac:dyDescent="0.25">
      <c r="B935" s="15"/>
      <c r="C935" s="45"/>
    </row>
    <row r="936" spans="2:3" x14ac:dyDescent="0.25">
      <c r="B936" s="15"/>
      <c r="C936" s="45"/>
    </row>
    <row r="937" spans="2:3" x14ac:dyDescent="0.25">
      <c r="B937" s="15"/>
      <c r="C937" s="45"/>
    </row>
    <row r="938" spans="2:3" x14ac:dyDescent="0.25">
      <c r="B938" s="15"/>
      <c r="C938" s="45"/>
    </row>
    <row r="939" spans="2:3" x14ac:dyDescent="0.25">
      <c r="B939" s="15"/>
      <c r="C939" s="45"/>
    </row>
    <row r="940" spans="2:3" x14ac:dyDescent="0.25">
      <c r="B940" s="15"/>
      <c r="C940" s="45"/>
    </row>
    <row r="941" spans="2:3" x14ac:dyDescent="0.25">
      <c r="B941" s="15"/>
      <c r="C941" s="45"/>
    </row>
    <row r="942" spans="2:3" x14ac:dyDescent="0.25">
      <c r="B942" s="15"/>
      <c r="C942" s="45"/>
    </row>
    <row r="943" spans="2:3" x14ac:dyDescent="0.25">
      <c r="B943" s="15"/>
      <c r="C943" s="45"/>
    </row>
    <row r="944" spans="2:3" x14ac:dyDescent="0.25">
      <c r="B944" s="15"/>
      <c r="C944" s="45"/>
    </row>
    <row r="945" spans="2:3" x14ac:dyDescent="0.25">
      <c r="B945" s="15"/>
      <c r="C945" s="45"/>
    </row>
    <row r="946" spans="2:3" x14ac:dyDescent="0.25">
      <c r="B946" s="15"/>
      <c r="C946" s="45"/>
    </row>
    <row r="947" spans="2:3" x14ac:dyDescent="0.25">
      <c r="B947" s="15"/>
      <c r="C947" s="45"/>
    </row>
    <row r="948" spans="2:3" x14ac:dyDescent="0.25">
      <c r="B948" s="15"/>
      <c r="C948" s="45"/>
    </row>
    <row r="949" spans="2:3" x14ac:dyDescent="0.25">
      <c r="B949" s="15"/>
      <c r="C949" s="45"/>
    </row>
    <row r="950" spans="2:3" x14ac:dyDescent="0.25">
      <c r="B950" s="15"/>
      <c r="C950" s="45"/>
    </row>
    <row r="951" spans="2:3" x14ac:dyDescent="0.25">
      <c r="B951" s="15"/>
      <c r="C951" s="45"/>
    </row>
    <row r="952" spans="2:3" x14ac:dyDescent="0.25">
      <c r="B952" s="15"/>
      <c r="C952" s="45"/>
    </row>
    <row r="953" spans="2:3" x14ac:dyDescent="0.25">
      <c r="B953" s="15"/>
      <c r="C953" s="45"/>
    </row>
    <row r="954" spans="2:3" x14ac:dyDescent="0.25">
      <c r="B954" s="15"/>
      <c r="C954" s="45"/>
    </row>
    <row r="955" spans="2:3" x14ac:dyDescent="0.25">
      <c r="B955" s="15"/>
      <c r="C955" s="45"/>
    </row>
    <row r="956" spans="2:3" x14ac:dyDescent="0.25">
      <c r="B956" s="15"/>
      <c r="C956" s="45"/>
    </row>
    <row r="957" spans="2:3" x14ac:dyDescent="0.25">
      <c r="B957" s="15"/>
      <c r="C957" s="45"/>
    </row>
    <row r="958" spans="2:3" x14ac:dyDescent="0.25">
      <c r="B958" s="15"/>
      <c r="C958" s="45"/>
    </row>
    <row r="959" spans="2:3" x14ac:dyDescent="0.25">
      <c r="B959" s="15"/>
      <c r="C959" s="45"/>
    </row>
    <row r="960" spans="2:3" x14ac:dyDescent="0.25">
      <c r="B960" s="15"/>
      <c r="C960" s="45"/>
    </row>
    <row r="961" spans="2:3" x14ac:dyDescent="0.25">
      <c r="B961" s="15"/>
      <c r="C961" s="45"/>
    </row>
    <row r="962" spans="2:3" x14ac:dyDescent="0.25">
      <c r="B962" s="15"/>
      <c r="C962" s="45"/>
    </row>
    <row r="963" spans="2:3" x14ac:dyDescent="0.25">
      <c r="B963" s="15"/>
      <c r="C963" s="45"/>
    </row>
    <row r="964" spans="2:3" x14ac:dyDescent="0.25">
      <c r="B964" s="15"/>
      <c r="C964" s="45"/>
    </row>
    <row r="965" spans="2:3" x14ac:dyDescent="0.25">
      <c r="B965" s="15"/>
      <c r="C965" s="45"/>
    </row>
    <row r="966" spans="2:3" x14ac:dyDescent="0.25">
      <c r="B966" s="15"/>
      <c r="C966" s="45"/>
    </row>
    <row r="967" spans="2:3" x14ac:dyDescent="0.25">
      <c r="B967" s="15"/>
      <c r="C967" s="45"/>
    </row>
    <row r="968" spans="2:3" x14ac:dyDescent="0.25">
      <c r="B968" s="15"/>
      <c r="C968" s="45"/>
    </row>
    <row r="969" spans="2:3" x14ac:dyDescent="0.25">
      <c r="B969" s="15"/>
      <c r="C969" s="45"/>
    </row>
    <row r="970" spans="2:3" x14ac:dyDescent="0.25">
      <c r="B970" s="15"/>
      <c r="C970" s="45"/>
    </row>
    <row r="971" spans="2:3" x14ac:dyDescent="0.25">
      <c r="B971" s="15"/>
      <c r="C971" s="45"/>
    </row>
    <row r="972" spans="2:3" x14ac:dyDescent="0.25">
      <c r="B972" s="15"/>
      <c r="C972" s="45"/>
    </row>
    <row r="973" spans="2:3" x14ac:dyDescent="0.25">
      <c r="B973" s="15"/>
      <c r="C973" s="45"/>
    </row>
    <row r="974" spans="2:3" x14ac:dyDescent="0.25">
      <c r="B974" s="15"/>
      <c r="C974" s="45"/>
    </row>
    <row r="975" spans="2:3" x14ac:dyDescent="0.25">
      <c r="B975" s="15"/>
      <c r="C975" s="45"/>
    </row>
    <row r="976" spans="2:3" x14ac:dyDescent="0.25">
      <c r="B976" s="15"/>
      <c r="C976" s="45"/>
    </row>
    <row r="977" spans="2:3" x14ac:dyDescent="0.25">
      <c r="B977" s="15"/>
      <c r="C977" s="45"/>
    </row>
    <row r="978" spans="2:3" x14ac:dyDescent="0.25">
      <c r="B978" s="15"/>
      <c r="C978" s="45"/>
    </row>
    <row r="979" spans="2:3" x14ac:dyDescent="0.25">
      <c r="B979" s="15"/>
      <c r="C979" s="45"/>
    </row>
    <row r="980" spans="2:3" x14ac:dyDescent="0.25">
      <c r="B980" s="15"/>
      <c r="C980" s="45"/>
    </row>
    <row r="981" spans="2:3" x14ac:dyDescent="0.25">
      <c r="B981" s="15"/>
      <c r="C981" s="45"/>
    </row>
    <row r="982" spans="2:3" x14ac:dyDescent="0.25">
      <c r="B982" s="15"/>
      <c r="C982" s="45"/>
    </row>
    <row r="983" spans="2:3" x14ac:dyDescent="0.25">
      <c r="B983" s="15"/>
      <c r="C983" s="45"/>
    </row>
    <row r="984" spans="2:3" x14ac:dyDescent="0.25">
      <c r="B984" s="15"/>
      <c r="C984" s="45"/>
    </row>
    <row r="985" spans="2:3" x14ac:dyDescent="0.25">
      <c r="B985" s="15"/>
      <c r="C985" s="45"/>
    </row>
    <row r="986" spans="2:3" x14ac:dyDescent="0.25">
      <c r="B986" s="15"/>
      <c r="C986" s="45"/>
    </row>
    <row r="987" spans="2:3" x14ac:dyDescent="0.25">
      <c r="B987" s="15"/>
      <c r="C987" s="45"/>
    </row>
    <row r="988" spans="2:3" x14ac:dyDescent="0.25">
      <c r="B988" s="15"/>
      <c r="C988" s="45"/>
    </row>
    <row r="989" spans="2:3" x14ac:dyDescent="0.25">
      <c r="B989" s="15"/>
      <c r="C989" s="45"/>
    </row>
    <row r="990" spans="2:3" x14ac:dyDescent="0.25">
      <c r="B990" s="15"/>
      <c r="C990" s="45"/>
    </row>
    <row r="991" spans="2:3" x14ac:dyDescent="0.25">
      <c r="B991" s="15"/>
      <c r="C991" s="45"/>
    </row>
    <row r="992" spans="2:3" x14ac:dyDescent="0.25">
      <c r="B992" s="15"/>
      <c r="C992" s="45"/>
    </row>
    <row r="993" spans="2:3" x14ac:dyDescent="0.25">
      <c r="B993" s="15"/>
      <c r="C993" s="45"/>
    </row>
    <row r="994" spans="2:3" x14ac:dyDescent="0.25">
      <c r="B994" s="15"/>
      <c r="C994" s="45"/>
    </row>
    <row r="995" spans="2:3" x14ac:dyDescent="0.25">
      <c r="B995" s="15"/>
      <c r="C995" s="45"/>
    </row>
    <row r="996" spans="2:3" x14ac:dyDescent="0.25">
      <c r="B996" s="15"/>
      <c r="C996" s="45"/>
    </row>
    <row r="997" spans="2:3" x14ac:dyDescent="0.25">
      <c r="B997" s="15"/>
      <c r="C997" s="45"/>
    </row>
    <row r="998" spans="2:3" x14ac:dyDescent="0.25">
      <c r="B998" s="15"/>
      <c r="C998" s="45"/>
    </row>
    <row r="999" spans="2:3" x14ac:dyDescent="0.25">
      <c r="B999" s="15"/>
      <c r="C999" s="45"/>
    </row>
    <row r="1000" spans="2:3" x14ac:dyDescent="0.25">
      <c r="B1000" s="15"/>
      <c r="C1000" s="45"/>
    </row>
    <row r="1001" spans="2:3" x14ac:dyDescent="0.25">
      <c r="B1001" s="45"/>
      <c r="C1001" s="45"/>
    </row>
    <row r="1002" spans="2:3" x14ac:dyDescent="0.25">
      <c r="B1002" s="45"/>
      <c r="C1002" s="45"/>
    </row>
    <row r="1003" spans="2:3" x14ac:dyDescent="0.25">
      <c r="B1003" s="45"/>
      <c r="C1003" s="45"/>
    </row>
    <row r="1004" spans="2:3" x14ac:dyDescent="0.25">
      <c r="B1004" s="45"/>
      <c r="C1004" s="45"/>
    </row>
    <row r="1005" spans="2:3" x14ac:dyDescent="0.25">
      <c r="B1005" s="45"/>
      <c r="C1005" s="45"/>
    </row>
    <row r="1006" spans="2:3" x14ac:dyDescent="0.25">
      <c r="B1006" s="45"/>
      <c r="C1006" s="45"/>
    </row>
    <row r="1007" spans="2:3" x14ac:dyDescent="0.25">
      <c r="B1007" s="45"/>
      <c r="C1007" s="45"/>
    </row>
    <row r="1008" spans="2:3" x14ac:dyDescent="0.25">
      <c r="B1008" s="45"/>
      <c r="C1008" s="45"/>
    </row>
    <row r="1009" spans="2:3" x14ac:dyDescent="0.25">
      <c r="B1009" s="45"/>
      <c r="C1009" s="45"/>
    </row>
    <row r="1010" spans="2:3" x14ac:dyDescent="0.25">
      <c r="B1010" s="45"/>
      <c r="C1010" s="45"/>
    </row>
    <row r="1011" spans="2:3" x14ac:dyDescent="0.25">
      <c r="B1011" s="45"/>
      <c r="C1011" s="45"/>
    </row>
    <row r="1012" spans="2:3" x14ac:dyDescent="0.25">
      <c r="B1012" s="45"/>
      <c r="C1012" s="45"/>
    </row>
    <row r="1013" spans="2:3" x14ac:dyDescent="0.25">
      <c r="B1013" s="45"/>
      <c r="C1013" s="45"/>
    </row>
    <row r="1014" spans="2:3" x14ac:dyDescent="0.25">
      <c r="B1014" s="45"/>
      <c r="C1014" s="45"/>
    </row>
    <row r="1015" spans="2:3" x14ac:dyDescent="0.25">
      <c r="B1015" s="45"/>
      <c r="C1015" s="45"/>
    </row>
    <row r="1016" spans="2:3" x14ac:dyDescent="0.25">
      <c r="B1016" s="45"/>
      <c r="C1016" s="45"/>
    </row>
    <row r="1017" spans="2:3" x14ac:dyDescent="0.25">
      <c r="B1017" s="45"/>
      <c r="C1017" s="45"/>
    </row>
    <row r="1018" spans="2:3" x14ac:dyDescent="0.25">
      <c r="B1018" s="45"/>
      <c r="C1018" s="45"/>
    </row>
    <row r="1019" spans="2:3" x14ac:dyDescent="0.25">
      <c r="B1019" s="45"/>
      <c r="C1019" s="45"/>
    </row>
    <row r="1020" spans="2:3" x14ac:dyDescent="0.25">
      <c r="B1020" s="45"/>
      <c r="C1020" s="45"/>
    </row>
    <row r="1021" spans="2:3" x14ac:dyDescent="0.25">
      <c r="B1021" s="45"/>
      <c r="C1021" s="45"/>
    </row>
    <row r="1022" spans="2:3" x14ac:dyDescent="0.25">
      <c r="B1022" s="45"/>
      <c r="C1022" s="45"/>
    </row>
    <row r="1023" spans="2:3" x14ac:dyDescent="0.25">
      <c r="B1023" s="45"/>
      <c r="C1023" s="45"/>
    </row>
    <row r="1024" spans="2:3" x14ac:dyDescent="0.25">
      <c r="B1024" s="45"/>
      <c r="C1024" s="45"/>
    </row>
    <row r="1025" spans="2:3" x14ac:dyDescent="0.25">
      <c r="B1025" s="45"/>
      <c r="C1025" s="45"/>
    </row>
    <row r="1026" spans="2:3" x14ac:dyDescent="0.25">
      <c r="B1026" s="45"/>
      <c r="C1026" s="45"/>
    </row>
    <row r="1027" spans="2:3" x14ac:dyDescent="0.25">
      <c r="B1027" s="45"/>
      <c r="C1027" s="45"/>
    </row>
    <row r="1028" spans="2:3" x14ac:dyDescent="0.25">
      <c r="B1028" s="45"/>
      <c r="C1028" s="45"/>
    </row>
    <row r="1029" spans="2:3" x14ac:dyDescent="0.25">
      <c r="B1029" s="45"/>
      <c r="C1029" s="45"/>
    </row>
    <row r="1030" spans="2:3" x14ac:dyDescent="0.25">
      <c r="B1030" s="45"/>
      <c r="C1030" s="45"/>
    </row>
    <row r="1031" spans="2:3" x14ac:dyDescent="0.25">
      <c r="B1031" s="45"/>
      <c r="C1031" s="45"/>
    </row>
    <row r="1032" spans="2:3" x14ac:dyDescent="0.25">
      <c r="B1032" s="45"/>
      <c r="C1032" s="45"/>
    </row>
    <row r="1033" spans="2:3" x14ac:dyDescent="0.25">
      <c r="B1033" s="45"/>
      <c r="C1033" s="45"/>
    </row>
    <row r="1034" spans="2:3" x14ac:dyDescent="0.25">
      <c r="B1034" s="45"/>
      <c r="C1034" s="45"/>
    </row>
    <row r="1035" spans="2:3" x14ac:dyDescent="0.25">
      <c r="B1035" s="45"/>
      <c r="C1035" s="45"/>
    </row>
    <row r="1036" spans="2:3" x14ac:dyDescent="0.25">
      <c r="B1036" s="45"/>
      <c r="C1036" s="45"/>
    </row>
    <row r="1037" spans="2:3" x14ac:dyDescent="0.25">
      <c r="B1037" s="45"/>
      <c r="C1037" s="45"/>
    </row>
    <row r="1038" spans="2:3" x14ac:dyDescent="0.25">
      <c r="B1038" s="45"/>
      <c r="C1038" s="45"/>
    </row>
    <row r="1039" spans="2:3" x14ac:dyDescent="0.25">
      <c r="B1039" s="45"/>
      <c r="C1039" s="45"/>
    </row>
    <row r="1040" spans="2:3" x14ac:dyDescent="0.25">
      <c r="B1040" s="45"/>
      <c r="C1040" s="45"/>
    </row>
    <row r="1041" spans="2:3" x14ac:dyDescent="0.25">
      <c r="B1041" s="45"/>
      <c r="C1041" s="45"/>
    </row>
    <row r="1042" spans="2:3" x14ac:dyDescent="0.25">
      <c r="B1042" s="45"/>
      <c r="C1042" s="45"/>
    </row>
    <row r="1043" spans="2:3" x14ac:dyDescent="0.25">
      <c r="B1043" s="45"/>
      <c r="C1043" s="45"/>
    </row>
    <row r="1044" spans="2:3" x14ac:dyDescent="0.25">
      <c r="B1044" s="45"/>
      <c r="C1044" s="45"/>
    </row>
    <row r="1045" spans="2:3" x14ac:dyDescent="0.25">
      <c r="B1045" s="45"/>
      <c r="C1045" s="45"/>
    </row>
    <row r="1046" spans="2:3" x14ac:dyDescent="0.25">
      <c r="B1046" s="45"/>
      <c r="C1046" s="45"/>
    </row>
    <row r="1047" spans="2:3" x14ac:dyDescent="0.25">
      <c r="B1047" s="45"/>
      <c r="C1047" s="45"/>
    </row>
    <row r="1048" spans="2:3" x14ac:dyDescent="0.25">
      <c r="B1048" s="45"/>
      <c r="C1048" s="45"/>
    </row>
    <row r="1049" spans="2:3" x14ac:dyDescent="0.25">
      <c r="B1049" s="45"/>
      <c r="C1049" s="45"/>
    </row>
    <row r="1050" spans="2:3" x14ac:dyDescent="0.25">
      <c r="B1050" s="45"/>
      <c r="C1050" s="45"/>
    </row>
    <row r="1051" spans="2:3" x14ac:dyDescent="0.25">
      <c r="B1051" s="45"/>
      <c r="C1051" s="45"/>
    </row>
    <row r="1052" spans="2:3" x14ac:dyDescent="0.25">
      <c r="B1052" s="45"/>
      <c r="C1052" s="45"/>
    </row>
    <row r="1053" spans="2:3" x14ac:dyDescent="0.25">
      <c r="B1053" s="45"/>
      <c r="C1053" s="45"/>
    </row>
    <row r="1054" spans="2:3" x14ac:dyDescent="0.25">
      <c r="B1054" s="45"/>
      <c r="C1054" s="45"/>
    </row>
    <row r="1055" spans="2:3" x14ac:dyDescent="0.25">
      <c r="B1055" s="45"/>
      <c r="C1055" s="45"/>
    </row>
    <row r="1056" spans="2:3" x14ac:dyDescent="0.25">
      <c r="B1056" s="45"/>
      <c r="C1056" s="45"/>
    </row>
    <row r="1057" spans="2:3" x14ac:dyDescent="0.25">
      <c r="B1057" s="45"/>
      <c r="C1057" s="45"/>
    </row>
    <row r="1058" spans="2:3" x14ac:dyDescent="0.25">
      <c r="B1058" s="45"/>
      <c r="C1058" s="45"/>
    </row>
    <row r="1059" spans="2:3" x14ac:dyDescent="0.25">
      <c r="B1059" s="45"/>
      <c r="C1059" s="45"/>
    </row>
    <row r="1060" spans="2:3" x14ac:dyDescent="0.25">
      <c r="B1060" s="45"/>
      <c r="C1060" s="45"/>
    </row>
    <row r="1061" spans="2:3" x14ac:dyDescent="0.25">
      <c r="B1061" s="45"/>
      <c r="C1061" s="45"/>
    </row>
    <row r="1062" spans="2:3" x14ac:dyDescent="0.25">
      <c r="B1062" s="45"/>
      <c r="C1062" s="45"/>
    </row>
    <row r="1063" spans="2:3" x14ac:dyDescent="0.25">
      <c r="B1063" s="45"/>
      <c r="C1063" s="45"/>
    </row>
    <row r="1064" spans="2:3" x14ac:dyDescent="0.25">
      <c r="B1064" s="45"/>
      <c r="C1064" s="45"/>
    </row>
    <row r="1065" spans="2:3" x14ac:dyDescent="0.25">
      <c r="B1065" s="45"/>
      <c r="C1065" s="45"/>
    </row>
    <row r="1066" spans="2:3" x14ac:dyDescent="0.25">
      <c r="B1066" s="45"/>
      <c r="C1066" s="45"/>
    </row>
    <row r="1067" spans="2:3" x14ac:dyDescent="0.25">
      <c r="B1067" s="45"/>
      <c r="C1067" s="45"/>
    </row>
    <row r="1068" spans="2:3" x14ac:dyDescent="0.25">
      <c r="B1068" s="45"/>
      <c r="C1068" s="45"/>
    </row>
    <row r="1069" spans="2:3" x14ac:dyDescent="0.25">
      <c r="B1069" s="45"/>
      <c r="C1069" s="45"/>
    </row>
    <row r="1070" spans="2:3" x14ac:dyDescent="0.25">
      <c r="B1070" s="45"/>
      <c r="C1070" s="45"/>
    </row>
    <row r="1071" spans="2:3" x14ac:dyDescent="0.25">
      <c r="B1071" s="45"/>
      <c r="C1071" s="45"/>
    </row>
    <row r="1072" spans="2:3" x14ac:dyDescent="0.25">
      <c r="B1072" s="45"/>
      <c r="C1072" s="45"/>
    </row>
    <row r="1073" spans="2:3" x14ac:dyDescent="0.25">
      <c r="B1073" s="45"/>
      <c r="C1073" s="45"/>
    </row>
    <row r="1074" spans="2:3" x14ac:dyDescent="0.25">
      <c r="B1074" s="45"/>
      <c r="C1074" s="45"/>
    </row>
    <row r="1075" spans="2:3" x14ac:dyDescent="0.25">
      <c r="B1075" s="45"/>
      <c r="C1075" s="45"/>
    </row>
    <row r="1076" spans="2:3" x14ac:dyDescent="0.25">
      <c r="B1076" s="45"/>
      <c r="C1076" s="45"/>
    </row>
    <row r="1077" spans="2:3" x14ac:dyDescent="0.25">
      <c r="B1077" s="45"/>
      <c r="C1077" s="45"/>
    </row>
    <row r="1078" spans="2:3" x14ac:dyDescent="0.25">
      <c r="B1078" s="45"/>
      <c r="C1078" s="45"/>
    </row>
    <row r="1079" spans="2:3" x14ac:dyDescent="0.25">
      <c r="B1079" s="45"/>
      <c r="C1079" s="45"/>
    </row>
    <row r="1080" spans="2:3" x14ac:dyDescent="0.25">
      <c r="B1080" s="45"/>
      <c r="C1080" s="45"/>
    </row>
    <row r="1081" spans="2:3" x14ac:dyDescent="0.25">
      <c r="B1081" s="45"/>
      <c r="C1081" s="45"/>
    </row>
    <row r="1082" spans="2:3" x14ac:dyDescent="0.25">
      <c r="B1082" s="45"/>
      <c r="C1082" s="45"/>
    </row>
    <row r="1083" spans="2:3" x14ac:dyDescent="0.25">
      <c r="B1083" s="45"/>
      <c r="C1083" s="45"/>
    </row>
    <row r="1084" spans="2:3" x14ac:dyDescent="0.25">
      <c r="B1084" s="45"/>
      <c r="C1084" s="45"/>
    </row>
    <row r="1085" spans="2:3" x14ac:dyDescent="0.25">
      <c r="B1085" s="45"/>
      <c r="C1085" s="45"/>
    </row>
    <row r="1086" spans="2:3" x14ac:dyDescent="0.25">
      <c r="B1086" s="45"/>
      <c r="C1086" s="45"/>
    </row>
    <row r="1087" spans="2:3" x14ac:dyDescent="0.25">
      <c r="B1087" s="45"/>
      <c r="C1087" s="45"/>
    </row>
    <row r="1088" spans="2:3" x14ac:dyDescent="0.25">
      <c r="B1088" s="45"/>
      <c r="C1088" s="45"/>
    </row>
    <row r="1089" spans="2:3" x14ac:dyDescent="0.25">
      <c r="B1089" s="45"/>
      <c r="C1089" s="45"/>
    </row>
    <row r="1090" spans="2:3" x14ac:dyDescent="0.25">
      <c r="B1090" s="45"/>
      <c r="C1090" s="45"/>
    </row>
    <row r="1091" spans="2:3" x14ac:dyDescent="0.25">
      <c r="B1091" s="45"/>
      <c r="C1091" s="45"/>
    </row>
    <row r="1092" spans="2:3" x14ac:dyDescent="0.25">
      <c r="B1092" s="45"/>
      <c r="C1092" s="45"/>
    </row>
    <row r="1093" spans="2:3" x14ac:dyDescent="0.25">
      <c r="B1093" s="45"/>
      <c r="C1093" s="45"/>
    </row>
    <row r="1094" spans="2:3" x14ac:dyDescent="0.25">
      <c r="B1094" s="45"/>
      <c r="C1094" s="45"/>
    </row>
    <row r="1095" spans="2:3" x14ac:dyDescent="0.25">
      <c r="B1095" s="45"/>
      <c r="C1095" s="45"/>
    </row>
    <row r="1096" spans="2:3" x14ac:dyDescent="0.25">
      <c r="B1096" s="45"/>
      <c r="C1096" s="45"/>
    </row>
    <row r="1097" spans="2:3" x14ac:dyDescent="0.25">
      <c r="B1097" s="45"/>
      <c r="C1097" s="45"/>
    </row>
    <row r="1098" spans="2:3" x14ac:dyDescent="0.25">
      <c r="B1098" s="45"/>
      <c r="C1098" s="45"/>
    </row>
    <row r="1099" spans="2:3" x14ac:dyDescent="0.25">
      <c r="B1099" s="45"/>
      <c r="C1099" s="45"/>
    </row>
    <row r="1100" spans="2:3" x14ac:dyDescent="0.25">
      <c r="B1100" s="45"/>
      <c r="C1100" s="45"/>
    </row>
    <row r="1101" spans="2:3" x14ac:dyDescent="0.25">
      <c r="B1101" s="45"/>
      <c r="C1101" s="45"/>
    </row>
    <row r="1102" spans="2:3" x14ac:dyDescent="0.25">
      <c r="B1102" s="45"/>
      <c r="C1102" s="45"/>
    </row>
    <row r="1103" spans="2:3" x14ac:dyDescent="0.25">
      <c r="B1103" s="45"/>
      <c r="C1103" s="45"/>
    </row>
    <row r="1104" spans="2:3" x14ac:dyDescent="0.25">
      <c r="B1104" s="45"/>
      <c r="C1104" s="45"/>
    </row>
    <row r="1105" spans="2:3" x14ac:dyDescent="0.25">
      <c r="B1105" s="45"/>
      <c r="C1105" s="45"/>
    </row>
    <row r="1106" spans="2:3" x14ac:dyDescent="0.25">
      <c r="B1106" s="45"/>
      <c r="C1106" s="45"/>
    </row>
    <row r="1107" spans="2:3" x14ac:dyDescent="0.25">
      <c r="B1107" s="45"/>
      <c r="C1107" s="45"/>
    </row>
    <row r="1108" spans="2:3" x14ac:dyDescent="0.25">
      <c r="B1108" s="45"/>
      <c r="C1108" s="45"/>
    </row>
    <row r="1109" spans="2:3" x14ac:dyDescent="0.25">
      <c r="B1109" s="45"/>
      <c r="C1109" s="45"/>
    </row>
    <row r="1110" spans="2:3" x14ac:dyDescent="0.25">
      <c r="B1110" s="45"/>
      <c r="C1110" s="45"/>
    </row>
    <row r="1111" spans="2:3" x14ac:dyDescent="0.25">
      <c r="B1111" s="45"/>
      <c r="C1111" s="45"/>
    </row>
    <row r="1112" spans="2:3" x14ac:dyDescent="0.25">
      <c r="B1112" s="45"/>
      <c r="C1112" s="45"/>
    </row>
    <row r="1113" spans="2:3" x14ac:dyDescent="0.25">
      <c r="B1113" s="45"/>
      <c r="C1113" s="45"/>
    </row>
    <row r="1114" spans="2:3" x14ac:dyDescent="0.25">
      <c r="B1114" s="45"/>
      <c r="C1114" s="45"/>
    </row>
    <row r="1115" spans="2:3" x14ac:dyDescent="0.25">
      <c r="B1115" s="45"/>
      <c r="C1115" s="45"/>
    </row>
    <row r="1116" spans="2:3" x14ac:dyDescent="0.25">
      <c r="B1116" s="45"/>
      <c r="C1116" s="45"/>
    </row>
    <row r="1117" spans="2:3" x14ac:dyDescent="0.25">
      <c r="B1117" s="45"/>
      <c r="C1117" s="45"/>
    </row>
    <row r="1118" spans="2:3" x14ac:dyDescent="0.25">
      <c r="B1118" s="45"/>
      <c r="C1118" s="45"/>
    </row>
    <row r="1119" spans="2:3" x14ac:dyDescent="0.25">
      <c r="B1119" s="45"/>
      <c r="C1119" s="45"/>
    </row>
    <row r="1120" spans="2:3" x14ac:dyDescent="0.25">
      <c r="B1120" s="45"/>
      <c r="C1120" s="45"/>
    </row>
    <row r="1121" spans="2:3" x14ac:dyDescent="0.25">
      <c r="B1121" s="45"/>
      <c r="C1121" s="45"/>
    </row>
    <row r="1122" spans="2:3" x14ac:dyDescent="0.25">
      <c r="B1122" s="45"/>
      <c r="C1122" s="45"/>
    </row>
    <row r="1123" spans="2:3" x14ac:dyDescent="0.25">
      <c r="B1123" s="45"/>
      <c r="C1123" s="45"/>
    </row>
    <row r="1124" spans="2:3" x14ac:dyDescent="0.25">
      <c r="B1124" s="45"/>
      <c r="C1124" s="45"/>
    </row>
    <row r="1125" spans="2:3" x14ac:dyDescent="0.25">
      <c r="B1125" s="45"/>
      <c r="C1125" s="45"/>
    </row>
    <row r="1126" spans="2:3" x14ac:dyDescent="0.25">
      <c r="B1126" s="45"/>
      <c r="C1126" s="45"/>
    </row>
    <row r="1127" spans="2:3" x14ac:dyDescent="0.25">
      <c r="B1127" s="45"/>
      <c r="C1127" s="45"/>
    </row>
    <row r="1128" spans="2:3" x14ac:dyDescent="0.25">
      <c r="B1128" s="45"/>
      <c r="C1128" s="45"/>
    </row>
    <row r="1129" spans="2:3" x14ac:dyDescent="0.25">
      <c r="B1129" s="45"/>
      <c r="C1129" s="45"/>
    </row>
    <row r="1130" spans="2:3" x14ac:dyDescent="0.25">
      <c r="B1130" s="45"/>
      <c r="C1130" s="45"/>
    </row>
    <row r="1131" spans="2:3" x14ac:dyDescent="0.25">
      <c r="B1131" s="45"/>
      <c r="C1131" s="45"/>
    </row>
    <row r="1132" spans="2:3" x14ac:dyDescent="0.25">
      <c r="B1132" s="45"/>
      <c r="C1132" s="45"/>
    </row>
    <row r="1133" spans="2:3" x14ac:dyDescent="0.25">
      <c r="B1133" s="45"/>
      <c r="C1133" s="45"/>
    </row>
    <row r="1134" spans="2:3" x14ac:dyDescent="0.25">
      <c r="B1134" s="45"/>
      <c r="C1134" s="45"/>
    </row>
    <row r="1135" spans="2:3" x14ac:dyDescent="0.25">
      <c r="B1135" s="45"/>
      <c r="C1135" s="45"/>
    </row>
    <row r="1136" spans="2:3" x14ac:dyDescent="0.25">
      <c r="B1136" s="45"/>
      <c r="C1136" s="45"/>
    </row>
    <row r="1137" spans="2:3" x14ac:dyDescent="0.25">
      <c r="B1137" s="45"/>
      <c r="C1137" s="45"/>
    </row>
    <row r="1138" spans="2:3" x14ac:dyDescent="0.25">
      <c r="B1138" s="45"/>
      <c r="C1138" s="45"/>
    </row>
    <row r="1139" spans="2:3" x14ac:dyDescent="0.25">
      <c r="B1139" s="45"/>
      <c r="C1139" s="45"/>
    </row>
    <row r="1140" spans="2:3" x14ac:dyDescent="0.25">
      <c r="B1140" s="45"/>
      <c r="C1140" s="45"/>
    </row>
    <row r="1141" spans="2:3" x14ac:dyDescent="0.25">
      <c r="B1141" s="45"/>
      <c r="C1141" s="45"/>
    </row>
    <row r="1142" spans="2:3" x14ac:dyDescent="0.25">
      <c r="B1142" s="45"/>
      <c r="C1142" s="45"/>
    </row>
    <row r="1143" spans="2:3" x14ac:dyDescent="0.25">
      <c r="B1143" s="45"/>
      <c r="C1143" s="45"/>
    </row>
    <row r="1144" spans="2:3" x14ac:dyDescent="0.25">
      <c r="B1144" s="45"/>
      <c r="C1144" s="45"/>
    </row>
    <row r="1145" spans="2:3" x14ac:dyDescent="0.25">
      <c r="B1145" s="45"/>
      <c r="C1145" s="45"/>
    </row>
    <row r="1146" spans="2:3" x14ac:dyDescent="0.25">
      <c r="B1146" s="45"/>
      <c r="C1146" s="45"/>
    </row>
    <row r="1147" spans="2:3" x14ac:dyDescent="0.25">
      <c r="B1147" s="45"/>
      <c r="C1147" s="45"/>
    </row>
    <row r="1148" spans="2:3" x14ac:dyDescent="0.25">
      <c r="B1148" s="45"/>
      <c r="C1148" s="45"/>
    </row>
    <row r="1149" spans="2:3" x14ac:dyDescent="0.25">
      <c r="B1149" s="45"/>
      <c r="C1149" s="45"/>
    </row>
    <row r="1150" spans="2:3" x14ac:dyDescent="0.25">
      <c r="B1150" s="45"/>
      <c r="C1150" s="45"/>
    </row>
    <row r="1151" spans="2:3" x14ac:dyDescent="0.25">
      <c r="B1151" s="45"/>
      <c r="C1151" s="45"/>
    </row>
    <row r="1152" spans="2:3" x14ac:dyDescent="0.25">
      <c r="B1152" s="45"/>
      <c r="C1152" s="45"/>
    </row>
    <row r="1153" spans="2:3" x14ac:dyDescent="0.25">
      <c r="B1153" s="45"/>
      <c r="C1153" s="45"/>
    </row>
    <row r="1154" spans="2:3" x14ac:dyDescent="0.25">
      <c r="B1154" s="45"/>
      <c r="C1154" s="45"/>
    </row>
    <row r="1155" spans="2:3" x14ac:dyDescent="0.25">
      <c r="B1155" s="45"/>
      <c r="C1155" s="45"/>
    </row>
    <row r="1156" spans="2:3" x14ac:dyDescent="0.25">
      <c r="B1156" s="45"/>
      <c r="C1156" s="45"/>
    </row>
    <row r="1157" spans="2:3" x14ac:dyDescent="0.25">
      <c r="B1157" s="45"/>
      <c r="C1157" s="45"/>
    </row>
    <row r="1158" spans="2:3" x14ac:dyDescent="0.25">
      <c r="B1158" s="45"/>
      <c r="C1158" s="45"/>
    </row>
    <row r="1159" spans="2:3" x14ac:dyDescent="0.25">
      <c r="B1159" s="45"/>
      <c r="C1159" s="45"/>
    </row>
    <row r="1160" spans="2:3" x14ac:dyDescent="0.25">
      <c r="B1160" s="45"/>
      <c r="C1160" s="45"/>
    </row>
    <row r="1161" spans="2:3" x14ac:dyDescent="0.25">
      <c r="B1161" s="45"/>
      <c r="C1161" s="45"/>
    </row>
    <row r="1162" spans="2:3" x14ac:dyDescent="0.25">
      <c r="B1162" s="45"/>
      <c r="C1162" s="45"/>
    </row>
    <row r="1163" spans="2:3" x14ac:dyDescent="0.25">
      <c r="B1163" s="45"/>
      <c r="C1163" s="45"/>
    </row>
    <row r="1164" spans="2:3" x14ac:dyDescent="0.25">
      <c r="B1164" s="45"/>
      <c r="C1164" s="45"/>
    </row>
    <row r="1165" spans="2:3" x14ac:dyDescent="0.25">
      <c r="B1165" s="45"/>
      <c r="C1165" s="45"/>
    </row>
    <row r="1166" spans="2:3" x14ac:dyDescent="0.25">
      <c r="B1166" s="45"/>
      <c r="C1166" s="45"/>
    </row>
    <row r="1167" spans="2:3" x14ac:dyDescent="0.25">
      <c r="B1167" s="45"/>
      <c r="C1167" s="45"/>
    </row>
    <row r="1168" spans="2:3" x14ac:dyDescent="0.25">
      <c r="B1168" s="45"/>
      <c r="C1168" s="45"/>
    </row>
    <row r="1169" spans="2:3" x14ac:dyDescent="0.25">
      <c r="B1169" s="45"/>
      <c r="C1169" s="45"/>
    </row>
    <row r="1170" spans="2:3" x14ac:dyDescent="0.25">
      <c r="B1170" s="45"/>
      <c r="C1170" s="45"/>
    </row>
    <row r="1171" spans="2:3" x14ac:dyDescent="0.25">
      <c r="B1171" s="45"/>
      <c r="C1171" s="45"/>
    </row>
    <row r="1172" spans="2:3" x14ac:dyDescent="0.25">
      <c r="B1172" s="45"/>
      <c r="C1172" s="45"/>
    </row>
    <row r="1173" spans="2:3" x14ac:dyDescent="0.25">
      <c r="B1173" s="45"/>
      <c r="C1173" s="45"/>
    </row>
    <row r="1174" spans="2:3" x14ac:dyDescent="0.25">
      <c r="B1174" s="45"/>
      <c r="C1174" s="45"/>
    </row>
    <row r="1175" spans="2:3" x14ac:dyDescent="0.25">
      <c r="B1175" s="45"/>
      <c r="C1175" s="45"/>
    </row>
    <row r="1176" spans="2:3" x14ac:dyDescent="0.25">
      <c r="B1176" s="45"/>
      <c r="C1176" s="45"/>
    </row>
    <row r="1177" spans="2:3" x14ac:dyDescent="0.25">
      <c r="B1177" s="45"/>
      <c r="C1177" s="45"/>
    </row>
    <row r="1178" spans="2:3" x14ac:dyDescent="0.25">
      <c r="B1178" s="45"/>
      <c r="C1178" s="45"/>
    </row>
    <row r="1179" spans="2:3" x14ac:dyDescent="0.25">
      <c r="B1179" s="45"/>
      <c r="C1179" s="45"/>
    </row>
    <row r="1180" spans="2:3" x14ac:dyDescent="0.25">
      <c r="B1180" s="45"/>
      <c r="C1180" s="45"/>
    </row>
    <row r="1181" spans="2:3" x14ac:dyDescent="0.25">
      <c r="B1181" s="45"/>
      <c r="C1181" s="45"/>
    </row>
    <row r="1182" spans="2:3" x14ac:dyDescent="0.25">
      <c r="B1182" s="45"/>
      <c r="C1182" s="45"/>
    </row>
    <row r="1183" spans="2:3" x14ac:dyDescent="0.25">
      <c r="B1183" s="45"/>
      <c r="C1183" s="45"/>
    </row>
    <row r="1184" spans="2:3" x14ac:dyDescent="0.25">
      <c r="B1184" s="45"/>
      <c r="C1184" s="45"/>
    </row>
    <row r="1185" spans="2:3" x14ac:dyDescent="0.25">
      <c r="B1185" s="45"/>
      <c r="C1185" s="45"/>
    </row>
    <row r="1186" spans="2:3" x14ac:dyDescent="0.25">
      <c r="B1186" s="45"/>
      <c r="C1186" s="45"/>
    </row>
    <row r="1187" spans="2:3" x14ac:dyDescent="0.25">
      <c r="B1187" s="45"/>
      <c r="C1187" s="45"/>
    </row>
    <row r="1188" spans="2:3" x14ac:dyDescent="0.25">
      <c r="B1188" s="45"/>
      <c r="C1188" s="45"/>
    </row>
    <row r="1189" spans="2:3" x14ac:dyDescent="0.25">
      <c r="B1189" s="45"/>
      <c r="C1189" s="45"/>
    </row>
    <row r="1190" spans="2:3" x14ac:dyDescent="0.25">
      <c r="B1190" s="45"/>
      <c r="C1190" s="45"/>
    </row>
    <row r="1191" spans="2:3" x14ac:dyDescent="0.25">
      <c r="B1191" s="45"/>
      <c r="C1191" s="45"/>
    </row>
    <row r="1192" spans="2:3" x14ac:dyDescent="0.25">
      <c r="B1192" s="45"/>
      <c r="C1192" s="45"/>
    </row>
    <row r="1193" spans="2:3" x14ac:dyDescent="0.25">
      <c r="B1193" s="45"/>
      <c r="C1193" s="45"/>
    </row>
    <row r="1194" spans="2:3" x14ac:dyDescent="0.25">
      <c r="B1194" s="45"/>
      <c r="C1194" s="45"/>
    </row>
    <row r="1195" spans="2:3" x14ac:dyDescent="0.25">
      <c r="B1195" s="45"/>
      <c r="C1195" s="45"/>
    </row>
    <row r="1196" spans="2:3" x14ac:dyDescent="0.25">
      <c r="B1196" s="45"/>
      <c r="C1196" s="45"/>
    </row>
    <row r="1197" spans="2:3" x14ac:dyDescent="0.25">
      <c r="B1197" s="45"/>
      <c r="C1197" s="45"/>
    </row>
    <row r="1198" spans="2:3" x14ac:dyDescent="0.25">
      <c r="B1198" s="45"/>
      <c r="C1198" s="45"/>
    </row>
    <row r="1199" spans="2:3" x14ac:dyDescent="0.25">
      <c r="B1199" s="45"/>
      <c r="C1199" s="45"/>
    </row>
    <row r="1200" spans="2:3" x14ac:dyDescent="0.25">
      <c r="B1200" s="45"/>
      <c r="C1200" s="45"/>
    </row>
    <row r="1201" spans="2:3" x14ac:dyDescent="0.25">
      <c r="B1201" s="45"/>
      <c r="C1201" s="45"/>
    </row>
    <row r="1202" spans="2:3" x14ac:dyDescent="0.25">
      <c r="B1202" s="45"/>
      <c r="C1202" s="45"/>
    </row>
    <row r="1203" spans="2:3" x14ac:dyDescent="0.25">
      <c r="B1203" s="45"/>
      <c r="C1203" s="45"/>
    </row>
    <row r="1204" spans="2:3" x14ac:dyDescent="0.25">
      <c r="B1204" s="45"/>
      <c r="C1204" s="45"/>
    </row>
    <row r="1205" spans="2:3" x14ac:dyDescent="0.25">
      <c r="B1205" s="45"/>
      <c r="C1205" s="45"/>
    </row>
    <row r="1206" spans="2:3" x14ac:dyDescent="0.25">
      <c r="B1206" s="45"/>
      <c r="C1206" s="45"/>
    </row>
    <row r="1207" spans="2:3" x14ac:dyDescent="0.25">
      <c r="B1207" s="45"/>
      <c r="C1207" s="45"/>
    </row>
    <row r="1208" spans="2:3" x14ac:dyDescent="0.25">
      <c r="B1208" s="45"/>
      <c r="C1208" s="45"/>
    </row>
    <row r="1209" spans="2:3" x14ac:dyDescent="0.25">
      <c r="B1209" s="45"/>
      <c r="C1209" s="45"/>
    </row>
    <row r="1210" spans="2:3" x14ac:dyDescent="0.25">
      <c r="B1210" s="45"/>
      <c r="C1210" s="45"/>
    </row>
    <row r="1211" spans="2:3" x14ac:dyDescent="0.25">
      <c r="B1211" s="45"/>
      <c r="C1211" s="45"/>
    </row>
    <row r="1212" spans="2:3" x14ac:dyDescent="0.25">
      <c r="B1212" s="45"/>
      <c r="C1212" s="45"/>
    </row>
    <row r="1213" spans="2:3" x14ac:dyDescent="0.25">
      <c r="B1213" s="45"/>
      <c r="C1213" s="45"/>
    </row>
    <row r="1214" spans="2:3" x14ac:dyDescent="0.25">
      <c r="B1214" s="45"/>
      <c r="C1214" s="45"/>
    </row>
    <row r="1215" spans="2:3" x14ac:dyDescent="0.25">
      <c r="B1215" s="45"/>
      <c r="C1215" s="45"/>
    </row>
    <row r="1216" spans="2:3" x14ac:dyDescent="0.25">
      <c r="B1216" s="45"/>
      <c r="C1216" s="45"/>
    </row>
    <row r="1217" spans="2:3" x14ac:dyDescent="0.25">
      <c r="B1217" s="45"/>
      <c r="C1217" s="45"/>
    </row>
    <row r="1218" spans="2:3" x14ac:dyDescent="0.25">
      <c r="B1218" s="45"/>
      <c r="C1218" s="45"/>
    </row>
    <row r="1219" spans="2:3" x14ac:dyDescent="0.25">
      <c r="B1219" s="45"/>
      <c r="C1219" s="45"/>
    </row>
    <row r="1220" spans="2:3" x14ac:dyDescent="0.25">
      <c r="B1220" s="45"/>
      <c r="C1220" s="45"/>
    </row>
    <row r="1221" spans="2:3" x14ac:dyDescent="0.25">
      <c r="B1221" s="45"/>
      <c r="C1221" s="45"/>
    </row>
    <row r="1222" spans="2:3" x14ac:dyDescent="0.25">
      <c r="B1222" s="45"/>
      <c r="C1222" s="45"/>
    </row>
    <row r="1223" spans="2:3" x14ac:dyDescent="0.25">
      <c r="B1223" s="45"/>
      <c r="C1223" s="45"/>
    </row>
    <row r="1224" spans="2:3" x14ac:dyDescent="0.25">
      <c r="B1224" s="45"/>
      <c r="C1224" s="45"/>
    </row>
    <row r="1225" spans="2:3" x14ac:dyDescent="0.25">
      <c r="B1225" s="45"/>
      <c r="C1225" s="45"/>
    </row>
    <row r="1226" spans="2:3" x14ac:dyDescent="0.25">
      <c r="B1226" s="45"/>
      <c r="C1226" s="45"/>
    </row>
    <row r="1227" spans="2:3" x14ac:dyDescent="0.25">
      <c r="B1227" s="45"/>
      <c r="C1227" s="45"/>
    </row>
    <row r="1228" spans="2:3" x14ac:dyDescent="0.25">
      <c r="B1228" s="45"/>
      <c r="C1228" s="45"/>
    </row>
    <row r="1229" spans="2:3" x14ac:dyDescent="0.25">
      <c r="B1229" s="45"/>
      <c r="C1229" s="45"/>
    </row>
    <row r="1230" spans="2:3" x14ac:dyDescent="0.25">
      <c r="B1230" s="45"/>
      <c r="C1230" s="45"/>
    </row>
    <row r="1231" spans="2:3" x14ac:dyDescent="0.25">
      <c r="B1231" s="45"/>
      <c r="C1231" s="45"/>
    </row>
    <row r="1232" spans="2:3" x14ac:dyDescent="0.25">
      <c r="B1232" s="45"/>
      <c r="C1232" s="45"/>
    </row>
    <row r="1233" spans="2:3" x14ac:dyDescent="0.25">
      <c r="B1233" s="45"/>
      <c r="C1233" s="45"/>
    </row>
    <row r="1234" spans="2:3" x14ac:dyDescent="0.25">
      <c r="B1234" s="45"/>
      <c r="C1234" s="45"/>
    </row>
    <row r="1235" spans="2:3" x14ac:dyDescent="0.25">
      <c r="B1235" s="45"/>
      <c r="C1235" s="45"/>
    </row>
    <row r="1236" spans="2:3" x14ac:dyDescent="0.25">
      <c r="B1236" s="45"/>
      <c r="C1236" s="45"/>
    </row>
    <row r="1237" spans="2:3" x14ac:dyDescent="0.25">
      <c r="B1237" s="45"/>
      <c r="C1237" s="45"/>
    </row>
    <row r="1238" spans="2:3" x14ac:dyDescent="0.25">
      <c r="B1238" s="45"/>
      <c r="C1238" s="45"/>
    </row>
    <row r="1239" spans="2:3" x14ac:dyDescent="0.25">
      <c r="B1239" s="45"/>
      <c r="C1239" s="45"/>
    </row>
    <row r="1240" spans="2:3" x14ac:dyDescent="0.25">
      <c r="B1240" s="45"/>
      <c r="C1240" s="45"/>
    </row>
    <row r="1241" spans="2:3" x14ac:dyDescent="0.25">
      <c r="B1241" s="45"/>
      <c r="C1241" s="45"/>
    </row>
    <row r="1242" spans="2:3" x14ac:dyDescent="0.25">
      <c r="B1242" s="45"/>
      <c r="C1242" s="45"/>
    </row>
    <row r="1243" spans="2:3" x14ac:dyDescent="0.25">
      <c r="B1243" s="45"/>
      <c r="C1243" s="45"/>
    </row>
    <row r="1244" spans="2:3" x14ac:dyDescent="0.25">
      <c r="B1244" s="45"/>
      <c r="C1244" s="45"/>
    </row>
    <row r="1245" spans="2:3" x14ac:dyDescent="0.25">
      <c r="B1245" s="45"/>
      <c r="C1245" s="45"/>
    </row>
    <row r="1246" spans="2:3" x14ac:dyDescent="0.25">
      <c r="B1246" s="45"/>
      <c r="C1246" s="45"/>
    </row>
    <row r="1247" spans="2:3" x14ac:dyDescent="0.25">
      <c r="B1247" s="45"/>
      <c r="C1247" s="45"/>
    </row>
    <row r="1248" spans="2:3" x14ac:dyDescent="0.25">
      <c r="B1248" s="45"/>
      <c r="C1248" s="45"/>
    </row>
    <row r="1249" spans="2:3" x14ac:dyDescent="0.25">
      <c r="B1249" s="45"/>
      <c r="C1249" s="45"/>
    </row>
    <row r="1250" spans="2:3" x14ac:dyDescent="0.25">
      <c r="B1250" s="45"/>
      <c r="C1250" s="45"/>
    </row>
    <row r="1251" spans="2:3" x14ac:dyDescent="0.25">
      <c r="B1251" s="45"/>
      <c r="C1251" s="45"/>
    </row>
    <row r="1252" spans="2:3" x14ac:dyDescent="0.25">
      <c r="B1252" s="45"/>
      <c r="C1252" s="45"/>
    </row>
    <row r="1253" spans="2:3" x14ac:dyDescent="0.25">
      <c r="B1253" s="45"/>
      <c r="C1253" s="45"/>
    </row>
    <row r="1254" spans="2:3" x14ac:dyDescent="0.25">
      <c r="B1254" s="45"/>
      <c r="C1254" s="45"/>
    </row>
    <row r="1255" spans="2:3" x14ac:dyDescent="0.25">
      <c r="B1255" s="45"/>
      <c r="C1255" s="45"/>
    </row>
    <row r="1256" spans="2:3" x14ac:dyDescent="0.25">
      <c r="B1256" s="45"/>
      <c r="C1256" s="45"/>
    </row>
    <row r="1257" spans="2:3" x14ac:dyDescent="0.25">
      <c r="B1257" s="45"/>
      <c r="C1257" s="45"/>
    </row>
    <row r="1258" spans="2:3" x14ac:dyDescent="0.25">
      <c r="B1258" s="45"/>
      <c r="C1258" s="45"/>
    </row>
    <row r="1259" spans="2:3" x14ac:dyDescent="0.25">
      <c r="B1259" s="45"/>
      <c r="C1259" s="45"/>
    </row>
    <row r="1260" spans="2:3" x14ac:dyDescent="0.25">
      <c r="B1260" s="45"/>
      <c r="C1260" s="45"/>
    </row>
    <row r="1261" spans="2:3" x14ac:dyDescent="0.25">
      <c r="B1261" s="45"/>
      <c r="C1261" s="45"/>
    </row>
    <row r="1262" spans="2:3" x14ac:dyDescent="0.25">
      <c r="B1262" s="45"/>
      <c r="C1262" s="45"/>
    </row>
    <row r="1263" spans="2:3" x14ac:dyDescent="0.25">
      <c r="B1263" s="45"/>
      <c r="C1263" s="45"/>
    </row>
    <row r="1264" spans="2:3" x14ac:dyDescent="0.25">
      <c r="B1264" s="45"/>
      <c r="C1264" s="45"/>
    </row>
    <row r="1265" spans="2:3" x14ac:dyDescent="0.25">
      <c r="B1265" s="45"/>
      <c r="C1265" s="45"/>
    </row>
    <row r="1266" spans="2:3" x14ac:dyDescent="0.25">
      <c r="B1266" s="45"/>
      <c r="C1266" s="45"/>
    </row>
    <row r="1267" spans="2:3" x14ac:dyDescent="0.25">
      <c r="B1267" s="45"/>
      <c r="C1267" s="45"/>
    </row>
    <row r="1268" spans="2:3" x14ac:dyDescent="0.25">
      <c r="B1268" s="45"/>
      <c r="C1268" s="45"/>
    </row>
    <row r="1269" spans="2:3" x14ac:dyDescent="0.25">
      <c r="B1269" s="45"/>
      <c r="C1269" s="45"/>
    </row>
    <row r="1270" spans="2:3" x14ac:dyDescent="0.25">
      <c r="B1270" s="45"/>
      <c r="C1270" s="45"/>
    </row>
    <row r="1271" spans="2:3" x14ac:dyDescent="0.25">
      <c r="B1271" s="45"/>
      <c r="C1271" s="45"/>
    </row>
    <row r="1272" spans="2:3" x14ac:dyDescent="0.25">
      <c r="B1272" s="45"/>
      <c r="C1272" s="45"/>
    </row>
    <row r="1273" spans="2:3" x14ac:dyDescent="0.25">
      <c r="B1273" s="45"/>
      <c r="C1273" s="45"/>
    </row>
    <row r="1274" spans="2:3" x14ac:dyDescent="0.25">
      <c r="B1274" s="45"/>
      <c r="C1274" s="45"/>
    </row>
    <row r="1275" spans="2:3" x14ac:dyDescent="0.25">
      <c r="B1275" s="45"/>
      <c r="C1275" s="45"/>
    </row>
    <row r="1276" spans="2:3" x14ac:dyDescent="0.25">
      <c r="B1276" s="45"/>
      <c r="C1276" s="45"/>
    </row>
    <row r="1277" spans="2:3" x14ac:dyDescent="0.25">
      <c r="B1277" s="45"/>
      <c r="C1277" s="45"/>
    </row>
    <row r="1278" spans="2:3" x14ac:dyDescent="0.25">
      <c r="B1278" s="45"/>
      <c r="C1278" s="45"/>
    </row>
    <row r="1279" spans="2:3" x14ac:dyDescent="0.25">
      <c r="B1279" s="45"/>
      <c r="C1279" s="45"/>
    </row>
    <row r="1280" spans="2:3" x14ac:dyDescent="0.25">
      <c r="B1280" s="45"/>
      <c r="C1280" s="45"/>
    </row>
    <row r="1281" spans="2:3" x14ac:dyDescent="0.25">
      <c r="B1281" s="45"/>
      <c r="C1281" s="45"/>
    </row>
    <row r="1282" spans="2:3" x14ac:dyDescent="0.25">
      <c r="B1282" s="45"/>
      <c r="C1282" s="45"/>
    </row>
    <row r="1283" spans="2:3" x14ac:dyDescent="0.25">
      <c r="B1283" s="45"/>
      <c r="C1283" s="45"/>
    </row>
    <row r="1284" spans="2:3" x14ac:dyDescent="0.25">
      <c r="B1284" s="45"/>
      <c r="C1284" s="45"/>
    </row>
    <row r="1285" spans="2:3" x14ac:dyDescent="0.25">
      <c r="B1285" s="45"/>
      <c r="C1285" s="45"/>
    </row>
    <row r="1286" spans="2:3" x14ac:dyDescent="0.25">
      <c r="B1286" s="45"/>
      <c r="C1286" s="45"/>
    </row>
    <row r="1287" spans="2:3" x14ac:dyDescent="0.25">
      <c r="B1287" s="45"/>
      <c r="C1287" s="45"/>
    </row>
    <row r="1288" spans="2:3" x14ac:dyDescent="0.25">
      <c r="B1288" s="45"/>
      <c r="C1288" s="45"/>
    </row>
    <row r="1289" spans="2:3" x14ac:dyDescent="0.25">
      <c r="B1289" s="45"/>
      <c r="C1289" s="45"/>
    </row>
    <row r="1290" spans="2:3" x14ac:dyDescent="0.25">
      <c r="B1290" s="45"/>
      <c r="C1290" s="45"/>
    </row>
    <row r="1291" spans="2:3" x14ac:dyDescent="0.25">
      <c r="B1291" s="45"/>
      <c r="C1291" s="45"/>
    </row>
    <row r="1292" spans="2:3" x14ac:dyDescent="0.25">
      <c r="B1292" s="45"/>
      <c r="C1292" s="45"/>
    </row>
    <row r="1293" spans="2:3" x14ac:dyDescent="0.25">
      <c r="B1293" s="45"/>
      <c r="C1293" s="45"/>
    </row>
    <row r="1294" spans="2:3" x14ac:dyDescent="0.25">
      <c r="B1294" s="45"/>
      <c r="C1294" s="45"/>
    </row>
    <row r="1295" spans="2:3" x14ac:dyDescent="0.25">
      <c r="B1295" s="45"/>
      <c r="C1295" s="45"/>
    </row>
    <row r="1296" spans="2:3" x14ac:dyDescent="0.25">
      <c r="B1296" s="45"/>
      <c r="C1296" s="45"/>
    </row>
    <row r="1297" spans="2:3" x14ac:dyDescent="0.25">
      <c r="B1297" s="45"/>
      <c r="C1297" s="45"/>
    </row>
    <row r="1298" spans="2:3" x14ac:dyDescent="0.25">
      <c r="B1298" s="45"/>
      <c r="C1298" s="45"/>
    </row>
    <row r="1299" spans="2:3" x14ac:dyDescent="0.25">
      <c r="B1299" s="45"/>
      <c r="C1299" s="45"/>
    </row>
    <row r="1300" spans="2:3" x14ac:dyDescent="0.25">
      <c r="B1300" s="45"/>
      <c r="C1300" s="45"/>
    </row>
    <row r="1301" spans="2:3" x14ac:dyDescent="0.25">
      <c r="B1301" s="45"/>
      <c r="C1301" s="45"/>
    </row>
    <row r="1302" spans="2:3" x14ac:dyDescent="0.25">
      <c r="B1302" s="45"/>
      <c r="C1302" s="45"/>
    </row>
    <row r="1303" spans="2:3" x14ac:dyDescent="0.25">
      <c r="B1303" s="45"/>
      <c r="C1303" s="45"/>
    </row>
    <row r="1304" spans="2:3" x14ac:dyDescent="0.25">
      <c r="B1304" s="45"/>
      <c r="C1304" s="45"/>
    </row>
    <row r="1305" spans="2:3" x14ac:dyDescent="0.25">
      <c r="B1305" s="45"/>
      <c r="C1305" s="45"/>
    </row>
    <row r="1306" spans="2:3" x14ac:dyDescent="0.25">
      <c r="B1306" s="45"/>
      <c r="C1306" s="45"/>
    </row>
    <row r="1307" spans="2:3" x14ac:dyDescent="0.25">
      <c r="B1307" s="45"/>
      <c r="C1307" s="45"/>
    </row>
    <row r="1308" spans="2:3" x14ac:dyDescent="0.25">
      <c r="B1308" s="45"/>
      <c r="C1308" s="45"/>
    </row>
    <row r="1309" spans="2:3" x14ac:dyDescent="0.25">
      <c r="B1309" s="45"/>
      <c r="C1309" s="45"/>
    </row>
    <row r="1310" spans="2:3" x14ac:dyDescent="0.25">
      <c r="B1310" s="45"/>
      <c r="C1310" s="45"/>
    </row>
    <row r="1311" spans="2:3" x14ac:dyDescent="0.25">
      <c r="B1311" s="45"/>
      <c r="C1311" s="45"/>
    </row>
    <row r="1312" spans="2:3" x14ac:dyDescent="0.25">
      <c r="B1312" s="45"/>
      <c r="C1312" s="45"/>
    </row>
    <row r="1313" spans="2:3" x14ac:dyDescent="0.25">
      <c r="B1313" s="45"/>
      <c r="C1313" s="45"/>
    </row>
    <row r="1314" spans="2:3" x14ac:dyDescent="0.25">
      <c r="B1314" s="45"/>
      <c r="C1314" s="45"/>
    </row>
    <row r="1315" spans="2:3" x14ac:dyDescent="0.25">
      <c r="B1315" s="45"/>
      <c r="C1315" s="45"/>
    </row>
    <row r="1316" spans="2:3" x14ac:dyDescent="0.25">
      <c r="B1316" s="45"/>
      <c r="C1316" s="45"/>
    </row>
    <row r="1317" spans="2:3" x14ac:dyDescent="0.25">
      <c r="B1317" s="45"/>
      <c r="C1317" s="45"/>
    </row>
    <row r="1318" spans="2:3" x14ac:dyDescent="0.25">
      <c r="B1318" s="45"/>
      <c r="C1318" s="45"/>
    </row>
    <row r="1319" spans="2:3" x14ac:dyDescent="0.25">
      <c r="B1319" s="45"/>
      <c r="C1319" s="45"/>
    </row>
    <row r="1320" spans="2:3" x14ac:dyDescent="0.25">
      <c r="B1320" s="45"/>
      <c r="C1320" s="45"/>
    </row>
    <row r="1321" spans="2:3" x14ac:dyDescent="0.25">
      <c r="B1321" s="45"/>
      <c r="C1321" s="45"/>
    </row>
    <row r="1322" spans="2:3" x14ac:dyDescent="0.25">
      <c r="B1322" s="45"/>
      <c r="C1322" s="45"/>
    </row>
    <row r="1323" spans="2:3" x14ac:dyDescent="0.25">
      <c r="B1323" s="45"/>
      <c r="C1323" s="45"/>
    </row>
    <row r="1324" spans="2:3" x14ac:dyDescent="0.25">
      <c r="B1324" s="45"/>
      <c r="C1324" s="45"/>
    </row>
    <row r="1325" spans="2:3" x14ac:dyDescent="0.25">
      <c r="B1325" s="45"/>
      <c r="C1325" s="45"/>
    </row>
    <row r="1326" spans="2:3" x14ac:dyDescent="0.25">
      <c r="B1326" s="45"/>
      <c r="C1326" s="45"/>
    </row>
    <row r="1327" spans="2:3" x14ac:dyDescent="0.25">
      <c r="B1327" s="45"/>
      <c r="C1327" s="45"/>
    </row>
    <row r="1328" spans="2:3" x14ac:dyDescent="0.25">
      <c r="B1328" s="45"/>
      <c r="C1328" s="45"/>
    </row>
    <row r="1329" spans="2:3" x14ac:dyDescent="0.25">
      <c r="B1329" s="45"/>
      <c r="C1329" s="45"/>
    </row>
    <row r="1330" spans="2:3" x14ac:dyDescent="0.25">
      <c r="B1330" s="45"/>
      <c r="C1330" s="45"/>
    </row>
    <row r="1331" spans="2:3" x14ac:dyDescent="0.25">
      <c r="B1331" s="45"/>
      <c r="C1331" s="45"/>
    </row>
    <row r="1332" spans="2:3" x14ac:dyDescent="0.25">
      <c r="B1332" s="45"/>
      <c r="C1332" s="45"/>
    </row>
    <row r="1333" spans="2:3" x14ac:dyDescent="0.25">
      <c r="B1333" s="45"/>
      <c r="C1333" s="45"/>
    </row>
    <row r="1334" spans="2:3" x14ac:dyDescent="0.25">
      <c r="B1334" s="45"/>
      <c r="C1334" s="45"/>
    </row>
    <row r="1335" spans="2:3" x14ac:dyDescent="0.25">
      <c r="B1335" s="45"/>
      <c r="C1335" s="45"/>
    </row>
    <row r="1336" spans="2:3" x14ac:dyDescent="0.25">
      <c r="B1336" s="45"/>
      <c r="C1336" s="45"/>
    </row>
    <row r="1337" spans="2:3" x14ac:dyDescent="0.25">
      <c r="B1337" s="45"/>
      <c r="C1337" s="45"/>
    </row>
    <row r="1338" spans="2:3" x14ac:dyDescent="0.25">
      <c r="B1338" s="45"/>
      <c r="C1338" s="45"/>
    </row>
    <row r="1339" spans="2:3" x14ac:dyDescent="0.25">
      <c r="B1339" s="45"/>
      <c r="C1339" s="45"/>
    </row>
    <row r="1340" spans="2:3" x14ac:dyDescent="0.25">
      <c r="B1340" s="45"/>
      <c r="C1340" s="45"/>
    </row>
    <row r="1341" spans="2:3" x14ac:dyDescent="0.25">
      <c r="B1341" s="45"/>
      <c r="C1341" s="45"/>
    </row>
    <row r="1342" spans="2:3" x14ac:dyDescent="0.25">
      <c r="B1342" s="45"/>
      <c r="C1342" s="45"/>
    </row>
    <row r="1343" spans="2:3" x14ac:dyDescent="0.25">
      <c r="B1343" s="45"/>
      <c r="C1343" s="45"/>
    </row>
    <row r="1344" spans="2:3" x14ac:dyDescent="0.25">
      <c r="B1344" s="45"/>
      <c r="C1344" s="45"/>
    </row>
    <row r="1345" spans="2:3" x14ac:dyDescent="0.25">
      <c r="B1345" s="45"/>
      <c r="C1345" s="45"/>
    </row>
    <row r="1346" spans="2:3" x14ac:dyDescent="0.25">
      <c r="B1346" s="45"/>
      <c r="C1346" s="45"/>
    </row>
    <row r="1347" spans="2:3" x14ac:dyDescent="0.25">
      <c r="B1347" s="45"/>
      <c r="C1347" s="45"/>
    </row>
    <row r="1348" spans="2:3" x14ac:dyDescent="0.25">
      <c r="B1348" s="45"/>
      <c r="C1348" s="45"/>
    </row>
    <row r="1349" spans="2:3" x14ac:dyDescent="0.25">
      <c r="B1349" s="45"/>
      <c r="C1349" s="45"/>
    </row>
    <row r="1350" spans="2:3" x14ac:dyDescent="0.25">
      <c r="B1350" s="45"/>
      <c r="C1350" s="45"/>
    </row>
    <row r="1351" spans="2:3" x14ac:dyDescent="0.25">
      <c r="B1351" s="45"/>
      <c r="C1351" s="45"/>
    </row>
    <row r="1352" spans="2:3" x14ac:dyDescent="0.25">
      <c r="B1352" s="45"/>
      <c r="C1352" s="45"/>
    </row>
    <row r="1353" spans="2:3" x14ac:dyDescent="0.25">
      <c r="B1353" s="45"/>
      <c r="C1353" s="45"/>
    </row>
    <row r="1354" spans="2:3" x14ac:dyDescent="0.25">
      <c r="B1354" s="45"/>
      <c r="C1354" s="45"/>
    </row>
    <row r="1355" spans="2:3" x14ac:dyDescent="0.25">
      <c r="B1355" s="45"/>
      <c r="C1355" s="45"/>
    </row>
    <row r="1356" spans="2:3" x14ac:dyDescent="0.25">
      <c r="B1356" s="45"/>
      <c r="C1356" s="45"/>
    </row>
    <row r="1357" spans="2:3" x14ac:dyDescent="0.25">
      <c r="B1357" s="45"/>
      <c r="C1357" s="45"/>
    </row>
    <row r="1358" spans="2:3" x14ac:dyDescent="0.25">
      <c r="B1358" s="45"/>
      <c r="C1358" s="45"/>
    </row>
    <row r="1359" spans="2:3" x14ac:dyDescent="0.25">
      <c r="B1359" s="45"/>
      <c r="C1359" s="45"/>
    </row>
    <row r="1360" spans="2:3" x14ac:dyDescent="0.25">
      <c r="B1360" s="45"/>
      <c r="C1360" s="45"/>
    </row>
    <row r="1361" spans="2:3" x14ac:dyDescent="0.25">
      <c r="B1361" s="45"/>
      <c r="C1361" s="45"/>
    </row>
    <row r="1362" spans="2:3" x14ac:dyDescent="0.25">
      <c r="B1362" s="45"/>
      <c r="C1362" s="45"/>
    </row>
    <row r="1363" spans="2:3" x14ac:dyDescent="0.25">
      <c r="B1363" s="45"/>
      <c r="C1363" s="45"/>
    </row>
    <row r="1364" spans="2:3" x14ac:dyDescent="0.25">
      <c r="B1364" s="45"/>
      <c r="C1364" s="45"/>
    </row>
    <row r="1365" spans="2:3" x14ac:dyDescent="0.25">
      <c r="B1365" s="45"/>
      <c r="C1365" s="45"/>
    </row>
    <row r="1366" spans="2:3" x14ac:dyDescent="0.25">
      <c r="B1366" s="45"/>
      <c r="C1366" s="45"/>
    </row>
    <row r="1367" spans="2:3" x14ac:dyDescent="0.25">
      <c r="B1367" s="45"/>
      <c r="C1367" s="45"/>
    </row>
    <row r="1368" spans="2:3" x14ac:dyDescent="0.25">
      <c r="B1368" s="45"/>
      <c r="C1368" s="45"/>
    </row>
    <row r="1369" spans="2:3" x14ac:dyDescent="0.25">
      <c r="B1369" s="45"/>
      <c r="C1369" s="45"/>
    </row>
    <row r="1370" spans="2:3" x14ac:dyDescent="0.25">
      <c r="B1370" s="45"/>
      <c r="C1370" s="45"/>
    </row>
    <row r="1371" spans="2:3" x14ac:dyDescent="0.25">
      <c r="B1371" s="45"/>
      <c r="C1371" s="45"/>
    </row>
    <row r="1372" spans="2:3" x14ac:dyDescent="0.25">
      <c r="B1372" s="45"/>
      <c r="C1372" s="45"/>
    </row>
    <row r="1373" spans="2:3" x14ac:dyDescent="0.25">
      <c r="B1373" s="45"/>
      <c r="C1373" s="45"/>
    </row>
    <row r="1374" spans="2:3" x14ac:dyDescent="0.25">
      <c r="B1374" s="45"/>
      <c r="C1374" s="45"/>
    </row>
    <row r="1375" spans="2:3" x14ac:dyDescent="0.25">
      <c r="B1375" s="45"/>
      <c r="C1375" s="45"/>
    </row>
    <row r="1376" spans="2:3" x14ac:dyDescent="0.25">
      <c r="B1376" s="45"/>
      <c r="C1376" s="45"/>
    </row>
    <row r="1377" spans="2:3" x14ac:dyDescent="0.25">
      <c r="B1377" s="45"/>
      <c r="C1377" s="45"/>
    </row>
    <row r="1378" spans="2:3" x14ac:dyDescent="0.25">
      <c r="B1378" s="45"/>
      <c r="C1378" s="45"/>
    </row>
    <row r="1379" spans="2:3" x14ac:dyDescent="0.25">
      <c r="B1379" s="45"/>
      <c r="C1379" s="45"/>
    </row>
    <row r="1380" spans="2:3" x14ac:dyDescent="0.25">
      <c r="B1380" s="45"/>
      <c r="C1380" s="45"/>
    </row>
    <row r="1381" spans="2:3" x14ac:dyDescent="0.25">
      <c r="B1381" s="45"/>
      <c r="C1381" s="45"/>
    </row>
    <row r="1382" spans="2:3" x14ac:dyDescent="0.25">
      <c r="B1382" s="45"/>
      <c r="C1382" s="45"/>
    </row>
    <row r="1383" spans="2:3" x14ac:dyDescent="0.25">
      <c r="B1383" s="45"/>
      <c r="C1383" s="45"/>
    </row>
    <row r="1384" spans="2:3" x14ac:dyDescent="0.25">
      <c r="B1384" s="45"/>
      <c r="C1384" s="45"/>
    </row>
    <row r="1385" spans="2:3" x14ac:dyDescent="0.25">
      <c r="B1385" s="45"/>
      <c r="C1385" s="45"/>
    </row>
    <row r="1386" spans="2:3" x14ac:dyDescent="0.25">
      <c r="B1386" s="45"/>
      <c r="C1386" s="45"/>
    </row>
    <row r="1387" spans="2:3" x14ac:dyDescent="0.25">
      <c r="B1387" s="45"/>
      <c r="C1387" s="45"/>
    </row>
    <row r="1388" spans="2:3" x14ac:dyDescent="0.25">
      <c r="B1388" s="45"/>
      <c r="C1388" s="45"/>
    </row>
    <row r="1389" spans="2:3" x14ac:dyDescent="0.25">
      <c r="B1389" s="45"/>
      <c r="C1389" s="45"/>
    </row>
    <row r="1390" spans="2:3" x14ac:dyDescent="0.25">
      <c r="B1390" s="45"/>
      <c r="C1390" s="45"/>
    </row>
    <row r="1391" spans="2:3" x14ac:dyDescent="0.25">
      <c r="B1391" s="45"/>
      <c r="C1391" s="45"/>
    </row>
    <row r="1392" spans="2:3" x14ac:dyDescent="0.25">
      <c r="B1392" s="45"/>
      <c r="C1392" s="45"/>
    </row>
    <row r="1393" spans="2:3" x14ac:dyDescent="0.25">
      <c r="B1393" s="45"/>
      <c r="C1393" s="45"/>
    </row>
    <row r="1394" spans="2:3" x14ac:dyDescent="0.25">
      <c r="B1394" s="45"/>
      <c r="C1394" s="45"/>
    </row>
    <row r="1395" spans="2:3" x14ac:dyDescent="0.25">
      <c r="B1395" s="45"/>
      <c r="C1395" s="45"/>
    </row>
    <row r="1396" spans="2:3" x14ac:dyDescent="0.25">
      <c r="B1396" s="45"/>
      <c r="C1396" s="45"/>
    </row>
    <row r="1397" spans="2:3" x14ac:dyDescent="0.25">
      <c r="B1397" s="45"/>
      <c r="C1397" s="45"/>
    </row>
    <row r="1398" spans="2:3" x14ac:dyDescent="0.25">
      <c r="B1398" s="45"/>
      <c r="C1398" s="45"/>
    </row>
    <row r="1399" spans="2:3" x14ac:dyDescent="0.25">
      <c r="B1399" s="45"/>
      <c r="C1399" s="45"/>
    </row>
    <row r="1400" spans="2:3" x14ac:dyDescent="0.25">
      <c r="B1400" s="45"/>
      <c r="C1400" s="45"/>
    </row>
    <row r="1401" spans="2:3" x14ac:dyDescent="0.25">
      <c r="B1401" s="45"/>
      <c r="C1401" s="45"/>
    </row>
    <row r="1402" spans="2:3" x14ac:dyDescent="0.25">
      <c r="B1402" s="45"/>
      <c r="C1402" s="45"/>
    </row>
    <row r="1403" spans="2:3" x14ac:dyDescent="0.25">
      <c r="B1403" s="45"/>
      <c r="C1403" s="45"/>
    </row>
    <row r="1404" spans="2:3" x14ac:dyDescent="0.25">
      <c r="B1404" s="45"/>
      <c r="C1404" s="45"/>
    </row>
    <row r="1405" spans="2:3" x14ac:dyDescent="0.25">
      <c r="B1405" s="45"/>
      <c r="C1405" s="45"/>
    </row>
    <row r="1406" spans="2:3" x14ac:dyDescent="0.25">
      <c r="B1406" s="45"/>
      <c r="C1406" s="45"/>
    </row>
    <row r="1407" spans="2:3" x14ac:dyDescent="0.25">
      <c r="B1407" s="45"/>
      <c r="C1407" s="45"/>
    </row>
    <row r="1408" spans="2:3" x14ac:dyDescent="0.25">
      <c r="B1408" s="45"/>
      <c r="C1408" s="45"/>
    </row>
    <row r="1409" spans="2:3" x14ac:dyDescent="0.25">
      <c r="B1409" s="45"/>
      <c r="C1409" s="45"/>
    </row>
    <row r="1410" spans="2:3" x14ac:dyDescent="0.25">
      <c r="B1410" s="45"/>
      <c r="C1410" s="45"/>
    </row>
    <row r="1411" spans="2:3" x14ac:dyDescent="0.25">
      <c r="B1411" s="45"/>
      <c r="C1411" s="45"/>
    </row>
    <row r="1412" spans="2:3" x14ac:dyDescent="0.25">
      <c r="B1412" s="45"/>
      <c r="C1412" s="45"/>
    </row>
    <row r="1413" spans="2:3" x14ac:dyDescent="0.25">
      <c r="B1413" s="45"/>
      <c r="C1413" s="45"/>
    </row>
    <row r="1414" spans="2:3" x14ac:dyDescent="0.25">
      <c r="B1414" s="45"/>
      <c r="C1414" s="45"/>
    </row>
    <row r="1415" spans="2:3" x14ac:dyDescent="0.25">
      <c r="B1415" s="45"/>
      <c r="C1415" s="45"/>
    </row>
    <row r="1416" spans="2:3" x14ac:dyDescent="0.25">
      <c r="B1416" s="45"/>
      <c r="C1416" s="45"/>
    </row>
    <row r="1417" spans="2:3" x14ac:dyDescent="0.25">
      <c r="B1417" s="45"/>
      <c r="C1417" s="45"/>
    </row>
    <row r="1418" spans="2:3" x14ac:dyDescent="0.25">
      <c r="B1418" s="45"/>
      <c r="C1418" s="45"/>
    </row>
    <row r="1419" spans="2:3" x14ac:dyDescent="0.25">
      <c r="B1419" s="45"/>
      <c r="C1419" s="45"/>
    </row>
    <row r="1420" spans="2:3" x14ac:dyDescent="0.25">
      <c r="B1420" s="45"/>
      <c r="C1420" s="45"/>
    </row>
    <row r="1421" spans="2:3" x14ac:dyDescent="0.25">
      <c r="B1421" s="45"/>
      <c r="C1421" s="45"/>
    </row>
    <row r="1422" spans="2:3" x14ac:dyDescent="0.25">
      <c r="B1422" s="45"/>
      <c r="C1422" s="45"/>
    </row>
    <row r="1423" spans="2:3" x14ac:dyDescent="0.25">
      <c r="B1423" s="45"/>
      <c r="C1423" s="45"/>
    </row>
    <row r="1424" spans="2:3" x14ac:dyDescent="0.25">
      <c r="B1424" s="45"/>
      <c r="C1424" s="45"/>
    </row>
    <row r="1425" spans="2:3" x14ac:dyDescent="0.25">
      <c r="B1425" s="45"/>
      <c r="C1425" s="45"/>
    </row>
    <row r="1426" spans="2:3" x14ac:dyDescent="0.25">
      <c r="B1426" s="45"/>
      <c r="C1426" s="45"/>
    </row>
    <row r="1427" spans="2:3" x14ac:dyDescent="0.25">
      <c r="B1427" s="45"/>
      <c r="C1427" s="45"/>
    </row>
    <row r="1428" spans="2:3" x14ac:dyDescent="0.25">
      <c r="B1428" s="45"/>
      <c r="C1428" s="45"/>
    </row>
    <row r="1429" spans="2:3" x14ac:dyDescent="0.25">
      <c r="B1429" s="45"/>
      <c r="C1429" s="45"/>
    </row>
    <row r="1430" spans="2:3" x14ac:dyDescent="0.25">
      <c r="B1430" s="45"/>
      <c r="C1430" s="45"/>
    </row>
    <row r="1431" spans="2:3" x14ac:dyDescent="0.25">
      <c r="B1431" s="45"/>
      <c r="C1431" s="45"/>
    </row>
    <row r="1432" spans="2:3" x14ac:dyDescent="0.25">
      <c r="B1432" s="45"/>
      <c r="C1432" s="45"/>
    </row>
    <row r="1433" spans="2:3" x14ac:dyDescent="0.25">
      <c r="B1433" s="45"/>
      <c r="C1433" s="45"/>
    </row>
    <row r="1434" spans="2:3" x14ac:dyDescent="0.25">
      <c r="B1434" s="45"/>
      <c r="C1434" s="45"/>
    </row>
    <row r="1435" spans="2:3" x14ac:dyDescent="0.25">
      <c r="B1435" s="45"/>
      <c r="C1435" s="45"/>
    </row>
    <row r="1436" spans="2:3" x14ac:dyDescent="0.25">
      <c r="B1436" s="45"/>
      <c r="C1436" s="45"/>
    </row>
    <row r="1437" spans="2:3" x14ac:dyDescent="0.25">
      <c r="B1437" s="45"/>
      <c r="C1437" s="45"/>
    </row>
    <row r="1438" spans="2:3" x14ac:dyDescent="0.25">
      <c r="B1438" s="45"/>
      <c r="C1438" s="45"/>
    </row>
    <row r="1439" spans="2:3" x14ac:dyDescent="0.25">
      <c r="B1439" s="45"/>
      <c r="C1439" s="45"/>
    </row>
    <row r="1440" spans="2:3" x14ac:dyDescent="0.25">
      <c r="B1440" s="45"/>
      <c r="C1440" s="45"/>
    </row>
    <row r="1441" spans="2:3" x14ac:dyDescent="0.25">
      <c r="B1441" s="45"/>
      <c r="C1441" s="45"/>
    </row>
    <row r="1442" spans="2:3" x14ac:dyDescent="0.25">
      <c r="B1442" s="45"/>
      <c r="C1442" s="45"/>
    </row>
    <row r="1443" spans="2:3" x14ac:dyDescent="0.25">
      <c r="B1443" s="45"/>
      <c r="C1443" s="45"/>
    </row>
    <row r="1444" spans="2:3" x14ac:dyDescent="0.25">
      <c r="B1444" s="45"/>
      <c r="C1444" s="45"/>
    </row>
    <row r="1445" spans="2:3" x14ac:dyDescent="0.25">
      <c r="B1445" s="45"/>
      <c r="C1445" s="45"/>
    </row>
    <row r="1446" spans="2:3" x14ac:dyDescent="0.25">
      <c r="B1446" s="45"/>
      <c r="C1446" s="45"/>
    </row>
    <row r="1447" spans="2:3" x14ac:dyDescent="0.25">
      <c r="B1447" s="45"/>
      <c r="C1447" s="45"/>
    </row>
    <row r="1448" spans="2:3" x14ac:dyDescent="0.25">
      <c r="B1448" s="45"/>
      <c r="C1448" s="45"/>
    </row>
    <row r="1449" spans="2:3" x14ac:dyDescent="0.25">
      <c r="B1449" s="45"/>
      <c r="C1449" s="45"/>
    </row>
    <row r="1450" spans="2:3" x14ac:dyDescent="0.25">
      <c r="B1450" s="45"/>
      <c r="C1450" s="45"/>
    </row>
    <row r="1451" spans="2:3" x14ac:dyDescent="0.25">
      <c r="B1451" s="45"/>
      <c r="C1451" s="45"/>
    </row>
    <row r="1452" spans="2:3" x14ac:dyDescent="0.25">
      <c r="B1452" s="45"/>
      <c r="C1452" s="45"/>
    </row>
    <row r="1453" spans="2:3" x14ac:dyDescent="0.25">
      <c r="B1453" s="45"/>
      <c r="C1453" s="45"/>
    </row>
    <row r="1454" spans="2:3" x14ac:dyDescent="0.25">
      <c r="B1454" s="45"/>
      <c r="C1454" s="45"/>
    </row>
    <row r="1455" spans="2:3" x14ac:dyDescent="0.25">
      <c r="B1455" s="45"/>
      <c r="C1455" s="45"/>
    </row>
    <row r="1456" spans="2:3" x14ac:dyDescent="0.25">
      <c r="B1456" s="45"/>
      <c r="C1456" s="45"/>
    </row>
    <row r="1457" spans="2:3" x14ac:dyDescent="0.25">
      <c r="B1457" s="45"/>
      <c r="C1457" s="45"/>
    </row>
    <row r="1458" spans="2:3" x14ac:dyDescent="0.25">
      <c r="B1458" s="45"/>
      <c r="C1458" s="45"/>
    </row>
    <row r="1459" spans="2:3" x14ac:dyDescent="0.25">
      <c r="B1459" s="45"/>
      <c r="C1459" s="45"/>
    </row>
    <row r="1460" spans="2:3" x14ac:dyDescent="0.25">
      <c r="B1460" s="45"/>
      <c r="C1460" s="45"/>
    </row>
    <row r="1461" spans="2:3" x14ac:dyDescent="0.25">
      <c r="B1461" s="45"/>
      <c r="C1461" s="45"/>
    </row>
    <row r="1462" spans="2:3" x14ac:dyDescent="0.25">
      <c r="B1462" s="45"/>
      <c r="C1462" s="45"/>
    </row>
    <row r="1463" spans="2:3" x14ac:dyDescent="0.25">
      <c r="B1463" s="45"/>
      <c r="C1463" s="45"/>
    </row>
    <row r="1464" spans="2:3" x14ac:dyDescent="0.25">
      <c r="B1464" s="45"/>
      <c r="C1464" s="45"/>
    </row>
    <row r="1465" spans="2:3" x14ac:dyDescent="0.25">
      <c r="B1465" s="45"/>
      <c r="C1465" s="45"/>
    </row>
    <row r="1466" spans="2:3" x14ac:dyDescent="0.25">
      <c r="B1466" s="45"/>
      <c r="C1466" s="45"/>
    </row>
    <row r="1467" spans="2:3" x14ac:dyDescent="0.25">
      <c r="B1467" s="45"/>
      <c r="C1467" s="45"/>
    </row>
    <row r="1468" spans="2:3" x14ac:dyDescent="0.25">
      <c r="B1468" s="45"/>
      <c r="C1468" s="45"/>
    </row>
    <row r="1469" spans="2:3" x14ac:dyDescent="0.25">
      <c r="B1469" s="45"/>
      <c r="C1469" s="45"/>
    </row>
    <row r="1470" spans="2:3" x14ac:dyDescent="0.25">
      <c r="B1470" s="45"/>
      <c r="C1470" s="45"/>
    </row>
    <row r="1471" spans="2:3" x14ac:dyDescent="0.25">
      <c r="B1471" s="45"/>
      <c r="C1471" s="45"/>
    </row>
    <row r="1472" spans="2:3" x14ac:dyDescent="0.25">
      <c r="B1472" s="45"/>
      <c r="C1472" s="45"/>
    </row>
    <row r="1473" spans="2:3" x14ac:dyDescent="0.25">
      <c r="B1473" s="45"/>
      <c r="C1473" s="45"/>
    </row>
    <row r="1474" spans="2:3" x14ac:dyDescent="0.25">
      <c r="B1474" s="45"/>
      <c r="C1474" s="45"/>
    </row>
    <row r="1475" spans="2:3" x14ac:dyDescent="0.25">
      <c r="B1475" s="45"/>
      <c r="C1475" s="45"/>
    </row>
    <row r="1476" spans="2:3" x14ac:dyDescent="0.25">
      <c r="B1476" s="45"/>
      <c r="C1476" s="45"/>
    </row>
    <row r="1477" spans="2:3" x14ac:dyDescent="0.25">
      <c r="B1477" s="45"/>
      <c r="C1477" s="45"/>
    </row>
    <row r="1478" spans="2:3" x14ac:dyDescent="0.25">
      <c r="B1478" s="45"/>
      <c r="C1478" s="45"/>
    </row>
    <row r="1479" spans="2:3" x14ac:dyDescent="0.25">
      <c r="B1479" s="45"/>
      <c r="C1479" s="45"/>
    </row>
    <row r="1480" spans="2:3" x14ac:dyDescent="0.25">
      <c r="B1480" s="45"/>
      <c r="C1480" s="45"/>
    </row>
    <row r="1481" spans="2:3" x14ac:dyDescent="0.25">
      <c r="B1481" s="45"/>
      <c r="C1481" s="45"/>
    </row>
    <row r="1482" spans="2:3" x14ac:dyDescent="0.25">
      <c r="B1482" s="45"/>
      <c r="C1482" s="45"/>
    </row>
    <row r="1483" spans="2:3" x14ac:dyDescent="0.25">
      <c r="B1483" s="45"/>
      <c r="C1483" s="45"/>
    </row>
    <row r="1484" spans="2:3" x14ac:dyDescent="0.25">
      <c r="B1484" s="45"/>
      <c r="C1484" s="45"/>
    </row>
    <row r="1485" spans="2:3" x14ac:dyDescent="0.25">
      <c r="B1485" s="45"/>
      <c r="C1485" s="45"/>
    </row>
    <row r="1486" spans="2:3" x14ac:dyDescent="0.25">
      <c r="B1486" s="45"/>
      <c r="C1486" s="45"/>
    </row>
    <row r="1487" spans="2:3" x14ac:dyDescent="0.25">
      <c r="B1487" s="45"/>
      <c r="C1487" s="45"/>
    </row>
    <row r="1488" spans="2:3" x14ac:dyDescent="0.25">
      <c r="B1488" s="45"/>
      <c r="C1488" s="45"/>
    </row>
    <row r="1489" spans="2:3" x14ac:dyDescent="0.25">
      <c r="B1489" s="45"/>
      <c r="C1489" s="45"/>
    </row>
    <row r="1490" spans="2:3" x14ac:dyDescent="0.25">
      <c r="B1490" s="45"/>
      <c r="C1490" s="45"/>
    </row>
    <row r="1491" spans="2:3" x14ac:dyDescent="0.25">
      <c r="B1491" s="45"/>
      <c r="C1491" s="45"/>
    </row>
    <row r="1492" spans="2:3" x14ac:dyDescent="0.25">
      <c r="B1492" s="45"/>
      <c r="C1492" s="45"/>
    </row>
    <row r="1493" spans="2:3" x14ac:dyDescent="0.25">
      <c r="B1493" s="45"/>
      <c r="C1493" s="45"/>
    </row>
    <row r="1494" spans="2:3" x14ac:dyDescent="0.25">
      <c r="B1494" s="45"/>
      <c r="C1494" s="45"/>
    </row>
    <row r="1495" spans="2:3" x14ac:dyDescent="0.25">
      <c r="B1495" s="45"/>
      <c r="C1495" s="45"/>
    </row>
    <row r="1496" spans="2:3" x14ac:dyDescent="0.25">
      <c r="B1496" s="45"/>
      <c r="C1496" s="45"/>
    </row>
    <row r="1497" spans="2:3" x14ac:dyDescent="0.25">
      <c r="B1497" s="45"/>
      <c r="C1497" s="45"/>
    </row>
    <row r="1498" spans="2:3" x14ac:dyDescent="0.25">
      <c r="B1498" s="45"/>
      <c r="C1498" s="45"/>
    </row>
    <row r="1499" spans="2:3" x14ac:dyDescent="0.25">
      <c r="B1499" s="45"/>
      <c r="C1499" s="45"/>
    </row>
    <row r="1500" spans="2:3" x14ac:dyDescent="0.25">
      <c r="B1500" s="45"/>
      <c r="C1500" s="45"/>
    </row>
    <row r="1501" spans="2:3" x14ac:dyDescent="0.25">
      <c r="B1501" s="45"/>
      <c r="C1501" s="45"/>
    </row>
    <row r="1502" spans="2:3" x14ac:dyDescent="0.25">
      <c r="B1502" s="45"/>
      <c r="C1502" s="45"/>
    </row>
    <row r="1503" spans="2:3" x14ac:dyDescent="0.25">
      <c r="B1503" s="45"/>
      <c r="C1503" s="45"/>
    </row>
    <row r="1504" spans="2:3" x14ac:dyDescent="0.25">
      <c r="B1504" s="45"/>
      <c r="C1504" s="45"/>
    </row>
    <row r="1505" spans="2:3" x14ac:dyDescent="0.25">
      <c r="B1505" s="45"/>
      <c r="C1505" s="45"/>
    </row>
    <row r="1506" spans="2:3" x14ac:dyDescent="0.25">
      <c r="B1506" s="45"/>
      <c r="C1506" s="45"/>
    </row>
    <row r="1507" spans="2:3" x14ac:dyDescent="0.25">
      <c r="B1507" s="45"/>
      <c r="C1507" s="45"/>
    </row>
    <row r="1508" spans="2:3" x14ac:dyDescent="0.25">
      <c r="B1508" s="45"/>
      <c r="C1508" s="45"/>
    </row>
    <row r="1509" spans="2:3" x14ac:dyDescent="0.25">
      <c r="B1509" s="45"/>
      <c r="C1509" s="45"/>
    </row>
    <row r="1510" spans="2:3" x14ac:dyDescent="0.25">
      <c r="B1510" s="45"/>
      <c r="C1510" s="45"/>
    </row>
    <row r="1511" spans="2:3" x14ac:dyDescent="0.25">
      <c r="B1511" s="45"/>
      <c r="C1511" s="45"/>
    </row>
    <row r="1512" spans="2:3" x14ac:dyDescent="0.25">
      <c r="B1512" s="45"/>
      <c r="C1512" s="45"/>
    </row>
    <row r="1513" spans="2:3" x14ac:dyDescent="0.25">
      <c r="B1513" s="45"/>
      <c r="C1513" s="45"/>
    </row>
    <row r="1514" spans="2:3" x14ac:dyDescent="0.25">
      <c r="B1514" s="45"/>
      <c r="C1514" s="45"/>
    </row>
    <row r="1515" spans="2:3" x14ac:dyDescent="0.25">
      <c r="B1515" s="45"/>
      <c r="C1515" s="45"/>
    </row>
    <row r="1516" spans="2:3" x14ac:dyDescent="0.25">
      <c r="B1516" s="45"/>
      <c r="C1516" s="45"/>
    </row>
    <row r="1517" spans="2:3" x14ac:dyDescent="0.25">
      <c r="B1517" s="45"/>
      <c r="C1517" s="45"/>
    </row>
    <row r="1518" spans="2:3" x14ac:dyDescent="0.25">
      <c r="B1518" s="45"/>
      <c r="C1518" s="45"/>
    </row>
    <row r="1519" spans="2:3" x14ac:dyDescent="0.25">
      <c r="B1519" s="45"/>
      <c r="C1519" s="45"/>
    </row>
    <row r="1520" spans="2:3" x14ac:dyDescent="0.25">
      <c r="B1520" s="45"/>
      <c r="C1520" s="45"/>
    </row>
    <row r="1521" spans="2:3" x14ac:dyDescent="0.25">
      <c r="B1521" s="45"/>
      <c r="C1521" s="45"/>
    </row>
    <row r="1522" spans="2:3" x14ac:dyDescent="0.25">
      <c r="B1522" s="45"/>
      <c r="C1522" s="45"/>
    </row>
    <row r="1523" spans="2:3" x14ac:dyDescent="0.25">
      <c r="B1523" s="45"/>
      <c r="C1523" s="45"/>
    </row>
    <row r="1524" spans="2:3" x14ac:dyDescent="0.25">
      <c r="B1524" s="45"/>
      <c r="C1524" s="45"/>
    </row>
    <row r="1525" spans="2:3" x14ac:dyDescent="0.25">
      <c r="B1525" s="45"/>
      <c r="C1525" s="45"/>
    </row>
    <row r="1526" spans="2:3" x14ac:dyDescent="0.25">
      <c r="B1526" s="45"/>
      <c r="C1526" s="45"/>
    </row>
    <row r="1527" spans="2:3" x14ac:dyDescent="0.25">
      <c r="B1527" s="45"/>
      <c r="C1527" s="45"/>
    </row>
    <row r="1528" spans="2:3" x14ac:dyDescent="0.25">
      <c r="B1528" s="45"/>
      <c r="C1528" s="45"/>
    </row>
    <row r="1529" spans="2:3" x14ac:dyDescent="0.25">
      <c r="B1529" s="45"/>
      <c r="C1529" s="45"/>
    </row>
    <row r="1530" spans="2:3" x14ac:dyDescent="0.25">
      <c r="B1530" s="45"/>
      <c r="C1530" s="45"/>
    </row>
    <row r="1531" spans="2:3" x14ac:dyDescent="0.25">
      <c r="B1531" s="45"/>
      <c r="C1531" s="45"/>
    </row>
    <row r="1532" spans="2:3" x14ac:dyDescent="0.25">
      <c r="B1532" s="45"/>
      <c r="C1532" s="45"/>
    </row>
    <row r="1533" spans="2:3" x14ac:dyDescent="0.25">
      <c r="B1533" s="45"/>
      <c r="C1533" s="45"/>
    </row>
    <row r="1534" spans="2:3" x14ac:dyDescent="0.25">
      <c r="B1534" s="45"/>
      <c r="C1534" s="45"/>
    </row>
    <row r="1535" spans="2:3" x14ac:dyDescent="0.25">
      <c r="B1535" s="45"/>
      <c r="C1535" s="45"/>
    </row>
    <row r="1536" spans="2:3" x14ac:dyDescent="0.25">
      <c r="B1536" s="45"/>
      <c r="C1536" s="45"/>
    </row>
    <row r="1537" spans="2:3" x14ac:dyDescent="0.25">
      <c r="B1537" s="45"/>
      <c r="C1537" s="45"/>
    </row>
    <row r="1538" spans="2:3" x14ac:dyDescent="0.25">
      <c r="B1538" s="45"/>
      <c r="C1538" s="45"/>
    </row>
    <row r="1539" spans="2:3" x14ac:dyDescent="0.25">
      <c r="B1539" s="45"/>
      <c r="C1539" s="45"/>
    </row>
    <row r="1540" spans="2:3" x14ac:dyDescent="0.25">
      <c r="B1540" s="45"/>
      <c r="C1540" s="45"/>
    </row>
    <row r="1541" spans="2:3" x14ac:dyDescent="0.25">
      <c r="B1541" s="45"/>
      <c r="C1541" s="45"/>
    </row>
    <row r="1542" spans="2:3" x14ac:dyDescent="0.25">
      <c r="B1542" s="45"/>
      <c r="C1542" s="45"/>
    </row>
    <row r="1543" spans="2:3" x14ac:dyDescent="0.25">
      <c r="B1543" s="45"/>
      <c r="C1543" s="45"/>
    </row>
    <row r="1544" spans="2:3" x14ac:dyDescent="0.25">
      <c r="B1544" s="45"/>
      <c r="C1544" s="45"/>
    </row>
    <row r="1545" spans="2:3" x14ac:dyDescent="0.25">
      <c r="B1545" s="45"/>
      <c r="C1545" s="45"/>
    </row>
    <row r="1546" spans="2:3" x14ac:dyDescent="0.25">
      <c r="B1546" s="45"/>
      <c r="C1546" s="45"/>
    </row>
    <row r="1547" spans="2:3" x14ac:dyDescent="0.25">
      <c r="B1547" s="45"/>
      <c r="C1547" s="45"/>
    </row>
    <row r="1548" spans="2:3" x14ac:dyDescent="0.25">
      <c r="B1548" s="45"/>
      <c r="C1548" s="45"/>
    </row>
    <row r="1549" spans="2:3" x14ac:dyDescent="0.25">
      <c r="B1549" s="45"/>
      <c r="C1549" s="45"/>
    </row>
    <row r="1550" spans="2:3" x14ac:dyDescent="0.25">
      <c r="B1550" s="45"/>
      <c r="C1550" s="45"/>
    </row>
    <row r="1551" spans="2:3" x14ac:dyDescent="0.25">
      <c r="B1551" s="45"/>
      <c r="C1551" s="45"/>
    </row>
    <row r="1552" spans="2:3" x14ac:dyDescent="0.25">
      <c r="B1552" s="45"/>
      <c r="C1552" s="45"/>
    </row>
    <row r="1553" spans="2:3" x14ac:dyDescent="0.25">
      <c r="B1553" s="45"/>
      <c r="C1553" s="45"/>
    </row>
    <row r="1554" spans="2:3" x14ac:dyDescent="0.25">
      <c r="B1554" s="45"/>
      <c r="C1554" s="45"/>
    </row>
    <row r="1555" spans="2:3" x14ac:dyDescent="0.25">
      <c r="B1555" s="45"/>
      <c r="C1555" s="45"/>
    </row>
    <row r="1556" spans="2:3" x14ac:dyDescent="0.25">
      <c r="B1556" s="45"/>
      <c r="C1556" s="45"/>
    </row>
    <row r="1557" spans="2:3" x14ac:dyDescent="0.25">
      <c r="B1557" s="45"/>
      <c r="C1557" s="45"/>
    </row>
    <row r="1558" spans="2:3" x14ac:dyDescent="0.25">
      <c r="B1558" s="45"/>
      <c r="C1558" s="45"/>
    </row>
    <row r="1559" spans="2:3" x14ac:dyDescent="0.25">
      <c r="B1559" s="45"/>
      <c r="C1559" s="45"/>
    </row>
    <row r="1560" spans="2:3" x14ac:dyDescent="0.25">
      <c r="B1560" s="45"/>
      <c r="C1560" s="45"/>
    </row>
    <row r="1561" spans="2:3" x14ac:dyDescent="0.25">
      <c r="B1561" s="45"/>
      <c r="C1561" s="45"/>
    </row>
    <row r="1562" spans="2:3" x14ac:dyDescent="0.25">
      <c r="B1562" s="45"/>
      <c r="C1562" s="45"/>
    </row>
    <row r="1563" spans="2:3" x14ac:dyDescent="0.25">
      <c r="B1563" s="45"/>
      <c r="C1563" s="45"/>
    </row>
    <row r="1564" spans="2:3" x14ac:dyDescent="0.25">
      <c r="B1564" s="45"/>
      <c r="C1564" s="45"/>
    </row>
    <row r="1565" spans="2:3" x14ac:dyDescent="0.25">
      <c r="B1565" s="45"/>
      <c r="C1565" s="45"/>
    </row>
    <row r="1566" spans="2:3" x14ac:dyDescent="0.25">
      <c r="B1566" s="45"/>
      <c r="C1566" s="45"/>
    </row>
    <row r="1567" spans="2:3" x14ac:dyDescent="0.25">
      <c r="B1567" s="45"/>
      <c r="C1567" s="45"/>
    </row>
    <row r="1568" spans="2:3" x14ac:dyDescent="0.25">
      <c r="B1568" s="45"/>
      <c r="C1568" s="45"/>
    </row>
    <row r="1569" spans="2:3" x14ac:dyDescent="0.25">
      <c r="B1569" s="45"/>
      <c r="C1569" s="45"/>
    </row>
    <row r="1570" spans="2:3" x14ac:dyDescent="0.25">
      <c r="B1570" s="45"/>
      <c r="C1570" s="45"/>
    </row>
    <row r="1571" spans="2:3" x14ac:dyDescent="0.25">
      <c r="B1571" s="45"/>
      <c r="C1571" s="45"/>
    </row>
    <row r="1572" spans="2:3" x14ac:dyDescent="0.25">
      <c r="B1572" s="45"/>
      <c r="C1572" s="45"/>
    </row>
    <row r="1573" spans="2:3" x14ac:dyDescent="0.25">
      <c r="B1573" s="45"/>
      <c r="C1573" s="45"/>
    </row>
    <row r="1574" spans="2:3" x14ac:dyDescent="0.25">
      <c r="B1574" s="45"/>
      <c r="C1574" s="45"/>
    </row>
    <row r="1575" spans="2:3" x14ac:dyDescent="0.25">
      <c r="B1575" s="45"/>
      <c r="C1575" s="45"/>
    </row>
    <row r="1576" spans="2:3" x14ac:dyDescent="0.25">
      <c r="B1576" s="45"/>
      <c r="C1576" s="45"/>
    </row>
    <row r="1577" spans="2:3" x14ac:dyDescent="0.25">
      <c r="B1577" s="45"/>
      <c r="C1577" s="45"/>
    </row>
    <row r="1578" spans="2:3" x14ac:dyDescent="0.25">
      <c r="B1578" s="45"/>
      <c r="C1578" s="45"/>
    </row>
    <row r="1579" spans="2:3" x14ac:dyDescent="0.25">
      <c r="B1579" s="45"/>
      <c r="C1579" s="45"/>
    </row>
    <row r="1580" spans="2:3" x14ac:dyDescent="0.25">
      <c r="B1580" s="45"/>
      <c r="C1580" s="45"/>
    </row>
    <row r="1581" spans="2:3" x14ac:dyDescent="0.25">
      <c r="B1581" s="45"/>
      <c r="C1581" s="45"/>
    </row>
    <row r="1582" spans="2:3" x14ac:dyDescent="0.25">
      <c r="B1582" s="45"/>
      <c r="C1582" s="45"/>
    </row>
    <row r="1583" spans="2:3" x14ac:dyDescent="0.25">
      <c r="B1583" s="45"/>
      <c r="C1583" s="45"/>
    </row>
    <row r="1584" spans="2:3" x14ac:dyDescent="0.25">
      <c r="B1584" s="45"/>
      <c r="C1584" s="45"/>
    </row>
    <row r="1585" spans="2:3" x14ac:dyDescent="0.25">
      <c r="B1585" s="45"/>
      <c r="C1585" s="45"/>
    </row>
    <row r="1586" spans="2:3" x14ac:dyDescent="0.25">
      <c r="B1586" s="45"/>
      <c r="C1586" s="45"/>
    </row>
    <row r="1587" spans="2:3" x14ac:dyDescent="0.25">
      <c r="B1587" s="45"/>
      <c r="C1587" s="45"/>
    </row>
    <row r="1588" spans="2:3" x14ac:dyDescent="0.25">
      <c r="B1588" s="45"/>
      <c r="C1588" s="45"/>
    </row>
    <row r="1589" spans="2:3" x14ac:dyDescent="0.25">
      <c r="B1589" s="45"/>
      <c r="C1589" s="45"/>
    </row>
    <row r="1590" spans="2:3" x14ac:dyDescent="0.25">
      <c r="B1590" s="45"/>
      <c r="C1590" s="45"/>
    </row>
    <row r="1591" spans="2:3" x14ac:dyDescent="0.25">
      <c r="B1591" s="45"/>
      <c r="C1591" s="45"/>
    </row>
    <row r="1592" spans="2:3" x14ac:dyDescent="0.25">
      <c r="B1592" s="45"/>
      <c r="C1592" s="45"/>
    </row>
    <row r="1593" spans="2:3" x14ac:dyDescent="0.25">
      <c r="B1593" s="45"/>
      <c r="C1593" s="45"/>
    </row>
    <row r="1594" spans="2:3" x14ac:dyDescent="0.25">
      <c r="B1594" s="45"/>
      <c r="C1594" s="45"/>
    </row>
    <row r="1595" spans="2:3" x14ac:dyDescent="0.25">
      <c r="B1595" s="45"/>
      <c r="C1595" s="45"/>
    </row>
    <row r="1596" spans="2:3" x14ac:dyDescent="0.25">
      <c r="B1596" s="45"/>
      <c r="C1596" s="45"/>
    </row>
    <row r="1597" spans="2:3" x14ac:dyDescent="0.25">
      <c r="B1597" s="45"/>
      <c r="C1597" s="45"/>
    </row>
    <row r="1598" spans="2:3" x14ac:dyDescent="0.25">
      <c r="B1598" s="45"/>
      <c r="C1598" s="45"/>
    </row>
    <row r="1599" spans="2:3" x14ac:dyDescent="0.25">
      <c r="B1599" s="45"/>
      <c r="C1599" s="45"/>
    </row>
    <row r="1600" spans="2:3" x14ac:dyDescent="0.25">
      <c r="B1600" s="45"/>
      <c r="C1600" s="45"/>
    </row>
    <row r="1601" spans="2:3" x14ac:dyDescent="0.25">
      <c r="B1601" s="45"/>
      <c r="C1601" s="45"/>
    </row>
    <row r="1602" spans="2:3" x14ac:dyDescent="0.25">
      <c r="B1602" s="45"/>
      <c r="C1602" s="45"/>
    </row>
    <row r="1603" spans="2:3" x14ac:dyDescent="0.25">
      <c r="B1603" s="45"/>
      <c r="C1603" s="45"/>
    </row>
    <row r="1604" spans="2:3" x14ac:dyDescent="0.25">
      <c r="B1604" s="45"/>
      <c r="C1604" s="45"/>
    </row>
    <row r="1605" spans="2:3" x14ac:dyDescent="0.25">
      <c r="B1605" s="45"/>
      <c r="C1605" s="45"/>
    </row>
    <row r="1606" spans="2:3" x14ac:dyDescent="0.25">
      <c r="B1606" s="45"/>
      <c r="C1606" s="45"/>
    </row>
    <row r="1607" spans="2:3" x14ac:dyDescent="0.25">
      <c r="B1607" s="45"/>
      <c r="C1607" s="45"/>
    </row>
    <row r="1608" spans="2:3" x14ac:dyDescent="0.25">
      <c r="B1608" s="45"/>
      <c r="C1608" s="45"/>
    </row>
    <row r="1609" spans="2:3" x14ac:dyDescent="0.25">
      <c r="B1609" s="45"/>
      <c r="C1609" s="45"/>
    </row>
    <row r="1610" spans="2:3" x14ac:dyDescent="0.25">
      <c r="B1610" s="45"/>
      <c r="C1610" s="45"/>
    </row>
    <row r="1611" spans="2:3" x14ac:dyDescent="0.25">
      <c r="B1611" s="45"/>
      <c r="C1611" s="45"/>
    </row>
    <row r="1612" spans="2:3" x14ac:dyDescent="0.25">
      <c r="B1612" s="45"/>
      <c r="C1612" s="45"/>
    </row>
    <row r="1613" spans="2:3" x14ac:dyDescent="0.25">
      <c r="B1613" s="45"/>
      <c r="C1613" s="45"/>
    </row>
    <row r="1614" spans="2:3" x14ac:dyDescent="0.25">
      <c r="B1614" s="45"/>
      <c r="C1614" s="45"/>
    </row>
    <row r="1615" spans="2:3" x14ac:dyDescent="0.25">
      <c r="B1615" s="45"/>
      <c r="C1615" s="45"/>
    </row>
    <row r="1616" spans="2:3" x14ac:dyDescent="0.25">
      <c r="B1616" s="45"/>
      <c r="C1616" s="45"/>
    </row>
    <row r="1617" spans="2:3" x14ac:dyDescent="0.25">
      <c r="B1617" s="45"/>
      <c r="C1617" s="45"/>
    </row>
    <row r="1618" spans="2:3" x14ac:dyDescent="0.25">
      <c r="B1618" s="45"/>
      <c r="C1618" s="45"/>
    </row>
    <row r="1619" spans="2:3" x14ac:dyDescent="0.25">
      <c r="B1619" s="45"/>
      <c r="C1619" s="45"/>
    </row>
    <row r="1620" spans="2:3" x14ac:dyDescent="0.25">
      <c r="B1620" s="45"/>
      <c r="C1620" s="45"/>
    </row>
    <row r="1621" spans="2:3" x14ac:dyDescent="0.25">
      <c r="B1621" s="45"/>
      <c r="C1621" s="45"/>
    </row>
    <row r="1622" spans="2:3" x14ac:dyDescent="0.25">
      <c r="B1622" s="45"/>
      <c r="C1622" s="45"/>
    </row>
    <row r="1623" spans="2:3" x14ac:dyDescent="0.25">
      <c r="B1623" s="45"/>
      <c r="C1623" s="45"/>
    </row>
    <row r="1624" spans="2:3" x14ac:dyDescent="0.25">
      <c r="B1624" s="45"/>
      <c r="C1624" s="45"/>
    </row>
    <row r="1625" spans="2:3" x14ac:dyDescent="0.25">
      <c r="B1625" s="45"/>
      <c r="C1625" s="45"/>
    </row>
    <row r="1626" spans="2:3" x14ac:dyDescent="0.25">
      <c r="B1626" s="45"/>
      <c r="C1626" s="45"/>
    </row>
    <row r="1627" spans="2:3" x14ac:dyDescent="0.25">
      <c r="B1627" s="45"/>
      <c r="C1627" s="45"/>
    </row>
    <row r="1628" spans="2:3" x14ac:dyDescent="0.25">
      <c r="B1628" s="45"/>
      <c r="C1628" s="45"/>
    </row>
    <row r="1629" spans="2:3" x14ac:dyDescent="0.25">
      <c r="B1629" s="45"/>
      <c r="C1629" s="45"/>
    </row>
    <row r="1630" spans="2:3" x14ac:dyDescent="0.25">
      <c r="B1630" s="45"/>
      <c r="C1630" s="45"/>
    </row>
    <row r="1631" spans="2:3" x14ac:dyDescent="0.25">
      <c r="B1631" s="45"/>
      <c r="C1631" s="45"/>
    </row>
    <row r="1632" spans="2:3" x14ac:dyDescent="0.25">
      <c r="B1632" s="45"/>
      <c r="C1632" s="45"/>
    </row>
    <row r="1633" spans="2:3" x14ac:dyDescent="0.25">
      <c r="B1633" s="45"/>
      <c r="C1633" s="45"/>
    </row>
    <row r="1634" spans="2:3" x14ac:dyDescent="0.25">
      <c r="B1634" s="45"/>
      <c r="C1634" s="45"/>
    </row>
    <row r="1635" spans="2:3" x14ac:dyDescent="0.25">
      <c r="B1635" s="45"/>
      <c r="C1635" s="45"/>
    </row>
    <row r="1636" spans="2:3" x14ac:dyDescent="0.25">
      <c r="B1636" s="45"/>
      <c r="C1636" s="45"/>
    </row>
    <row r="1637" spans="2:3" x14ac:dyDescent="0.25">
      <c r="B1637" s="45"/>
      <c r="C1637" s="45"/>
    </row>
    <row r="1638" spans="2:3" x14ac:dyDescent="0.25">
      <c r="B1638" s="45"/>
      <c r="C1638" s="45"/>
    </row>
    <row r="1639" spans="2:3" x14ac:dyDescent="0.25">
      <c r="B1639" s="45"/>
      <c r="C1639" s="45"/>
    </row>
    <row r="1640" spans="2:3" x14ac:dyDescent="0.25">
      <c r="B1640" s="45"/>
      <c r="C1640" s="45"/>
    </row>
    <row r="1641" spans="2:3" x14ac:dyDescent="0.25">
      <c r="B1641" s="45"/>
      <c r="C1641" s="45"/>
    </row>
    <row r="1642" spans="2:3" x14ac:dyDescent="0.25">
      <c r="B1642" s="45"/>
      <c r="C1642" s="45"/>
    </row>
    <row r="1643" spans="2:3" x14ac:dyDescent="0.25">
      <c r="B1643" s="45"/>
      <c r="C1643" s="45"/>
    </row>
    <row r="1644" spans="2:3" x14ac:dyDescent="0.25">
      <c r="B1644" s="45"/>
      <c r="C1644" s="45"/>
    </row>
    <row r="1645" spans="2:3" x14ac:dyDescent="0.25">
      <c r="B1645" s="45"/>
      <c r="C1645" s="45"/>
    </row>
    <row r="1646" spans="2:3" x14ac:dyDescent="0.25">
      <c r="B1646" s="45"/>
      <c r="C1646" s="45"/>
    </row>
    <row r="1647" spans="2:3" x14ac:dyDescent="0.25">
      <c r="B1647" s="45"/>
      <c r="C1647" s="45"/>
    </row>
    <row r="1648" spans="2:3" x14ac:dyDescent="0.25">
      <c r="B1648" s="45"/>
      <c r="C1648" s="45"/>
    </row>
    <row r="1649" spans="2:3" x14ac:dyDescent="0.25">
      <c r="B1649" s="45"/>
      <c r="C1649" s="45"/>
    </row>
    <row r="1650" spans="2:3" x14ac:dyDescent="0.25">
      <c r="B1650" s="45"/>
      <c r="C1650" s="45"/>
    </row>
    <row r="1651" spans="2:3" x14ac:dyDescent="0.25">
      <c r="B1651" s="45"/>
      <c r="C1651" s="45"/>
    </row>
    <row r="1652" spans="2:3" x14ac:dyDescent="0.25">
      <c r="B1652" s="45"/>
      <c r="C1652" s="45"/>
    </row>
    <row r="1653" spans="2:3" x14ac:dyDescent="0.25">
      <c r="B1653" s="45"/>
      <c r="C1653" s="45"/>
    </row>
    <row r="1654" spans="2:3" x14ac:dyDescent="0.25">
      <c r="B1654" s="45"/>
      <c r="C1654" s="45"/>
    </row>
    <row r="1655" spans="2:3" x14ac:dyDescent="0.25">
      <c r="B1655" s="45"/>
      <c r="C1655" s="45"/>
    </row>
    <row r="1656" spans="2:3" x14ac:dyDescent="0.25">
      <c r="B1656" s="45"/>
      <c r="C1656" s="45"/>
    </row>
    <row r="1657" spans="2:3" x14ac:dyDescent="0.25">
      <c r="B1657" s="45"/>
      <c r="C1657" s="45"/>
    </row>
    <row r="1658" spans="2:3" x14ac:dyDescent="0.25">
      <c r="B1658" s="45"/>
      <c r="C1658" s="45"/>
    </row>
    <row r="1659" spans="2:3" x14ac:dyDescent="0.25">
      <c r="B1659" s="45"/>
      <c r="C1659" s="45"/>
    </row>
    <row r="1660" spans="2:3" x14ac:dyDescent="0.25">
      <c r="B1660" s="45"/>
      <c r="C1660" s="45"/>
    </row>
    <row r="1661" spans="2:3" x14ac:dyDescent="0.25">
      <c r="B1661" s="45"/>
      <c r="C1661" s="45"/>
    </row>
    <row r="1662" spans="2:3" x14ac:dyDescent="0.25">
      <c r="B1662" s="45"/>
      <c r="C1662" s="45"/>
    </row>
    <row r="1663" spans="2:3" x14ac:dyDescent="0.25">
      <c r="B1663" s="45"/>
      <c r="C1663" s="45"/>
    </row>
    <row r="1664" spans="2:3" x14ac:dyDescent="0.25">
      <c r="B1664" s="45"/>
      <c r="C1664" s="45"/>
    </row>
    <row r="1665" spans="2:3" x14ac:dyDescent="0.25">
      <c r="B1665" s="45"/>
      <c r="C1665" s="45"/>
    </row>
    <row r="1666" spans="2:3" x14ac:dyDescent="0.25">
      <c r="B1666" s="45"/>
      <c r="C1666" s="45"/>
    </row>
    <row r="1667" spans="2:3" x14ac:dyDescent="0.25">
      <c r="B1667" s="45"/>
      <c r="C1667" s="45"/>
    </row>
    <row r="1668" spans="2:3" x14ac:dyDescent="0.25">
      <c r="B1668" s="45"/>
      <c r="C1668" s="45"/>
    </row>
    <row r="1669" spans="2:3" x14ac:dyDescent="0.25">
      <c r="B1669" s="45"/>
      <c r="C1669" s="45"/>
    </row>
    <row r="1670" spans="2:3" x14ac:dyDescent="0.25">
      <c r="B1670" s="45"/>
      <c r="C1670" s="45"/>
    </row>
    <row r="1671" spans="2:3" x14ac:dyDescent="0.25">
      <c r="B1671" s="45"/>
      <c r="C1671" s="45"/>
    </row>
    <row r="1672" spans="2:3" x14ac:dyDescent="0.25">
      <c r="B1672" s="45"/>
      <c r="C1672" s="45"/>
    </row>
    <row r="1673" spans="2:3" x14ac:dyDescent="0.25">
      <c r="B1673" s="45"/>
      <c r="C1673" s="45"/>
    </row>
    <row r="1674" spans="2:3" x14ac:dyDescent="0.25">
      <c r="B1674" s="45"/>
      <c r="C1674" s="45"/>
    </row>
    <row r="1675" spans="2:3" x14ac:dyDescent="0.25">
      <c r="B1675" s="45"/>
      <c r="C1675" s="45"/>
    </row>
    <row r="1676" spans="2:3" x14ac:dyDescent="0.25">
      <c r="B1676" s="45"/>
      <c r="C1676" s="45"/>
    </row>
    <row r="1677" spans="2:3" x14ac:dyDescent="0.25">
      <c r="B1677" s="45"/>
      <c r="C1677" s="45"/>
    </row>
    <row r="1678" spans="2:3" x14ac:dyDescent="0.25">
      <c r="B1678" s="45"/>
      <c r="C1678" s="45"/>
    </row>
    <row r="1679" spans="2:3" x14ac:dyDescent="0.25">
      <c r="B1679" s="45"/>
      <c r="C1679" s="45"/>
    </row>
    <row r="1680" spans="2:3" x14ac:dyDescent="0.25">
      <c r="B1680" s="45"/>
      <c r="C1680" s="45"/>
    </row>
    <row r="1681" spans="2:3" x14ac:dyDescent="0.25">
      <c r="B1681" s="45"/>
      <c r="C1681" s="45"/>
    </row>
    <row r="1682" spans="2:3" x14ac:dyDescent="0.25">
      <c r="B1682" s="45"/>
      <c r="C1682" s="45"/>
    </row>
    <row r="1683" spans="2:3" x14ac:dyDescent="0.25">
      <c r="B1683" s="45"/>
      <c r="C1683" s="45"/>
    </row>
    <row r="1684" spans="2:3" x14ac:dyDescent="0.25">
      <c r="B1684" s="45"/>
      <c r="C1684" s="45"/>
    </row>
    <row r="1685" spans="2:3" x14ac:dyDescent="0.25">
      <c r="B1685" s="45"/>
      <c r="C1685" s="45"/>
    </row>
    <row r="1686" spans="2:3" x14ac:dyDescent="0.25">
      <c r="B1686" s="45"/>
      <c r="C1686" s="45"/>
    </row>
    <row r="1687" spans="2:3" x14ac:dyDescent="0.25">
      <c r="B1687" s="45"/>
      <c r="C1687" s="45"/>
    </row>
    <row r="1688" spans="2:3" x14ac:dyDescent="0.25">
      <c r="B1688" s="45"/>
      <c r="C1688" s="45"/>
    </row>
    <row r="1689" spans="2:3" x14ac:dyDescent="0.25">
      <c r="B1689" s="45"/>
      <c r="C1689" s="45"/>
    </row>
    <row r="1690" spans="2:3" x14ac:dyDescent="0.25">
      <c r="B1690" s="45"/>
      <c r="C1690" s="45"/>
    </row>
    <row r="1691" spans="2:3" x14ac:dyDescent="0.25">
      <c r="B1691" s="45"/>
      <c r="C1691" s="45"/>
    </row>
    <row r="1692" spans="2:3" x14ac:dyDescent="0.25">
      <c r="B1692" s="45"/>
      <c r="C1692" s="45"/>
    </row>
    <row r="1693" spans="2:3" x14ac:dyDescent="0.25">
      <c r="B1693" s="45"/>
      <c r="C1693" s="45"/>
    </row>
    <row r="1694" spans="2:3" x14ac:dyDescent="0.25">
      <c r="B1694" s="45"/>
      <c r="C1694" s="45"/>
    </row>
    <row r="1695" spans="2:3" x14ac:dyDescent="0.25">
      <c r="B1695" s="45"/>
      <c r="C1695" s="45"/>
    </row>
    <row r="1696" spans="2:3" x14ac:dyDescent="0.25">
      <c r="B1696" s="45"/>
      <c r="C1696" s="45"/>
    </row>
    <row r="1697" spans="2:3" x14ac:dyDescent="0.25">
      <c r="B1697" s="45"/>
      <c r="C1697" s="45"/>
    </row>
    <row r="1698" spans="2:3" x14ac:dyDescent="0.25">
      <c r="B1698" s="45"/>
      <c r="C1698" s="45"/>
    </row>
    <row r="1699" spans="2:3" x14ac:dyDescent="0.25">
      <c r="B1699" s="45"/>
      <c r="C1699" s="45"/>
    </row>
    <row r="1700" spans="2:3" x14ac:dyDescent="0.25">
      <c r="B1700" s="45"/>
      <c r="C1700" s="45"/>
    </row>
    <row r="1701" spans="2:3" x14ac:dyDescent="0.25">
      <c r="B1701" s="45"/>
      <c r="C1701" s="45"/>
    </row>
    <row r="1702" spans="2:3" x14ac:dyDescent="0.25">
      <c r="B1702" s="45"/>
      <c r="C1702" s="45"/>
    </row>
    <row r="1703" spans="2:3" x14ac:dyDescent="0.25">
      <c r="B1703" s="45"/>
      <c r="C1703" s="45"/>
    </row>
    <row r="1704" spans="2:3" x14ac:dyDescent="0.25">
      <c r="B1704" s="45"/>
      <c r="C1704" s="45"/>
    </row>
    <row r="1705" spans="2:3" x14ac:dyDescent="0.25">
      <c r="B1705" s="45"/>
      <c r="C1705" s="45"/>
    </row>
    <row r="1706" spans="2:3" x14ac:dyDescent="0.25">
      <c r="B1706" s="45"/>
      <c r="C1706" s="45"/>
    </row>
    <row r="1707" spans="2:3" x14ac:dyDescent="0.25">
      <c r="B1707" s="45"/>
      <c r="C1707" s="45"/>
    </row>
    <row r="1708" spans="2:3" x14ac:dyDescent="0.25">
      <c r="B1708" s="45"/>
      <c r="C1708" s="45"/>
    </row>
    <row r="1709" spans="2:3" x14ac:dyDescent="0.25">
      <c r="B1709" s="45"/>
      <c r="C1709" s="45"/>
    </row>
    <row r="1710" spans="2:3" x14ac:dyDescent="0.25">
      <c r="B1710" s="45"/>
      <c r="C1710" s="45"/>
    </row>
    <row r="1711" spans="2:3" x14ac:dyDescent="0.25">
      <c r="B1711" s="45"/>
      <c r="C1711" s="45"/>
    </row>
    <row r="1712" spans="2:3" x14ac:dyDescent="0.25">
      <c r="B1712" s="45"/>
      <c r="C1712" s="45"/>
    </row>
    <row r="1713" spans="2:3" x14ac:dyDescent="0.25">
      <c r="B1713" s="45"/>
      <c r="C1713" s="45"/>
    </row>
    <row r="1714" spans="2:3" x14ac:dyDescent="0.25">
      <c r="B1714" s="45"/>
      <c r="C1714" s="45"/>
    </row>
    <row r="1715" spans="2:3" x14ac:dyDescent="0.25">
      <c r="B1715" s="45"/>
      <c r="C1715" s="45"/>
    </row>
    <row r="1716" spans="2:3" x14ac:dyDescent="0.25">
      <c r="B1716" s="45"/>
      <c r="C1716" s="45"/>
    </row>
    <row r="1717" spans="2:3" x14ac:dyDescent="0.25">
      <c r="B1717" s="45"/>
      <c r="C1717" s="45"/>
    </row>
    <row r="1718" spans="2:3" x14ac:dyDescent="0.25">
      <c r="B1718" s="45"/>
      <c r="C1718" s="45"/>
    </row>
    <row r="1719" spans="2:3" x14ac:dyDescent="0.25">
      <c r="B1719" s="45"/>
      <c r="C1719" s="45"/>
    </row>
    <row r="1720" spans="2:3" x14ac:dyDescent="0.25">
      <c r="B1720" s="45"/>
      <c r="C1720" s="45"/>
    </row>
    <row r="1721" spans="2:3" x14ac:dyDescent="0.25">
      <c r="B1721" s="45"/>
      <c r="C1721" s="45"/>
    </row>
    <row r="1722" spans="2:3" x14ac:dyDescent="0.25">
      <c r="B1722" s="45"/>
      <c r="C1722" s="45"/>
    </row>
    <row r="1723" spans="2:3" x14ac:dyDescent="0.25">
      <c r="B1723" s="45"/>
      <c r="C1723" s="45"/>
    </row>
    <row r="1724" spans="2:3" x14ac:dyDescent="0.25">
      <c r="B1724" s="45"/>
      <c r="C1724" s="45"/>
    </row>
    <row r="1725" spans="2:3" x14ac:dyDescent="0.25">
      <c r="B1725" s="45"/>
      <c r="C1725" s="45"/>
    </row>
    <row r="1726" spans="2:3" x14ac:dyDescent="0.25">
      <c r="B1726" s="45"/>
      <c r="C1726" s="45"/>
    </row>
    <row r="1727" spans="2:3" x14ac:dyDescent="0.25">
      <c r="B1727" s="45"/>
      <c r="C1727" s="45"/>
    </row>
    <row r="1728" spans="2:3" x14ac:dyDescent="0.25">
      <c r="B1728" s="45"/>
      <c r="C1728" s="45"/>
    </row>
    <row r="1729" spans="2:3" x14ac:dyDescent="0.25">
      <c r="B1729" s="45"/>
      <c r="C1729" s="45"/>
    </row>
    <row r="1730" spans="2:3" x14ac:dyDescent="0.25">
      <c r="B1730" s="45"/>
      <c r="C1730" s="45"/>
    </row>
    <row r="1731" spans="2:3" x14ac:dyDescent="0.25">
      <c r="B1731" s="45"/>
      <c r="C1731" s="45"/>
    </row>
    <row r="1732" spans="2:3" x14ac:dyDescent="0.25">
      <c r="B1732" s="45"/>
      <c r="C1732" s="45"/>
    </row>
    <row r="1733" spans="2:3" x14ac:dyDescent="0.25">
      <c r="B1733" s="45"/>
      <c r="C1733" s="45"/>
    </row>
    <row r="1734" spans="2:3" x14ac:dyDescent="0.25">
      <c r="B1734" s="45"/>
      <c r="C1734" s="45"/>
    </row>
    <row r="1735" spans="2:3" x14ac:dyDescent="0.25">
      <c r="B1735" s="45"/>
      <c r="C1735" s="45"/>
    </row>
    <row r="1736" spans="2:3" x14ac:dyDescent="0.25">
      <c r="B1736" s="45"/>
      <c r="C1736" s="45"/>
    </row>
    <row r="1737" spans="2:3" x14ac:dyDescent="0.25">
      <c r="B1737" s="45"/>
      <c r="C1737" s="45"/>
    </row>
    <row r="1738" spans="2:3" x14ac:dyDescent="0.25">
      <c r="B1738" s="45"/>
      <c r="C1738" s="45"/>
    </row>
    <row r="1739" spans="2:3" x14ac:dyDescent="0.25">
      <c r="B1739" s="45"/>
      <c r="C1739" s="45"/>
    </row>
    <row r="1740" spans="2:3" x14ac:dyDescent="0.25">
      <c r="B1740" s="45"/>
      <c r="C1740" s="45"/>
    </row>
    <row r="1741" spans="2:3" x14ac:dyDescent="0.25">
      <c r="B1741" s="45"/>
      <c r="C1741" s="45"/>
    </row>
    <row r="1742" spans="2:3" x14ac:dyDescent="0.25">
      <c r="B1742" s="45"/>
      <c r="C1742" s="45"/>
    </row>
    <row r="1743" spans="2:3" x14ac:dyDescent="0.25">
      <c r="B1743" s="45"/>
      <c r="C1743" s="45"/>
    </row>
    <row r="1744" spans="2:3" x14ac:dyDescent="0.25">
      <c r="B1744" s="45"/>
      <c r="C1744" s="45"/>
    </row>
    <row r="1745" spans="2:3" x14ac:dyDescent="0.25">
      <c r="B1745" s="45"/>
      <c r="C1745" s="45"/>
    </row>
    <row r="1746" spans="2:3" x14ac:dyDescent="0.25">
      <c r="B1746" s="45"/>
      <c r="C1746" s="45"/>
    </row>
    <row r="1747" spans="2:3" x14ac:dyDescent="0.25">
      <c r="B1747" s="45"/>
      <c r="C1747" s="45"/>
    </row>
    <row r="1748" spans="2:3" x14ac:dyDescent="0.25">
      <c r="B1748" s="45"/>
      <c r="C1748" s="45"/>
    </row>
    <row r="1749" spans="2:3" x14ac:dyDescent="0.25">
      <c r="B1749" s="45"/>
      <c r="C1749" s="45"/>
    </row>
    <row r="1750" spans="2:3" x14ac:dyDescent="0.25">
      <c r="B1750" s="45"/>
      <c r="C1750" s="45"/>
    </row>
    <row r="1751" spans="2:3" x14ac:dyDescent="0.25">
      <c r="B1751" s="45"/>
      <c r="C1751" s="45"/>
    </row>
    <row r="1752" spans="2:3" x14ac:dyDescent="0.25">
      <c r="B1752" s="45"/>
      <c r="C1752" s="45"/>
    </row>
    <row r="1753" spans="2:3" x14ac:dyDescent="0.25">
      <c r="B1753" s="45"/>
      <c r="C1753" s="45"/>
    </row>
    <row r="1754" spans="2:3" x14ac:dyDescent="0.25">
      <c r="B1754" s="45"/>
      <c r="C1754" s="45"/>
    </row>
    <row r="1755" spans="2:3" x14ac:dyDescent="0.25">
      <c r="B1755" s="45"/>
      <c r="C1755" s="45"/>
    </row>
    <row r="1756" spans="2:3" x14ac:dyDescent="0.25">
      <c r="B1756" s="45"/>
      <c r="C1756" s="45"/>
    </row>
    <row r="1757" spans="2:3" x14ac:dyDescent="0.25">
      <c r="B1757" s="45"/>
      <c r="C1757" s="45"/>
    </row>
    <row r="1758" spans="2:3" x14ac:dyDescent="0.25">
      <c r="B1758" s="45"/>
      <c r="C1758" s="45"/>
    </row>
    <row r="1759" spans="2:3" x14ac:dyDescent="0.25">
      <c r="B1759" s="45"/>
      <c r="C1759" s="45"/>
    </row>
    <row r="1760" spans="2:3" x14ac:dyDescent="0.25">
      <c r="B1760" s="45"/>
      <c r="C1760" s="45"/>
    </row>
    <row r="1761" spans="2:3" x14ac:dyDescent="0.25">
      <c r="B1761" s="45"/>
      <c r="C1761" s="45"/>
    </row>
    <row r="1762" spans="2:3" x14ac:dyDescent="0.25">
      <c r="B1762" s="45"/>
      <c r="C1762" s="45"/>
    </row>
    <row r="1763" spans="2:3" x14ac:dyDescent="0.25">
      <c r="B1763" s="45"/>
      <c r="C1763" s="45"/>
    </row>
    <row r="1764" spans="2:3" x14ac:dyDescent="0.25">
      <c r="B1764" s="45"/>
      <c r="C1764" s="45"/>
    </row>
    <row r="1765" spans="2:3" x14ac:dyDescent="0.25">
      <c r="B1765" s="45"/>
      <c r="C1765" s="45"/>
    </row>
    <row r="1766" spans="2:3" x14ac:dyDescent="0.25">
      <c r="B1766" s="45"/>
      <c r="C1766" s="45"/>
    </row>
    <row r="1767" spans="2:3" x14ac:dyDescent="0.25">
      <c r="B1767" s="45"/>
      <c r="C1767" s="45"/>
    </row>
    <row r="1768" spans="2:3" x14ac:dyDescent="0.25">
      <c r="B1768" s="45"/>
      <c r="C1768" s="45"/>
    </row>
    <row r="1769" spans="2:3" x14ac:dyDescent="0.25">
      <c r="B1769" s="45"/>
      <c r="C1769" s="45"/>
    </row>
    <row r="1770" spans="2:3" x14ac:dyDescent="0.25">
      <c r="B1770" s="45"/>
      <c r="C1770" s="45"/>
    </row>
    <row r="1771" spans="2:3" x14ac:dyDescent="0.25">
      <c r="B1771" s="45"/>
      <c r="C1771" s="45"/>
    </row>
    <row r="1772" spans="2:3" x14ac:dyDescent="0.25">
      <c r="B1772" s="45"/>
      <c r="C1772" s="45"/>
    </row>
    <row r="1773" spans="2:3" x14ac:dyDescent="0.25">
      <c r="B1773" s="45"/>
      <c r="C1773" s="45"/>
    </row>
    <row r="1774" spans="2:3" x14ac:dyDescent="0.25">
      <c r="B1774" s="45"/>
      <c r="C1774" s="45"/>
    </row>
    <row r="1775" spans="2:3" x14ac:dyDescent="0.25">
      <c r="B1775" s="45"/>
      <c r="C1775" s="45"/>
    </row>
    <row r="1776" spans="2:3" x14ac:dyDescent="0.25">
      <c r="B1776" s="45"/>
      <c r="C1776" s="45"/>
    </row>
    <row r="1777" spans="2:3" x14ac:dyDescent="0.25">
      <c r="B1777" s="45"/>
      <c r="C1777" s="45"/>
    </row>
    <row r="1778" spans="2:3" x14ac:dyDescent="0.25">
      <c r="B1778" s="45"/>
      <c r="C1778" s="45"/>
    </row>
    <row r="1779" spans="2:3" x14ac:dyDescent="0.25">
      <c r="B1779" s="45"/>
      <c r="C1779" s="45"/>
    </row>
    <row r="1780" spans="2:3" x14ac:dyDescent="0.25">
      <c r="B1780" s="45"/>
      <c r="C1780" s="45"/>
    </row>
    <row r="1781" spans="2:3" x14ac:dyDescent="0.25">
      <c r="B1781" s="45"/>
      <c r="C1781" s="45"/>
    </row>
    <row r="1782" spans="2:3" x14ac:dyDescent="0.25">
      <c r="B1782" s="45"/>
      <c r="C1782" s="45"/>
    </row>
    <row r="1783" spans="2:3" x14ac:dyDescent="0.25">
      <c r="B1783" s="45"/>
      <c r="C1783" s="45"/>
    </row>
    <row r="1784" spans="2:3" x14ac:dyDescent="0.25">
      <c r="B1784" s="45"/>
      <c r="C1784" s="45"/>
    </row>
    <row r="1785" spans="2:3" x14ac:dyDescent="0.25">
      <c r="B1785" s="45"/>
      <c r="C1785" s="45"/>
    </row>
    <row r="1786" spans="2:3" x14ac:dyDescent="0.25">
      <c r="B1786" s="45"/>
      <c r="C1786" s="45"/>
    </row>
    <row r="1787" spans="2:3" x14ac:dyDescent="0.25">
      <c r="B1787" s="45"/>
      <c r="C1787" s="45"/>
    </row>
    <row r="1788" spans="2:3" x14ac:dyDescent="0.25">
      <c r="B1788" s="45"/>
      <c r="C1788" s="45"/>
    </row>
    <row r="1789" spans="2:3" x14ac:dyDescent="0.25">
      <c r="B1789" s="45"/>
      <c r="C1789" s="45"/>
    </row>
    <row r="1790" spans="2:3" x14ac:dyDescent="0.25">
      <c r="B1790" s="45"/>
      <c r="C1790" s="45"/>
    </row>
    <row r="1791" spans="2:3" x14ac:dyDescent="0.25">
      <c r="B1791" s="45"/>
      <c r="C1791" s="45"/>
    </row>
    <row r="1792" spans="2:3" x14ac:dyDescent="0.25">
      <c r="B1792" s="45"/>
      <c r="C1792" s="45"/>
    </row>
    <row r="1793" spans="2:3" x14ac:dyDescent="0.25">
      <c r="B1793" s="45"/>
      <c r="C1793" s="45"/>
    </row>
    <row r="1794" spans="2:3" x14ac:dyDescent="0.25">
      <c r="B1794" s="45"/>
      <c r="C1794" s="45"/>
    </row>
    <row r="1795" spans="2:3" x14ac:dyDescent="0.25">
      <c r="B1795" s="45"/>
      <c r="C1795" s="45"/>
    </row>
    <row r="1796" spans="2:3" x14ac:dyDescent="0.25">
      <c r="B1796" s="45"/>
      <c r="C1796" s="45"/>
    </row>
    <row r="1797" spans="2:3" x14ac:dyDescent="0.25">
      <c r="B1797" s="45"/>
      <c r="C1797" s="45"/>
    </row>
    <row r="1798" spans="2:3" x14ac:dyDescent="0.25">
      <c r="B1798" s="45"/>
      <c r="C1798" s="45"/>
    </row>
    <row r="1799" spans="2:3" x14ac:dyDescent="0.25">
      <c r="B1799" s="45"/>
      <c r="C1799" s="45"/>
    </row>
    <row r="1800" spans="2:3" x14ac:dyDescent="0.25">
      <c r="B1800" s="45"/>
      <c r="C1800" s="45"/>
    </row>
    <row r="1801" spans="2:3" x14ac:dyDescent="0.25">
      <c r="B1801" s="45"/>
      <c r="C1801" s="45"/>
    </row>
    <row r="1802" spans="2:3" x14ac:dyDescent="0.25">
      <c r="B1802" s="45"/>
      <c r="C1802" s="45"/>
    </row>
    <row r="1803" spans="2:3" x14ac:dyDescent="0.25">
      <c r="B1803" s="45"/>
      <c r="C1803" s="45"/>
    </row>
    <row r="1804" spans="2:3" x14ac:dyDescent="0.25">
      <c r="B1804" s="45"/>
      <c r="C1804" s="45"/>
    </row>
    <row r="1805" spans="2:3" x14ac:dyDescent="0.25">
      <c r="B1805" s="45"/>
      <c r="C1805" s="45"/>
    </row>
    <row r="1806" spans="2:3" x14ac:dyDescent="0.25">
      <c r="B1806" s="45"/>
      <c r="C1806" s="45"/>
    </row>
    <row r="1807" spans="2:3" x14ac:dyDescent="0.25">
      <c r="B1807" s="45"/>
      <c r="C1807" s="45"/>
    </row>
    <row r="1808" spans="2:3" x14ac:dyDescent="0.25">
      <c r="B1808" s="45"/>
      <c r="C1808" s="45"/>
    </row>
    <row r="1809" spans="2:3" x14ac:dyDescent="0.25">
      <c r="B1809" s="45"/>
      <c r="C1809" s="45"/>
    </row>
    <row r="1810" spans="2:3" x14ac:dyDescent="0.25">
      <c r="B1810" s="45"/>
      <c r="C1810" s="45"/>
    </row>
    <row r="1811" spans="2:3" x14ac:dyDescent="0.25">
      <c r="B1811" s="45"/>
      <c r="C1811" s="45"/>
    </row>
    <row r="1812" spans="2:3" x14ac:dyDescent="0.25">
      <c r="B1812" s="45"/>
      <c r="C1812" s="45"/>
    </row>
    <row r="1813" spans="2:3" x14ac:dyDescent="0.25">
      <c r="B1813" s="45"/>
      <c r="C1813" s="45"/>
    </row>
    <row r="1814" spans="2:3" x14ac:dyDescent="0.25">
      <c r="B1814" s="45"/>
      <c r="C1814" s="45"/>
    </row>
    <row r="1815" spans="2:3" x14ac:dyDescent="0.25">
      <c r="B1815" s="45"/>
      <c r="C1815" s="45"/>
    </row>
    <row r="1816" spans="2:3" x14ac:dyDescent="0.25">
      <c r="B1816" s="45"/>
      <c r="C1816" s="45"/>
    </row>
    <row r="1817" spans="2:3" x14ac:dyDescent="0.25">
      <c r="B1817" s="45"/>
      <c r="C1817" s="45"/>
    </row>
    <row r="1818" spans="2:3" x14ac:dyDescent="0.25">
      <c r="B1818" s="45"/>
      <c r="C1818" s="45"/>
    </row>
    <row r="1819" spans="2:3" x14ac:dyDescent="0.25">
      <c r="B1819" s="45"/>
      <c r="C1819" s="45"/>
    </row>
    <row r="1820" spans="2:3" x14ac:dyDescent="0.25">
      <c r="B1820" s="45"/>
      <c r="C1820" s="45"/>
    </row>
    <row r="1821" spans="2:3" x14ac:dyDescent="0.25">
      <c r="B1821" s="45"/>
      <c r="C1821" s="45"/>
    </row>
    <row r="1822" spans="2:3" x14ac:dyDescent="0.25">
      <c r="B1822" s="45"/>
      <c r="C1822" s="45"/>
    </row>
    <row r="1823" spans="2:3" x14ac:dyDescent="0.25">
      <c r="B1823" s="45"/>
      <c r="C1823" s="45"/>
    </row>
    <row r="1824" spans="2:3" x14ac:dyDescent="0.25">
      <c r="B1824" s="45"/>
      <c r="C1824" s="45"/>
    </row>
    <row r="1825" spans="2:3" x14ac:dyDescent="0.25">
      <c r="B1825" s="45"/>
      <c r="C1825" s="45"/>
    </row>
    <row r="1826" spans="2:3" x14ac:dyDescent="0.25">
      <c r="B1826" s="45"/>
      <c r="C1826" s="45"/>
    </row>
    <row r="1827" spans="2:3" x14ac:dyDescent="0.25">
      <c r="B1827" s="45"/>
      <c r="C1827" s="45"/>
    </row>
    <row r="1828" spans="2:3" x14ac:dyDescent="0.25">
      <c r="B1828" s="45"/>
      <c r="C1828" s="45"/>
    </row>
    <row r="1829" spans="2:3" x14ac:dyDescent="0.25">
      <c r="B1829" s="45"/>
      <c r="C1829" s="45"/>
    </row>
    <row r="1830" spans="2:3" x14ac:dyDescent="0.25">
      <c r="B1830" s="45"/>
      <c r="C1830" s="45"/>
    </row>
    <row r="1831" spans="2:3" x14ac:dyDescent="0.25">
      <c r="B1831" s="45"/>
      <c r="C1831" s="45"/>
    </row>
    <row r="1832" spans="2:3" x14ac:dyDescent="0.25">
      <c r="B1832" s="45"/>
      <c r="C1832" s="45"/>
    </row>
    <row r="1833" spans="2:3" x14ac:dyDescent="0.25">
      <c r="B1833" s="45"/>
      <c r="C1833" s="45"/>
    </row>
    <row r="1834" spans="2:3" x14ac:dyDescent="0.25">
      <c r="B1834" s="45"/>
      <c r="C1834" s="45"/>
    </row>
    <row r="1835" spans="2:3" x14ac:dyDescent="0.25">
      <c r="B1835" s="45"/>
      <c r="C1835" s="45"/>
    </row>
    <row r="1836" spans="2:3" x14ac:dyDescent="0.25">
      <c r="B1836" s="45"/>
      <c r="C1836" s="45"/>
    </row>
    <row r="1837" spans="2:3" x14ac:dyDescent="0.25">
      <c r="B1837" s="45"/>
      <c r="C1837" s="45"/>
    </row>
    <row r="1838" spans="2:3" x14ac:dyDescent="0.25">
      <c r="B1838" s="45"/>
      <c r="C1838" s="45"/>
    </row>
    <row r="1839" spans="2:3" x14ac:dyDescent="0.25">
      <c r="B1839" s="45"/>
      <c r="C1839" s="45"/>
    </row>
    <row r="1840" spans="2:3" x14ac:dyDescent="0.25">
      <c r="B1840" s="45"/>
      <c r="C1840" s="45"/>
    </row>
    <row r="1841" spans="2:3" x14ac:dyDescent="0.25">
      <c r="B1841" s="45"/>
      <c r="C1841" s="45"/>
    </row>
    <row r="1842" spans="2:3" x14ac:dyDescent="0.25">
      <c r="B1842" s="45"/>
      <c r="C1842" s="45"/>
    </row>
    <row r="1843" spans="2:3" x14ac:dyDescent="0.25">
      <c r="B1843" s="45"/>
      <c r="C1843" s="45"/>
    </row>
    <row r="1844" spans="2:3" x14ac:dyDescent="0.25">
      <c r="B1844" s="45"/>
      <c r="C1844" s="45"/>
    </row>
    <row r="1845" spans="2:3" x14ac:dyDescent="0.25">
      <c r="B1845" s="45"/>
      <c r="C1845" s="45"/>
    </row>
    <row r="1846" spans="2:3" x14ac:dyDescent="0.25">
      <c r="B1846" s="45"/>
      <c r="C1846" s="45"/>
    </row>
    <row r="1847" spans="2:3" x14ac:dyDescent="0.25">
      <c r="B1847" s="45"/>
      <c r="C1847" s="45"/>
    </row>
    <row r="1848" spans="2:3" x14ac:dyDescent="0.25">
      <c r="B1848" s="45"/>
      <c r="C1848" s="45"/>
    </row>
    <row r="1849" spans="2:3" x14ac:dyDescent="0.25">
      <c r="B1849" s="45"/>
      <c r="C1849" s="45"/>
    </row>
    <row r="1850" spans="2:3" x14ac:dyDescent="0.25">
      <c r="B1850" s="45"/>
      <c r="C1850" s="45"/>
    </row>
    <row r="1851" spans="2:3" x14ac:dyDescent="0.25">
      <c r="B1851" s="45"/>
      <c r="C1851" s="45"/>
    </row>
    <row r="1852" spans="2:3" x14ac:dyDescent="0.25">
      <c r="B1852" s="45"/>
      <c r="C1852" s="45"/>
    </row>
    <row r="1853" spans="2:3" x14ac:dyDescent="0.25">
      <c r="B1853" s="45"/>
      <c r="C1853" s="45"/>
    </row>
    <row r="1854" spans="2:3" x14ac:dyDescent="0.25">
      <c r="B1854" s="45"/>
      <c r="C1854" s="45"/>
    </row>
    <row r="1855" spans="2:3" x14ac:dyDescent="0.25">
      <c r="B1855" s="45"/>
      <c r="C1855" s="45"/>
    </row>
    <row r="1856" spans="2:3" x14ac:dyDescent="0.25">
      <c r="B1856" s="45"/>
      <c r="C1856" s="45"/>
    </row>
    <row r="1857" spans="2:3" x14ac:dyDescent="0.25">
      <c r="B1857" s="45"/>
      <c r="C1857" s="45"/>
    </row>
    <row r="1858" spans="2:3" x14ac:dyDescent="0.25">
      <c r="B1858" s="45"/>
      <c r="C1858" s="45"/>
    </row>
    <row r="1859" spans="2:3" x14ac:dyDescent="0.25">
      <c r="B1859" s="45"/>
      <c r="C1859" s="45"/>
    </row>
    <row r="1860" spans="2:3" x14ac:dyDescent="0.25">
      <c r="B1860" s="45"/>
      <c r="C1860" s="45"/>
    </row>
    <row r="1861" spans="2:3" x14ac:dyDescent="0.25">
      <c r="B1861" s="45"/>
      <c r="C1861" s="45"/>
    </row>
    <row r="1862" spans="2:3" x14ac:dyDescent="0.25">
      <c r="B1862" s="45"/>
      <c r="C1862" s="45"/>
    </row>
    <row r="1863" spans="2:3" x14ac:dyDescent="0.25">
      <c r="B1863" s="45"/>
      <c r="C1863" s="45"/>
    </row>
    <row r="1864" spans="2:3" x14ac:dyDescent="0.25">
      <c r="B1864" s="45"/>
      <c r="C1864" s="45"/>
    </row>
    <row r="1865" spans="2:3" x14ac:dyDescent="0.25">
      <c r="B1865" s="45"/>
      <c r="C1865" s="45"/>
    </row>
    <row r="1866" spans="2:3" x14ac:dyDescent="0.25">
      <c r="B1866" s="45"/>
      <c r="C1866" s="45"/>
    </row>
    <row r="1867" spans="2:3" x14ac:dyDescent="0.25">
      <c r="B1867" s="45"/>
      <c r="C1867" s="45"/>
    </row>
    <row r="1868" spans="2:3" x14ac:dyDescent="0.25">
      <c r="B1868" s="45"/>
      <c r="C1868" s="45"/>
    </row>
    <row r="1869" spans="2:3" x14ac:dyDescent="0.25">
      <c r="B1869" s="45"/>
      <c r="C1869" s="45"/>
    </row>
    <row r="1870" spans="2:3" x14ac:dyDescent="0.25">
      <c r="B1870" s="45"/>
      <c r="C1870" s="45"/>
    </row>
    <row r="1871" spans="2:3" x14ac:dyDescent="0.25">
      <c r="B1871" s="45"/>
      <c r="C1871" s="45"/>
    </row>
    <row r="1872" spans="2:3" x14ac:dyDescent="0.25">
      <c r="B1872" s="45"/>
      <c r="C1872" s="45"/>
    </row>
    <row r="1873" spans="2:3" x14ac:dyDescent="0.25">
      <c r="B1873" s="45"/>
      <c r="C1873" s="45"/>
    </row>
    <row r="1874" spans="2:3" x14ac:dyDescent="0.25">
      <c r="B1874" s="45"/>
      <c r="C1874" s="45"/>
    </row>
    <row r="1875" spans="2:3" x14ac:dyDescent="0.25">
      <c r="B1875" s="45"/>
      <c r="C1875" s="45"/>
    </row>
    <row r="1876" spans="2:3" x14ac:dyDescent="0.25">
      <c r="B1876" s="45"/>
      <c r="C1876" s="45"/>
    </row>
    <row r="1877" spans="2:3" x14ac:dyDescent="0.25">
      <c r="B1877" s="45"/>
      <c r="C1877" s="45"/>
    </row>
    <row r="1878" spans="2:3" x14ac:dyDescent="0.25">
      <c r="B1878" s="45"/>
      <c r="C1878" s="45"/>
    </row>
    <row r="1879" spans="2:3" x14ac:dyDescent="0.25">
      <c r="B1879" s="45"/>
      <c r="C1879" s="45"/>
    </row>
    <row r="1880" spans="2:3" x14ac:dyDescent="0.25">
      <c r="B1880" s="45"/>
      <c r="C1880" s="45"/>
    </row>
    <row r="1881" spans="2:3" x14ac:dyDescent="0.25">
      <c r="B1881" s="45"/>
      <c r="C1881" s="45"/>
    </row>
    <row r="1882" spans="2:3" x14ac:dyDescent="0.25">
      <c r="B1882" s="45"/>
      <c r="C1882" s="45"/>
    </row>
    <row r="1883" spans="2:3" x14ac:dyDescent="0.25">
      <c r="B1883" s="45"/>
      <c r="C1883" s="45"/>
    </row>
    <row r="1884" spans="2:3" x14ac:dyDescent="0.25">
      <c r="B1884" s="45"/>
      <c r="C1884" s="45"/>
    </row>
    <row r="1885" spans="2:3" x14ac:dyDescent="0.25">
      <c r="B1885" s="45"/>
      <c r="C1885" s="45"/>
    </row>
    <row r="1886" spans="2:3" x14ac:dyDescent="0.25">
      <c r="B1886" s="45"/>
      <c r="C1886" s="45"/>
    </row>
    <row r="1887" spans="2:3" x14ac:dyDescent="0.25">
      <c r="B1887" s="45"/>
      <c r="C1887" s="45"/>
    </row>
    <row r="1888" spans="2:3" x14ac:dyDescent="0.25">
      <c r="B1888" s="45"/>
      <c r="C1888" s="45"/>
    </row>
    <row r="1889" spans="2:3" x14ac:dyDescent="0.25">
      <c r="B1889" s="45"/>
      <c r="C1889" s="45"/>
    </row>
    <row r="1890" spans="2:3" x14ac:dyDescent="0.25">
      <c r="B1890" s="45"/>
      <c r="C1890" s="45"/>
    </row>
    <row r="1891" spans="2:3" x14ac:dyDescent="0.25">
      <c r="B1891" s="45"/>
      <c r="C1891" s="45"/>
    </row>
    <row r="1892" spans="2:3" x14ac:dyDescent="0.25">
      <c r="B1892" s="45"/>
      <c r="C1892" s="45"/>
    </row>
    <row r="1893" spans="2:3" x14ac:dyDescent="0.25">
      <c r="B1893" s="45"/>
      <c r="C1893" s="45"/>
    </row>
    <row r="1894" spans="2:3" x14ac:dyDescent="0.25">
      <c r="B1894" s="45"/>
      <c r="C1894" s="45"/>
    </row>
    <row r="1895" spans="2:3" x14ac:dyDescent="0.25">
      <c r="B1895" s="45"/>
      <c r="C1895" s="45"/>
    </row>
    <row r="1896" spans="2:3" x14ac:dyDescent="0.25">
      <c r="B1896" s="45"/>
      <c r="C1896" s="45"/>
    </row>
    <row r="1897" spans="2:3" x14ac:dyDescent="0.25">
      <c r="B1897" s="45"/>
      <c r="C1897" s="45"/>
    </row>
    <row r="1898" spans="2:3" x14ac:dyDescent="0.25">
      <c r="B1898" s="45"/>
      <c r="C1898" s="45"/>
    </row>
    <row r="1899" spans="2:3" x14ac:dyDescent="0.25">
      <c r="B1899" s="45"/>
      <c r="C1899" s="45"/>
    </row>
    <row r="1900" spans="2:3" x14ac:dyDescent="0.25">
      <c r="B1900" s="45"/>
      <c r="C1900" s="45"/>
    </row>
    <row r="1901" spans="2:3" x14ac:dyDescent="0.25">
      <c r="B1901" s="45"/>
      <c r="C1901" s="45"/>
    </row>
    <row r="1902" spans="2:3" x14ac:dyDescent="0.25">
      <c r="B1902" s="45"/>
      <c r="C1902" s="45"/>
    </row>
    <row r="1903" spans="2:3" x14ac:dyDescent="0.25">
      <c r="B1903" s="45"/>
      <c r="C1903" s="45"/>
    </row>
    <row r="1904" spans="2:3" x14ac:dyDescent="0.25">
      <c r="B1904" s="45"/>
      <c r="C1904" s="45"/>
    </row>
    <row r="1905" spans="2:3" x14ac:dyDescent="0.25">
      <c r="B1905" s="45"/>
      <c r="C1905" s="45"/>
    </row>
    <row r="1906" spans="2:3" x14ac:dyDescent="0.25">
      <c r="B1906" s="45"/>
      <c r="C1906" s="45"/>
    </row>
    <row r="1907" spans="2:3" x14ac:dyDescent="0.25">
      <c r="B1907" s="45"/>
      <c r="C1907" s="45"/>
    </row>
    <row r="1908" spans="2:3" x14ac:dyDescent="0.25">
      <c r="B1908" s="45"/>
      <c r="C1908" s="45"/>
    </row>
    <row r="1909" spans="2:3" x14ac:dyDescent="0.25">
      <c r="B1909" s="45"/>
      <c r="C1909" s="45"/>
    </row>
    <row r="1910" spans="2:3" x14ac:dyDescent="0.25">
      <c r="B1910" s="45"/>
      <c r="C1910" s="45"/>
    </row>
    <row r="1911" spans="2:3" x14ac:dyDescent="0.25">
      <c r="B1911" s="45"/>
      <c r="C1911" s="45"/>
    </row>
    <row r="1912" spans="2:3" x14ac:dyDescent="0.25">
      <c r="B1912" s="45"/>
      <c r="C1912" s="45"/>
    </row>
    <row r="1913" spans="2:3" x14ac:dyDescent="0.25">
      <c r="B1913" s="45"/>
      <c r="C1913" s="45"/>
    </row>
    <row r="1914" spans="2:3" x14ac:dyDescent="0.25">
      <c r="B1914" s="45"/>
      <c r="C1914" s="45"/>
    </row>
    <row r="1915" spans="2:3" x14ac:dyDescent="0.25">
      <c r="B1915" s="45"/>
      <c r="C1915" s="45"/>
    </row>
    <row r="1916" spans="2:3" x14ac:dyDescent="0.25">
      <c r="B1916" s="45"/>
      <c r="C1916" s="45"/>
    </row>
    <row r="1917" spans="2:3" x14ac:dyDescent="0.25">
      <c r="B1917" s="45"/>
      <c r="C1917" s="45"/>
    </row>
    <row r="1918" spans="2:3" x14ac:dyDescent="0.25">
      <c r="B1918" s="45"/>
      <c r="C1918" s="45"/>
    </row>
    <row r="1919" spans="2:3" x14ac:dyDescent="0.25">
      <c r="B1919" s="45"/>
      <c r="C1919" s="45"/>
    </row>
    <row r="1920" spans="2:3" x14ac:dyDescent="0.25">
      <c r="B1920" s="45"/>
      <c r="C1920" s="45"/>
    </row>
    <row r="1921" spans="2:3" x14ac:dyDescent="0.25">
      <c r="B1921" s="45"/>
      <c r="C1921" s="45"/>
    </row>
    <row r="1922" spans="2:3" x14ac:dyDescent="0.25">
      <c r="B1922" s="45"/>
      <c r="C1922" s="45"/>
    </row>
    <row r="1923" spans="2:3" x14ac:dyDescent="0.25">
      <c r="B1923" s="45"/>
      <c r="C1923" s="45"/>
    </row>
    <row r="1924" spans="2:3" x14ac:dyDescent="0.25">
      <c r="B1924" s="45"/>
      <c r="C1924" s="45"/>
    </row>
    <row r="1925" spans="2:3" x14ac:dyDescent="0.25">
      <c r="B1925" s="45"/>
      <c r="C1925" s="45"/>
    </row>
    <row r="1926" spans="2:3" x14ac:dyDescent="0.25">
      <c r="B1926" s="45"/>
      <c r="C1926" s="45"/>
    </row>
    <row r="1927" spans="2:3" x14ac:dyDescent="0.25">
      <c r="B1927" s="45"/>
      <c r="C1927" s="45"/>
    </row>
    <row r="1928" spans="2:3" x14ac:dyDescent="0.25">
      <c r="B1928" s="45"/>
      <c r="C1928" s="45"/>
    </row>
    <row r="1929" spans="2:3" x14ac:dyDescent="0.25">
      <c r="B1929" s="45"/>
      <c r="C1929" s="45"/>
    </row>
    <row r="1930" spans="2:3" x14ac:dyDescent="0.25">
      <c r="B1930" s="45"/>
      <c r="C1930" s="45"/>
    </row>
    <row r="1931" spans="2:3" x14ac:dyDescent="0.25">
      <c r="B1931" s="45"/>
      <c r="C1931" s="45"/>
    </row>
    <row r="1932" spans="2:3" x14ac:dyDescent="0.25">
      <c r="B1932" s="45"/>
      <c r="C1932" s="45"/>
    </row>
    <row r="1933" spans="2:3" x14ac:dyDescent="0.25">
      <c r="B1933" s="45"/>
      <c r="C1933" s="45"/>
    </row>
    <row r="1934" spans="2:3" x14ac:dyDescent="0.25">
      <c r="B1934" s="45"/>
      <c r="C1934" s="45"/>
    </row>
    <row r="1935" spans="2:3" x14ac:dyDescent="0.25">
      <c r="B1935" s="45"/>
      <c r="C1935" s="45"/>
    </row>
    <row r="1936" spans="2:3" x14ac:dyDescent="0.25">
      <c r="B1936" s="45"/>
      <c r="C1936" s="45"/>
    </row>
    <row r="1937" spans="2:3" x14ac:dyDescent="0.25">
      <c r="B1937" s="45"/>
      <c r="C1937" s="45"/>
    </row>
    <row r="1938" spans="2:3" x14ac:dyDescent="0.25">
      <c r="B1938" s="45"/>
      <c r="C1938" s="45"/>
    </row>
    <row r="1939" spans="2:3" x14ac:dyDescent="0.25">
      <c r="B1939" s="45"/>
      <c r="C1939" s="45"/>
    </row>
    <row r="1940" spans="2:3" x14ac:dyDescent="0.25">
      <c r="B1940" s="45"/>
      <c r="C1940" s="45"/>
    </row>
    <row r="1941" spans="2:3" x14ac:dyDescent="0.25">
      <c r="B1941" s="45"/>
      <c r="C1941" s="45"/>
    </row>
    <row r="1942" spans="2:3" x14ac:dyDescent="0.25">
      <c r="B1942" s="45"/>
      <c r="C1942" s="45"/>
    </row>
    <row r="1943" spans="2:3" x14ac:dyDescent="0.25">
      <c r="B1943" s="45"/>
      <c r="C1943" s="45"/>
    </row>
    <row r="1944" spans="2:3" x14ac:dyDescent="0.25">
      <c r="B1944" s="45"/>
      <c r="C1944" s="45"/>
    </row>
    <row r="1945" spans="2:3" x14ac:dyDescent="0.25">
      <c r="B1945" s="45"/>
      <c r="C1945" s="45"/>
    </row>
    <row r="1946" spans="2:3" x14ac:dyDescent="0.25">
      <c r="B1946" s="45"/>
      <c r="C1946" s="45"/>
    </row>
    <row r="1947" spans="2:3" x14ac:dyDescent="0.25">
      <c r="B1947" s="45"/>
      <c r="C1947" s="45"/>
    </row>
    <row r="1948" spans="2:3" x14ac:dyDescent="0.25">
      <c r="B1948" s="45"/>
      <c r="C1948" s="45"/>
    </row>
    <row r="1949" spans="2:3" x14ac:dyDescent="0.25">
      <c r="B1949" s="45"/>
      <c r="C1949" s="45"/>
    </row>
    <row r="1950" spans="2:3" x14ac:dyDescent="0.25">
      <c r="B1950" s="45"/>
      <c r="C1950" s="45"/>
    </row>
    <row r="1951" spans="2:3" x14ac:dyDescent="0.25">
      <c r="B1951" s="45"/>
      <c r="C1951" s="45"/>
    </row>
    <row r="1952" spans="2:3" x14ac:dyDescent="0.25">
      <c r="B1952" s="45"/>
      <c r="C1952" s="45"/>
    </row>
    <row r="1953" spans="2:3" x14ac:dyDescent="0.25">
      <c r="B1953" s="45"/>
      <c r="C1953" s="45"/>
    </row>
    <row r="1954" spans="2:3" x14ac:dyDescent="0.25">
      <c r="B1954" s="45"/>
      <c r="C1954" s="45"/>
    </row>
    <row r="1955" spans="2:3" x14ac:dyDescent="0.25">
      <c r="B1955" s="45"/>
      <c r="C1955" s="45"/>
    </row>
    <row r="1956" spans="2:3" x14ac:dyDescent="0.25">
      <c r="B1956" s="45"/>
      <c r="C1956" s="45"/>
    </row>
    <row r="1957" spans="2:3" x14ac:dyDescent="0.25">
      <c r="B1957" s="45"/>
      <c r="C1957" s="45"/>
    </row>
    <row r="1958" spans="2:3" x14ac:dyDescent="0.25">
      <c r="B1958" s="45"/>
      <c r="C1958" s="45"/>
    </row>
    <row r="1959" spans="2:3" x14ac:dyDescent="0.25">
      <c r="B1959" s="45"/>
      <c r="C1959" s="45"/>
    </row>
    <row r="1960" spans="2:3" x14ac:dyDescent="0.25">
      <c r="B1960" s="45"/>
      <c r="C1960" s="45"/>
    </row>
    <row r="1961" spans="2:3" x14ac:dyDescent="0.25">
      <c r="B1961" s="45"/>
      <c r="C1961" s="45"/>
    </row>
    <row r="1962" spans="2:3" x14ac:dyDescent="0.25">
      <c r="B1962" s="45"/>
      <c r="C1962" s="45"/>
    </row>
    <row r="1963" spans="2:3" x14ac:dyDescent="0.25">
      <c r="B1963" s="45"/>
      <c r="C1963" s="45"/>
    </row>
    <row r="1964" spans="2:3" x14ac:dyDescent="0.25">
      <c r="B1964" s="45"/>
      <c r="C1964" s="45"/>
    </row>
    <row r="1965" spans="2:3" x14ac:dyDescent="0.25">
      <c r="B1965" s="45"/>
      <c r="C1965" s="45"/>
    </row>
    <row r="1966" spans="2:3" x14ac:dyDescent="0.25">
      <c r="B1966" s="45"/>
      <c r="C1966" s="45"/>
    </row>
    <row r="1967" spans="2:3" x14ac:dyDescent="0.25">
      <c r="B1967" s="45"/>
      <c r="C1967" s="45"/>
    </row>
    <row r="1968" spans="2:3" x14ac:dyDescent="0.25">
      <c r="B1968" s="45"/>
      <c r="C1968" s="45"/>
    </row>
    <row r="1969" spans="2:3" x14ac:dyDescent="0.25">
      <c r="B1969" s="45"/>
      <c r="C1969" s="45"/>
    </row>
    <row r="1970" spans="2:3" x14ac:dyDescent="0.25">
      <c r="B1970" s="45"/>
      <c r="C1970" s="45"/>
    </row>
    <row r="1971" spans="2:3" x14ac:dyDescent="0.25">
      <c r="B1971" s="45"/>
      <c r="C1971" s="45"/>
    </row>
    <row r="1972" spans="2:3" x14ac:dyDescent="0.25">
      <c r="B1972" s="45"/>
      <c r="C1972" s="45"/>
    </row>
    <row r="1973" spans="2:3" x14ac:dyDescent="0.25">
      <c r="B1973" s="45"/>
      <c r="C1973" s="45"/>
    </row>
    <row r="1974" spans="2:3" x14ac:dyDescent="0.25">
      <c r="B1974" s="45"/>
      <c r="C1974" s="45"/>
    </row>
    <row r="1975" spans="2:3" x14ac:dyDescent="0.25">
      <c r="B1975" s="45"/>
      <c r="C1975" s="45"/>
    </row>
    <row r="1976" spans="2:3" x14ac:dyDescent="0.25">
      <c r="B1976" s="45"/>
      <c r="C1976" s="45"/>
    </row>
    <row r="1977" spans="2:3" x14ac:dyDescent="0.25">
      <c r="B1977" s="45"/>
      <c r="C1977" s="45"/>
    </row>
    <row r="1978" spans="2:3" x14ac:dyDescent="0.25">
      <c r="B1978" s="45"/>
      <c r="C1978" s="45"/>
    </row>
    <row r="1979" spans="2:3" x14ac:dyDescent="0.25">
      <c r="B1979" s="45"/>
      <c r="C1979" s="45"/>
    </row>
    <row r="1980" spans="2:3" x14ac:dyDescent="0.25">
      <c r="B1980" s="45"/>
      <c r="C1980" s="45"/>
    </row>
    <row r="1981" spans="2:3" x14ac:dyDescent="0.25">
      <c r="B1981" s="45"/>
      <c r="C1981" s="45"/>
    </row>
    <row r="1982" spans="2:3" x14ac:dyDescent="0.25">
      <c r="B1982" s="45"/>
      <c r="C1982" s="45"/>
    </row>
    <row r="1983" spans="2:3" x14ac:dyDescent="0.25">
      <c r="B1983" s="45"/>
      <c r="C1983" s="45"/>
    </row>
    <row r="1984" spans="2:3" x14ac:dyDescent="0.25">
      <c r="B1984" s="45"/>
      <c r="C1984" s="45"/>
    </row>
    <row r="1985" spans="2:3" x14ac:dyDescent="0.25">
      <c r="B1985" s="45"/>
      <c r="C1985" s="45"/>
    </row>
    <row r="1986" spans="2:3" x14ac:dyDescent="0.25">
      <c r="B1986" s="45"/>
      <c r="C1986" s="45"/>
    </row>
    <row r="1987" spans="2:3" x14ac:dyDescent="0.25">
      <c r="B1987" s="45"/>
      <c r="C1987" s="45"/>
    </row>
    <row r="1988" spans="2:3" x14ac:dyDescent="0.25">
      <c r="B1988" s="45"/>
      <c r="C1988" s="45"/>
    </row>
    <row r="1989" spans="2:3" x14ac:dyDescent="0.25">
      <c r="B1989" s="45"/>
      <c r="C1989" s="45"/>
    </row>
    <row r="1990" spans="2:3" x14ac:dyDescent="0.25">
      <c r="B1990" s="45"/>
      <c r="C1990" s="45"/>
    </row>
    <row r="1991" spans="2:3" x14ac:dyDescent="0.25">
      <c r="B1991" s="45"/>
      <c r="C1991" s="45"/>
    </row>
    <row r="1992" spans="2:3" x14ac:dyDescent="0.25">
      <c r="B1992" s="45"/>
      <c r="C1992" s="45"/>
    </row>
    <row r="1993" spans="2:3" x14ac:dyDescent="0.25">
      <c r="B1993" s="45"/>
      <c r="C1993" s="45"/>
    </row>
    <row r="1994" spans="2:3" x14ac:dyDescent="0.25">
      <c r="B1994" s="45"/>
      <c r="C1994" s="45"/>
    </row>
    <row r="1995" spans="2:3" x14ac:dyDescent="0.25">
      <c r="B1995" s="45"/>
      <c r="C1995" s="45"/>
    </row>
    <row r="1996" spans="2:3" x14ac:dyDescent="0.25">
      <c r="B1996" s="45"/>
      <c r="C1996" s="45"/>
    </row>
    <row r="1997" spans="2:3" x14ac:dyDescent="0.25">
      <c r="B1997" s="45"/>
      <c r="C1997" s="45"/>
    </row>
    <row r="1998" spans="2:3" x14ac:dyDescent="0.25">
      <c r="B1998" s="45"/>
      <c r="C1998" s="45"/>
    </row>
    <row r="1999" spans="2:3" x14ac:dyDescent="0.25">
      <c r="B1999" s="45"/>
      <c r="C1999" s="45"/>
    </row>
    <row r="2000" spans="2:3" x14ac:dyDescent="0.25">
      <c r="B2000" s="45"/>
      <c r="C2000" s="45"/>
    </row>
    <row r="2001" spans="2:3" x14ac:dyDescent="0.25">
      <c r="B2001" s="45"/>
      <c r="C2001" s="45"/>
    </row>
    <row r="2002" spans="2:3" x14ac:dyDescent="0.25">
      <c r="B2002" s="45"/>
      <c r="C2002" s="45"/>
    </row>
    <row r="2003" spans="2:3" x14ac:dyDescent="0.25">
      <c r="B2003" s="45"/>
      <c r="C2003" s="45"/>
    </row>
    <row r="2004" spans="2:3" x14ac:dyDescent="0.25">
      <c r="B2004" s="45"/>
      <c r="C2004" s="45"/>
    </row>
    <row r="2005" spans="2:3" x14ac:dyDescent="0.25">
      <c r="B2005" s="45"/>
      <c r="C2005" s="45"/>
    </row>
    <row r="2006" spans="2:3" x14ac:dyDescent="0.25">
      <c r="B2006" s="45"/>
      <c r="C2006" s="45"/>
    </row>
    <row r="2007" spans="2:3" x14ac:dyDescent="0.25">
      <c r="B2007" s="45"/>
      <c r="C2007" s="45"/>
    </row>
    <row r="2008" spans="2:3" x14ac:dyDescent="0.25">
      <c r="B2008" s="45"/>
      <c r="C2008" s="45"/>
    </row>
    <row r="2009" spans="2:3" x14ac:dyDescent="0.25">
      <c r="B2009" s="45"/>
      <c r="C2009" s="45"/>
    </row>
    <row r="2010" spans="2:3" x14ac:dyDescent="0.25">
      <c r="B2010" s="45"/>
      <c r="C2010" s="45"/>
    </row>
    <row r="2011" spans="2:3" x14ac:dyDescent="0.25">
      <c r="B2011" s="45"/>
      <c r="C2011" s="45"/>
    </row>
    <row r="2012" spans="2:3" x14ac:dyDescent="0.25">
      <c r="B2012" s="45"/>
      <c r="C2012" s="45"/>
    </row>
    <row r="2013" spans="2:3" x14ac:dyDescent="0.25">
      <c r="B2013" s="45"/>
      <c r="C2013" s="45"/>
    </row>
    <row r="2014" spans="2:3" x14ac:dyDescent="0.25">
      <c r="B2014" s="45"/>
      <c r="C2014" s="45"/>
    </row>
    <row r="2015" spans="2:3" x14ac:dyDescent="0.25">
      <c r="B2015" s="45"/>
      <c r="C2015" s="45"/>
    </row>
    <row r="2016" spans="2:3" x14ac:dyDescent="0.25">
      <c r="B2016" s="45"/>
      <c r="C2016" s="45"/>
    </row>
    <row r="2017" spans="2:3" x14ac:dyDescent="0.25">
      <c r="B2017" s="45"/>
      <c r="C2017" s="45"/>
    </row>
    <row r="2018" spans="2:3" x14ac:dyDescent="0.25">
      <c r="B2018" s="45"/>
      <c r="C2018" s="45"/>
    </row>
    <row r="2019" spans="2:3" x14ac:dyDescent="0.25">
      <c r="B2019" s="45"/>
      <c r="C2019" s="45"/>
    </row>
    <row r="2020" spans="2:3" x14ac:dyDescent="0.25">
      <c r="B2020" s="45"/>
      <c r="C2020" s="45"/>
    </row>
    <row r="2021" spans="2:3" x14ac:dyDescent="0.25">
      <c r="B2021" s="45"/>
      <c r="C2021" s="45"/>
    </row>
    <row r="2022" spans="2:3" x14ac:dyDescent="0.25">
      <c r="B2022" s="45"/>
      <c r="C2022" s="45"/>
    </row>
    <row r="2023" spans="2:3" x14ac:dyDescent="0.25">
      <c r="B2023" s="45"/>
      <c r="C2023" s="45"/>
    </row>
    <row r="2024" spans="2:3" x14ac:dyDescent="0.25">
      <c r="B2024" s="45"/>
      <c r="C2024" s="45"/>
    </row>
    <row r="2025" spans="2:3" x14ac:dyDescent="0.25">
      <c r="B2025" s="45"/>
      <c r="C2025" s="45"/>
    </row>
    <row r="2026" spans="2:3" x14ac:dyDescent="0.25">
      <c r="B2026" s="45"/>
      <c r="C2026" s="45"/>
    </row>
    <row r="2027" spans="2:3" x14ac:dyDescent="0.25">
      <c r="B2027" s="45"/>
      <c r="C2027" s="45"/>
    </row>
    <row r="2028" spans="2:3" x14ac:dyDescent="0.25">
      <c r="B2028" s="45"/>
      <c r="C2028" s="45"/>
    </row>
    <row r="2029" spans="2:3" x14ac:dyDescent="0.25">
      <c r="B2029" s="45"/>
      <c r="C2029" s="45"/>
    </row>
    <row r="2030" spans="2:3" x14ac:dyDescent="0.25">
      <c r="B2030" s="45"/>
      <c r="C2030" s="45"/>
    </row>
    <row r="2031" spans="2:3" x14ac:dyDescent="0.25">
      <c r="B2031" s="45"/>
      <c r="C2031" s="45"/>
    </row>
    <row r="2032" spans="2:3" x14ac:dyDescent="0.25">
      <c r="B2032" s="45"/>
      <c r="C2032" s="45"/>
    </row>
    <row r="2033" spans="2:3" x14ac:dyDescent="0.25">
      <c r="B2033" s="45"/>
      <c r="C2033" s="45"/>
    </row>
    <row r="2034" spans="2:3" x14ac:dyDescent="0.25">
      <c r="B2034" s="45"/>
      <c r="C2034" s="45"/>
    </row>
    <row r="2035" spans="2:3" x14ac:dyDescent="0.25">
      <c r="B2035" s="45"/>
      <c r="C2035" s="45"/>
    </row>
    <row r="2036" spans="2:3" x14ac:dyDescent="0.25">
      <c r="B2036" s="45"/>
      <c r="C2036" s="45"/>
    </row>
    <row r="2037" spans="2:3" x14ac:dyDescent="0.25">
      <c r="B2037" s="45"/>
      <c r="C2037" s="45"/>
    </row>
    <row r="2038" spans="2:3" x14ac:dyDescent="0.25">
      <c r="B2038" s="45"/>
      <c r="C2038" s="45"/>
    </row>
    <row r="2039" spans="2:3" x14ac:dyDescent="0.25">
      <c r="B2039" s="45"/>
      <c r="C2039" s="45"/>
    </row>
    <row r="2040" spans="2:3" x14ac:dyDescent="0.25">
      <c r="B2040" s="45"/>
      <c r="C2040" s="45"/>
    </row>
    <row r="2041" spans="2:3" x14ac:dyDescent="0.25">
      <c r="B2041" s="45"/>
      <c r="C2041" s="45"/>
    </row>
    <row r="2042" spans="2:3" x14ac:dyDescent="0.25">
      <c r="B2042" s="45"/>
      <c r="C2042" s="45"/>
    </row>
    <row r="2043" spans="2:3" x14ac:dyDescent="0.25">
      <c r="B2043" s="45"/>
      <c r="C2043" s="45"/>
    </row>
    <row r="2044" spans="2:3" x14ac:dyDescent="0.25">
      <c r="B2044" s="45"/>
      <c r="C2044" s="45"/>
    </row>
    <row r="2045" spans="2:3" x14ac:dyDescent="0.25">
      <c r="B2045" s="45"/>
      <c r="C2045" s="45"/>
    </row>
    <row r="2046" spans="2:3" x14ac:dyDescent="0.25">
      <c r="B2046" s="45"/>
      <c r="C2046" s="45"/>
    </row>
    <row r="2047" spans="2:3" x14ac:dyDescent="0.25">
      <c r="B2047" s="45"/>
      <c r="C2047" s="45"/>
    </row>
    <row r="2048" spans="2:3" x14ac:dyDescent="0.25">
      <c r="B2048" s="45"/>
      <c r="C2048" s="45"/>
    </row>
    <row r="2049" spans="2:3" x14ac:dyDescent="0.25">
      <c r="B2049" s="45"/>
      <c r="C2049" s="45"/>
    </row>
    <row r="2050" spans="2:3" x14ac:dyDescent="0.25">
      <c r="B2050" s="45"/>
      <c r="C2050" s="45"/>
    </row>
    <row r="2051" spans="2:3" x14ac:dyDescent="0.25">
      <c r="B2051" s="45"/>
      <c r="C2051" s="45"/>
    </row>
    <row r="2052" spans="2:3" x14ac:dyDescent="0.25">
      <c r="B2052" s="45"/>
      <c r="C2052" s="45"/>
    </row>
    <row r="2053" spans="2:3" x14ac:dyDescent="0.25">
      <c r="B2053" s="45"/>
      <c r="C2053" s="45"/>
    </row>
    <row r="2054" spans="2:3" x14ac:dyDescent="0.25">
      <c r="B2054" s="45"/>
      <c r="C2054" s="45"/>
    </row>
    <row r="2055" spans="2:3" x14ac:dyDescent="0.25">
      <c r="B2055" s="45"/>
      <c r="C2055" s="45"/>
    </row>
    <row r="2056" spans="2:3" x14ac:dyDescent="0.25">
      <c r="B2056" s="45"/>
      <c r="C2056" s="45"/>
    </row>
    <row r="2057" spans="2:3" x14ac:dyDescent="0.25">
      <c r="B2057" s="45"/>
      <c r="C2057" s="45"/>
    </row>
    <row r="2058" spans="2:3" x14ac:dyDescent="0.25">
      <c r="B2058" s="45"/>
      <c r="C2058" s="45"/>
    </row>
    <row r="2059" spans="2:3" x14ac:dyDescent="0.25">
      <c r="B2059" s="45"/>
      <c r="C2059" s="45"/>
    </row>
    <row r="2060" spans="2:3" x14ac:dyDescent="0.25">
      <c r="B2060" s="45"/>
      <c r="C2060" s="45"/>
    </row>
    <row r="2061" spans="2:3" x14ac:dyDescent="0.25">
      <c r="B2061" s="45"/>
      <c r="C2061" s="45"/>
    </row>
    <row r="2062" spans="2:3" x14ac:dyDescent="0.25">
      <c r="B2062" s="45"/>
      <c r="C2062" s="45"/>
    </row>
    <row r="2063" spans="2:3" x14ac:dyDescent="0.25">
      <c r="B2063" s="45"/>
      <c r="C2063" s="45"/>
    </row>
    <row r="2064" spans="2:3" x14ac:dyDescent="0.25">
      <c r="B2064" s="45"/>
      <c r="C2064" s="45"/>
    </row>
    <row r="2065" spans="2:3" x14ac:dyDescent="0.25">
      <c r="B2065" s="45"/>
      <c r="C2065" s="45"/>
    </row>
    <row r="2066" spans="2:3" x14ac:dyDescent="0.25">
      <c r="B2066" s="45"/>
      <c r="C2066" s="45"/>
    </row>
    <row r="2067" spans="2:3" x14ac:dyDescent="0.25">
      <c r="B2067" s="45"/>
      <c r="C2067" s="45"/>
    </row>
    <row r="2068" spans="2:3" x14ac:dyDescent="0.25">
      <c r="B2068" s="45"/>
      <c r="C2068" s="45"/>
    </row>
    <row r="2069" spans="2:3" x14ac:dyDescent="0.25">
      <c r="B2069" s="45"/>
      <c r="C2069" s="45"/>
    </row>
    <row r="2070" spans="2:3" x14ac:dyDescent="0.25">
      <c r="B2070" s="45"/>
      <c r="C2070" s="45"/>
    </row>
    <row r="2071" spans="2:3" x14ac:dyDescent="0.25">
      <c r="B2071" s="45"/>
      <c r="C2071" s="45"/>
    </row>
    <row r="2072" spans="2:3" x14ac:dyDescent="0.25">
      <c r="B2072" s="45"/>
      <c r="C2072" s="45"/>
    </row>
    <row r="2073" spans="2:3" x14ac:dyDescent="0.25">
      <c r="B2073" s="45"/>
      <c r="C2073" s="45"/>
    </row>
    <row r="2074" spans="2:3" x14ac:dyDescent="0.25">
      <c r="B2074" s="45"/>
      <c r="C2074" s="45"/>
    </row>
    <row r="2075" spans="2:3" x14ac:dyDescent="0.25">
      <c r="B2075" s="45"/>
      <c r="C2075" s="45"/>
    </row>
    <row r="2076" spans="2:3" x14ac:dyDescent="0.25">
      <c r="B2076" s="45"/>
      <c r="C2076" s="45"/>
    </row>
    <row r="2077" spans="2:3" x14ac:dyDescent="0.25">
      <c r="B2077" s="45"/>
      <c r="C2077" s="45"/>
    </row>
    <row r="2078" spans="2:3" x14ac:dyDescent="0.25">
      <c r="B2078" s="45"/>
      <c r="C2078" s="45"/>
    </row>
    <row r="2079" spans="2:3" x14ac:dyDescent="0.25">
      <c r="B2079" s="45"/>
      <c r="C2079" s="45"/>
    </row>
    <row r="2080" spans="2:3" x14ac:dyDescent="0.25">
      <c r="B2080" s="45"/>
      <c r="C2080" s="45"/>
    </row>
    <row r="2081" spans="2:3" x14ac:dyDescent="0.25">
      <c r="B2081" s="45"/>
      <c r="C2081" s="45"/>
    </row>
    <row r="2082" spans="2:3" x14ac:dyDescent="0.25">
      <c r="B2082" s="45"/>
      <c r="C2082" s="45"/>
    </row>
    <row r="2083" spans="2:3" x14ac:dyDescent="0.25">
      <c r="B2083" s="45"/>
      <c r="C2083" s="45"/>
    </row>
    <row r="2084" spans="2:3" x14ac:dyDescent="0.25">
      <c r="B2084" s="45"/>
      <c r="C2084" s="45"/>
    </row>
    <row r="2085" spans="2:3" x14ac:dyDescent="0.25">
      <c r="B2085" s="45"/>
      <c r="C2085" s="45"/>
    </row>
    <row r="2086" spans="2:3" x14ac:dyDescent="0.25">
      <c r="B2086" s="45"/>
      <c r="C2086" s="45"/>
    </row>
    <row r="2087" spans="2:3" x14ac:dyDescent="0.25">
      <c r="B2087" s="45"/>
      <c r="C2087" s="45"/>
    </row>
    <row r="2088" spans="2:3" x14ac:dyDescent="0.25">
      <c r="B2088" s="45"/>
      <c r="C2088" s="45"/>
    </row>
    <row r="2089" spans="2:3" x14ac:dyDescent="0.25">
      <c r="B2089" s="45"/>
      <c r="C2089" s="45"/>
    </row>
    <row r="2090" spans="2:3" x14ac:dyDescent="0.25">
      <c r="B2090" s="45"/>
      <c r="C2090" s="45"/>
    </row>
    <row r="2091" spans="2:3" x14ac:dyDescent="0.25">
      <c r="B2091" s="45"/>
      <c r="C2091" s="45"/>
    </row>
    <row r="2092" spans="2:3" x14ac:dyDescent="0.25">
      <c r="B2092" s="45"/>
      <c r="C2092" s="45"/>
    </row>
    <row r="2093" spans="2:3" x14ac:dyDescent="0.25">
      <c r="B2093" s="45"/>
      <c r="C2093" s="45"/>
    </row>
    <row r="2094" spans="2:3" x14ac:dyDescent="0.25">
      <c r="B2094" s="45"/>
      <c r="C2094" s="45"/>
    </row>
    <row r="2095" spans="2:3" x14ac:dyDescent="0.25">
      <c r="B2095" s="45"/>
      <c r="C2095" s="45"/>
    </row>
    <row r="2096" spans="2:3" x14ac:dyDescent="0.25">
      <c r="B2096" s="45"/>
      <c r="C2096" s="45"/>
    </row>
    <row r="2097" spans="2:3" x14ac:dyDescent="0.25">
      <c r="B2097" s="45"/>
      <c r="C2097" s="45"/>
    </row>
    <row r="2098" spans="2:3" x14ac:dyDescent="0.25">
      <c r="B2098" s="45"/>
      <c r="C2098" s="45"/>
    </row>
    <row r="2099" spans="2:3" x14ac:dyDescent="0.25">
      <c r="B2099" s="45"/>
      <c r="C2099" s="45"/>
    </row>
    <row r="2100" spans="2:3" x14ac:dyDescent="0.25">
      <c r="B2100" s="45"/>
      <c r="C2100" s="45"/>
    </row>
    <row r="2101" spans="2:3" x14ac:dyDescent="0.25">
      <c r="B2101" s="45"/>
      <c r="C2101" s="45"/>
    </row>
    <row r="2102" spans="2:3" x14ac:dyDescent="0.25">
      <c r="B2102" s="45"/>
      <c r="C2102" s="45"/>
    </row>
    <row r="2103" spans="2:3" x14ac:dyDescent="0.25">
      <c r="B2103" s="45"/>
      <c r="C2103" s="45"/>
    </row>
    <row r="2104" spans="2:3" x14ac:dyDescent="0.25">
      <c r="B2104" s="45"/>
      <c r="C2104" s="45"/>
    </row>
    <row r="2105" spans="2:3" x14ac:dyDescent="0.25">
      <c r="B2105" s="45"/>
      <c r="C2105" s="45"/>
    </row>
    <row r="2106" spans="2:3" x14ac:dyDescent="0.25">
      <c r="B2106" s="45"/>
      <c r="C2106" s="45"/>
    </row>
    <row r="2107" spans="2:3" x14ac:dyDescent="0.25">
      <c r="B2107" s="45"/>
      <c r="C2107" s="45"/>
    </row>
    <row r="2108" spans="2:3" x14ac:dyDescent="0.25">
      <c r="B2108" s="45"/>
      <c r="C2108" s="45"/>
    </row>
    <row r="2109" spans="2:3" x14ac:dyDescent="0.25">
      <c r="B2109" s="45"/>
      <c r="C2109" s="45"/>
    </row>
    <row r="2110" spans="2:3" x14ac:dyDescent="0.25">
      <c r="B2110" s="45"/>
      <c r="C2110" s="45"/>
    </row>
    <row r="2111" spans="2:3" x14ac:dyDescent="0.25">
      <c r="B2111" s="45"/>
      <c r="C2111" s="45"/>
    </row>
    <row r="2112" spans="2:3" x14ac:dyDescent="0.25">
      <c r="B2112" s="45"/>
      <c r="C2112" s="45"/>
    </row>
    <row r="2113" spans="2:3" x14ac:dyDescent="0.25">
      <c r="B2113" s="45"/>
      <c r="C2113" s="45"/>
    </row>
    <row r="2114" spans="2:3" x14ac:dyDescent="0.25">
      <c r="B2114" s="45"/>
      <c r="C2114" s="45"/>
    </row>
    <row r="2115" spans="2:3" x14ac:dyDescent="0.25">
      <c r="B2115" s="45"/>
      <c r="C2115" s="45"/>
    </row>
    <row r="2116" spans="2:3" x14ac:dyDescent="0.25">
      <c r="B2116" s="45"/>
      <c r="C2116" s="45"/>
    </row>
    <row r="2117" spans="2:3" x14ac:dyDescent="0.25">
      <c r="B2117" s="45"/>
      <c r="C2117" s="45"/>
    </row>
    <row r="2118" spans="2:3" x14ac:dyDescent="0.25">
      <c r="B2118" s="45"/>
      <c r="C2118" s="45"/>
    </row>
    <row r="2119" spans="2:3" x14ac:dyDescent="0.25">
      <c r="B2119" s="45"/>
      <c r="C2119" s="45"/>
    </row>
    <row r="2120" spans="2:3" x14ac:dyDescent="0.25">
      <c r="B2120" s="45"/>
      <c r="C2120" s="45"/>
    </row>
    <row r="2121" spans="2:3" x14ac:dyDescent="0.25">
      <c r="B2121" s="45"/>
      <c r="C2121" s="45"/>
    </row>
    <row r="2122" spans="2:3" x14ac:dyDescent="0.25">
      <c r="B2122" s="45"/>
      <c r="C2122" s="45"/>
    </row>
    <row r="2123" spans="2:3" x14ac:dyDescent="0.25">
      <c r="B2123" s="45"/>
      <c r="C2123" s="45"/>
    </row>
    <row r="2124" spans="2:3" x14ac:dyDescent="0.25">
      <c r="B2124" s="45"/>
      <c r="C2124" s="45"/>
    </row>
    <row r="2125" spans="2:3" x14ac:dyDescent="0.25">
      <c r="B2125" s="45"/>
      <c r="C2125" s="45"/>
    </row>
    <row r="2126" spans="2:3" x14ac:dyDescent="0.25">
      <c r="B2126" s="45"/>
      <c r="C2126" s="45"/>
    </row>
    <row r="2127" spans="2:3" x14ac:dyDescent="0.25">
      <c r="B2127" s="45"/>
      <c r="C2127" s="45"/>
    </row>
    <row r="2128" spans="2:3" x14ac:dyDescent="0.25">
      <c r="B2128" s="45"/>
      <c r="C2128" s="45"/>
    </row>
    <row r="2129" spans="2:3" x14ac:dyDescent="0.25">
      <c r="B2129" s="45"/>
      <c r="C2129" s="45"/>
    </row>
    <row r="2130" spans="2:3" x14ac:dyDescent="0.25">
      <c r="B2130" s="45"/>
      <c r="C2130" s="45"/>
    </row>
    <row r="2131" spans="2:3" x14ac:dyDescent="0.25">
      <c r="B2131" s="45"/>
      <c r="C2131" s="45"/>
    </row>
    <row r="2132" spans="2:3" x14ac:dyDescent="0.25">
      <c r="B2132" s="45"/>
      <c r="C2132" s="45"/>
    </row>
    <row r="2133" spans="2:3" x14ac:dyDescent="0.25">
      <c r="B2133" s="45"/>
      <c r="C2133" s="45"/>
    </row>
    <row r="2134" spans="2:3" x14ac:dyDescent="0.25">
      <c r="B2134" s="45"/>
      <c r="C2134" s="45"/>
    </row>
    <row r="2135" spans="2:3" x14ac:dyDescent="0.25">
      <c r="B2135" s="45"/>
      <c r="C2135" s="45"/>
    </row>
    <row r="2136" spans="2:3" x14ac:dyDescent="0.25">
      <c r="B2136" s="45"/>
      <c r="C2136" s="45"/>
    </row>
    <row r="2137" spans="2:3" x14ac:dyDescent="0.25">
      <c r="B2137" s="45"/>
      <c r="C2137" s="45"/>
    </row>
    <row r="2138" spans="2:3" x14ac:dyDescent="0.25">
      <c r="B2138" s="45"/>
      <c r="C2138" s="45"/>
    </row>
    <row r="2139" spans="2:3" x14ac:dyDescent="0.25">
      <c r="B2139" s="45"/>
      <c r="C2139" s="45"/>
    </row>
    <row r="2140" spans="2:3" x14ac:dyDescent="0.25">
      <c r="B2140" s="45"/>
      <c r="C2140" s="45"/>
    </row>
    <row r="2141" spans="2:3" x14ac:dyDescent="0.25">
      <c r="B2141" s="45"/>
      <c r="C2141" s="45"/>
    </row>
    <row r="2142" spans="2:3" x14ac:dyDescent="0.25">
      <c r="B2142" s="45"/>
      <c r="C2142" s="45"/>
    </row>
    <row r="2143" spans="2:3" x14ac:dyDescent="0.25">
      <c r="B2143" s="45"/>
      <c r="C2143" s="45"/>
    </row>
    <row r="2144" spans="2:3" x14ac:dyDescent="0.25">
      <c r="B2144" s="45"/>
      <c r="C2144" s="45"/>
    </row>
    <row r="2145" spans="2:3" x14ac:dyDescent="0.25">
      <c r="B2145" s="45"/>
      <c r="C2145" s="45"/>
    </row>
    <row r="2146" spans="2:3" x14ac:dyDescent="0.25">
      <c r="B2146" s="45"/>
      <c r="C2146" s="45"/>
    </row>
    <row r="2147" spans="2:3" x14ac:dyDescent="0.25">
      <c r="B2147" s="45"/>
      <c r="C2147" s="45"/>
    </row>
    <row r="2148" spans="2:3" x14ac:dyDescent="0.25">
      <c r="B2148" s="45"/>
      <c r="C2148" s="45"/>
    </row>
    <row r="2149" spans="2:3" x14ac:dyDescent="0.25">
      <c r="B2149" s="45"/>
      <c r="C2149" s="45"/>
    </row>
    <row r="2150" spans="2:3" x14ac:dyDescent="0.25">
      <c r="B2150" s="45"/>
      <c r="C2150" s="45"/>
    </row>
    <row r="2151" spans="2:3" x14ac:dyDescent="0.25">
      <c r="B2151" s="45"/>
      <c r="C2151" s="45"/>
    </row>
    <row r="2152" spans="2:3" x14ac:dyDescent="0.25">
      <c r="B2152" s="45"/>
      <c r="C2152" s="45"/>
    </row>
    <row r="2153" spans="2:3" x14ac:dyDescent="0.25">
      <c r="B2153" s="45"/>
      <c r="C2153" s="45"/>
    </row>
    <row r="2154" spans="2:3" x14ac:dyDescent="0.25">
      <c r="B2154" s="45"/>
      <c r="C2154" s="45"/>
    </row>
    <row r="2155" spans="2:3" x14ac:dyDescent="0.25">
      <c r="B2155" s="45"/>
      <c r="C2155" s="45"/>
    </row>
    <row r="2156" spans="2:3" x14ac:dyDescent="0.25">
      <c r="B2156" s="45"/>
      <c r="C2156" s="45"/>
    </row>
    <row r="2157" spans="2:3" x14ac:dyDescent="0.25">
      <c r="B2157" s="45"/>
      <c r="C2157" s="45"/>
    </row>
    <row r="2158" spans="2:3" x14ac:dyDescent="0.25">
      <c r="B2158" s="45"/>
      <c r="C2158" s="45"/>
    </row>
    <row r="2159" spans="2:3" x14ac:dyDescent="0.25">
      <c r="B2159" s="45"/>
      <c r="C2159" s="45"/>
    </row>
    <row r="2160" spans="2:3" x14ac:dyDescent="0.25">
      <c r="B2160" s="45"/>
      <c r="C2160" s="45"/>
    </row>
    <row r="2161" spans="2:3" x14ac:dyDescent="0.25">
      <c r="B2161" s="45"/>
      <c r="C2161" s="45"/>
    </row>
    <row r="2162" spans="2:3" x14ac:dyDescent="0.25">
      <c r="B2162" s="45"/>
      <c r="C2162" s="45"/>
    </row>
    <row r="2163" spans="2:3" x14ac:dyDescent="0.25">
      <c r="B2163" s="45"/>
      <c r="C2163" s="45"/>
    </row>
    <row r="2164" spans="2:3" x14ac:dyDescent="0.25">
      <c r="B2164" s="45"/>
      <c r="C2164" s="45"/>
    </row>
    <row r="2165" spans="2:3" x14ac:dyDescent="0.25">
      <c r="B2165" s="45"/>
      <c r="C2165" s="45"/>
    </row>
    <row r="2166" spans="2:3" x14ac:dyDescent="0.25">
      <c r="B2166" s="45"/>
      <c r="C2166" s="45"/>
    </row>
    <row r="2167" spans="2:3" x14ac:dyDescent="0.25">
      <c r="B2167" s="45"/>
      <c r="C2167" s="45"/>
    </row>
    <row r="2168" spans="2:3" x14ac:dyDescent="0.25">
      <c r="B2168" s="45"/>
      <c r="C2168" s="45"/>
    </row>
    <row r="2169" spans="2:3" x14ac:dyDescent="0.25">
      <c r="B2169" s="45"/>
      <c r="C2169" s="45"/>
    </row>
    <row r="2170" spans="2:3" x14ac:dyDescent="0.25">
      <c r="B2170" s="45"/>
      <c r="C2170" s="45"/>
    </row>
    <row r="2171" spans="2:3" x14ac:dyDescent="0.25">
      <c r="B2171" s="45"/>
      <c r="C2171" s="45"/>
    </row>
    <row r="2172" spans="2:3" x14ac:dyDescent="0.25">
      <c r="B2172" s="45"/>
      <c r="C2172" s="45"/>
    </row>
    <row r="2173" spans="2:3" x14ac:dyDescent="0.25">
      <c r="B2173" s="45"/>
      <c r="C2173" s="45"/>
    </row>
    <row r="2174" spans="2:3" x14ac:dyDescent="0.25">
      <c r="B2174" s="45"/>
      <c r="C2174" s="45"/>
    </row>
    <row r="2175" spans="2:3" x14ac:dyDescent="0.25">
      <c r="B2175" s="45"/>
      <c r="C2175" s="45"/>
    </row>
    <row r="2176" spans="2:3" x14ac:dyDescent="0.25">
      <c r="B2176" s="45"/>
      <c r="C2176" s="45"/>
    </row>
    <row r="2177" spans="2:3" x14ac:dyDescent="0.25">
      <c r="B2177" s="45"/>
      <c r="C2177" s="45"/>
    </row>
    <row r="2178" spans="2:3" x14ac:dyDescent="0.25">
      <c r="B2178" s="45"/>
      <c r="C2178" s="45"/>
    </row>
    <row r="2179" spans="2:3" x14ac:dyDescent="0.25">
      <c r="B2179" s="45"/>
      <c r="C2179" s="45"/>
    </row>
    <row r="2180" spans="2:3" x14ac:dyDescent="0.25">
      <c r="B2180" s="45"/>
      <c r="C2180" s="45"/>
    </row>
    <row r="2181" spans="2:3" x14ac:dyDescent="0.25">
      <c r="B2181" s="45"/>
      <c r="C2181" s="45"/>
    </row>
    <row r="2182" spans="2:3" x14ac:dyDescent="0.25">
      <c r="B2182" s="45"/>
      <c r="C2182" s="45"/>
    </row>
    <row r="2183" spans="2:3" x14ac:dyDescent="0.25">
      <c r="B2183" s="45"/>
      <c r="C2183" s="45"/>
    </row>
    <row r="2184" spans="2:3" x14ac:dyDescent="0.25">
      <c r="B2184" s="45"/>
      <c r="C2184" s="45"/>
    </row>
    <row r="2185" spans="2:3" x14ac:dyDescent="0.25">
      <c r="B2185" s="45"/>
      <c r="C2185" s="45"/>
    </row>
    <row r="2186" spans="2:3" x14ac:dyDescent="0.25">
      <c r="B2186" s="45"/>
      <c r="C2186" s="45"/>
    </row>
    <row r="2187" spans="2:3" x14ac:dyDescent="0.25">
      <c r="B2187" s="45"/>
      <c r="C2187" s="45"/>
    </row>
    <row r="2188" spans="2:3" x14ac:dyDescent="0.25">
      <c r="B2188" s="45"/>
      <c r="C2188" s="45"/>
    </row>
    <row r="2189" spans="2:3" x14ac:dyDescent="0.25">
      <c r="B2189" s="45"/>
      <c r="C2189" s="45"/>
    </row>
    <row r="2190" spans="2:3" x14ac:dyDescent="0.25">
      <c r="B2190" s="45"/>
      <c r="C2190" s="45"/>
    </row>
    <row r="2191" spans="2:3" x14ac:dyDescent="0.25">
      <c r="B2191" s="45"/>
      <c r="C2191" s="45"/>
    </row>
    <row r="2192" spans="2:3" x14ac:dyDescent="0.25">
      <c r="B2192" s="45"/>
      <c r="C2192" s="45"/>
    </row>
    <row r="2193" spans="2:3" x14ac:dyDescent="0.25">
      <c r="B2193" s="45"/>
      <c r="C2193" s="45"/>
    </row>
    <row r="2194" spans="2:3" x14ac:dyDescent="0.25">
      <c r="B2194" s="45"/>
      <c r="C2194" s="45"/>
    </row>
    <row r="2195" spans="2:3" x14ac:dyDescent="0.25">
      <c r="B2195" s="45"/>
      <c r="C2195" s="45"/>
    </row>
    <row r="2196" spans="2:3" x14ac:dyDescent="0.25">
      <c r="B2196" s="45"/>
      <c r="C2196" s="45"/>
    </row>
    <row r="2197" spans="2:3" x14ac:dyDescent="0.25">
      <c r="B2197" s="45"/>
      <c r="C2197" s="45"/>
    </row>
    <row r="2198" spans="2:3" x14ac:dyDescent="0.25">
      <c r="B2198" s="45"/>
      <c r="C2198" s="45"/>
    </row>
    <row r="2199" spans="2:3" x14ac:dyDescent="0.25">
      <c r="B2199" s="45"/>
      <c r="C2199" s="45"/>
    </row>
    <row r="2200" spans="2:3" x14ac:dyDescent="0.25">
      <c r="B2200" s="45"/>
      <c r="C2200" s="45"/>
    </row>
    <row r="2201" spans="2:3" x14ac:dyDescent="0.25">
      <c r="B2201" s="45"/>
      <c r="C2201" s="45"/>
    </row>
    <row r="2202" spans="2:3" x14ac:dyDescent="0.25">
      <c r="B2202" s="45"/>
      <c r="C2202" s="45"/>
    </row>
    <row r="2203" spans="2:3" x14ac:dyDescent="0.25">
      <c r="B2203" s="45"/>
      <c r="C2203" s="45"/>
    </row>
    <row r="2204" spans="2:3" x14ac:dyDescent="0.25">
      <c r="B2204" s="45"/>
      <c r="C2204" s="45"/>
    </row>
    <row r="2205" spans="2:3" x14ac:dyDescent="0.25">
      <c r="B2205" s="45"/>
      <c r="C2205" s="45"/>
    </row>
    <row r="2206" spans="2:3" x14ac:dyDescent="0.25">
      <c r="B2206" s="45"/>
      <c r="C2206" s="45"/>
    </row>
    <row r="2207" spans="2:3" x14ac:dyDescent="0.25">
      <c r="B2207" s="45"/>
      <c r="C2207" s="45"/>
    </row>
    <row r="2208" spans="2:3" x14ac:dyDescent="0.25">
      <c r="B2208" s="45"/>
      <c r="C2208" s="45"/>
    </row>
    <row r="2209" spans="2:3" x14ac:dyDescent="0.25">
      <c r="B2209" s="45"/>
      <c r="C2209" s="45"/>
    </row>
    <row r="2210" spans="2:3" x14ac:dyDescent="0.25">
      <c r="B2210" s="45"/>
      <c r="C2210" s="45"/>
    </row>
    <row r="2211" spans="2:3" x14ac:dyDescent="0.25">
      <c r="B2211" s="45"/>
      <c r="C2211" s="45"/>
    </row>
    <row r="2212" spans="2:3" x14ac:dyDescent="0.25">
      <c r="B2212" s="45"/>
      <c r="C2212" s="45"/>
    </row>
    <row r="2213" spans="2:3" x14ac:dyDescent="0.25">
      <c r="B2213" s="45"/>
      <c r="C2213" s="45"/>
    </row>
    <row r="2214" spans="2:3" x14ac:dyDescent="0.25">
      <c r="B2214" s="45"/>
      <c r="C2214" s="45"/>
    </row>
    <row r="2215" spans="2:3" x14ac:dyDescent="0.25">
      <c r="B2215" s="45"/>
      <c r="C2215" s="45"/>
    </row>
    <row r="2216" spans="2:3" x14ac:dyDescent="0.25">
      <c r="B2216" s="45"/>
      <c r="C2216" s="45"/>
    </row>
    <row r="2217" spans="2:3" x14ac:dyDescent="0.25">
      <c r="B2217" s="45"/>
      <c r="C2217" s="45"/>
    </row>
    <row r="2218" spans="2:3" x14ac:dyDescent="0.25">
      <c r="B2218" s="45"/>
      <c r="C2218" s="45"/>
    </row>
    <row r="2219" spans="2:3" x14ac:dyDescent="0.25">
      <c r="B2219" s="45"/>
      <c r="C2219" s="45"/>
    </row>
    <row r="2220" spans="2:3" x14ac:dyDescent="0.25">
      <c r="B2220" s="45"/>
      <c r="C2220" s="45"/>
    </row>
    <row r="2221" spans="2:3" x14ac:dyDescent="0.25">
      <c r="B2221" s="45"/>
      <c r="C2221" s="45"/>
    </row>
    <row r="2222" spans="2:3" x14ac:dyDescent="0.25">
      <c r="B2222" s="45"/>
      <c r="C2222" s="45"/>
    </row>
    <row r="2223" spans="2:3" x14ac:dyDescent="0.25">
      <c r="B2223" s="45"/>
      <c r="C2223" s="45"/>
    </row>
    <row r="2224" spans="2:3" x14ac:dyDescent="0.25">
      <c r="B2224" s="45"/>
      <c r="C2224" s="45"/>
    </row>
    <row r="2225" spans="2:3" x14ac:dyDescent="0.25">
      <c r="B2225" s="45"/>
      <c r="C2225" s="45"/>
    </row>
    <row r="2226" spans="2:3" x14ac:dyDescent="0.25">
      <c r="B2226" s="45"/>
      <c r="C2226" s="45"/>
    </row>
    <row r="2227" spans="2:3" x14ac:dyDescent="0.25">
      <c r="B2227" s="45"/>
      <c r="C2227" s="45"/>
    </row>
    <row r="2228" spans="2:3" x14ac:dyDescent="0.25">
      <c r="B2228" s="45"/>
      <c r="C2228" s="45"/>
    </row>
    <row r="2229" spans="2:3" x14ac:dyDescent="0.25">
      <c r="B2229" s="45"/>
      <c r="C2229" s="45"/>
    </row>
    <row r="2230" spans="2:3" x14ac:dyDescent="0.25">
      <c r="B2230" s="45"/>
      <c r="C2230" s="45"/>
    </row>
    <row r="2231" spans="2:3" x14ac:dyDescent="0.25">
      <c r="B2231" s="45"/>
      <c r="C2231" s="45"/>
    </row>
    <row r="2232" spans="2:3" x14ac:dyDescent="0.25">
      <c r="B2232" s="45"/>
      <c r="C2232" s="45"/>
    </row>
    <row r="2233" spans="2:3" x14ac:dyDescent="0.25">
      <c r="B2233" s="45"/>
      <c r="C2233" s="45"/>
    </row>
    <row r="2234" spans="2:3" x14ac:dyDescent="0.25">
      <c r="B2234" s="45"/>
      <c r="C2234" s="45"/>
    </row>
    <row r="2235" spans="2:3" x14ac:dyDescent="0.25">
      <c r="B2235" s="45"/>
      <c r="C2235" s="45"/>
    </row>
    <row r="2236" spans="2:3" x14ac:dyDescent="0.25">
      <c r="B2236" s="45"/>
      <c r="C2236" s="45"/>
    </row>
    <row r="2237" spans="2:3" x14ac:dyDescent="0.25">
      <c r="B2237" s="45"/>
      <c r="C2237" s="45"/>
    </row>
    <row r="2238" spans="2:3" x14ac:dyDescent="0.25">
      <c r="B2238" s="45"/>
      <c r="C2238" s="45"/>
    </row>
    <row r="2239" spans="2:3" x14ac:dyDescent="0.25">
      <c r="B2239" s="45"/>
      <c r="C2239" s="45"/>
    </row>
    <row r="2240" spans="2:3" x14ac:dyDescent="0.25">
      <c r="B2240" s="45"/>
      <c r="C2240" s="45"/>
    </row>
    <row r="2241" spans="2:3" x14ac:dyDescent="0.25">
      <c r="B2241" s="45"/>
      <c r="C2241" s="45"/>
    </row>
    <row r="2242" spans="2:3" x14ac:dyDescent="0.25">
      <c r="B2242" s="45"/>
      <c r="C2242" s="45"/>
    </row>
    <row r="2243" spans="2:3" x14ac:dyDescent="0.25">
      <c r="B2243" s="45"/>
      <c r="C2243" s="45"/>
    </row>
    <row r="2244" spans="2:3" x14ac:dyDescent="0.25">
      <c r="B2244" s="45"/>
      <c r="C2244" s="45"/>
    </row>
    <row r="2245" spans="2:3" x14ac:dyDescent="0.25">
      <c r="B2245" s="45"/>
      <c r="C2245" s="45"/>
    </row>
    <row r="2246" spans="2:3" x14ac:dyDescent="0.25">
      <c r="B2246" s="45"/>
      <c r="C2246" s="45"/>
    </row>
    <row r="2247" spans="2:3" x14ac:dyDescent="0.25">
      <c r="B2247" s="45"/>
      <c r="C2247" s="45"/>
    </row>
    <row r="2248" spans="2:3" x14ac:dyDescent="0.25">
      <c r="B2248" s="45"/>
      <c r="C2248" s="45"/>
    </row>
    <row r="2249" spans="2:3" x14ac:dyDescent="0.25">
      <c r="B2249" s="45"/>
      <c r="C2249" s="45"/>
    </row>
    <row r="2250" spans="2:3" x14ac:dyDescent="0.25">
      <c r="B2250" s="45"/>
      <c r="C2250" s="45"/>
    </row>
    <row r="2251" spans="2:3" x14ac:dyDescent="0.25">
      <c r="B2251" s="45"/>
      <c r="C2251" s="45"/>
    </row>
    <row r="2252" spans="2:3" x14ac:dyDescent="0.25">
      <c r="B2252" s="45"/>
      <c r="C2252" s="45"/>
    </row>
    <row r="2253" spans="2:3" x14ac:dyDescent="0.25">
      <c r="B2253" s="45"/>
      <c r="C2253" s="45"/>
    </row>
    <row r="2254" spans="2:3" x14ac:dyDescent="0.25">
      <c r="B2254" s="45"/>
      <c r="C2254" s="45"/>
    </row>
    <row r="2255" spans="2:3" x14ac:dyDescent="0.25">
      <c r="B2255" s="45"/>
      <c r="C2255" s="45"/>
    </row>
    <row r="2256" spans="2:3" x14ac:dyDescent="0.25">
      <c r="B2256" s="45"/>
      <c r="C2256" s="45"/>
    </row>
    <row r="2257" spans="2:3" x14ac:dyDescent="0.25">
      <c r="B2257" s="45"/>
      <c r="C2257" s="45"/>
    </row>
    <row r="2258" spans="2:3" x14ac:dyDescent="0.25">
      <c r="B2258" s="45"/>
      <c r="C2258" s="45"/>
    </row>
    <row r="2259" spans="2:3" x14ac:dyDescent="0.25">
      <c r="B2259" s="45"/>
      <c r="C2259" s="45"/>
    </row>
    <row r="2260" spans="2:3" x14ac:dyDescent="0.25">
      <c r="B2260" s="45"/>
      <c r="C2260" s="45"/>
    </row>
    <row r="2261" spans="2:3" x14ac:dyDescent="0.25">
      <c r="B2261" s="45"/>
      <c r="C2261" s="45"/>
    </row>
    <row r="2262" spans="2:3" x14ac:dyDescent="0.25">
      <c r="B2262" s="45"/>
      <c r="C2262" s="45"/>
    </row>
    <row r="2263" spans="2:3" x14ac:dyDescent="0.25">
      <c r="B2263" s="45"/>
      <c r="C2263" s="45"/>
    </row>
    <row r="2264" spans="2:3" x14ac:dyDescent="0.25">
      <c r="B2264" s="45"/>
      <c r="C2264" s="45"/>
    </row>
    <row r="2265" spans="2:3" x14ac:dyDescent="0.25">
      <c r="B2265" s="45"/>
      <c r="C2265" s="45"/>
    </row>
    <row r="2266" spans="2:3" x14ac:dyDescent="0.25">
      <c r="B2266" s="45"/>
      <c r="C2266" s="45"/>
    </row>
    <row r="2267" spans="2:3" x14ac:dyDescent="0.25">
      <c r="B2267" s="45"/>
      <c r="C2267" s="45"/>
    </row>
    <row r="2268" spans="2:3" x14ac:dyDescent="0.25">
      <c r="B2268" s="45"/>
      <c r="C2268" s="45"/>
    </row>
    <row r="2269" spans="2:3" x14ac:dyDescent="0.25">
      <c r="B2269" s="45"/>
      <c r="C2269" s="45"/>
    </row>
    <row r="2270" spans="2:3" x14ac:dyDescent="0.25">
      <c r="B2270" s="45"/>
      <c r="C2270" s="45"/>
    </row>
    <row r="2271" spans="2:3" x14ac:dyDescent="0.25">
      <c r="B2271" s="45"/>
      <c r="C2271" s="45"/>
    </row>
    <row r="2272" spans="2:3" x14ac:dyDescent="0.25">
      <c r="B2272" s="45"/>
      <c r="C2272" s="45"/>
    </row>
    <row r="2273" spans="2:3" x14ac:dyDescent="0.25">
      <c r="B2273" s="45"/>
      <c r="C2273" s="45"/>
    </row>
    <row r="2274" spans="2:3" x14ac:dyDescent="0.25">
      <c r="B2274" s="45"/>
      <c r="C2274" s="45"/>
    </row>
    <row r="2275" spans="2:3" x14ac:dyDescent="0.25">
      <c r="B2275" s="45"/>
      <c r="C2275" s="45"/>
    </row>
    <row r="2276" spans="2:3" x14ac:dyDescent="0.25">
      <c r="B2276" s="45"/>
      <c r="C2276" s="45"/>
    </row>
    <row r="2277" spans="2:3" x14ac:dyDescent="0.25">
      <c r="B2277" s="45"/>
      <c r="C2277" s="45"/>
    </row>
    <row r="2278" spans="2:3" x14ac:dyDescent="0.25">
      <c r="B2278" s="45"/>
      <c r="C2278" s="45"/>
    </row>
    <row r="2279" spans="2:3" x14ac:dyDescent="0.25">
      <c r="B2279" s="45"/>
      <c r="C2279" s="45"/>
    </row>
    <row r="2280" spans="2:3" x14ac:dyDescent="0.25">
      <c r="B2280" s="45"/>
      <c r="C2280" s="45"/>
    </row>
    <row r="2281" spans="2:3" x14ac:dyDescent="0.25">
      <c r="B2281" s="45"/>
      <c r="C2281" s="45"/>
    </row>
    <row r="2282" spans="2:3" x14ac:dyDescent="0.25">
      <c r="B2282" s="45"/>
      <c r="C2282" s="45"/>
    </row>
    <row r="2283" spans="2:3" x14ac:dyDescent="0.25">
      <c r="B2283" s="45"/>
      <c r="C2283" s="45"/>
    </row>
    <row r="2284" spans="2:3" x14ac:dyDescent="0.25">
      <c r="B2284" s="45"/>
      <c r="C2284" s="45"/>
    </row>
    <row r="2285" spans="2:3" x14ac:dyDescent="0.25">
      <c r="B2285" s="45"/>
      <c r="C2285" s="45"/>
    </row>
    <row r="2286" spans="2:3" x14ac:dyDescent="0.25">
      <c r="B2286" s="45"/>
      <c r="C2286" s="45"/>
    </row>
    <row r="2287" spans="2:3" x14ac:dyDescent="0.25">
      <c r="B2287" s="45"/>
      <c r="C2287" s="45"/>
    </row>
    <row r="2288" spans="2:3" x14ac:dyDescent="0.25">
      <c r="B2288" s="45"/>
      <c r="C2288" s="45"/>
    </row>
    <row r="2289" spans="2:3" x14ac:dyDescent="0.25">
      <c r="B2289" s="45"/>
      <c r="C2289" s="45"/>
    </row>
    <row r="2290" spans="2:3" x14ac:dyDescent="0.25">
      <c r="B2290" s="45"/>
      <c r="C2290" s="45"/>
    </row>
    <row r="2291" spans="2:3" x14ac:dyDescent="0.25">
      <c r="B2291" s="45"/>
      <c r="C2291" s="45"/>
    </row>
    <row r="2292" spans="2:3" x14ac:dyDescent="0.25">
      <c r="B2292" s="45"/>
      <c r="C2292" s="45"/>
    </row>
    <row r="2293" spans="2:3" x14ac:dyDescent="0.25">
      <c r="B2293" s="45"/>
      <c r="C2293" s="45"/>
    </row>
    <row r="2294" spans="2:3" x14ac:dyDescent="0.25">
      <c r="B2294" s="45"/>
      <c r="C2294" s="45"/>
    </row>
    <row r="2295" spans="2:3" x14ac:dyDescent="0.25">
      <c r="B2295" s="45"/>
      <c r="C2295" s="45"/>
    </row>
    <row r="2296" spans="2:3" x14ac:dyDescent="0.25">
      <c r="B2296" s="45"/>
      <c r="C2296" s="45"/>
    </row>
    <row r="2297" spans="2:3" x14ac:dyDescent="0.25">
      <c r="B2297" s="45"/>
      <c r="C2297" s="45"/>
    </row>
    <row r="2298" spans="2:3" x14ac:dyDescent="0.25">
      <c r="B2298" s="45"/>
      <c r="C2298" s="45"/>
    </row>
    <row r="2299" spans="2:3" x14ac:dyDescent="0.25">
      <c r="B2299" s="45"/>
      <c r="C2299" s="45"/>
    </row>
    <row r="2300" spans="2:3" x14ac:dyDescent="0.25">
      <c r="B2300" s="45"/>
      <c r="C2300" s="45"/>
    </row>
    <row r="2301" spans="2:3" x14ac:dyDescent="0.25">
      <c r="B2301" s="45"/>
      <c r="C2301" s="45"/>
    </row>
    <row r="2302" spans="2:3" x14ac:dyDescent="0.25">
      <c r="B2302" s="45"/>
      <c r="C2302" s="45"/>
    </row>
    <row r="2303" spans="2:3" x14ac:dyDescent="0.25">
      <c r="B2303" s="45"/>
      <c r="C2303" s="45"/>
    </row>
    <row r="2304" spans="2:3" x14ac:dyDescent="0.25">
      <c r="B2304" s="45"/>
      <c r="C2304" s="45"/>
    </row>
    <row r="2305" spans="2:3" x14ac:dyDescent="0.25">
      <c r="B2305" s="45"/>
      <c r="C2305" s="45"/>
    </row>
    <row r="2306" spans="2:3" x14ac:dyDescent="0.25">
      <c r="B2306" s="45"/>
      <c r="C2306" s="45"/>
    </row>
    <row r="2307" spans="2:3" x14ac:dyDescent="0.25">
      <c r="B2307" s="45"/>
      <c r="C2307" s="45"/>
    </row>
    <row r="2308" spans="2:3" x14ac:dyDescent="0.25">
      <c r="B2308" s="45"/>
      <c r="C2308" s="45"/>
    </row>
    <row r="2309" spans="2:3" x14ac:dyDescent="0.25">
      <c r="B2309" s="45"/>
      <c r="C2309" s="45"/>
    </row>
    <row r="2310" spans="2:3" x14ac:dyDescent="0.25">
      <c r="B2310" s="45"/>
      <c r="C2310" s="45"/>
    </row>
    <row r="2311" spans="2:3" x14ac:dyDescent="0.25">
      <c r="B2311" s="45"/>
      <c r="C2311" s="45"/>
    </row>
    <row r="2312" spans="2:3" x14ac:dyDescent="0.25">
      <c r="B2312" s="45"/>
      <c r="C2312" s="45"/>
    </row>
    <row r="2313" spans="2:3" x14ac:dyDescent="0.25">
      <c r="B2313" s="45"/>
      <c r="C2313" s="45"/>
    </row>
    <row r="2314" spans="2:3" x14ac:dyDescent="0.25">
      <c r="B2314" s="45"/>
      <c r="C2314" s="45"/>
    </row>
    <row r="2315" spans="2:3" x14ac:dyDescent="0.25">
      <c r="B2315" s="45"/>
      <c r="C2315" s="45"/>
    </row>
    <row r="2316" spans="2:3" x14ac:dyDescent="0.25">
      <c r="B2316" s="45"/>
      <c r="C2316" s="45"/>
    </row>
    <row r="2317" spans="2:3" x14ac:dyDescent="0.25">
      <c r="B2317" s="45"/>
      <c r="C2317" s="45"/>
    </row>
    <row r="2318" spans="2:3" x14ac:dyDescent="0.25">
      <c r="B2318" s="45"/>
      <c r="C2318" s="45"/>
    </row>
    <row r="2319" spans="2:3" x14ac:dyDescent="0.25">
      <c r="B2319" s="45"/>
      <c r="C2319" s="45"/>
    </row>
    <row r="2320" spans="2:3" x14ac:dyDescent="0.25">
      <c r="B2320" s="45"/>
      <c r="C2320" s="45"/>
    </row>
    <row r="2321" spans="2:3" x14ac:dyDescent="0.25">
      <c r="B2321" s="45"/>
      <c r="C2321" s="45"/>
    </row>
    <row r="2322" spans="2:3" x14ac:dyDescent="0.25">
      <c r="B2322" s="45"/>
      <c r="C2322" s="45"/>
    </row>
    <row r="2323" spans="2:3" x14ac:dyDescent="0.25">
      <c r="B2323" s="45"/>
      <c r="C2323" s="45"/>
    </row>
    <row r="2324" spans="2:3" x14ac:dyDescent="0.25">
      <c r="B2324" s="45"/>
      <c r="C2324" s="45"/>
    </row>
    <row r="2325" spans="2:3" x14ac:dyDescent="0.25">
      <c r="B2325" s="45"/>
      <c r="C2325" s="45"/>
    </row>
    <row r="2326" spans="2:3" x14ac:dyDescent="0.25">
      <c r="B2326" s="45"/>
      <c r="C2326" s="45"/>
    </row>
    <row r="2327" spans="2:3" x14ac:dyDescent="0.25">
      <c r="B2327" s="45"/>
      <c r="C2327" s="45"/>
    </row>
    <row r="2328" spans="2:3" x14ac:dyDescent="0.25">
      <c r="B2328" s="45"/>
      <c r="C2328" s="45"/>
    </row>
    <row r="2329" spans="2:3" x14ac:dyDescent="0.25">
      <c r="B2329" s="45"/>
      <c r="C2329" s="45"/>
    </row>
    <row r="2330" spans="2:3" x14ac:dyDescent="0.25">
      <c r="B2330" s="45"/>
      <c r="C2330" s="45"/>
    </row>
    <row r="2331" spans="2:3" x14ac:dyDescent="0.25">
      <c r="B2331" s="45"/>
      <c r="C2331" s="45"/>
    </row>
    <row r="2332" spans="2:3" x14ac:dyDescent="0.25">
      <c r="B2332" s="45"/>
      <c r="C2332" s="45"/>
    </row>
    <row r="2333" spans="2:3" x14ac:dyDescent="0.25">
      <c r="B2333" s="45"/>
      <c r="C2333" s="45"/>
    </row>
    <row r="2334" spans="2:3" x14ac:dyDescent="0.25">
      <c r="B2334" s="45"/>
      <c r="C2334" s="45"/>
    </row>
    <row r="2335" spans="2:3" x14ac:dyDescent="0.25">
      <c r="B2335" s="45"/>
      <c r="C2335" s="45"/>
    </row>
    <row r="2336" spans="2:3" x14ac:dyDescent="0.25">
      <c r="B2336" s="45"/>
      <c r="C2336" s="45"/>
    </row>
    <row r="2337" spans="2:3" x14ac:dyDescent="0.25">
      <c r="B2337" s="45"/>
      <c r="C2337" s="45"/>
    </row>
    <row r="2338" spans="2:3" x14ac:dyDescent="0.25">
      <c r="B2338" s="45"/>
      <c r="C2338" s="45"/>
    </row>
    <row r="2339" spans="2:3" x14ac:dyDescent="0.25">
      <c r="B2339" s="45"/>
      <c r="C2339" s="45"/>
    </row>
    <row r="2340" spans="2:3" x14ac:dyDescent="0.25">
      <c r="B2340" s="45"/>
      <c r="C2340" s="45"/>
    </row>
    <row r="2341" spans="2:3" x14ac:dyDescent="0.25">
      <c r="B2341" s="45"/>
      <c r="C2341" s="45"/>
    </row>
    <row r="2342" spans="2:3" x14ac:dyDescent="0.25">
      <c r="B2342" s="45"/>
      <c r="C2342" s="45"/>
    </row>
    <row r="2343" spans="2:3" x14ac:dyDescent="0.25">
      <c r="B2343" s="45"/>
      <c r="C2343" s="45"/>
    </row>
    <row r="2344" spans="2:3" x14ac:dyDescent="0.25">
      <c r="B2344" s="45"/>
      <c r="C2344" s="45"/>
    </row>
    <row r="2345" spans="2:3" x14ac:dyDescent="0.25">
      <c r="B2345" s="45"/>
      <c r="C2345" s="45"/>
    </row>
    <row r="2346" spans="2:3" x14ac:dyDescent="0.25">
      <c r="B2346" s="45"/>
      <c r="C2346" s="45"/>
    </row>
    <row r="2347" spans="2:3" x14ac:dyDescent="0.25">
      <c r="B2347" s="45"/>
      <c r="C2347" s="45"/>
    </row>
    <row r="2348" spans="2:3" x14ac:dyDescent="0.25">
      <c r="B2348" s="45"/>
      <c r="C2348" s="45"/>
    </row>
    <row r="2349" spans="2:3" x14ac:dyDescent="0.25">
      <c r="B2349" s="45"/>
      <c r="C2349" s="45"/>
    </row>
    <row r="2350" spans="2:3" x14ac:dyDescent="0.25">
      <c r="B2350" s="45"/>
      <c r="C2350" s="45"/>
    </row>
    <row r="2351" spans="2:3" x14ac:dyDescent="0.25">
      <c r="B2351" s="45"/>
      <c r="C2351" s="45"/>
    </row>
    <row r="2352" spans="2:3" x14ac:dyDescent="0.25">
      <c r="B2352" s="45"/>
      <c r="C2352" s="45"/>
    </row>
    <row r="2353" spans="2:3" x14ac:dyDescent="0.25">
      <c r="B2353" s="45"/>
      <c r="C2353" s="45"/>
    </row>
    <row r="2354" spans="2:3" x14ac:dyDescent="0.25">
      <c r="B2354" s="45"/>
      <c r="C2354" s="45"/>
    </row>
    <row r="2355" spans="2:3" x14ac:dyDescent="0.25">
      <c r="B2355" s="45"/>
      <c r="C2355" s="45"/>
    </row>
    <row r="2356" spans="2:3" x14ac:dyDescent="0.25">
      <c r="B2356" s="45"/>
      <c r="C2356" s="45"/>
    </row>
    <row r="2357" spans="2:3" x14ac:dyDescent="0.25">
      <c r="B2357" s="45"/>
      <c r="C2357" s="45"/>
    </row>
    <row r="2358" spans="2:3" x14ac:dyDescent="0.25">
      <c r="B2358" s="45"/>
      <c r="C2358" s="45"/>
    </row>
    <row r="2359" spans="2:3" x14ac:dyDescent="0.25">
      <c r="B2359" s="45"/>
      <c r="C2359" s="45"/>
    </row>
    <row r="2360" spans="2:3" x14ac:dyDescent="0.25">
      <c r="B2360" s="45"/>
      <c r="C2360" s="45"/>
    </row>
    <row r="2361" spans="2:3" x14ac:dyDescent="0.25">
      <c r="B2361" s="45"/>
      <c r="C2361" s="45"/>
    </row>
    <row r="2362" spans="2:3" x14ac:dyDescent="0.25">
      <c r="B2362" s="45"/>
      <c r="C2362" s="45"/>
    </row>
    <row r="2363" spans="2:3" x14ac:dyDescent="0.25">
      <c r="B2363" s="45"/>
      <c r="C2363" s="45"/>
    </row>
    <row r="2364" spans="2:3" x14ac:dyDescent="0.25">
      <c r="B2364" s="45"/>
      <c r="C2364" s="45"/>
    </row>
    <row r="2365" spans="2:3" x14ac:dyDescent="0.25">
      <c r="B2365" s="45"/>
      <c r="C2365" s="45"/>
    </row>
    <row r="2366" spans="2:3" x14ac:dyDescent="0.25">
      <c r="B2366" s="45"/>
      <c r="C2366" s="45"/>
    </row>
    <row r="2367" spans="2:3" x14ac:dyDescent="0.25">
      <c r="B2367" s="45"/>
      <c r="C2367" s="45"/>
    </row>
    <row r="2368" spans="2:3" x14ac:dyDescent="0.25">
      <c r="B2368" s="45"/>
      <c r="C2368" s="45"/>
    </row>
    <row r="2369" spans="2:3" x14ac:dyDescent="0.25">
      <c r="B2369" s="45"/>
      <c r="C2369" s="45"/>
    </row>
    <row r="2370" spans="2:3" x14ac:dyDescent="0.25">
      <c r="B2370" s="45"/>
      <c r="C2370" s="45"/>
    </row>
    <row r="2371" spans="2:3" x14ac:dyDescent="0.25">
      <c r="B2371" s="45"/>
      <c r="C2371" s="45"/>
    </row>
    <row r="2372" spans="2:3" x14ac:dyDescent="0.25">
      <c r="B2372" s="45"/>
      <c r="C2372" s="45"/>
    </row>
    <row r="2373" spans="2:3" x14ac:dyDescent="0.25">
      <c r="B2373" s="45"/>
      <c r="C2373" s="45"/>
    </row>
    <row r="2374" spans="2:3" x14ac:dyDescent="0.25">
      <c r="B2374" s="45"/>
      <c r="C2374" s="45"/>
    </row>
    <row r="2375" spans="2:3" x14ac:dyDescent="0.25">
      <c r="B2375" s="45"/>
      <c r="C2375" s="45"/>
    </row>
    <row r="2376" spans="2:3" x14ac:dyDescent="0.25">
      <c r="B2376" s="45"/>
      <c r="C2376" s="45"/>
    </row>
    <row r="2377" spans="2:3" x14ac:dyDescent="0.25">
      <c r="B2377" s="45"/>
      <c r="C2377" s="45"/>
    </row>
    <row r="2378" spans="2:3" x14ac:dyDescent="0.25">
      <c r="B2378" s="45"/>
      <c r="C2378" s="45"/>
    </row>
    <row r="2379" spans="2:3" x14ac:dyDescent="0.25">
      <c r="B2379" s="45"/>
      <c r="C2379" s="45"/>
    </row>
    <row r="2380" spans="2:3" x14ac:dyDescent="0.25">
      <c r="B2380" s="45"/>
      <c r="C2380" s="45"/>
    </row>
    <row r="2381" spans="2:3" x14ac:dyDescent="0.25">
      <c r="B2381" s="45"/>
      <c r="C2381" s="45"/>
    </row>
    <row r="2382" spans="2:3" x14ac:dyDescent="0.25">
      <c r="B2382" s="45"/>
      <c r="C2382" s="45"/>
    </row>
    <row r="2383" spans="2:3" x14ac:dyDescent="0.25">
      <c r="B2383" s="45"/>
      <c r="C2383" s="45"/>
    </row>
    <row r="2384" spans="2:3" x14ac:dyDescent="0.25">
      <c r="B2384" s="45"/>
      <c r="C2384" s="45"/>
    </row>
    <row r="2385" spans="2:3" x14ac:dyDescent="0.25">
      <c r="B2385" s="45"/>
      <c r="C2385" s="45"/>
    </row>
    <row r="2386" spans="2:3" x14ac:dyDescent="0.25">
      <c r="B2386" s="45"/>
      <c r="C2386" s="45"/>
    </row>
    <row r="2387" spans="2:3" x14ac:dyDescent="0.25">
      <c r="B2387" s="45"/>
      <c r="C2387" s="45"/>
    </row>
    <row r="2388" spans="2:3" x14ac:dyDescent="0.25">
      <c r="B2388" s="45"/>
      <c r="C2388" s="45"/>
    </row>
    <row r="2389" spans="2:3" x14ac:dyDescent="0.25">
      <c r="B2389" s="45"/>
      <c r="C2389" s="45"/>
    </row>
    <row r="2390" spans="2:3" x14ac:dyDescent="0.25">
      <c r="B2390" s="45"/>
      <c r="C2390" s="45"/>
    </row>
    <row r="2391" spans="2:3" x14ac:dyDescent="0.25">
      <c r="B2391" s="45"/>
      <c r="C2391" s="45"/>
    </row>
    <row r="2392" spans="2:3" x14ac:dyDescent="0.25">
      <c r="B2392" s="45"/>
      <c r="C2392" s="45"/>
    </row>
    <row r="2393" spans="2:3" x14ac:dyDescent="0.25">
      <c r="B2393" s="45"/>
      <c r="C2393" s="45"/>
    </row>
    <row r="2394" spans="2:3" x14ac:dyDescent="0.25">
      <c r="B2394" s="45"/>
      <c r="C2394" s="45"/>
    </row>
    <row r="2395" spans="2:3" x14ac:dyDescent="0.25">
      <c r="B2395" s="45"/>
      <c r="C2395" s="45"/>
    </row>
    <row r="2396" spans="2:3" x14ac:dyDescent="0.25">
      <c r="B2396" s="45"/>
      <c r="C2396" s="45"/>
    </row>
    <row r="2397" spans="2:3" x14ac:dyDescent="0.25">
      <c r="B2397" s="45"/>
      <c r="C2397" s="45"/>
    </row>
    <row r="2398" spans="2:3" x14ac:dyDescent="0.25">
      <c r="B2398" s="45"/>
      <c r="C2398" s="45"/>
    </row>
    <row r="2399" spans="2:3" x14ac:dyDescent="0.25">
      <c r="B2399" s="45"/>
      <c r="C2399" s="45"/>
    </row>
    <row r="2400" spans="2:3" x14ac:dyDescent="0.25">
      <c r="B2400" s="45"/>
      <c r="C2400" s="45"/>
    </row>
    <row r="2401" spans="2:3" x14ac:dyDescent="0.25">
      <c r="B2401" s="45"/>
      <c r="C2401" s="45"/>
    </row>
    <row r="2402" spans="2:3" x14ac:dyDescent="0.25">
      <c r="B2402" s="45"/>
      <c r="C2402" s="45"/>
    </row>
    <row r="2403" spans="2:3" x14ac:dyDescent="0.25">
      <c r="B2403" s="45"/>
      <c r="C2403" s="45"/>
    </row>
    <row r="2404" spans="2:3" x14ac:dyDescent="0.25">
      <c r="B2404" s="45"/>
      <c r="C2404" s="45"/>
    </row>
    <row r="2405" spans="2:3" x14ac:dyDescent="0.25">
      <c r="B2405" s="45"/>
      <c r="C2405" s="45"/>
    </row>
    <row r="2406" spans="2:3" x14ac:dyDescent="0.25">
      <c r="B2406" s="45"/>
      <c r="C2406" s="45"/>
    </row>
    <row r="2407" spans="2:3" x14ac:dyDescent="0.25">
      <c r="B2407" s="45"/>
      <c r="C2407" s="45"/>
    </row>
    <row r="2408" spans="2:3" x14ac:dyDescent="0.25">
      <c r="B2408" s="45"/>
      <c r="C2408" s="45"/>
    </row>
    <row r="2409" spans="2:3" x14ac:dyDescent="0.25">
      <c r="B2409" s="45"/>
      <c r="C2409" s="45"/>
    </row>
    <row r="2410" spans="2:3" x14ac:dyDescent="0.25">
      <c r="B2410" s="45"/>
      <c r="C2410" s="45"/>
    </row>
    <row r="2411" spans="2:3" x14ac:dyDescent="0.25">
      <c r="B2411" s="45"/>
      <c r="C2411" s="45"/>
    </row>
    <row r="2412" spans="2:3" x14ac:dyDescent="0.25">
      <c r="B2412" s="45"/>
      <c r="C2412" s="45"/>
    </row>
    <row r="2413" spans="2:3" x14ac:dyDescent="0.25">
      <c r="B2413" s="45"/>
      <c r="C2413" s="45"/>
    </row>
    <row r="2414" spans="2:3" x14ac:dyDescent="0.25">
      <c r="B2414" s="45"/>
      <c r="C2414" s="45"/>
    </row>
    <row r="2415" spans="2:3" x14ac:dyDescent="0.25">
      <c r="B2415" s="45"/>
      <c r="C2415" s="45"/>
    </row>
    <row r="2416" spans="2:3" x14ac:dyDescent="0.25">
      <c r="B2416" s="45"/>
      <c r="C2416" s="45"/>
    </row>
    <row r="2417" spans="2:3" x14ac:dyDescent="0.25">
      <c r="B2417" s="45"/>
      <c r="C2417" s="45"/>
    </row>
    <row r="2418" spans="2:3" x14ac:dyDescent="0.25">
      <c r="B2418" s="45"/>
      <c r="C2418" s="45"/>
    </row>
    <row r="2419" spans="2:3" x14ac:dyDescent="0.25">
      <c r="B2419" s="45"/>
      <c r="C2419" s="45"/>
    </row>
    <row r="2420" spans="2:3" x14ac:dyDescent="0.25">
      <c r="B2420" s="45"/>
      <c r="C2420" s="45"/>
    </row>
    <row r="2421" spans="2:3" x14ac:dyDescent="0.25">
      <c r="B2421" s="45"/>
      <c r="C2421" s="45"/>
    </row>
    <row r="2422" spans="2:3" x14ac:dyDescent="0.25">
      <c r="B2422" s="45"/>
      <c r="C2422" s="45"/>
    </row>
    <row r="2423" spans="2:3" x14ac:dyDescent="0.25">
      <c r="B2423" s="45"/>
      <c r="C2423" s="45"/>
    </row>
    <row r="2424" spans="2:3" x14ac:dyDescent="0.25">
      <c r="B2424" s="45"/>
      <c r="C2424" s="45"/>
    </row>
    <row r="2425" spans="2:3" x14ac:dyDescent="0.25">
      <c r="B2425" s="45"/>
      <c r="C2425" s="45"/>
    </row>
    <row r="2426" spans="2:3" x14ac:dyDescent="0.25">
      <c r="B2426" s="45"/>
      <c r="C2426" s="45"/>
    </row>
    <row r="2427" spans="2:3" x14ac:dyDescent="0.25">
      <c r="B2427" s="45"/>
      <c r="C2427" s="45"/>
    </row>
    <row r="2428" spans="2:3" x14ac:dyDescent="0.25">
      <c r="B2428" s="45"/>
      <c r="C2428" s="45"/>
    </row>
    <row r="2429" spans="2:3" x14ac:dyDescent="0.25">
      <c r="B2429" s="45"/>
      <c r="C2429" s="45"/>
    </row>
    <row r="2430" spans="2:3" x14ac:dyDescent="0.25">
      <c r="B2430" s="45"/>
      <c r="C2430" s="45"/>
    </row>
    <row r="2431" spans="2:3" x14ac:dyDescent="0.25">
      <c r="B2431" s="45"/>
      <c r="C2431" s="45"/>
    </row>
    <row r="2432" spans="2:3" x14ac:dyDescent="0.25">
      <c r="B2432" s="45"/>
      <c r="C2432" s="45"/>
    </row>
    <row r="2433" spans="2:3" x14ac:dyDescent="0.25">
      <c r="B2433" s="45"/>
      <c r="C2433" s="45"/>
    </row>
    <row r="2434" spans="2:3" x14ac:dyDescent="0.25">
      <c r="B2434" s="45"/>
      <c r="C2434" s="45"/>
    </row>
    <row r="2435" spans="2:3" x14ac:dyDescent="0.25">
      <c r="B2435" s="45"/>
      <c r="C2435" s="45"/>
    </row>
    <row r="2436" spans="2:3" x14ac:dyDescent="0.25">
      <c r="B2436" s="45"/>
      <c r="C2436" s="45"/>
    </row>
    <row r="2437" spans="2:3" x14ac:dyDescent="0.25">
      <c r="B2437" s="45"/>
      <c r="C2437" s="45"/>
    </row>
    <row r="2438" spans="2:3" x14ac:dyDescent="0.25">
      <c r="B2438" s="45"/>
      <c r="C2438" s="45"/>
    </row>
    <row r="2439" spans="2:3" x14ac:dyDescent="0.25">
      <c r="B2439" s="45"/>
      <c r="C2439" s="45"/>
    </row>
    <row r="2440" spans="2:3" x14ac:dyDescent="0.25">
      <c r="B2440" s="45"/>
      <c r="C2440" s="45"/>
    </row>
    <row r="2441" spans="2:3" x14ac:dyDescent="0.25">
      <c r="B2441" s="45"/>
      <c r="C2441" s="45"/>
    </row>
    <row r="2442" spans="2:3" x14ac:dyDescent="0.25">
      <c r="B2442" s="45"/>
      <c r="C2442" s="45"/>
    </row>
    <row r="2443" spans="2:3" x14ac:dyDescent="0.25">
      <c r="B2443" s="45"/>
      <c r="C2443" s="45"/>
    </row>
    <row r="2444" spans="2:3" x14ac:dyDescent="0.25">
      <c r="B2444" s="45"/>
      <c r="C2444" s="45"/>
    </row>
    <row r="2445" spans="2:3" x14ac:dyDescent="0.25">
      <c r="B2445" s="45"/>
      <c r="C2445" s="45"/>
    </row>
    <row r="2446" spans="2:3" x14ac:dyDescent="0.25">
      <c r="B2446" s="45"/>
      <c r="C2446" s="45"/>
    </row>
    <row r="2447" spans="2:3" x14ac:dyDescent="0.25">
      <c r="B2447" s="45"/>
      <c r="C2447" s="45"/>
    </row>
    <row r="2448" spans="2:3" x14ac:dyDescent="0.25">
      <c r="B2448" s="45"/>
      <c r="C2448" s="45"/>
    </row>
    <row r="2449" spans="2:3" x14ac:dyDescent="0.25">
      <c r="B2449" s="45"/>
      <c r="C2449" s="45"/>
    </row>
    <row r="2450" spans="2:3" x14ac:dyDescent="0.25">
      <c r="B2450" s="45"/>
      <c r="C2450" s="45"/>
    </row>
    <row r="2451" spans="2:3" x14ac:dyDescent="0.25">
      <c r="B2451" s="45"/>
      <c r="C2451" s="45"/>
    </row>
    <row r="2452" spans="2:3" x14ac:dyDescent="0.25">
      <c r="B2452" s="45"/>
      <c r="C2452" s="45"/>
    </row>
    <row r="2453" spans="2:3" x14ac:dyDescent="0.25">
      <c r="B2453" s="45"/>
      <c r="C2453" s="45"/>
    </row>
    <row r="2454" spans="2:3" x14ac:dyDescent="0.25">
      <c r="B2454" s="45"/>
      <c r="C2454" s="45"/>
    </row>
    <row r="2455" spans="2:3" x14ac:dyDescent="0.25">
      <c r="B2455" s="45"/>
      <c r="C2455" s="45"/>
    </row>
    <row r="2456" spans="2:3" x14ac:dyDescent="0.25">
      <c r="B2456" s="45"/>
      <c r="C2456" s="45"/>
    </row>
    <row r="2457" spans="2:3" x14ac:dyDescent="0.25">
      <c r="B2457" s="45"/>
      <c r="C2457" s="45"/>
    </row>
    <row r="2458" spans="2:3" x14ac:dyDescent="0.25">
      <c r="B2458" s="45"/>
      <c r="C2458" s="45"/>
    </row>
    <row r="2459" spans="2:3" x14ac:dyDescent="0.25">
      <c r="B2459" s="45"/>
      <c r="C2459" s="45"/>
    </row>
    <row r="2460" spans="2:3" x14ac:dyDescent="0.25">
      <c r="B2460" s="45"/>
      <c r="C2460" s="45"/>
    </row>
    <row r="2461" spans="2:3" x14ac:dyDescent="0.25">
      <c r="B2461" s="45"/>
      <c r="C2461" s="45"/>
    </row>
    <row r="2462" spans="2:3" x14ac:dyDescent="0.25">
      <c r="B2462" s="45"/>
      <c r="C2462" s="45"/>
    </row>
    <row r="2463" spans="2:3" x14ac:dyDescent="0.25">
      <c r="B2463" s="45"/>
      <c r="C2463" s="45"/>
    </row>
    <row r="2464" spans="2:3" x14ac:dyDescent="0.25">
      <c r="B2464" s="45"/>
      <c r="C2464" s="45"/>
    </row>
    <row r="2465" spans="2:3" x14ac:dyDescent="0.25">
      <c r="B2465" s="45"/>
      <c r="C2465" s="45"/>
    </row>
    <row r="2466" spans="2:3" x14ac:dyDescent="0.25">
      <c r="B2466" s="45"/>
      <c r="C2466" s="45"/>
    </row>
    <row r="2467" spans="2:3" x14ac:dyDescent="0.25">
      <c r="B2467" s="45"/>
      <c r="C2467" s="45"/>
    </row>
    <row r="2468" spans="2:3" x14ac:dyDescent="0.25">
      <c r="B2468" s="45"/>
      <c r="C2468" s="45"/>
    </row>
    <row r="2469" spans="2:3" x14ac:dyDescent="0.25">
      <c r="B2469" s="45"/>
      <c r="C2469" s="45"/>
    </row>
    <row r="2470" spans="2:3" x14ac:dyDescent="0.25">
      <c r="B2470" s="45"/>
      <c r="C2470" s="45"/>
    </row>
    <row r="2471" spans="2:3" x14ac:dyDescent="0.25">
      <c r="B2471" s="45"/>
      <c r="C2471" s="45"/>
    </row>
    <row r="2472" spans="2:3" x14ac:dyDescent="0.25">
      <c r="B2472" s="45"/>
      <c r="C2472" s="45"/>
    </row>
    <row r="2473" spans="2:3" x14ac:dyDescent="0.25">
      <c r="B2473" s="45"/>
      <c r="C2473" s="45"/>
    </row>
    <row r="2474" spans="2:3" x14ac:dyDescent="0.25">
      <c r="B2474" s="45"/>
      <c r="C2474" s="45"/>
    </row>
    <row r="2475" spans="2:3" x14ac:dyDescent="0.25">
      <c r="B2475" s="45"/>
      <c r="C2475" s="45"/>
    </row>
    <row r="2476" spans="2:3" x14ac:dyDescent="0.25">
      <c r="B2476" s="45"/>
      <c r="C2476" s="45"/>
    </row>
    <row r="2477" spans="2:3" x14ac:dyDescent="0.25">
      <c r="B2477" s="45"/>
      <c r="C2477" s="45"/>
    </row>
    <row r="2478" spans="2:3" x14ac:dyDescent="0.25">
      <c r="B2478" s="45"/>
      <c r="C2478" s="45"/>
    </row>
    <row r="2479" spans="2:3" x14ac:dyDescent="0.25">
      <c r="B2479" s="45"/>
      <c r="C2479" s="45"/>
    </row>
    <row r="2480" spans="2:3" x14ac:dyDescent="0.25">
      <c r="B2480" s="45"/>
      <c r="C2480" s="45"/>
    </row>
    <row r="2481" spans="2:3" x14ac:dyDescent="0.25">
      <c r="B2481" s="45"/>
      <c r="C2481" s="45"/>
    </row>
    <row r="2482" spans="2:3" x14ac:dyDescent="0.25">
      <c r="B2482" s="45"/>
      <c r="C2482" s="45"/>
    </row>
    <row r="2483" spans="2:3" x14ac:dyDescent="0.25">
      <c r="B2483" s="45"/>
      <c r="C2483" s="45"/>
    </row>
    <row r="2484" spans="2:3" x14ac:dyDescent="0.25">
      <c r="B2484" s="45"/>
      <c r="C2484" s="45"/>
    </row>
    <row r="2485" spans="2:3" x14ac:dyDescent="0.25">
      <c r="B2485" s="45"/>
      <c r="C2485" s="45"/>
    </row>
    <row r="2486" spans="2:3" x14ac:dyDescent="0.25">
      <c r="B2486" s="45"/>
      <c r="C2486" s="45"/>
    </row>
    <row r="2487" spans="2:3" x14ac:dyDescent="0.25">
      <c r="B2487" s="45"/>
      <c r="C2487" s="45"/>
    </row>
    <row r="2488" spans="2:3" x14ac:dyDescent="0.25">
      <c r="B2488" s="45"/>
      <c r="C2488" s="45"/>
    </row>
    <row r="2489" spans="2:3" x14ac:dyDescent="0.25">
      <c r="B2489" s="45"/>
      <c r="C2489" s="45"/>
    </row>
    <row r="2490" spans="2:3" x14ac:dyDescent="0.25">
      <c r="B2490" s="45"/>
      <c r="C2490" s="45"/>
    </row>
    <row r="2491" spans="2:3" x14ac:dyDescent="0.25">
      <c r="B2491" s="45"/>
      <c r="C2491" s="45"/>
    </row>
    <row r="2492" spans="2:3" x14ac:dyDescent="0.25">
      <c r="B2492" s="45"/>
      <c r="C2492" s="45"/>
    </row>
    <row r="2493" spans="2:3" x14ac:dyDescent="0.25">
      <c r="B2493" s="45"/>
      <c r="C2493" s="45"/>
    </row>
    <row r="2494" spans="2:3" x14ac:dyDescent="0.25">
      <c r="B2494" s="45"/>
      <c r="C2494" s="45"/>
    </row>
    <row r="2495" spans="2:3" x14ac:dyDescent="0.25">
      <c r="B2495" s="45"/>
      <c r="C2495" s="45"/>
    </row>
    <row r="2496" spans="2:3" x14ac:dyDescent="0.25">
      <c r="B2496" s="45"/>
      <c r="C2496" s="45"/>
    </row>
    <row r="2497" spans="2:3" x14ac:dyDescent="0.25">
      <c r="B2497" s="45"/>
      <c r="C2497" s="45"/>
    </row>
    <row r="2498" spans="2:3" x14ac:dyDescent="0.25">
      <c r="B2498" s="45"/>
      <c r="C2498" s="45"/>
    </row>
    <row r="2499" spans="2:3" x14ac:dyDescent="0.25">
      <c r="B2499" s="45"/>
      <c r="C2499" s="45"/>
    </row>
    <row r="2500" spans="2:3" x14ac:dyDescent="0.25">
      <c r="B2500" s="45"/>
      <c r="C2500" s="45"/>
    </row>
    <row r="2501" spans="2:3" x14ac:dyDescent="0.25">
      <c r="B2501" s="45"/>
      <c r="C2501" s="45"/>
    </row>
    <row r="2502" spans="2:3" x14ac:dyDescent="0.25">
      <c r="B2502" s="45"/>
      <c r="C2502" s="45"/>
    </row>
    <row r="2503" spans="2:3" x14ac:dyDescent="0.25">
      <c r="B2503" s="45"/>
      <c r="C2503" s="45"/>
    </row>
    <row r="2504" spans="2:3" x14ac:dyDescent="0.25">
      <c r="B2504" s="45"/>
      <c r="C2504" s="45"/>
    </row>
    <row r="2505" spans="2:3" x14ac:dyDescent="0.25">
      <c r="B2505" s="45"/>
      <c r="C2505" s="45"/>
    </row>
    <row r="2506" spans="2:3" x14ac:dyDescent="0.25">
      <c r="B2506" s="45"/>
      <c r="C2506" s="45"/>
    </row>
    <row r="2507" spans="2:3" x14ac:dyDescent="0.25">
      <c r="B2507" s="45"/>
      <c r="C2507" s="45"/>
    </row>
    <row r="2508" spans="2:3" x14ac:dyDescent="0.25">
      <c r="B2508" s="45"/>
      <c r="C2508" s="45"/>
    </row>
    <row r="2509" spans="2:3" x14ac:dyDescent="0.25">
      <c r="B2509" s="45"/>
      <c r="C2509" s="45"/>
    </row>
    <row r="2510" spans="2:3" x14ac:dyDescent="0.25">
      <c r="B2510" s="45"/>
      <c r="C2510" s="45"/>
    </row>
    <row r="2511" spans="2:3" x14ac:dyDescent="0.25">
      <c r="B2511" s="45"/>
      <c r="C2511" s="45"/>
    </row>
    <row r="2512" spans="2:3" x14ac:dyDescent="0.25">
      <c r="B2512" s="45"/>
      <c r="C2512" s="45"/>
    </row>
    <row r="2513" spans="2:3" x14ac:dyDescent="0.25">
      <c r="B2513" s="45"/>
      <c r="C2513" s="45"/>
    </row>
    <row r="2514" spans="2:3" x14ac:dyDescent="0.25">
      <c r="B2514" s="45"/>
      <c r="C2514" s="45"/>
    </row>
    <row r="2515" spans="2:3" x14ac:dyDescent="0.25">
      <c r="B2515" s="45"/>
      <c r="C2515" s="45"/>
    </row>
    <row r="2516" spans="2:3" x14ac:dyDescent="0.25">
      <c r="B2516" s="45"/>
      <c r="C2516" s="45"/>
    </row>
    <row r="2517" spans="2:3" x14ac:dyDescent="0.25">
      <c r="B2517" s="45"/>
      <c r="C2517" s="45"/>
    </row>
    <row r="2518" spans="2:3" x14ac:dyDescent="0.25">
      <c r="B2518" s="45"/>
      <c r="C2518" s="45"/>
    </row>
    <row r="2519" spans="2:3" x14ac:dyDescent="0.25">
      <c r="B2519" s="45"/>
      <c r="C2519" s="45"/>
    </row>
    <row r="2520" spans="2:3" x14ac:dyDescent="0.25">
      <c r="B2520" s="45"/>
      <c r="C2520" s="45"/>
    </row>
    <row r="2521" spans="2:3" x14ac:dyDescent="0.25">
      <c r="B2521" s="45"/>
      <c r="C2521" s="45"/>
    </row>
    <row r="2522" spans="2:3" x14ac:dyDescent="0.25">
      <c r="B2522" s="45"/>
      <c r="C2522" s="45"/>
    </row>
    <row r="2523" spans="2:3" x14ac:dyDescent="0.25">
      <c r="B2523" s="45"/>
      <c r="C2523" s="45"/>
    </row>
    <row r="2524" spans="2:3" x14ac:dyDescent="0.25">
      <c r="B2524" s="45"/>
      <c r="C2524" s="45"/>
    </row>
    <row r="2525" spans="2:3" x14ac:dyDescent="0.25">
      <c r="B2525" s="45"/>
      <c r="C2525" s="45"/>
    </row>
    <row r="2526" spans="2:3" x14ac:dyDescent="0.25">
      <c r="B2526" s="45"/>
      <c r="C2526" s="45"/>
    </row>
    <row r="2527" spans="2:3" x14ac:dyDescent="0.25">
      <c r="B2527" s="45"/>
      <c r="C2527" s="45"/>
    </row>
    <row r="2528" spans="2:3" x14ac:dyDescent="0.25">
      <c r="B2528" s="45"/>
      <c r="C2528" s="45"/>
    </row>
    <row r="2529" spans="2:3" x14ac:dyDescent="0.25">
      <c r="B2529" s="45"/>
      <c r="C2529" s="45"/>
    </row>
    <row r="2530" spans="2:3" x14ac:dyDescent="0.25">
      <c r="B2530" s="45"/>
      <c r="C2530" s="45"/>
    </row>
    <row r="2531" spans="2:3" x14ac:dyDescent="0.25">
      <c r="B2531" s="45"/>
      <c r="C2531" s="45"/>
    </row>
    <row r="2532" spans="2:3" x14ac:dyDescent="0.25">
      <c r="B2532" s="45"/>
      <c r="C2532" s="45"/>
    </row>
    <row r="2533" spans="2:3" x14ac:dyDescent="0.25">
      <c r="B2533" s="45"/>
      <c r="C2533" s="45"/>
    </row>
    <row r="2534" spans="2:3" x14ac:dyDescent="0.25">
      <c r="B2534" s="45"/>
      <c r="C2534" s="45"/>
    </row>
    <row r="2535" spans="2:3" x14ac:dyDescent="0.25">
      <c r="B2535" s="45"/>
      <c r="C2535" s="45"/>
    </row>
    <row r="2536" spans="2:3" x14ac:dyDescent="0.25">
      <c r="B2536" s="45"/>
      <c r="C2536" s="45"/>
    </row>
    <row r="2537" spans="2:3" x14ac:dyDescent="0.25">
      <c r="B2537" s="45"/>
      <c r="C2537" s="45"/>
    </row>
    <row r="2538" spans="2:3" x14ac:dyDescent="0.25">
      <c r="B2538" s="45"/>
      <c r="C2538" s="45"/>
    </row>
    <row r="2539" spans="2:3" x14ac:dyDescent="0.25">
      <c r="B2539" s="45"/>
      <c r="C2539" s="45"/>
    </row>
    <row r="2540" spans="2:3" x14ac:dyDescent="0.25">
      <c r="B2540" s="45"/>
      <c r="C2540" s="45"/>
    </row>
    <row r="2541" spans="2:3" x14ac:dyDescent="0.25">
      <c r="B2541" s="45"/>
      <c r="C2541" s="45"/>
    </row>
    <row r="2542" spans="2:3" x14ac:dyDescent="0.25">
      <c r="B2542" s="45"/>
      <c r="C2542" s="45"/>
    </row>
    <row r="2543" spans="2:3" x14ac:dyDescent="0.25">
      <c r="B2543" s="45"/>
      <c r="C2543" s="45"/>
    </row>
    <row r="2544" spans="2:3" x14ac:dyDescent="0.25">
      <c r="B2544" s="45"/>
      <c r="C2544" s="45"/>
    </row>
    <row r="2545" spans="2:3" x14ac:dyDescent="0.25">
      <c r="B2545" s="45"/>
      <c r="C2545" s="45"/>
    </row>
    <row r="2546" spans="2:3" x14ac:dyDescent="0.25">
      <c r="B2546" s="45"/>
      <c r="C2546" s="45"/>
    </row>
    <row r="2547" spans="2:3" x14ac:dyDescent="0.25">
      <c r="B2547" s="45"/>
      <c r="C2547" s="45"/>
    </row>
    <row r="2548" spans="2:3" x14ac:dyDescent="0.25">
      <c r="B2548" s="45"/>
      <c r="C2548" s="45"/>
    </row>
    <row r="2549" spans="2:3" x14ac:dyDescent="0.25">
      <c r="B2549" s="45"/>
      <c r="C2549" s="45"/>
    </row>
    <row r="2550" spans="2:3" x14ac:dyDescent="0.25">
      <c r="B2550" s="45"/>
      <c r="C2550" s="45"/>
    </row>
    <row r="2551" spans="2:3" x14ac:dyDescent="0.25">
      <c r="B2551" s="45"/>
      <c r="C2551" s="45"/>
    </row>
    <row r="2552" spans="2:3" x14ac:dyDescent="0.25">
      <c r="B2552" s="45"/>
      <c r="C2552" s="45"/>
    </row>
    <row r="2553" spans="2:3" x14ac:dyDescent="0.25">
      <c r="B2553" s="45"/>
      <c r="C2553" s="45"/>
    </row>
    <row r="2554" spans="2:3" x14ac:dyDescent="0.25">
      <c r="B2554" s="45"/>
      <c r="C2554" s="45"/>
    </row>
    <row r="2555" spans="2:3" x14ac:dyDescent="0.25">
      <c r="B2555" s="45"/>
      <c r="C2555" s="45"/>
    </row>
    <row r="2556" spans="2:3" x14ac:dyDescent="0.25">
      <c r="B2556" s="45"/>
      <c r="C2556" s="45"/>
    </row>
    <row r="2557" spans="2:3" x14ac:dyDescent="0.25">
      <c r="B2557" s="45"/>
      <c r="C2557" s="45"/>
    </row>
    <row r="2558" spans="2:3" x14ac:dyDescent="0.25">
      <c r="B2558" s="45"/>
      <c r="C2558" s="45"/>
    </row>
    <row r="2559" spans="2:3" x14ac:dyDescent="0.25">
      <c r="B2559" s="45"/>
      <c r="C2559" s="45"/>
    </row>
    <row r="2560" spans="2:3" x14ac:dyDescent="0.25">
      <c r="B2560" s="45"/>
      <c r="C2560" s="45"/>
    </row>
    <row r="2561" spans="2:3" x14ac:dyDescent="0.25">
      <c r="B2561" s="45"/>
      <c r="C2561" s="45"/>
    </row>
    <row r="2562" spans="2:3" x14ac:dyDescent="0.25">
      <c r="B2562" s="45"/>
      <c r="C2562" s="45"/>
    </row>
    <row r="2563" spans="2:3" x14ac:dyDescent="0.25">
      <c r="B2563" s="45"/>
      <c r="C2563" s="45"/>
    </row>
    <row r="2564" spans="2:3" x14ac:dyDescent="0.25">
      <c r="B2564" s="45"/>
      <c r="C2564" s="45"/>
    </row>
    <row r="2565" spans="2:3" x14ac:dyDescent="0.25">
      <c r="B2565" s="45"/>
      <c r="C2565" s="45"/>
    </row>
    <row r="2566" spans="2:3" x14ac:dyDescent="0.25">
      <c r="B2566" s="45"/>
      <c r="C2566" s="45"/>
    </row>
    <row r="2567" spans="2:3" x14ac:dyDescent="0.25">
      <c r="B2567" s="45"/>
      <c r="C2567" s="45"/>
    </row>
    <row r="2568" spans="2:3" x14ac:dyDescent="0.25">
      <c r="B2568" s="45"/>
      <c r="C2568" s="45"/>
    </row>
    <row r="2569" spans="2:3" x14ac:dyDescent="0.25">
      <c r="B2569" s="45"/>
      <c r="C2569" s="45"/>
    </row>
    <row r="2570" spans="2:3" x14ac:dyDescent="0.25">
      <c r="B2570" s="45"/>
      <c r="C2570" s="45"/>
    </row>
    <row r="2571" spans="2:3" x14ac:dyDescent="0.25">
      <c r="B2571" s="45"/>
      <c r="C2571" s="45"/>
    </row>
    <row r="2572" spans="2:3" x14ac:dyDescent="0.25">
      <c r="B2572" s="45"/>
      <c r="C2572" s="45"/>
    </row>
    <row r="2573" spans="2:3" x14ac:dyDescent="0.25">
      <c r="B2573" s="45"/>
      <c r="C2573" s="45"/>
    </row>
    <row r="2574" spans="2:3" x14ac:dyDescent="0.25">
      <c r="B2574" s="45"/>
      <c r="C2574" s="45"/>
    </row>
    <row r="2575" spans="2:3" x14ac:dyDescent="0.25">
      <c r="B2575" s="45"/>
      <c r="C2575" s="45"/>
    </row>
    <row r="2576" spans="2:3" x14ac:dyDescent="0.25">
      <c r="B2576" s="45"/>
      <c r="C2576" s="45"/>
    </row>
    <row r="2577" spans="2:3" x14ac:dyDescent="0.25">
      <c r="B2577" s="45"/>
      <c r="C2577" s="45"/>
    </row>
    <row r="2578" spans="2:3" x14ac:dyDescent="0.25">
      <c r="B2578" s="45"/>
      <c r="C2578" s="45"/>
    </row>
    <row r="2579" spans="2:3" x14ac:dyDescent="0.25">
      <c r="B2579" s="45"/>
      <c r="C2579" s="45"/>
    </row>
    <row r="2580" spans="2:3" x14ac:dyDescent="0.25">
      <c r="B2580" s="45"/>
      <c r="C2580" s="45"/>
    </row>
    <row r="2581" spans="2:3" x14ac:dyDescent="0.25">
      <c r="B2581" s="45"/>
      <c r="C2581" s="45"/>
    </row>
    <row r="2582" spans="2:3" x14ac:dyDescent="0.25">
      <c r="B2582" s="45"/>
      <c r="C2582" s="45"/>
    </row>
    <row r="2583" spans="2:3" x14ac:dyDescent="0.25">
      <c r="B2583" s="45"/>
      <c r="C2583" s="45"/>
    </row>
    <row r="2584" spans="2:3" x14ac:dyDescent="0.25">
      <c r="B2584" s="45"/>
      <c r="C2584" s="45"/>
    </row>
    <row r="2585" spans="2:3" x14ac:dyDescent="0.25">
      <c r="B2585" s="45"/>
      <c r="C2585" s="45"/>
    </row>
    <row r="2586" spans="2:3" x14ac:dyDescent="0.25">
      <c r="B2586" s="45"/>
      <c r="C2586" s="45"/>
    </row>
    <row r="2587" spans="2:3" x14ac:dyDescent="0.25">
      <c r="B2587" s="45"/>
      <c r="C2587" s="45"/>
    </row>
    <row r="2588" spans="2:3" x14ac:dyDescent="0.25">
      <c r="B2588" s="45"/>
      <c r="C2588" s="45"/>
    </row>
    <row r="2589" spans="2:3" x14ac:dyDescent="0.25">
      <c r="B2589" s="45"/>
      <c r="C2589" s="45"/>
    </row>
    <row r="2590" spans="2:3" x14ac:dyDescent="0.25">
      <c r="B2590" s="45"/>
      <c r="C2590" s="45"/>
    </row>
    <row r="2591" spans="2:3" x14ac:dyDescent="0.25">
      <c r="B2591" s="45"/>
      <c r="C2591" s="45"/>
    </row>
    <row r="2592" spans="2:3" x14ac:dyDescent="0.25">
      <c r="B2592" s="45"/>
      <c r="C2592" s="45"/>
    </row>
    <row r="2593" spans="2:3" x14ac:dyDescent="0.25">
      <c r="B2593" s="45"/>
      <c r="C2593" s="45"/>
    </row>
    <row r="2594" spans="2:3" x14ac:dyDescent="0.25">
      <c r="B2594" s="45"/>
      <c r="C2594" s="45"/>
    </row>
    <row r="2595" spans="2:3" x14ac:dyDescent="0.25">
      <c r="B2595" s="45"/>
      <c r="C2595" s="45"/>
    </row>
    <row r="2596" spans="2:3" x14ac:dyDescent="0.25">
      <c r="B2596" s="45"/>
      <c r="C2596" s="45"/>
    </row>
    <row r="2597" spans="2:3" x14ac:dyDescent="0.25">
      <c r="B2597" s="45"/>
      <c r="C2597" s="45"/>
    </row>
    <row r="2598" spans="2:3" x14ac:dyDescent="0.25">
      <c r="B2598" s="45"/>
      <c r="C2598" s="45"/>
    </row>
    <row r="2599" spans="2:3" x14ac:dyDescent="0.25">
      <c r="B2599" s="45"/>
      <c r="C2599" s="45"/>
    </row>
    <row r="2600" spans="2:3" x14ac:dyDescent="0.25">
      <c r="B2600" s="45"/>
      <c r="C2600" s="45"/>
    </row>
    <row r="2601" spans="2:3" x14ac:dyDescent="0.25">
      <c r="B2601" s="45"/>
      <c r="C2601" s="45"/>
    </row>
    <row r="2602" spans="2:3" x14ac:dyDescent="0.25">
      <c r="B2602" s="45"/>
      <c r="C2602" s="45"/>
    </row>
    <row r="2603" spans="2:3" x14ac:dyDescent="0.25">
      <c r="B2603" s="45"/>
      <c r="C2603" s="45"/>
    </row>
    <row r="2604" spans="2:3" x14ac:dyDescent="0.25">
      <c r="B2604" s="45"/>
      <c r="C2604" s="45"/>
    </row>
    <row r="2605" spans="2:3" x14ac:dyDescent="0.25">
      <c r="B2605" s="45"/>
      <c r="C2605" s="45"/>
    </row>
    <row r="2606" spans="2:3" x14ac:dyDescent="0.25">
      <c r="B2606" s="45"/>
      <c r="C2606" s="45"/>
    </row>
    <row r="2607" spans="2:3" x14ac:dyDescent="0.25">
      <c r="B2607" s="45"/>
      <c r="C2607" s="45"/>
    </row>
    <row r="2608" spans="2:3" x14ac:dyDescent="0.25">
      <c r="B2608" s="45"/>
      <c r="C2608" s="45"/>
    </row>
    <row r="2609" spans="2:3" x14ac:dyDescent="0.25">
      <c r="B2609" s="45"/>
      <c r="C2609" s="45"/>
    </row>
    <row r="2610" spans="2:3" x14ac:dyDescent="0.25">
      <c r="B2610" s="45"/>
      <c r="C2610" s="45"/>
    </row>
    <row r="2611" spans="2:3" x14ac:dyDescent="0.25">
      <c r="B2611" s="45"/>
      <c r="C2611" s="45"/>
    </row>
    <row r="2612" spans="2:3" x14ac:dyDescent="0.25">
      <c r="B2612" s="45"/>
      <c r="C2612" s="45"/>
    </row>
    <row r="2613" spans="2:3" x14ac:dyDescent="0.25">
      <c r="B2613" s="45"/>
      <c r="C2613" s="45"/>
    </row>
    <row r="2614" spans="2:3" x14ac:dyDescent="0.25">
      <c r="B2614" s="45"/>
      <c r="C2614" s="45"/>
    </row>
    <row r="2615" spans="2:3" x14ac:dyDescent="0.25">
      <c r="B2615" s="45"/>
      <c r="C2615" s="45"/>
    </row>
    <row r="2616" spans="2:3" x14ac:dyDescent="0.25">
      <c r="B2616" s="45"/>
      <c r="C2616" s="45"/>
    </row>
    <row r="2617" spans="2:3" x14ac:dyDescent="0.25">
      <c r="B2617" s="45"/>
      <c r="C2617" s="45"/>
    </row>
    <row r="2618" spans="2:3" x14ac:dyDescent="0.25">
      <c r="B2618" s="45"/>
      <c r="C2618" s="45"/>
    </row>
    <row r="2619" spans="2:3" x14ac:dyDescent="0.25">
      <c r="B2619" s="45"/>
      <c r="C2619" s="45"/>
    </row>
    <row r="2620" spans="2:3" x14ac:dyDescent="0.25">
      <c r="B2620" s="45"/>
      <c r="C2620" s="45"/>
    </row>
    <row r="2621" spans="2:3" x14ac:dyDescent="0.25">
      <c r="B2621" s="45"/>
      <c r="C2621" s="45"/>
    </row>
    <row r="2622" spans="2:3" x14ac:dyDescent="0.25">
      <c r="B2622" s="45"/>
      <c r="C2622" s="45"/>
    </row>
    <row r="2623" spans="2:3" x14ac:dyDescent="0.25">
      <c r="B2623" s="45"/>
      <c r="C2623" s="45"/>
    </row>
    <row r="2624" spans="2:3" x14ac:dyDescent="0.25">
      <c r="B2624" s="45"/>
      <c r="C2624" s="45"/>
    </row>
    <row r="2625" spans="2:3" x14ac:dyDescent="0.25">
      <c r="B2625" s="45"/>
      <c r="C2625" s="45"/>
    </row>
    <row r="2626" spans="2:3" x14ac:dyDescent="0.25">
      <c r="B2626" s="45"/>
      <c r="C2626" s="45"/>
    </row>
    <row r="2627" spans="2:3" x14ac:dyDescent="0.25">
      <c r="B2627" s="45"/>
      <c r="C2627" s="45"/>
    </row>
    <row r="2628" spans="2:3" x14ac:dyDescent="0.25">
      <c r="B2628" s="45"/>
      <c r="C2628" s="45"/>
    </row>
    <row r="2629" spans="2:3" x14ac:dyDescent="0.25">
      <c r="B2629" s="45"/>
      <c r="C2629" s="45"/>
    </row>
    <row r="2630" spans="2:3" x14ac:dyDescent="0.25">
      <c r="B2630" s="45"/>
      <c r="C2630" s="45"/>
    </row>
    <row r="2631" spans="2:3" x14ac:dyDescent="0.25">
      <c r="B2631" s="45"/>
      <c r="C2631" s="45"/>
    </row>
    <row r="2632" spans="2:3" x14ac:dyDescent="0.25">
      <c r="B2632" s="45"/>
      <c r="C2632" s="45"/>
    </row>
    <row r="2633" spans="2:3" x14ac:dyDescent="0.25">
      <c r="B2633" s="45"/>
      <c r="C2633" s="45"/>
    </row>
    <row r="2634" spans="2:3" x14ac:dyDescent="0.25">
      <c r="B2634" s="45"/>
      <c r="C2634" s="45"/>
    </row>
    <row r="2635" spans="2:3" x14ac:dyDescent="0.25">
      <c r="B2635" s="45"/>
      <c r="C2635" s="45"/>
    </row>
    <row r="2636" spans="2:3" x14ac:dyDescent="0.25">
      <c r="B2636" s="45"/>
      <c r="C2636" s="45"/>
    </row>
    <row r="2637" spans="2:3" x14ac:dyDescent="0.25">
      <c r="B2637" s="45"/>
      <c r="C2637" s="45"/>
    </row>
    <row r="2638" spans="2:3" x14ac:dyDescent="0.25">
      <c r="B2638" s="45"/>
      <c r="C2638" s="45"/>
    </row>
    <row r="2639" spans="2:3" x14ac:dyDescent="0.25">
      <c r="B2639" s="45"/>
      <c r="C2639" s="45"/>
    </row>
    <row r="2640" spans="2:3" x14ac:dyDescent="0.25">
      <c r="B2640" s="45"/>
      <c r="C2640" s="45"/>
    </row>
    <row r="2641" spans="2:3" x14ac:dyDescent="0.25">
      <c r="B2641" s="45"/>
      <c r="C2641" s="45"/>
    </row>
    <row r="2642" spans="2:3" x14ac:dyDescent="0.25">
      <c r="B2642" s="45"/>
      <c r="C2642" s="45"/>
    </row>
    <row r="2643" spans="2:3" x14ac:dyDescent="0.25">
      <c r="B2643" s="45"/>
      <c r="C2643" s="45"/>
    </row>
    <row r="2644" spans="2:3" x14ac:dyDescent="0.25">
      <c r="B2644" s="45"/>
      <c r="C2644" s="45"/>
    </row>
    <row r="2645" spans="2:3" x14ac:dyDescent="0.25">
      <c r="B2645" s="45"/>
      <c r="C2645" s="45"/>
    </row>
    <row r="2646" spans="2:3" x14ac:dyDescent="0.25">
      <c r="B2646" s="45"/>
      <c r="C2646" s="45"/>
    </row>
    <row r="2647" spans="2:3" x14ac:dyDescent="0.25">
      <c r="B2647" s="45"/>
      <c r="C2647" s="45"/>
    </row>
    <row r="2648" spans="2:3" x14ac:dyDescent="0.25">
      <c r="B2648" s="45"/>
      <c r="C2648" s="45"/>
    </row>
    <row r="2649" spans="2:3" x14ac:dyDescent="0.25">
      <c r="B2649" s="45"/>
      <c r="C2649" s="45"/>
    </row>
    <row r="2650" spans="2:3" x14ac:dyDescent="0.25">
      <c r="B2650" s="45"/>
      <c r="C2650" s="45"/>
    </row>
    <row r="2651" spans="2:3" x14ac:dyDescent="0.25">
      <c r="B2651" s="45"/>
      <c r="C2651" s="45"/>
    </row>
    <row r="2652" spans="2:3" x14ac:dyDescent="0.25">
      <c r="B2652" s="45"/>
      <c r="C2652" s="45"/>
    </row>
    <row r="2653" spans="2:3" x14ac:dyDescent="0.25">
      <c r="B2653" s="45"/>
      <c r="C2653" s="45"/>
    </row>
    <row r="2654" spans="2:3" x14ac:dyDescent="0.25">
      <c r="B2654" s="45"/>
      <c r="C2654" s="45"/>
    </row>
    <row r="2655" spans="2:3" x14ac:dyDescent="0.25">
      <c r="B2655" s="45"/>
      <c r="C2655" s="45"/>
    </row>
    <row r="2656" spans="2:3" x14ac:dyDescent="0.25">
      <c r="B2656" s="45"/>
      <c r="C2656" s="45"/>
    </row>
    <row r="2657" spans="2:3" x14ac:dyDescent="0.25">
      <c r="B2657" s="45"/>
      <c r="C2657" s="45"/>
    </row>
    <row r="2658" spans="2:3" x14ac:dyDescent="0.25">
      <c r="B2658" s="45"/>
      <c r="C2658" s="45"/>
    </row>
    <row r="2659" spans="2:3" x14ac:dyDescent="0.25">
      <c r="B2659" s="45"/>
      <c r="C2659" s="45"/>
    </row>
    <row r="2660" spans="2:3" x14ac:dyDescent="0.25">
      <c r="B2660" s="45"/>
      <c r="C2660" s="45"/>
    </row>
    <row r="2661" spans="2:3" x14ac:dyDescent="0.25">
      <c r="B2661" s="45"/>
      <c r="C2661" s="45"/>
    </row>
    <row r="2662" spans="2:3" x14ac:dyDescent="0.25">
      <c r="B2662" s="45"/>
      <c r="C2662" s="45"/>
    </row>
    <row r="2663" spans="2:3" x14ac:dyDescent="0.25">
      <c r="B2663" s="45"/>
      <c r="C2663" s="45"/>
    </row>
    <row r="2664" spans="2:3" x14ac:dyDescent="0.25">
      <c r="B2664" s="45"/>
      <c r="C2664" s="45"/>
    </row>
    <row r="2665" spans="2:3" x14ac:dyDescent="0.25">
      <c r="B2665" s="45"/>
      <c r="C2665" s="45"/>
    </row>
    <row r="2666" spans="2:3" x14ac:dyDescent="0.25">
      <c r="B2666" s="45"/>
      <c r="C2666" s="45"/>
    </row>
    <row r="2667" spans="2:3" x14ac:dyDescent="0.25">
      <c r="B2667" s="45"/>
      <c r="C2667" s="45"/>
    </row>
    <row r="2668" spans="2:3" x14ac:dyDescent="0.25">
      <c r="B2668" s="45"/>
      <c r="C2668" s="45"/>
    </row>
    <row r="2669" spans="2:3" x14ac:dyDescent="0.25">
      <c r="B2669" s="45"/>
      <c r="C2669" s="45"/>
    </row>
    <row r="2670" spans="2:3" x14ac:dyDescent="0.25">
      <c r="B2670" s="45"/>
      <c r="C2670" s="45"/>
    </row>
    <row r="2671" spans="2:3" x14ac:dyDescent="0.25">
      <c r="B2671" s="45"/>
      <c r="C2671" s="45"/>
    </row>
    <row r="2672" spans="2:3" x14ac:dyDescent="0.25">
      <c r="B2672" s="45"/>
      <c r="C2672" s="45"/>
    </row>
    <row r="2673" spans="2:3" x14ac:dyDescent="0.25">
      <c r="B2673" s="45"/>
      <c r="C2673" s="45"/>
    </row>
    <row r="2674" spans="2:3" x14ac:dyDescent="0.25">
      <c r="B2674" s="45"/>
      <c r="C2674" s="45"/>
    </row>
    <row r="2675" spans="2:3" x14ac:dyDescent="0.25">
      <c r="B2675" s="45"/>
      <c r="C2675" s="45"/>
    </row>
    <row r="2676" spans="2:3" x14ac:dyDescent="0.25">
      <c r="B2676" s="45"/>
      <c r="C2676" s="45"/>
    </row>
    <row r="2677" spans="2:3" x14ac:dyDescent="0.25">
      <c r="B2677" s="45"/>
      <c r="C2677" s="45"/>
    </row>
    <row r="2678" spans="2:3" x14ac:dyDescent="0.25">
      <c r="B2678" s="45"/>
      <c r="C2678" s="45"/>
    </row>
    <row r="2679" spans="2:3" x14ac:dyDescent="0.25">
      <c r="B2679" s="45"/>
      <c r="C2679" s="45"/>
    </row>
    <row r="2680" spans="2:3" x14ac:dyDescent="0.25">
      <c r="B2680" s="45"/>
      <c r="C2680" s="45"/>
    </row>
    <row r="2681" spans="2:3" x14ac:dyDescent="0.25">
      <c r="B2681" s="45"/>
      <c r="C2681" s="45"/>
    </row>
    <row r="2682" spans="2:3" x14ac:dyDescent="0.25">
      <c r="B2682" s="45"/>
      <c r="C2682" s="45"/>
    </row>
    <row r="2683" spans="2:3" x14ac:dyDescent="0.25">
      <c r="B2683" s="45"/>
      <c r="C2683" s="45"/>
    </row>
    <row r="2684" spans="2:3" x14ac:dyDescent="0.25">
      <c r="B2684" s="45"/>
      <c r="C2684" s="45"/>
    </row>
    <row r="2685" spans="2:3" x14ac:dyDescent="0.25">
      <c r="B2685" s="45"/>
      <c r="C2685" s="45"/>
    </row>
    <row r="2686" spans="2:3" x14ac:dyDescent="0.25">
      <c r="B2686" s="45"/>
      <c r="C2686" s="45"/>
    </row>
    <row r="2687" spans="2:3" x14ac:dyDescent="0.25">
      <c r="B2687" s="45"/>
      <c r="C2687" s="45"/>
    </row>
    <row r="2688" spans="2:3" x14ac:dyDescent="0.25">
      <c r="B2688" s="45"/>
      <c r="C2688" s="45"/>
    </row>
    <row r="2689" spans="2:3" x14ac:dyDescent="0.25">
      <c r="B2689" s="45"/>
      <c r="C2689" s="45"/>
    </row>
    <row r="2690" spans="2:3" x14ac:dyDescent="0.25">
      <c r="B2690" s="45"/>
      <c r="C2690" s="45"/>
    </row>
    <row r="2691" spans="2:3" x14ac:dyDescent="0.25">
      <c r="B2691" s="45"/>
      <c r="C2691" s="45"/>
    </row>
    <row r="2692" spans="2:3" x14ac:dyDescent="0.25">
      <c r="B2692" s="45"/>
      <c r="C2692" s="45"/>
    </row>
    <row r="2693" spans="2:3" x14ac:dyDescent="0.25">
      <c r="B2693" s="45"/>
      <c r="C2693" s="45"/>
    </row>
    <row r="2694" spans="2:3" x14ac:dyDescent="0.25">
      <c r="B2694" s="45"/>
      <c r="C2694" s="45"/>
    </row>
    <row r="2695" spans="2:3" x14ac:dyDescent="0.25">
      <c r="B2695" s="45"/>
      <c r="C2695" s="45"/>
    </row>
    <row r="2696" spans="2:3" x14ac:dyDescent="0.25">
      <c r="B2696" s="45"/>
      <c r="C2696" s="45"/>
    </row>
    <row r="2697" spans="2:3" x14ac:dyDescent="0.25">
      <c r="B2697" s="45"/>
      <c r="C2697" s="45"/>
    </row>
    <row r="2698" spans="2:3" x14ac:dyDescent="0.25">
      <c r="B2698" s="45"/>
      <c r="C2698" s="45"/>
    </row>
    <row r="2699" spans="2:3" x14ac:dyDescent="0.25">
      <c r="B2699" s="45"/>
      <c r="C2699" s="45"/>
    </row>
    <row r="2700" spans="2:3" x14ac:dyDescent="0.25">
      <c r="B2700" s="45"/>
      <c r="C2700" s="45"/>
    </row>
    <row r="2701" spans="2:3" x14ac:dyDescent="0.25">
      <c r="B2701" s="45"/>
      <c r="C2701" s="45"/>
    </row>
    <row r="2702" spans="2:3" x14ac:dyDescent="0.25">
      <c r="B2702" s="45"/>
      <c r="C2702" s="45"/>
    </row>
    <row r="2703" spans="2:3" x14ac:dyDescent="0.25">
      <c r="B2703" s="45"/>
      <c r="C2703" s="45"/>
    </row>
    <row r="2704" spans="2:3" x14ac:dyDescent="0.25">
      <c r="B2704" s="45"/>
      <c r="C2704" s="45"/>
    </row>
    <row r="2705" spans="2:3" x14ac:dyDescent="0.25">
      <c r="B2705" s="45"/>
      <c r="C2705" s="45"/>
    </row>
    <row r="2706" spans="2:3" x14ac:dyDescent="0.25">
      <c r="B2706" s="45"/>
      <c r="C2706" s="45"/>
    </row>
    <row r="2707" spans="2:3" x14ac:dyDescent="0.25">
      <c r="B2707" s="45"/>
      <c r="C2707" s="45"/>
    </row>
    <row r="2708" spans="2:3" x14ac:dyDescent="0.25">
      <c r="B2708" s="45"/>
      <c r="C2708" s="45"/>
    </row>
    <row r="2709" spans="2:3" x14ac:dyDescent="0.25">
      <c r="B2709" s="45"/>
      <c r="C2709" s="45"/>
    </row>
    <row r="2710" spans="2:3" x14ac:dyDescent="0.25">
      <c r="B2710" s="45"/>
      <c r="C2710" s="45"/>
    </row>
    <row r="2711" spans="2:3" x14ac:dyDescent="0.25">
      <c r="B2711" s="45"/>
      <c r="C2711" s="45"/>
    </row>
    <row r="2712" spans="2:3" x14ac:dyDescent="0.25">
      <c r="B2712" s="45"/>
      <c r="C2712" s="45"/>
    </row>
    <row r="2713" spans="2:3" x14ac:dyDescent="0.25">
      <c r="B2713" s="45"/>
      <c r="C2713" s="45"/>
    </row>
    <row r="2714" spans="2:3" x14ac:dyDescent="0.25">
      <c r="B2714" s="45"/>
      <c r="C2714" s="45"/>
    </row>
    <row r="2715" spans="2:3" x14ac:dyDescent="0.25">
      <c r="B2715" s="45"/>
      <c r="C2715" s="45"/>
    </row>
    <row r="2716" spans="2:3" x14ac:dyDescent="0.25">
      <c r="B2716" s="45"/>
      <c r="C2716" s="45"/>
    </row>
    <row r="2717" spans="2:3" x14ac:dyDescent="0.25">
      <c r="B2717" s="45"/>
      <c r="C2717" s="45"/>
    </row>
    <row r="2718" spans="2:3" x14ac:dyDescent="0.25">
      <c r="B2718" s="45"/>
      <c r="C2718" s="45"/>
    </row>
    <row r="2719" spans="2:3" x14ac:dyDescent="0.25">
      <c r="B2719" s="45"/>
      <c r="C2719" s="45"/>
    </row>
    <row r="2720" spans="2:3" x14ac:dyDescent="0.25">
      <c r="B2720" s="45"/>
      <c r="C2720" s="45"/>
    </row>
    <row r="2721" spans="2:3" x14ac:dyDescent="0.25">
      <c r="B2721" s="45"/>
      <c r="C2721" s="45"/>
    </row>
    <row r="2722" spans="2:3" x14ac:dyDescent="0.25">
      <c r="B2722" s="45"/>
      <c r="C2722" s="45"/>
    </row>
    <row r="2723" spans="2:3" x14ac:dyDescent="0.25">
      <c r="B2723" s="45"/>
      <c r="C2723" s="45"/>
    </row>
    <row r="2724" spans="2:3" x14ac:dyDescent="0.25">
      <c r="B2724" s="45"/>
      <c r="C2724" s="45"/>
    </row>
    <row r="2725" spans="2:3" x14ac:dyDescent="0.25">
      <c r="B2725" s="45"/>
      <c r="C2725" s="45"/>
    </row>
    <row r="2726" spans="2:3" x14ac:dyDescent="0.25">
      <c r="B2726" s="45"/>
      <c r="C2726" s="45"/>
    </row>
    <row r="2727" spans="2:3" x14ac:dyDescent="0.25">
      <c r="B2727" s="45"/>
      <c r="C2727" s="45"/>
    </row>
    <row r="2728" spans="2:3" x14ac:dyDescent="0.25">
      <c r="B2728" s="45"/>
      <c r="C2728" s="45"/>
    </row>
    <row r="2729" spans="2:3" x14ac:dyDescent="0.25">
      <c r="B2729" s="45"/>
      <c r="C2729" s="45"/>
    </row>
    <row r="2730" spans="2:3" x14ac:dyDescent="0.25">
      <c r="B2730" s="45"/>
      <c r="C2730" s="45"/>
    </row>
    <row r="2731" spans="2:3" x14ac:dyDescent="0.25">
      <c r="B2731" s="45"/>
      <c r="C2731" s="45"/>
    </row>
    <row r="2732" spans="2:3" x14ac:dyDescent="0.25">
      <c r="B2732" s="45"/>
      <c r="C2732" s="45"/>
    </row>
    <row r="2733" spans="2:3" x14ac:dyDescent="0.25">
      <c r="B2733" s="45"/>
      <c r="C2733" s="45"/>
    </row>
    <row r="2734" spans="2:3" x14ac:dyDescent="0.25">
      <c r="B2734" s="45"/>
      <c r="C2734" s="45"/>
    </row>
    <row r="2735" spans="2:3" x14ac:dyDescent="0.25">
      <c r="B2735" s="45"/>
      <c r="C2735" s="45"/>
    </row>
    <row r="2736" spans="2:3" x14ac:dyDescent="0.25">
      <c r="B2736" s="45"/>
      <c r="C2736" s="45"/>
    </row>
    <row r="2737" spans="2:3" x14ac:dyDescent="0.25">
      <c r="B2737" s="45"/>
      <c r="C2737" s="45"/>
    </row>
    <row r="2738" spans="2:3" x14ac:dyDescent="0.25">
      <c r="B2738" s="45"/>
      <c r="C2738" s="45"/>
    </row>
    <row r="2739" spans="2:3" x14ac:dyDescent="0.25">
      <c r="B2739" s="45"/>
      <c r="C2739" s="45"/>
    </row>
    <row r="2740" spans="2:3" x14ac:dyDescent="0.25">
      <c r="B2740" s="45"/>
      <c r="C2740" s="45"/>
    </row>
    <row r="2741" spans="2:3" x14ac:dyDescent="0.25">
      <c r="B2741" s="45"/>
      <c r="C2741" s="45"/>
    </row>
    <row r="2742" spans="2:3" x14ac:dyDescent="0.25">
      <c r="B2742" s="45"/>
      <c r="C2742" s="45"/>
    </row>
    <row r="2743" spans="2:3" x14ac:dyDescent="0.25">
      <c r="B2743" s="45"/>
      <c r="C2743" s="45"/>
    </row>
    <row r="2744" spans="2:3" x14ac:dyDescent="0.25">
      <c r="B2744" s="45"/>
      <c r="C2744" s="45"/>
    </row>
    <row r="2745" spans="2:3" x14ac:dyDescent="0.25">
      <c r="B2745" s="45"/>
      <c r="C2745" s="45"/>
    </row>
    <row r="2746" spans="2:3" x14ac:dyDescent="0.25">
      <c r="B2746" s="45"/>
      <c r="C2746" s="45"/>
    </row>
    <row r="2747" spans="2:3" x14ac:dyDescent="0.25">
      <c r="B2747" s="45"/>
      <c r="C2747" s="45"/>
    </row>
    <row r="2748" spans="2:3" x14ac:dyDescent="0.25">
      <c r="B2748" s="45"/>
      <c r="C2748" s="45"/>
    </row>
    <row r="2749" spans="2:3" x14ac:dyDescent="0.25">
      <c r="B2749" s="45"/>
      <c r="C2749" s="45"/>
    </row>
    <row r="2750" spans="2:3" x14ac:dyDescent="0.25">
      <c r="B2750" s="45"/>
      <c r="C2750" s="45"/>
    </row>
    <row r="2751" spans="2:3" x14ac:dyDescent="0.25">
      <c r="B2751" s="45"/>
      <c r="C2751" s="45"/>
    </row>
    <row r="2752" spans="2:3" x14ac:dyDescent="0.25">
      <c r="B2752" s="45"/>
      <c r="C2752" s="45"/>
    </row>
    <row r="2753" spans="2:3" x14ac:dyDescent="0.25">
      <c r="B2753" s="45"/>
      <c r="C2753" s="45"/>
    </row>
    <row r="2754" spans="2:3" x14ac:dyDescent="0.25">
      <c r="B2754" s="45"/>
      <c r="C2754" s="45"/>
    </row>
    <row r="2755" spans="2:3" x14ac:dyDescent="0.25">
      <c r="B2755" s="45"/>
      <c r="C2755" s="45"/>
    </row>
    <row r="2756" spans="2:3" x14ac:dyDescent="0.25">
      <c r="B2756" s="45"/>
      <c r="C2756" s="45"/>
    </row>
    <row r="2757" spans="2:3" x14ac:dyDescent="0.25">
      <c r="B2757" s="45"/>
      <c r="C2757" s="45"/>
    </row>
    <row r="2758" spans="2:3" x14ac:dyDescent="0.25">
      <c r="B2758" s="45"/>
      <c r="C2758" s="45"/>
    </row>
    <row r="2759" spans="2:3" x14ac:dyDescent="0.25">
      <c r="B2759" s="45"/>
      <c r="C2759" s="45"/>
    </row>
    <row r="2760" spans="2:3" x14ac:dyDescent="0.25">
      <c r="B2760" s="45"/>
      <c r="C2760" s="45"/>
    </row>
    <row r="2761" spans="2:3" x14ac:dyDescent="0.25">
      <c r="B2761" s="45"/>
      <c r="C2761" s="45"/>
    </row>
    <row r="2762" spans="2:3" x14ac:dyDescent="0.25">
      <c r="B2762" s="45"/>
      <c r="C2762" s="45"/>
    </row>
    <row r="2763" spans="2:3" x14ac:dyDescent="0.25">
      <c r="B2763" s="45"/>
      <c r="C2763" s="45"/>
    </row>
    <row r="2764" spans="2:3" x14ac:dyDescent="0.25">
      <c r="B2764" s="45"/>
      <c r="C2764" s="45"/>
    </row>
    <row r="2765" spans="2:3" x14ac:dyDescent="0.25">
      <c r="B2765" s="45"/>
      <c r="C2765" s="45"/>
    </row>
    <row r="2766" spans="2:3" x14ac:dyDescent="0.25">
      <c r="B2766" s="45"/>
      <c r="C2766" s="45"/>
    </row>
    <row r="2767" spans="2:3" x14ac:dyDescent="0.25">
      <c r="B2767" s="45"/>
      <c r="C2767" s="45"/>
    </row>
    <row r="2768" spans="2:3" x14ac:dyDescent="0.25">
      <c r="B2768" s="45"/>
      <c r="C2768" s="45"/>
    </row>
    <row r="2769" spans="2:3" x14ac:dyDescent="0.25">
      <c r="B2769" s="45"/>
      <c r="C2769" s="45"/>
    </row>
    <row r="2770" spans="2:3" x14ac:dyDescent="0.25">
      <c r="B2770" s="45"/>
      <c r="C2770" s="45"/>
    </row>
    <row r="2771" spans="2:3" x14ac:dyDescent="0.25">
      <c r="B2771" s="45"/>
      <c r="C2771" s="45"/>
    </row>
    <row r="2772" spans="2:3" x14ac:dyDescent="0.25">
      <c r="B2772" s="45"/>
      <c r="C2772" s="45"/>
    </row>
    <row r="2773" spans="2:3" x14ac:dyDescent="0.25">
      <c r="B2773" s="45"/>
      <c r="C2773" s="45"/>
    </row>
    <row r="2774" spans="2:3" x14ac:dyDescent="0.25">
      <c r="B2774" s="45"/>
      <c r="C2774" s="45"/>
    </row>
    <row r="2775" spans="2:3" x14ac:dyDescent="0.25">
      <c r="B2775" s="45"/>
      <c r="C2775" s="45"/>
    </row>
    <row r="2776" spans="2:3" x14ac:dyDescent="0.25">
      <c r="B2776" s="45"/>
      <c r="C2776" s="45"/>
    </row>
    <row r="2777" spans="2:3" x14ac:dyDescent="0.25">
      <c r="B2777" s="45"/>
      <c r="C2777" s="45"/>
    </row>
    <row r="2778" spans="2:3" x14ac:dyDescent="0.25">
      <c r="B2778" s="45"/>
      <c r="C2778" s="45"/>
    </row>
    <row r="2779" spans="2:3" x14ac:dyDescent="0.25">
      <c r="B2779" s="45"/>
      <c r="C2779" s="45"/>
    </row>
    <row r="2780" spans="2:3" x14ac:dyDescent="0.25">
      <c r="B2780" s="45"/>
      <c r="C2780" s="45"/>
    </row>
    <row r="2781" spans="2:3" x14ac:dyDescent="0.25">
      <c r="B2781" s="45"/>
      <c r="C2781" s="45"/>
    </row>
    <row r="2782" spans="2:3" x14ac:dyDescent="0.25">
      <c r="B2782" s="45"/>
      <c r="C2782" s="45"/>
    </row>
    <row r="2783" spans="2:3" x14ac:dyDescent="0.25">
      <c r="B2783" s="45"/>
      <c r="C2783" s="45"/>
    </row>
    <row r="2784" spans="2:3" x14ac:dyDescent="0.25">
      <c r="B2784" s="45"/>
      <c r="C2784" s="45"/>
    </row>
    <row r="2785" spans="2:3" x14ac:dyDescent="0.25">
      <c r="B2785" s="45"/>
      <c r="C2785" s="45"/>
    </row>
    <row r="2786" spans="2:3" x14ac:dyDescent="0.25">
      <c r="B2786" s="45"/>
      <c r="C2786" s="45"/>
    </row>
    <row r="2787" spans="2:3" x14ac:dyDescent="0.25">
      <c r="B2787" s="45"/>
      <c r="C2787" s="45"/>
    </row>
    <row r="2788" spans="2:3" x14ac:dyDescent="0.25">
      <c r="B2788" s="45"/>
      <c r="C2788" s="45"/>
    </row>
    <row r="2789" spans="2:3" x14ac:dyDescent="0.25">
      <c r="B2789" s="45"/>
      <c r="C2789" s="45"/>
    </row>
    <row r="2790" spans="2:3" x14ac:dyDescent="0.25">
      <c r="B2790" s="45"/>
      <c r="C2790" s="45"/>
    </row>
    <row r="2791" spans="2:3" x14ac:dyDescent="0.25">
      <c r="B2791" s="45"/>
      <c r="C2791" s="45"/>
    </row>
    <row r="2792" spans="2:3" x14ac:dyDescent="0.25">
      <c r="B2792" s="45"/>
      <c r="C2792" s="45"/>
    </row>
    <row r="2793" spans="2:3" x14ac:dyDescent="0.25">
      <c r="B2793" s="45"/>
      <c r="C2793" s="45"/>
    </row>
    <row r="2794" spans="2:3" x14ac:dyDescent="0.25">
      <c r="B2794" s="45"/>
      <c r="C2794" s="45"/>
    </row>
    <row r="2795" spans="2:3" x14ac:dyDescent="0.25">
      <c r="B2795" s="45"/>
      <c r="C2795" s="45"/>
    </row>
    <row r="2796" spans="2:3" x14ac:dyDescent="0.25">
      <c r="B2796" s="45"/>
      <c r="C2796" s="45"/>
    </row>
    <row r="2797" spans="2:3" x14ac:dyDescent="0.25">
      <c r="B2797" s="45"/>
      <c r="C2797" s="45"/>
    </row>
    <row r="2798" spans="2:3" x14ac:dyDescent="0.25">
      <c r="B2798" s="45"/>
      <c r="C2798" s="45"/>
    </row>
    <row r="2799" spans="2:3" x14ac:dyDescent="0.25">
      <c r="B2799" s="45"/>
      <c r="C2799" s="45"/>
    </row>
    <row r="2800" spans="2:3" x14ac:dyDescent="0.25">
      <c r="B2800" s="45"/>
      <c r="C2800" s="45"/>
    </row>
    <row r="2801" spans="2:3" x14ac:dyDescent="0.25">
      <c r="B2801" s="45"/>
      <c r="C2801" s="45"/>
    </row>
    <row r="2802" spans="2:3" x14ac:dyDescent="0.25">
      <c r="B2802" s="45"/>
      <c r="C2802" s="45"/>
    </row>
    <row r="2803" spans="2:3" x14ac:dyDescent="0.25">
      <c r="B2803" s="45"/>
      <c r="C2803" s="45"/>
    </row>
    <row r="2804" spans="2:3" x14ac:dyDescent="0.25">
      <c r="B2804" s="45"/>
      <c r="C2804" s="45"/>
    </row>
    <row r="2805" spans="2:3" x14ac:dyDescent="0.25">
      <c r="B2805" s="45"/>
      <c r="C2805" s="45"/>
    </row>
    <row r="2806" spans="2:3" x14ac:dyDescent="0.25">
      <c r="B2806" s="45"/>
      <c r="C2806" s="45"/>
    </row>
    <row r="2807" spans="2:3" x14ac:dyDescent="0.25">
      <c r="B2807" s="45"/>
      <c r="C2807" s="45"/>
    </row>
    <row r="2808" spans="2:3" x14ac:dyDescent="0.25">
      <c r="B2808" s="45"/>
      <c r="C2808" s="45"/>
    </row>
    <row r="2809" spans="2:3" x14ac:dyDescent="0.25">
      <c r="B2809" s="45"/>
      <c r="C2809" s="45"/>
    </row>
    <row r="2810" spans="2:3" x14ac:dyDescent="0.25">
      <c r="B2810" s="45"/>
      <c r="C2810" s="45"/>
    </row>
    <row r="2811" spans="2:3" x14ac:dyDescent="0.25">
      <c r="B2811" s="45"/>
      <c r="C2811" s="45"/>
    </row>
    <row r="2812" spans="2:3" x14ac:dyDescent="0.25">
      <c r="B2812" s="45"/>
      <c r="C2812" s="45"/>
    </row>
    <row r="2813" spans="2:3" x14ac:dyDescent="0.25">
      <c r="B2813" s="45"/>
      <c r="C2813" s="45"/>
    </row>
    <row r="2814" spans="2:3" x14ac:dyDescent="0.25">
      <c r="B2814" s="45"/>
      <c r="C2814" s="45"/>
    </row>
    <row r="2815" spans="2:3" x14ac:dyDescent="0.25">
      <c r="B2815" s="45"/>
      <c r="C2815" s="45"/>
    </row>
    <row r="2816" spans="2:3" x14ac:dyDescent="0.25">
      <c r="B2816" s="45"/>
      <c r="C2816" s="45"/>
    </row>
    <row r="2817" spans="2:3" x14ac:dyDescent="0.25">
      <c r="B2817" s="45"/>
      <c r="C2817" s="45"/>
    </row>
    <row r="2818" spans="2:3" x14ac:dyDescent="0.25">
      <c r="B2818" s="45"/>
      <c r="C2818" s="45"/>
    </row>
    <row r="2819" spans="2:3" x14ac:dyDescent="0.25">
      <c r="B2819" s="45"/>
      <c r="C2819" s="45"/>
    </row>
    <row r="2820" spans="2:3" x14ac:dyDescent="0.25">
      <c r="B2820" s="45"/>
      <c r="C2820" s="45"/>
    </row>
    <row r="2821" spans="2:3" x14ac:dyDescent="0.25">
      <c r="B2821" s="45"/>
      <c r="C2821" s="45"/>
    </row>
    <row r="2822" spans="2:3" x14ac:dyDescent="0.25">
      <c r="B2822" s="45"/>
      <c r="C2822" s="45"/>
    </row>
    <row r="2823" spans="2:3" x14ac:dyDescent="0.25">
      <c r="B2823" s="45"/>
      <c r="C2823" s="45"/>
    </row>
    <row r="2824" spans="2:3" x14ac:dyDescent="0.25">
      <c r="B2824" s="45"/>
      <c r="C2824" s="45"/>
    </row>
    <row r="2825" spans="2:3" x14ac:dyDescent="0.25">
      <c r="B2825" s="45"/>
      <c r="C2825" s="45"/>
    </row>
    <row r="2826" spans="2:3" x14ac:dyDescent="0.25">
      <c r="B2826" s="45"/>
      <c r="C2826" s="45"/>
    </row>
    <row r="2827" spans="2:3" x14ac:dyDescent="0.25">
      <c r="B2827" s="45"/>
      <c r="C2827" s="45"/>
    </row>
    <row r="2828" spans="2:3" x14ac:dyDescent="0.25">
      <c r="B2828" s="45"/>
      <c r="C2828" s="45"/>
    </row>
    <row r="2829" spans="2:3" x14ac:dyDescent="0.25">
      <c r="B2829" s="45"/>
      <c r="C2829" s="45"/>
    </row>
    <row r="2830" spans="2:3" x14ac:dyDescent="0.25">
      <c r="B2830" s="45"/>
      <c r="C2830" s="45"/>
    </row>
    <row r="2831" spans="2:3" x14ac:dyDescent="0.25">
      <c r="B2831" s="45"/>
      <c r="C2831" s="45"/>
    </row>
    <row r="2832" spans="2:3" x14ac:dyDescent="0.25">
      <c r="B2832" s="45"/>
      <c r="C2832" s="45"/>
    </row>
    <row r="2833" spans="2:3" x14ac:dyDescent="0.25">
      <c r="B2833" s="45"/>
      <c r="C2833" s="45"/>
    </row>
    <row r="2834" spans="2:3" x14ac:dyDescent="0.25">
      <c r="B2834" s="45"/>
      <c r="C2834" s="45"/>
    </row>
    <row r="2835" spans="2:3" x14ac:dyDescent="0.25">
      <c r="B2835" s="45"/>
      <c r="C2835" s="45"/>
    </row>
    <row r="2836" spans="2:3" x14ac:dyDescent="0.25">
      <c r="B2836" s="45"/>
      <c r="C2836" s="45"/>
    </row>
    <row r="2837" spans="2:3" x14ac:dyDescent="0.25">
      <c r="B2837" s="45"/>
      <c r="C2837" s="45"/>
    </row>
    <row r="2838" spans="2:3" x14ac:dyDescent="0.25">
      <c r="B2838" s="45"/>
      <c r="C2838" s="45"/>
    </row>
    <row r="2839" spans="2:3" x14ac:dyDescent="0.25">
      <c r="B2839" s="45"/>
      <c r="C2839" s="45"/>
    </row>
    <row r="2840" spans="2:3" x14ac:dyDescent="0.25">
      <c r="B2840" s="45"/>
      <c r="C2840" s="45"/>
    </row>
    <row r="2841" spans="2:3" x14ac:dyDescent="0.25">
      <c r="B2841" s="45"/>
      <c r="C2841" s="45"/>
    </row>
    <row r="2842" spans="2:3" x14ac:dyDescent="0.25">
      <c r="B2842" s="45"/>
      <c r="C2842" s="45"/>
    </row>
    <row r="2843" spans="2:3" x14ac:dyDescent="0.25">
      <c r="B2843" s="45"/>
      <c r="C2843" s="45"/>
    </row>
    <row r="2844" spans="2:3" x14ac:dyDescent="0.25">
      <c r="B2844" s="45"/>
      <c r="C2844" s="45"/>
    </row>
    <row r="2845" spans="2:3" x14ac:dyDescent="0.25">
      <c r="B2845" s="45"/>
      <c r="C2845" s="45"/>
    </row>
    <row r="2846" spans="2:3" x14ac:dyDescent="0.25">
      <c r="B2846" s="45"/>
      <c r="C2846" s="45"/>
    </row>
    <row r="2847" spans="2:3" x14ac:dyDescent="0.25">
      <c r="B2847" s="45"/>
      <c r="C2847" s="45"/>
    </row>
    <row r="2848" spans="2:3" x14ac:dyDescent="0.25">
      <c r="B2848" s="45"/>
      <c r="C2848" s="45"/>
    </row>
    <row r="2849" spans="2:3" x14ac:dyDescent="0.25">
      <c r="B2849" s="45"/>
      <c r="C2849" s="45"/>
    </row>
    <row r="2850" spans="2:3" x14ac:dyDescent="0.25">
      <c r="B2850" s="45"/>
      <c r="C2850" s="45"/>
    </row>
    <row r="2851" spans="2:3" x14ac:dyDescent="0.25">
      <c r="B2851" s="45"/>
      <c r="C2851" s="45"/>
    </row>
    <row r="2852" spans="2:3" x14ac:dyDescent="0.25">
      <c r="B2852" s="45"/>
      <c r="C2852" s="45"/>
    </row>
    <row r="2853" spans="2:3" x14ac:dyDescent="0.25">
      <c r="B2853" s="45"/>
      <c r="C2853" s="45"/>
    </row>
    <row r="2854" spans="2:3" x14ac:dyDescent="0.25">
      <c r="B2854" s="45"/>
      <c r="C2854" s="45"/>
    </row>
    <row r="2855" spans="2:3" x14ac:dyDescent="0.25">
      <c r="B2855" s="45"/>
      <c r="C2855" s="45"/>
    </row>
    <row r="2856" spans="2:3" x14ac:dyDescent="0.25">
      <c r="B2856" s="45"/>
      <c r="C2856" s="45"/>
    </row>
    <row r="2857" spans="2:3" x14ac:dyDescent="0.25">
      <c r="B2857" s="45"/>
      <c r="C2857" s="45"/>
    </row>
    <row r="2858" spans="2:3" x14ac:dyDescent="0.25">
      <c r="B2858" s="45"/>
      <c r="C2858" s="45"/>
    </row>
    <row r="2859" spans="2:3" x14ac:dyDescent="0.25">
      <c r="B2859" s="45"/>
      <c r="C2859" s="45"/>
    </row>
    <row r="2860" spans="2:3" x14ac:dyDescent="0.25">
      <c r="B2860" s="45"/>
      <c r="C2860" s="45"/>
    </row>
    <row r="2861" spans="2:3" x14ac:dyDescent="0.25">
      <c r="B2861" s="45"/>
      <c r="C2861" s="45"/>
    </row>
    <row r="2862" spans="2:3" x14ac:dyDescent="0.25">
      <c r="B2862" s="45"/>
      <c r="C2862" s="45"/>
    </row>
    <row r="2863" spans="2:3" x14ac:dyDescent="0.25">
      <c r="B2863" s="45"/>
      <c r="C2863" s="45"/>
    </row>
    <row r="2864" spans="2:3" x14ac:dyDescent="0.25">
      <c r="B2864" s="45"/>
      <c r="C2864" s="45"/>
    </row>
    <row r="2865" spans="2:3" x14ac:dyDescent="0.25">
      <c r="B2865" s="45"/>
      <c r="C2865" s="45"/>
    </row>
    <row r="2866" spans="2:3" x14ac:dyDescent="0.25">
      <c r="B2866" s="45"/>
      <c r="C2866" s="45"/>
    </row>
    <row r="2867" spans="2:3" x14ac:dyDescent="0.25">
      <c r="B2867" s="45"/>
      <c r="C2867" s="45"/>
    </row>
    <row r="2868" spans="2:3" x14ac:dyDescent="0.25">
      <c r="B2868" s="45"/>
      <c r="C2868" s="45"/>
    </row>
    <row r="2869" spans="2:3" x14ac:dyDescent="0.25">
      <c r="B2869" s="45"/>
      <c r="C2869" s="45"/>
    </row>
    <row r="2870" spans="2:3" x14ac:dyDescent="0.25">
      <c r="B2870" s="45"/>
      <c r="C2870" s="45"/>
    </row>
    <row r="2871" spans="2:3" x14ac:dyDescent="0.25">
      <c r="B2871" s="45"/>
      <c r="C2871" s="45"/>
    </row>
    <row r="2872" spans="2:3" x14ac:dyDescent="0.25">
      <c r="B2872" s="45"/>
      <c r="C2872" s="45"/>
    </row>
    <row r="2873" spans="2:3" x14ac:dyDescent="0.25">
      <c r="B2873" s="45"/>
      <c r="C2873" s="45"/>
    </row>
    <row r="2874" spans="2:3" x14ac:dyDescent="0.25">
      <c r="B2874" s="45"/>
      <c r="C2874" s="45"/>
    </row>
    <row r="2875" spans="2:3" x14ac:dyDescent="0.25">
      <c r="B2875" s="45"/>
      <c r="C2875" s="45"/>
    </row>
    <row r="2876" spans="2:3" x14ac:dyDescent="0.25">
      <c r="B2876" s="45"/>
      <c r="C2876" s="45"/>
    </row>
    <row r="2877" spans="2:3" x14ac:dyDescent="0.25">
      <c r="B2877" s="45"/>
      <c r="C2877" s="45"/>
    </row>
    <row r="2878" spans="2:3" x14ac:dyDescent="0.25">
      <c r="B2878" s="45"/>
      <c r="C2878" s="45"/>
    </row>
    <row r="2879" spans="2:3" x14ac:dyDescent="0.25">
      <c r="B2879" s="45"/>
      <c r="C2879" s="45"/>
    </row>
    <row r="2880" spans="2:3" x14ac:dyDescent="0.25">
      <c r="B2880" s="45"/>
      <c r="C2880" s="45"/>
    </row>
    <row r="2881" spans="2:3" x14ac:dyDescent="0.25">
      <c r="B2881" s="45"/>
      <c r="C2881" s="45"/>
    </row>
    <row r="2882" spans="2:3" x14ac:dyDescent="0.25">
      <c r="B2882" s="45"/>
      <c r="C2882" s="45"/>
    </row>
    <row r="2883" spans="2:3" x14ac:dyDescent="0.25">
      <c r="B2883" s="45"/>
      <c r="C2883" s="45"/>
    </row>
    <row r="2884" spans="2:3" x14ac:dyDescent="0.25">
      <c r="B2884" s="45"/>
      <c r="C2884" s="45"/>
    </row>
    <row r="2885" spans="2:3" x14ac:dyDescent="0.25">
      <c r="B2885" s="45"/>
      <c r="C2885" s="45"/>
    </row>
    <row r="2886" spans="2:3" x14ac:dyDescent="0.25">
      <c r="B2886" s="45"/>
      <c r="C2886" s="45"/>
    </row>
    <row r="2887" spans="2:3" x14ac:dyDescent="0.25">
      <c r="B2887" s="45"/>
      <c r="C2887" s="45"/>
    </row>
    <row r="2888" spans="2:3" x14ac:dyDescent="0.25">
      <c r="B2888" s="45"/>
      <c r="C2888" s="45"/>
    </row>
    <row r="2889" spans="2:3" x14ac:dyDescent="0.25">
      <c r="B2889" s="45"/>
      <c r="C2889" s="45"/>
    </row>
    <row r="2890" spans="2:3" x14ac:dyDescent="0.25">
      <c r="B2890" s="45"/>
      <c r="C2890" s="45"/>
    </row>
    <row r="2891" spans="2:3" x14ac:dyDescent="0.25">
      <c r="B2891" s="45"/>
      <c r="C2891" s="45"/>
    </row>
    <row r="2892" spans="2:3" x14ac:dyDescent="0.25">
      <c r="B2892" s="45"/>
      <c r="C2892" s="45"/>
    </row>
    <row r="2893" spans="2:3" x14ac:dyDescent="0.25">
      <c r="B2893" s="45"/>
      <c r="C2893" s="45"/>
    </row>
    <row r="2894" spans="2:3" x14ac:dyDescent="0.25">
      <c r="B2894" s="45"/>
      <c r="C2894" s="45"/>
    </row>
    <row r="2895" spans="2:3" x14ac:dyDescent="0.25">
      <c r="B2895" s="45"/>
      <c r="C2895" s="45"/>
    </row>
    <row r="2896" spans="2:3" x14ac:dyDescent="0.25">
      <c r="B2896" s="45"/>
      <c r="C2896" s="45"/>
    </row>
    <row r="2897" spans="2:3" x14ac:dyDescent="0.25">
      <c r="B2897" s="45"/>
      <c r="C2897" s="45"/>
    </row>
    <row r="2898" spans="2:3" x14ac:dyDescent="0.25">
      <c r="B2898" s="45"/>
      <c r="C2898" s="45"/>
    </row>
    <row r="2899" spans="2:3" x14ac:dyDescent="0.25">
      <c r="B2899" s="45"/>
      <c r="C2899" s="45"/>
    </row>
    <row r="2900" spans="2:3" x14ac:dyDescent="0.25">
      <c r="B2900" s="45"/>
      <c r="C2900" s="45"/>
    </row>
    <row r="2901" spans="2:3" x14ac:dyDescent="0.25">
      <c r="B2901" s="45"/>
      <c r="C2901" s="45"/>
    </row>
    <row r="2902" spans="2:3" x14ac:dyDescent="0.25">
      <c r="B2902" s="45"/>
      <c r="C2902" s="45"/>
    </row>
    <row r="2903" spans="2:3" x14ac:dyDescent="0.25">
      <c r="B2903" s="45"/>
      <c r="C2903" s="45"/>
    </row>
    <row r="2904" spans="2:3" x14ac:dyDescent="0.25">
      <c r="B2904" s="45"/>
      <c r="C2904" s="45"/>
    </row>
    <row r="2905" spans="2:3" x14ac:dyDescent="0.25">
      <c r="B2905" s="45"/>
      <c r="C2905" s="45"/>
    </row>
    <row r="2906" spans="2:3" x14ac:dyDescent="0.25">
      <c r="B2906" s="45"/>
      <c r="C2906" s="45"/>
    </row>
    <row r="2907" spans="2:3" x14ac:dyDescent="0.25">
      <c r="B2907" s="45"/>
      <c r="C2907" s="45"/>
    </row>
    <row r="2908" spans="2:3" x14ac:dyDescent="0.25">
      <c r="B2908" s="45"/>
      <c r="C2908" s="45"/>
    </row>
    <row r="2909" spans="2:3" x14ac:dyDescent="0.25">
      <c r="B2909" s="45"/>
      <c r="C2909" s="45"/>
    </row>
    <row r="2910" spans="2:3" x14ac:dyDescent="0.25">
      <c r="B2910" s="45"/>
      <c r="C2910" s="45"/>
    </row>
    <row r="2911" spans="2:3" x14ac:dyDescent="0.25">
      <c r="B2911" s="45"/>
      <c r="C2911" s="45"/>
    </row>
    <row r="2912" spans="2:3" x14ac:dyDescent="0.25">
      <c r="B2912" s="45"/>
      <c r="C2912" s="45"/>
    </row>
    <row r="2913" spans="2:3" x14ac:dyDescent="0.25">
      <c r="B2913" s="45"/>
      <c r="C2913" s="45"/>
    </row>
    <row r="2914" spans="2:3" x14ac:dyDescent="0.25">
      <c r="B2914" s="45"/>
      <c r="C2914" s="45"/>
    </row>
    <row r="2915" spans="2:3" x14ac:dyDescent="0.25">
      <c r="B2915" s="45"/>
      <c r="C2915" s="45"/>
    </row>
    <row r="2916" spans="2:3" x14ac:dyDescent="0.25">
      <c r="B2916" s="45"/>
      <c r="C2916" s="45"/>
    </row>
    <row r="2917" spans="2:3" x14ac:dyDescent="0.25">
      <c r="B2917" s="45"/>
      <c r="C2917" s="45"/>
    </row>
    <row r="2918" spans="2:3" x14ac:dyDescent="0.25">
      <c r="B2918" s="45"/>
      <c r="C2918" s="45"/>
    </row>
    <row r="2919" spans="2:3" x14ac:dyDescent="0.25">
      <c r="B2919" s="45"/>
      <c r="C2919" s="45"/>
    </row>
    <row r="2920" spans="2:3" x14ac:dyDescent="0.25">
      <c r="B2920" s="45"/>
      <c r="C2920" s="45"/>
    </row>
    <row r="2921" spans="2:3" x14ac:dyDescent="0.25">
      <c r="B2921" s="45"/>
      <c r="C2921" s="45"/>
    </row>
    <row r="2922" spans="2:3" x14ac:dyDescent="0.25">
      <c r="B2922" s="45"/>
      <c r="C2922" s="45"/>
    </row>
    <row r="2923" spans="2:3" x14ac:dyDescent="0.25">
      <c r="B2923" s="45"/>
      <c r="C2923" s="45"/>
    </row>
    <row r="2924" spans="2:3" x14ac:dyDescent="0.25">
      <c r="B2924" s="45"/>
      <c r="C2924" s="45"/>
    </row>
    <row r="2925" spans="2:3" x14ac:dyDescent="0.25">
      <c r="B2925" s="45"/>
      <c r="C2925" s="45"/>
    </row>
    <row r="2926" spans="2:3" x14ac:dyDescent="0.25">
      <c r="B2926" s="45"/>
      <c r="C2926" s="45"/>
    </row>
    <row r="2927" spans="2:3" x14ac:dyDescent="0.25">
      <c r="B2927" s="45"/>
      <c r="C2927" s="45"/>
    </row>
    <row r="2928" spans="2:3" x14ac:dyDescent="0.25">
      <c r="B2928" s="45"/>
      <c r="C2928" s="45"/>
    </row>
    <row r="2929" spans="2:3" x14ac:dyDescent="0.25">
      <c r="B2929" s="45"/>
      <c r="C2929" s="45"/>
    </row>
    <row r="2930" spans="2:3" x14ac:dyDescent="0.25">
      <c r="B2930" s="45"/>
      <c r="C2930" s="45"/>
    </row>
    <row r="2931" spans="2:3" x14ac:dyDescent="0.25">
      <c r="B2931" s="45"/>
      <c r="C2931" s="45"/>
    </row>
    <row r="2932" spans="2:3" x14ac:dyDescent="0.25">
      <c r="B2932" s="45"/>
      <c r="C2932" s="45"/>
    </row>
    <row r="2933" spans="2:3" x14ac:dyDescent="0.25">
      <c r="B2933" s="45"/>
      <c r="C2933" s="45"/>
    </row>
    <row r="2934" spans="2:3" x14ac:dyDescent="0.25">
      <c r="B2934" s="45"/>
      <c r="C2934" s="45"/>
    </row>
    <row r="2935" spans="2:3" x14ac:dyDescent="0.25">
      <c r="B2935" s="45"/>
      <c r="C2935" s="45"/>
    </row>
    <row r="2936" spans="2:3" x14ac:dyDescent="0.25">
      <c r="B2936" s="45"/>
      <c r="C2936" s="45"/>
    </row>
    <row r="2937" spans="2:3" x14ac:dyDescent="0.25">
      <c r="B2937" s="45"/>
      <c r="C2937" s="45"/>
    </row>
    <row r="2938" spans="2:3" x14ac:dyDescent="0.25">
      <c r="B2938" s="45"/>
      <c r="C2938" s="45"/>
    </row>
    <row r="2939" spans="2:3" x14ac:dyDescent="0.25">
      <c r="B2939" s="45"/>
      <c r="C2939" s="45"/>
    </row>
    <row r="2940" spans="2:3" x14ac:dyDescent="0.25">
      <c r="B2940" s="45"/>
      <c r="C2940" s="45"/>
    </row>
    <row r="2941" spans="2:3" x14ac:dyDescent="0.25">
      <c r="B2941" s="45"/>
      <c r="C2941" s="45"/>
    </row>
    <row r="2942" spans="2:3" x14ac:dyDescent="0.25">
      <c r="B2942" s="45"/>
      <c r="C2942" s="45"/>
    </row>
    <row r="2943" spans="2:3" x14ac:dyDescent="0.25">
      <c r="B2943" s="45"/>
      <c r="C2943" s="45"/>
    </row>
    <row r="2944" spans="2:3" x14ac:dyDescent="0.25">
      <c r="B2944" s="45"/>
      <c r="C2944" s="45"/>
    </row>
    <row r="2945" spans="2:3" x14ac:dyDescent="0.25">
      <c r="B2945" s="45"/>
      <c r="C2945" s="45"/>
    </row>
    <row r="2946" spans="2:3" x14ac:dyDescent="0.25">
      <c r="B2946" s="45"/>
      <c r="C2946" s="45"/>
    </row>
    <row r="2947" spans="2:3" x14ac:dyDescent="0.25">
      <c r="B2947" s="45"/>
      <c r="C2947" s="45"/>
    </row>
    <row r="2948" spans="2:3" x14ac:dyDescent="0.25">
      <c r="B2948" s="45"/>
      <c r="C2948" s="45"/>
    </row>
    <row r="2949" spans="2:3" x14ac:dyDescent="0.25">
      <c r="B2949" s="45"/>
      <c r="C2949" s="45"/>
    </row>
    <row r="2950" spans="2:3" x14ac:dyDescent="0.25">
      <c r="B2950" s="45"/>
      <c r="C2950" s="45"/>
    </row>
    <row r="2951" spans="2:3" x14ac:dyDescent="0.25">
      <c r="B2951" s="45"/>
      <c r="C2951" s="45"/>
    </row>
    <row r="2952" spans="2:3" x14ac:dyDescent="0.25">
      <c r="B2952" s="45"/>
      <c r="C2952" s="45"/>
    </row>
    <row r="2953" spans="2:3" x14ac:dyDescent="0.25">
      <c r="B2953" s="45"/>
      <c r="C2953" s="45"/>
    </row>
    <row r="2954" spans="2:3" x14ac:dyDescent="0.25">
      <c r="B2954" s="45"/>
      <c r="C2954" s="45"/>
    </row>
    <row r="2955" spans="2:3" x14ac:dyDescent="0.25">
      <c r="B2955" s="45"/>
      <c r="C2955" s="45"/>
    </row>
    <row r="2956" spans="2:3" x14ac:dyDescent="0.25">
      <c r="B2956" s="45"/>
      <c r="C2956" s="45"/>
    </row>
    <row r="2957" spans="2:3" x14ac:dyDescent="0.25">
      <c r="B2957" s="45"/>
      <c r="C2957" s="45"/>
    </row>
    <row r="2958" spans="2:3" x14ac:dyDescent="0.25">
      <c r="B2958" s="45"/>
      <c r="C2958" s="45"/>
    </row>
    <row r="2959" spans="2:3" x14ac:dyDescent="0.25">
      <c r="B2959" s="45"/>
      <c r="C2959" s="45"/>
    </row>
    <row r="2960" spans="2:3" x14ac:dyDescent="0.25">
      <c r="B2960" s="45"/>
      <c r="C2960" s="45"/>
    </row>
    <row r="2961" spans="2:3" x14ac:dyDescent="0.25">
      <c r="B2961" s="45"/>
      <c r="C2961" s="45"/>
    </row>
    <row r="2962" spans="2:3" x14ac:dyDescent="0.25">
      <c r="B2962" s="45"/>
      <c r="C2962" s="45"/>
    </row>
    <row r="2963" spans="2:3" x14ac:dyDescent="0.25">
      <c r="B2963" s="45"/>
      <c r="C2963" s="45"/>
    </row>
    <row r="2964" spans="2:3" x14ac:dyDescent="0.25">
      <c r="B2964" s="45"/>
      <c r="C2964" s="45"/>
    </row>
    <row r="2965" spans="2:3" x14ac:dyDescent="0.25">
      <c r="B2965" s="45"/>
      <c r="C2965" s="45"/>
    </row>
    <row r="2966" spans="2:3" x14ac:dyDescent="0.25">
      <c r="B2966" s="45"/>
      <c r="C2966" s="45"/>
    </row>
    <row r="2967" spans="2:3" x14ac:dyDescent="0.25">
      <c r="B2967" s="45"/>
      <c r="C2967" s="45"/>
    </row>
    <row r="2968" spans="2:3" x14ac:dyDescent="0.25">
      <c r="B2968" s="45"/>
      <c r="C2968" s="45"/>
    </row>
    <row r="2969" spans="2:3" x14ac:dyDescent="0.25">
      <c r="B2969" s="45"/>
      <c r="C2969" s="45"/>
    </row>
    <row r="2970" spans="2:3" x14ac:dyDescent="0.25">
      <c r="B2970" s="45"/>
      <c r="C2970" s="45"/>
    </row>
    <row r="2971" spans="2:3" x14ac:dyDescent="0.25">
      <c r="B2971" s="45"/>
      <c r="C2971" s="45"/>
    </row>
    <row r="2972" spans="2:3" x14ac:dyDescent="0.25">
      <c r="B2972" s="45"/>
      <c r="C2972" s="45"/>
    </row>
    <row r="2973" spans="2:3" x14ac:dyDescent="0.25">
      <c r="B2973" s="45"/>
      <c r="C2973" s="45"/>
    </row>
    <row r="2974" spans="2:3" x14ac:dyDescent="0.25">
      <c r="B2974" s="45"/>
      <c r="C2974" s="45"/>
    </row>
    <row r="2975" spans="2:3" x14ac:dyDescent="0.25">
      <c r="B2975" s="45"/>
      <c r="C2975" s="45"/>
    </row>
    <row r="2976" spans="2:3" x14ac:dyDescent="0.25">
      <c r="B2976" s="45"/>
      <c r="C2976" s="45"/>
    </row>
    <row r="2977" spans="2:3" x14ac:dyDescent="0.25">
      <c r="B2977" s="45"/>
      <c r="C2977" s="45"/>
    </row>
    <row r="2978" spans="2:3" x14ac:dyDescent="0.25">
      <c r="B2978" s="45"/>
      <c r="C2978" s="45"/>
    </row>
    <row r="2979" spans="2:3" x14ac:dyDescent="0.25">
      <c r="B2979" s="45"/>
      <c r="C2979" s="45"/>
    </row>
    <row r="2980" spans="2:3" x14ac:dyDescent="0.25">
      <c r="B2980" s="45"/>
      <c r="C2980" s="45"/>
    </row>
    <row r="2981" spans="2:3" x14ac:dyDescent="0.25">
      <c r="B2981" s="45"/>
      <c r="C2981" s="45"/>
    </row>
    <row r="2982" spans="2:3" x14ac:dyDescent="0.25">
      <c r="B2982" s="45"/>
      <c r="C2982" s="45"/>
    </row>
    <row r="2983" spans="2:3" x14ac:dyDescent="0.25">
      <c r="B2983" s="45"/>
      <c r="C2983" s="45"/>
    </row>
    <row r="2984" spans="2:3" x14ac:dyDescent="0.25">
      <c r="B2984" s="45"/>
      <c r="C2984" s="45"/>
    </row>
    <row r="2985" spans="2:3" x14ac:dyDescent="0.25">
      <c r="B2985" s="45"/>
      <c r="C2985" s="45"/>
    </row>
    <row r="2986" spans="2:3" x14ac:dyDescent="0.25">
      <c r="B2986" s="45"/>
      <c r="C2986" s="45"/>
    </row>
    <row r="2987" spans="2:3" x14ac:dyDescent="0.25">
      <c r="B2987" s="45"/>
      <c r="C2987" s="45"/>
    </row>
    <row r="2988" spans="2:3" x14ac:dyDescent="0.25">
      <c r="B2988" s="45"/>
      <c r="C2988" s="45"/>
    </row>
    <row r="2989" spans="2:3" x14ac:dyDescent="0.25">
      <c r="B2989" s="45"/>
      <c r="C2989" s="45"/>
    </row>
    <row r="2990" spans="2:3" x14ac:dyDescent="0.25">
      <c r="B2990" s="45"/>
      <c r="C2990" s="45"/>
    </row>
    <row r="2991" spans="2:3" x14ac:dyDescent="0.25">
      <c r="B2991" s="45"/>
      <c r="C2991" s="45"/>
    </row>
    <row r="2992" spans="2:3" x14ac:dyDescent="0.25">
      <c r="B2992" s="45"/>
      <c r="C2992" s="45"/>
    </row>
    <row r="2993" spans="2:3" x14ac:dyDescent="0.25">
      <c r="B2993" s="45"/>
      <c r="C2993" s="45"/>
    </row>
    <row r="2994" spans="2:3" x14ac:dyDescent="0.25">
      <c r="B2994" s="45"/>
      <c r="C2994" s="45"/>
    </row>
    <row r="2995" spans="2:3" x14ac:dyDescent="0.25">
      <c r="B2995" s="45"/>
      <c r="C2995" s="45"/>
    </row>
    <row r="2996" spans="2:3" x14ac:dyDescent="0.25">
      <c r="B2996" s="45"/>
      <c r="C2996" s="45"/>
    </row>
    <row r="2997" spans="2:3" x14ac:dyDescent="0.25">
      <c r="B2997" s="45"/>
      <c r="C2997" s="45"/>
    </row>
    <row r="2998" spans="2:3" x14ac:dyDescent="0.25">
      <c r="B2998" s="45"/>
      <c r="C2998" s="45"/>
    </row>
    <row r="2999" spans="2:3" x14ac:dyDescent="0.25">
      <c r="B2999" s="45"/>
      <c r="C2999" s="45"/>
    </row>
    <row r="3000" spans="2:3" x14ac:dyDescent="0.25">
      <c r="B3000" s="45"/>
      <c r="C3000" s="45"/>
    </row>
    <row r="3001" spans="2:3" x14ac:dyDescent="0.25">
      <c r="B3001" s="45"/>
      <c r="C3001" s="45"/>
    </row>
    <row r="3002" spans="2:3" x14ac:dyDescent="0.25">
      <c r="B3002" s="45"/>
      <c r="C3002" s="45"/>
    </row>
    <row r="3003" spans="2:3" x14ac:dyDescent="0.25">
      <c r="B3003" s="45"/>
      <c r="C3003" s="45"/>
    </row>
    <row r="3004" spans="2:3" x14ac:dyDescent="0.25">
      <c r="B3004" s="45"/>
      <c r="C3004" s="45"/>
    </row>
    <row r="3005" spans="2:3" x14ac:dyDescent="0.25">
      <c r="B3005" s="45"/>
      <c r="C3005" s="45"/>
    </row>
    <row r="3006" spans="2:3" x14ac:dyDescent="0.25">
      <c r="B3006" s="45"/>
      <c r="C3006" s="45"/>
    </row>
    <row r="3007" spans="2:3" x14ac:dyDescent="0.25">
      <c r="B3007" s="45"/>
      <c r="C3007" s="45"/>
    </row>
    <row r="3008" spans="2:3" x14ac:dyDescent="0.25">
      <c r="B3008" s="45"/>
      <c r="C3008" s="45"/>
    </row>
    <row r="3009" spans="2:3" x14ac:dyDescent="0.25">
      <c r="B3009" s="45"/>
      <c r="C3009" s="45"/>
    </row>
    <row r="3010" spans="2:3" x14ac:dyDescent="0.25">
      <c r="B3010" s="45"/>
      <c r="C3010" s="45"/>
    </row>
    <row r="3011" spans="2:3" x14ac:dyDescent="0.25">
      <c r="B3011" s="45"/>
      <c r="C3011" s="45"/>
    </row>
    <row r="3012" spans="2:3" x14ac:dyDescent="0.25">
      <c r="B3012" s="45"/>
      <c r="C3012" s="45"/>
    </row>
    <row r="3013" spans="2:3" x14ac:dyDescent="0.25">
      <c r="B3013" s="45"/>
      <c r="C3013" s="45"/>
    </row>
    <row r="3014" spans="2:3" x14ac:dyDescent="0.25">
      <c r="B3014" s="45"/>
      <c r="C3014" s="45"/>
    </row>
    <row r="3015" spans="2:3" x14ac:dyDescent="0.25">
      <c r="B3015" s="45"/>
      <c r="C3015" s="45"/>
    </row>
    <row r="3016" spans="2:3" x14ac:dyDescent="0.25">
      <c r="B3016" s="45"/>
      <c r="C3016" s="45"/>
    </row>
    <row r="3017" spans="2:3" x14ac:dyDescent="0.25">
      <c r="B3017" s="45"/>
      <c r="C3017" s="45"/>
    </row>
    <row r="3018" spans="2:3" x14ac:dyDescent="0.25">
      <c r="B3018" s="45"/>
      <c r="C3018" s="45"/>
    </row>
    <row r="3019" spans="2:3" x14ac:dyDescent="0.25">
      <c r="B3019" s="45"/>
      <c r="C3019" s="45"/>
    </row>
    <row r="3020" spans="2:3" x14ac:dyDescent="0.25">
      <c r="B3020" s="45"/>
      <c r="C3020" s="45"/>
    </row>
    <row r="3021" spans="2:3" x14ac:dyDescent="0.25">
      <c r="B3021" s="45"/>
      <c r="C3021" s="45"/>
    </row>
    <row r="3022" spans="2:3" x14ac:dyDescent="0.25">
      <c r="B3022" s="45"/>
      <c r="C3022" s="45"/>
    </row>
    <row r="3023" spans="2:3" x14ac:dyDescent="0.25">
      <c r="B3023" s="45"/>
      <c r="C3023" s="45"/>
    </row>
    <row r="3024" spans="2:3" x14ac:dyDescent="0.25">
      <c r="B3024" s="45"/>
      <c r="C3024" s="45"/>
    </row>
    <row r="3025" spans="2:3" x14ac:dyDescent="0.25">
      <c r="B3025" s="45"/>
      <c r="C3025" s="45"/>
    </row>
    <row r="3026" spans="2:3" x14ac:dyDescent="0.25">
      <c r="B3026" s="45"/>
      <c r="C3026" s="45"/>
    </row>
    <row r="3027" spans="2:3" x14ac:dyDescent="0.25">
      <c r="B3027" s="45"/>
      <c r="C3027" s="45"/>
    </row>
    <row r="3028" spans="2:3" x14ac:dyDescent="0.25">
      <c r="B3028" s="45"/>
      <c r="C3028" s="45"/>
    </row>
    <row r="3029" spans="2:3" x14ac:dyDescent="0.25">
      <c r="B3029" s="45"/>
      <c r="C3029" s="45"/>
    </row>
    <row r="3030" spans="2:3" x14ac:dyDescent="0.25">
      <c r="B3030" s="45"/>
      <c r="C3030" s="45"/>
    </row>
    <row r="3031" spans="2:3" x14ac:dyDescent="0.25">
      <c r="B3031" s="45"/>
      <c r="C3031" s="45"/>
    </row>
    <row r="3032" spans="2:3" x14ac:dyDescent="0.25">
      <c r="B3032" s="45"/>
      <c r="C3032" s="45"/>
    </row>
    <row r="3033" spans="2:3" x14ac:dyDescent="0.25">
      <c r="B3033" s="45"/>
      <c r="C3033" s="45"/>
    </row>
    <row r="3034" spans="2:3" x14ac:dyDescent="0.25">
      <c r="B3034" s="45"/>
      <c r="C3034" s="45"/>
    </row>
    <row r="3035" spans="2:3" x14ac:dyDescent="0.25">
      <c r="B3035" s="45"/>
      <c r="C3035" s="45"/>
    </row>
    <row r="3036" spans="2:3" x14ac:dyDescent="0.25">
      <c r="B3036" s="45"/>
      <c r="C3036" s="45"/>
    </row>
    <row r="3037" spans="2:3" x14ac:dyDescent="0.25">
      <c r="B3037" s="45"/>
      <c r="C3037" s="45"/>
    </row>
    <row r="3038" spans="2:3" x14ac:dyDescent="0.25">
      <c r="B3038" s="45"/>
      <c r="C3038" s="45"/>
    </row>
    <row r="3039" spans="2:3" x14ac:dyDescent="0.25">
      <c r="B3039" s="45"/>
      <c r="C3039" s="45"/>
    </row>
    <row r="3040" spans="2:3" x14ac:dyDescent="0.25">
      <c r="B3040" s="45"/>
      <c r="C3040" s="45"/>
    </row>
    <row r="3041" spans="2:3" x14ac:dyDescent="0.25">
      <c r="B3041" s="45"/>
      <c r="C3041" s="45"/>
    </row>
    <row r="3042" spans="2:3" x14ac:dyDescent="0.25">
      <c r="B3042" s="45"/>
      <c r="C3042" s="45"/>
    </row>
    <row r="3043" spans="2:3" x14ac:dyDescent="0.25">
      <c r="B3043" s="45"/>
      <c r="C3043" s="45"/>
    </row>
    <row r="3044" spans="2:3" x14ac:dyDescent="0.25">
      <c r="B3044" s="45"/>
      <c r="C3044" s="45"/>
    </row>
    <row r="3045" spans="2:3" x14ac:dyDescent="0.25">
      <c r="B3045" s="45"/>
      <c r="C3045" s="45"/>
    </row>
    <row r="3046" spans="2:3" x14ac:dyDescent="0.25">
      <c r="B3046" s="45"/>
      <c r="C3046" s="45"/>
    </row>
    <row r="3047" spans="2:3" x14ac:dyDescent="0.25">
      <c r="B3047" s="45"/>
      <c r="C3047" s="45"/>
    </row>
    <row r="3048" spans="2:3" x14ac:dyDescent="0.25">
      <c r="B3048" s="45"/>
      <c r="C3048" s="45"/>
    </row>
    <row r="3049" spans="2:3" x14ac:dyDescent="0.25">
      <c r="B3049" s="45"/>
      <c r="C3049" s="45"/>
    </row>
    <row r="3050" spans="2:3" x14ac:dyDescent="0.25">
      <c r="B3050" s="45"/>
      <c r="C3050" s="45"/>
    </row>
    <row r="3051" spans="2:3" x14ac:dyDescent="0.25">
      <c r="B3051" s="45"/>
      <c r="C3051" s="45"/>
    </row>
    <row r="3052" spans="2:3" x14ac:dyDescent="0.25">
      <c r="B3052" s="45"/>
      <c r="C3052" s="45"/>
    </row>
    <row r="3053" spans="2:3" x14ac:dyDescent="0.25">
      <c r="B3053" s="45"/>
      <c r="C3053" s="45"/>
    </row>
    <row r="3054" spans="2:3" x14ac:dyDescent="0.25">
      <c r="B3054" s="45"/>
      <c r="C3054" s="45"/>
    </row>
    <row r="3055" spans="2:3" x14ac:dyDescent="0.25">
      <c r="B3055" s="45"/>
      <c r="C3055" s="45"/>
    </row>
    <row r="3056" spans="2:3" x14ac:dyDescent="0.25">
      <c r="B3056" s="45"/>
      <c r="C3056" s="45"/>
    </row>
    <row r="3057" spans="2:3" x14ac:dyDescent="0.25">
      <c r="B3057" s="45"/>
      <c r="C3057" s="45"/>
    </row>
    <row r="3058" spans="2:3" x14ac:dyDescent="0.25">
      <c r="B3058" s="45"/>
      <c r="C3058" s="45"/>
    </row>
    <row r="3059" spans="2:3" x14ac:dyDescent="0.25">
      <c r="B3059" s="45"/>
      <c r="C3059" s="45"/>
    </row>
    <row r="3060" spans="2:3" x14ac:dyDescent="0.25">
      <c r="B3060" s="45"/>
      <c r="C3060" s="45"/>
    </row>
    <row r="3061" spans="2:3" x14ac:dyDescent="0.25">
      <c r="B3061" s="45"/>
      <c r="C3061" s="45"/>
    </row>
    <row r="3062" spans="2:3" x14ac:dyDescent="0.25">
      <c r="B3062" s="45"/>
      <c r="C3062" s="45"/>
    </row>
    <row r="3063" spans="2:3" x14ac:dyDescent="0.25">
      <c r="B3063" s="45"/>
      <c r="C3063" s="45"/>
    </row>
    <row r="3064" spans="2:3" x14ac:dyDescent="0.25">
      <c r="B3064" s="45"/>
      <c r="C3064" s="45"/>
    </row>
    <row r="3065" spans="2:3" x14ac:dyDescent="0.25">
      <c r="B3065" s="45"/>
      <c r="C3065" s="45"/>
    </row>
    <row r="3066" spans="2:3" x14ac:dyDescent="0.25">
      <c r="B3066" s="45"/>
      <c r="C3066" s="45"/>
    </row>
    <row r="3067" spans="2:3" x14ac:dyDescent="0.25">
      <c r="B3067" s="45"/>
      <c r="C3067" s="45"/>
    </row>
    <row r="3068" spans="2:3" x14ac:dyDescent="0.25">
      <c r="B3068" s="45"/>
      <c r="C3068" s="45"/>
    </row>
    <row r="3069" spans="2:3" x14ac:dyDescent="0.25">
      <c r="B3069" s="45"/>
      <c r="C3069" s="45"/>
    </row>
    <row r="3070" spans="2:3" x14ac:dyDescent="0.25">
      <c r="B3070" s="45"/>
      <c r="C3070" s="45"/>
    </row>
    <row r="3071" spans="2:3" x14ac:dyDescent="0.25">
      <c r="B3071" s="45"/>
      <c r="C3071" s="45"/>
    </row>
    <row r="3072" spans="2:3" x14ac:dyDescent="0.25">
      <c r="B3072" s="45"/>
      <c r="C3072" s="45"/>
    </row>
    <row r="3073" spans="2:3" x14ac:dyDescent="0.25">
      <c r="B3073" s="45"/>
      <c r="C3073" s="45"/>
    </row>
    <row r="3074" spans="2:3" x14ac:dyDescent="0.25">
      <c r="B3074" s="45"/>
      <c r="C3074" s="45"/>
    </row>
    <row r="3075" spans="2:3" x14ac:dyDescent="0.25">
      <c r="B3075" s="45"/>
      <c r="C3075" s="45"/>
    </row>
    <row r="3076" spans="2:3" x14ac:dyDescent="0.25">
      <c r="B3076" s="45"/>
      <c r="C3076" s="45"/>
    </row>
    <row r="3077" spans="2:3" x14ac:dyDescent="0.25">
      <c r="B3077" s="45"/>
      <c r="C3077" s="45"/>
    </row>
    <row r="3078" spans="2:3" x14ac:dyDescent="0.25">
      <c r="B3078" s="45"/>
      <c r="C3078" s="45"/>
    </row>
    <row r="3079" spans="2:3" x14ac:dyDescent="0.25">
      <c r="B3079" s="45"/>
      <c r="C3079" s="45"/>
    </row>
    <row r="3080" spans="2:3" x14ac:dyDescent="0.25">
      <c r="B3080" s="45"/>
      <c r="C3080" s="45"/>
    </row>
    <row r="3081" spans="2:3" x14ac:dyDescent="0.25">
      <c r="B3081" s="45"/>
      <c r="C3081" s="45"/>
    </row>
    <row r="3082" spans="2:3" x14ac:dyDescent="0.25">
      <c r="B3082" s="45"/>
      <c r="C3082" s="45"/>
    </row>
    <row r="3083" spans="2:3" x14ac:dyDescent="0.25">
      <c r="B3083" s="45"/>
      <c r="C3083" s="45"/>
    </row>
    <row r="3084" spans="2:3" x14ac:dyDescent="0.25">
      <c r="B3084" s="45"/>
      <c r="C3084" s="45"/>
    </row>
    <row r="3085" spans="2:3" x14ac:dyDescent="0.25">
      <c r="B3085" s="45"/>
      <c r="C3085" s="45"/>
    </row>
    <row r="3086" spans="2:3" x14ac:dyDescent="0.25">
      <c r="B3086" s="45"/>
      <c r="C3086" s="45"/>
    </row>
    <row r="3087" spans="2:3" x14ac:dyDescent="0.25">
      <c r="B3087" s="45"/>
      <c r="C3087" s="45"/>
    </row>
    <row r="3088" spans="2:3" x14ac:dyDescent="0.25">
      <c r="B3088" s="45"/>
      <c r="C3088" s="45"/>
    </row>
    <row r="3089" spans="2:3" x14ac:dyDescent="0.25">
      <c r="B3089" s="45"/>
      <c r="C3089" s="45"/>
    </row>
    <row r="3090" spans="2:3" x14ac:dyDescent="0.25">
      <c r="B3090" s="45"/>
      <c r="C3090" s="45"/>
    </row>
    <row r="3091" spans="2:3" x14ac:dyDescent="0.25">
      <c r="B3091" s="45"/>
      <c r="C3091" s="45"/>
    </row>
    <row r="3092" spans="2:3" x14ac:dyDescent="0.25">
      <c r="B3092" s="45"/>
      <c r="C3092" s="45"/>
    </row>
    <row r="3093" spans="2:3" x14ac:dyDescent="0.25">
      <c r="B3093" s="45"/>
      <c r="C3093" s="45"/>
    </row>
    <row r="3094" spans="2:3" x14ac:dyDescent="0.25">
      <c r="B3094" s="45"/>
      <c r="C3094" s="45"/>
    </row>
    <row r="3095" spans="2:3" x14ac:dyDescent="0.25">
      <c r="B3095" s="45"/>
      <c r="C3095" s="45"/>
    </row>
    <row r="3096" spans="2:3" x14ac:dyDescent="0.25">
      <c r="B3096" s="45"/>
      <c r="C3096" s="45"/>
    </row>
    <row r="3097" spans="2:3" x14ac:dyDescent="0.25">
      <c r="B3097" s="45"/>
      <c r="C3097" s="45"/>
    </row>
    <row r="3098" spans="2:3" x14ac:dyDescent="0.25">
      <c r="B3098" s="45"/>
      <c r="C3098" s="45"/>
    </row>
    <row r="3099" spans="2:3" x14ac:dyDescent="0.25">
      <c r="B3099" s="45"/>
      <c r="C3099" s="45"/>
    </row>
    <row r="3100" spans="2:3" x14ac:dyDescent="0.25">
      <c r="B3100" s="45"/>
      <c r="C3100" s="45"/>
    </row>
    <row r="3101" spans="2:3" x14ac:dyDescent="0.25">
      <c r="B3101" s="45"/>
      <c r="C3101" s="45"/>
    </row>
    <row r="3102" spans="2:3" x14ac:dyDescent="0.25">
      <c r="B3102" s="45"/>
      <c r="C3102" s="45"/>
    </row>
    <row r="3103" spans="2:3" x14ac:dyDescent="0.25">
      <c r="B3103" s="45"/>
      <c r="C3103" s="45"/>
    </row>
    <row r="3104" spans="2:3" x14ac:dyDescent="0.25">
      <c r="B3104" s="45"/>
      <c r="C3104" s="45"/>
    </row>
    <row r="3105" spans="2:3" x14ac:dyDescent="0.25">
      <c r="B3105" s="45"/>
      <c r="C3105" s="45"/>
    </row>
    <row r="3106" spans="2:3" x14ac:dyDescent="0.25">
      <c r="B3106" s="45"/>
      <c r="C3106" s="45"/>
    </row>
    <row r="3107" spans="2:3" x14ac:dyDescent="0.25">
      <c r="B3107" s="45"/>
      <c r="C3107" s="45"/>
    </row>
    <row r="3108" spans="2:3" x14ac:dyDescent="0.25">
      <c r="B3108" s="45"/>
      <c r="C3108" s="45"/>
    </row>
    <row r="3109" spans="2:3" x14ac:dyDescent="0.25">
      <c r="B3109" s="45"/>
      <c r="C3109" s="45"/>
    </row>
    <row r="3110" spans="2:3" x14ac:dyDescent="0.25">
      <c r="B3110" s="45"/>
      <c r="C3110" s="45"/>
    </row>
    <row r="3111" spans="2:3" x14ac:dyDescent="0.25">
      <c r="B3111" s="45"/>
      <c r="C3111" s="45"/>
    </row>
    <row r="3112" spans="2:3" x14ac:dyDescent="0.25">
      <c r="B3112" s="45"/>
      <c r="C3112" s="45"/>
    </row>
    <row r="3113" spans="2:3" x14ac:dyDescent="0.25">
      <c r="B3113" s="45"/>
      <c r="C3113" s="45"/>
    </row>
    <row r="3114" spans="2:3" x14ac:dyDescent="0.25">
      <c r="B3114" s="45"/>
      <c r="C3114" s="45"/>
    </row>
    <row r="3115" spans="2:3" x14ac:dyDescent="0.25">
      <c r="B3115" s="45"/>
      <c r="C3115" s="45"/>
    </row>
    <row r="3116" spans="2:3" x14ac:dyDescent="0.25">
      <c r="B3116" s="45"/>
      <c r="C3116" s="45"/>
    </row>
    <row r="3117" spans="2:3" x14ac:dyDescent="0.25">
      <c r="B3117" s="45"/>
      <c r="C3117" s="45"/>
    </row>
    <row r="3118" spans="2:3" x14ac:dyDescent="0.25">
      <c r="B3118" s="45"/>
      <c r="C3118" s="45"/>
    </row>
    <row r="3119" spans="2:3" x14ac:dyDescent="0.25">
      <c r="B3119" s="45"/>
      <c r="C3119" s="45"/>
    </row>
    <row r="3120" spans="2:3" x14ac:dyDescent="0.25">
      <c r="B3120" s="45"/>
      <c r="C3120" s="45"/>
    </row>
    <row r="3121" spans="2:3" x14ac:dyDescent="0.25">
      <c r="B3121" s="45"/>
      <c r="C3121" s="45"/>
    </row>
    <row r="3122" spans="2:3" x14ac:dyDescent="0.25">
      <c r="B3122" s="45"/>
      <c r="C3122" s="45"/>
    </row>
    <row r="3123" spans="2:3" x14ac:dyDescent="0.25">
      <c r="B3123" s="45"/>
      <c r="C3123" s="45"/>
    </row>
    <row r="3124" spans="2:3" x14ac:dyDescent="0.25">
      <c r="B3124" s="45"/>
      <c r="C3124" s="45"/>
    </row>
    <row r="3125" spans="2:3" x14ac:dyDescent="0.25">
      <c r="B3125" s="45"/>
      <c r="C3125" s="45"/>
    </row>
    <row r="3126" spans="2:3" x14ac:dyDescent="0.25">
      <c r="B3126" s="45"/>
      <c r="C3126" s="45"/>
    </row>
    <row r="3127" spans="2:3" x14ac:dyDescent="0.25">
      <c r="B3127" s="45"/>
      <c r="C3127" s="45"/>
    </row>
    <row r="3128" spans="2:3" x14ac:dyDescent="0.25">
      <c r="B3128" s="45"/>
      <c r="C3128" s="45"/>
    </row>
    <row r="3129" spans="2:3" x14ac:dyDescent="0.25">
      <c r="B3129" s="45"/>
      <c r="C3129" s="45"/>
    </row>
    <row r="3130" spans="2:3" x14ac:dyDescent="0.25">
      <c r="B3130" s="45"/>
      <c r="C3130" s="45"/>
    </row>
    <row r="3131" spans="2:3" x14ac:dyDescent="0.25">
      <c r="B3131" s="45"/>
      <c r="C3131" s="45"/>
    </row>
    <row r="3132" spans="2:3" x14ac:dyDescent="0.25">
      <c r="B3132" s="45"/>
      <c r="C3132" s="45"/>
    </row>
    <row r="3133" spans="2:3" x14ac:dyDescent="0.25">
      <c r="B3133" s="45"/>
      <c r="C3133" s="45"/>
    </row>
    <row r="3134" spans="2:3" x14ac:dyDescent="0.25">
      <c r="B3134" s="45"/>
      <c r="C3134" s="45"/>
    </row>
    <row r="3135" spans="2:3" x14ac:dyDescent="0.25">
      <c r="B3135" s="45"/>
      <c r="C3135" s="45"/>
    </row>
    <row r="3136" spans="2:3" x14ac:dyDescent="0.25">
      <c r="B3136" s="45"/>
      <c r="C3136" s="45"/>
    </row>
    <row r="3137" spans="2:3" x14ac:dyDescent="0.25">
      <c r="B3137" s="45"/>
      <c r="C3137" s="45"/>
    </row>
    <row r="3138" spans="2:3" x14ac:dyDescent="0.25">
      <c r="B3138" s="45"/>
      <c r="C3138" s="45"/>
    </row>
    <row r="3139" spans="2:3" x14ac:dyDescent="0.25">
      <c r="B3139" s="45"/>
      <c r="C3139" s="45"/>
    </row>
    <row r="3140" spans="2:3" x14ac:dyDescent="0.25">
      <c r="B3140" s="45"/>
      <c r="C3140" s="45"/>
    </row>
    <row r="3141" spans="2:3" x14ac:dyDescent="0.25">
      <c r="B3141" s="45"/>
      <c r="C3141" s="45"/>
    </row>
    <row r="3142" spans="2:3" x14ac:dyDescent="0.25">
      <c r="B3142" s="45"/>
      <c r="C3142" s="45"/>
    </row>
    <row r="3143" spans="2:3" x14ac:dyDescent="0.25">
      <c r="B3143" s="45"/>
      <c r="C3143" s="45"/>
    </row>
    <row r="3144" spans="2:3" x14ac:dyDescent="0.25">
      <c r="B3144" s="45"/>
      <c r="C3144" s="45"/>
    </row>
    <row r="3145" spans="2:3" x14ac:dyDescent="0.25">
      <c r="B3145" s="45"/>
      <c r="C3145" s="45"/>
    </row>
    <row r="3146" spans="2:3" x14ac:dyDescent="0.25">
      <c r="B3146" s="45"/>
      <c r="C3146" s="45"/>
    </row>
    <row r="3147" spans="2:3" x14ac:dyDescent="0.25">
      <c r="B3147" s="45"/>
      <c r="C3147" s="45"/>
    </row>
    <row r="3148" spans="2:3" x14ac:dyDescent="0.25">
      <c r="B3148" s="45"/>
      <c r="C3148" s="45"/>
    </row>
    <row r="3149" spans="2:3" x14ac:dyDescent="0.25">
      <c r="B3149" s="45"/>
      <c r="C3149" s="45"/>
    </row>
    <row r="3150" spans="2:3" x14ac:dyDescent="0.25">
      <c r="B3150" s="45"/>
      <c r="C3150" s="45"/>
    </row>
    <row r="3151" spans="2:3" x14ac:dyDescent="0.25">
      <c r="B3151" s="45"/>
      <c r="C3151" s="45"/>
    </row>
    <row r="3152" spans="2:3" x14ac:dyDescent="0.25">
      <c r="B3152" s="45"/>
      <c r="C3152" s="45"/>
    </row>
    <row r="3153" spans="2:3" x14ac:dyDescent="0.25">
      <c r="B3153" s="45"/>
      <c r="C3153" s="45"/>
    </row>
    <row r="3154" spans="2:3" x14ac:dyDescent="0.25">
      <c r="B3154" s="45"/>
      <c r="C3154" s="45"/>
    </row>
    <row r="3155" spans="2:3" x14ac:dyDescent="0.25">
      <c r="B3155" s="45"/>
      <c r="C3155" s="45"/>
    </row>
    <row r="3156" spans="2:3" x14ac:dyDescent="0.25">
      <c r="B3156" s="45"/>
      <c r="C3156" s="45"/>
    </row>
    <row r="3157" spans="2:3" x14ac:dyDescent="0.25">
      <c r="B3157" s="45"/>
      <c r="C3157" s="45"/>
    </row>
    <row r="3158" spans="2:3" x14ac:dyDescent="0.25">
      <c r="B3158" s="45"/>
      <c r="C3158" s="45"/>
    </row>
    <row r="3159" spans="2:3" x14ac:dyDescent="0.25">
      <c r="B3159" s="45"/>
      <c r="C3159" s="45"/>
    </row>
    <row r="3160" spans="2:3" x14ac:dyDescent="0.25">
      <c r="B3160" s="45"/>
      <c r="C3160" s="45"/>
    </row>
    <row r="3161" spans="2:3" x14ac:dyDescent="0.25">
      <c r="B3161" s="45"/>
      <c r="C3161" s="45"/>
    </row>
    <row r="3162" spans="2:3" x14ac:dyDescent="0.25">
      <c r="B3162" s="45"/>
      <c r="C3162" s="45"/>
    </row>
    <row r="3163" spans="2:3" x14ac:dyDescent="0.25">
      <c r="B3163" s="45"/>
      <c r="C3163" s="45"/>
    </row>
    <row r="3164" spans="2:3" x14ac:dyDescent="0.25">
      <c r="B3164" s="45"/>
      <c r="C3164" s="45"/>
    </row>
    <row r="3165" spans="2:3" x14ac:dyDescent="0.25">
      <c r="B3165" s="45"/>
      <c r="C3165" s="45"/>
    </row>
    <row r="3166" spans="2:3" x14ac:dyDescent="0.25">
      <c r="B3166" s="45"/>
      <c r="C3166" s="45"/>
    </row>
    <row r="3167" spans="2:3" x14ac:dyDescent="0.25">
      <c r="B3167" s="45"/>
      <c r="C3167" s="45"/>
    </row>
    <row r="3168" spans="2:3" x14ac:dyDescent="0.25">
      <c r="B3168" s="45"/>
      <c r="C3168" s="45"/>
    </row>
    <row r="3169" spans="2:3" x14ac:dyDescent="0.25">
      <c r="B3169" s="45"/>
      <c r="C3169" s="45"/>
    </row>
    <row r="3170" spans="2:3" x14ac:dyDescent="0.25">
      <c r="B3170" s="45"/>
      <c r="C3170" s="45"/>
    </row>
    <row r="3171" spans="2:3" x14ac:dyDescent="0.25">
      <c r="B3171" s="45"/>
      <c r="C3171" s="45"/>
    </row>
    <row r="3172" spans="2:3" x14ac:dyDescent="0.25">
      <c r="B3172" s="45"/>
      <c r="C3172" s="45"/>
    </row>
    <row r="3173" spans="2:3" x14ac:dyDescent="0.25">
      <c r="B3173" s="45"/>
      <c r="C3173" s="45"/>
    </row>
    <row r="3174" spans="2:3" x14ac:dyDescent="0.25">
      <c r="B3174" s="45"/>
      <c r="C3174" s="45"/>
    </row>
    <row r="3175" spans="2:3" x14ac:dyDescent="0.25">
      <c r="B3175" s="45"/>
      <c r="C3175" s="45"/>
    </row>
    <row r="3176" spans="2:3" x14ac:dyDescent="0.25">
      <c r="B3176" s="45"/>
      <c r="C3176" s="45"/>
    </row>
    <row r="3177" spans="2:3" x14ac:dyDescent="0.25">
      <c r="B3177" s="45"/>
      <c r="C3177" s="45"/>
    </row>
    <row r="3178" spans="2:3" x14ac:dyDescent="0.25">
      <c r="B3178" s="45"/>
      <c r="C3178" s="45"/>
    </row>
    <row r="3179" spans="2:3" x14ac:dyDescent="0.25">
      <c r="B3179" s="45"/>
      <c r="C3179" s="45"/>
    </row>
    <row r="3180" spans="2:3" x14ac:dyDescent="0.25">
      <c r="B3180" s="45"/>
      <c r="C3180" s="45"/>
    </row>
    <row r="3181" spans="2:3" x14ac:dyDescent="0.25">
      <c r="B3181" s="45"/>
      <c r="C3181" s="45"/>
    </row>
    <row r="3182" spans="2:3" x14ac:dyDescent="0.25">
      <c r="B3182" s="45"/>
      <c r="C3182" s="45"/>
    </row>
    <row r="3183" spans="2:3" x14ac:dyDescent="0.25">
      <c r="B3183" s="45"/>
      <c r="C3183" s="45"/>
    </row>
    <row r="3184" spans="2:3" x14ac:dyDescent="0.25">
      <c r="B3184" s="45"/>
      <c r="C3184" s="45"/>
    </row>
    <row r="3185" spans="2:3" x14ac:dyDescent="0.25">
      <c r="B3185" s="45"/>
      <c r="C3185" s="45"/>
    </row>
    <row r="3186" spans="2:3" x14ac:dyDescent="0.25">
      <c r="B3186" s="45"/>
      <c r="C3186" s="45"/>
    </row>
    <row r="3187" spans="2:3" x14ac:dyDescent="0.25">
      <c r="B3187" s="45"/>
      <c r="C3187" s="45"/>
    </row>
    <row r="3188" spans="2:3" x14ac:dyDescent="0.25">
      <c r="B3188" s="45"/>
      <c r="C3188" s="45"/>
    </row>
    <row r="3189" spans="2:3" x14ac:dyDescent="0.25">
      <c r="B3189" s="45"/>
      <c r="C3189" s="45"/>
    </row>
    <row r="3190" spans="2:3" x14ac:dyDescent="0.25">
      <c r="B3190" s="45"/>
      <c r="C3190" s="45"/>
    </row>
    <row r="3191" spans="2:3" x14ac:dyDescent="0.25">
      <c r="B3191" s="45"/>
      <c r="C3191" s="45"/>
    </row>
    <row r="3192" spans="2:3" x14ac:dyDescent="0.25">
      <c r="B3192" s="45"/>
      <c r="C3192" s="45"/>
    </row>
    <row r="3193" spans="2:3" x14ac:dyDescent="0.25">
      <c r="B3193" s="45"/>
      <c r="C3193" s="45"/>
    </row>
    <row r="3194" spans="2:3" x14ac:dyDescent="0.25">
      <c r="B3194" s="45"/>
      <c r="C3194" s="45"/>
    </row>
    <row r="3195" spans="2:3" x14ac:dyDescent="0.25">
      <c r="B3195" s="45"/>
      <c r="C3195" s="45"/>
    </row>
    <row r="3196" spans="2:3" x14ac:dyDescent="0.25">
      <c r="B3196" s="45"/>
      <c r="C3196" s="45"/>
    </row>
    <row r="3197" spans="2:3" x14ac:dyDescent="0.25">
      <c r="B3197" s="45"/>
      <c r="C3197" s="45"/>
    </row>
    <row r="3198" spans="2:3" x14ac:dyDescent="0.25">
      <c r="B3198" s="45"/>
      <c r="C3198" s="45"/>
    </row>
    <row r="3199" spans="2:3" x14ac:dyDescent="0.25">
      <c r="B3199" s="45"/>
      <c r="C3199" s="45"/>
    </row>
    <row r="3200" spans="2:3" x14ac:dyDescent="0.25">
      <c r="B3200" s="45"/>
      <c r="C3200" s="45"/>
    </row>
    <row r="3201" spans="2:3" x14ac:dyDescent="0.25">
      <c r="B3201" s="45"/>
      <c r="C3201" s="45"/>
    </row>
    <row r="3202" spans="2:3" x14ac:dyDescent="0.25">
      <c r="B3202" s="45"/>
      <c r="C3202" s="45"/>
    </row>
    <row r="3203" spans="2:3" x14ac:dyDescent="0.25">
      <c r="B3203" s="45"/>
      <c r="C3203" s="45"/>
    </row>
    <row r="3204" spans="2:3" x14ac:dyDescent="0.25">
      <c r="B3204" s="45"/>
      <c r="C3204" s="45"/>
    </row>
    <row r="3205" spans="2:3" x14ac:dyDescent="0.25">
      <c r="B3205" s="45"/>
      <c r="C3205" s="45"/>
    </row>
    <row r="3206" spans="2:3" x14ac:dyDescent="0.25">
      <c r="B3206" s="45"/>
      <c r="C3206" s="45"/>
    </row>
    <row r="3207" spans="2:3" x14ac:dyDescent="0.25">
      <c r="B3207" s="45"/>
      <c r="C3207" s="45"/>
    </row>
    <row r="3208" spans="2:3" x14ac:dyDescent="0.25">
      <c r="B3208" s="45"/>
      <c r="C3208" s="45"/>
    </row>
    <row r="3209" spans="2:3" x14ac:dyDescent="0.25">
      <c r="B3209" s="45"/>
      <c r="C3209" s="45"/>
    </row>
    <row r="3210" spans="2:3" x14ac:dyDescent="0.25">
      <c r="B3210" s="45"/>
      <c r="C3210" s="45"/>
    </row>
    <row r="3211" spans="2:3" x14ac:dyDescent="0.25">
      <c r="B3211" s="45"/>
      <c r="C3211" s="45"/>
    </row>
    <row r="3212" spans="2:3" x14ac:dyDescent="0.25">
      <c r="B3212" s="45"/>
      <c r="C3212" s="45"/>
    </row>
    <row r="3213" spans="2:3" x14ac:dyDescent="0.25">
      <c r="B3213" s="45"/>
      <c r="C3213" s="45"/>
    </row>
    <row r="3214" spans="2:3" x14ac:dyDescent="0.25">
      <c r="B3214" s="45"/>
      <c r="C3214" s="45"/>
    </row>
    <row r="3215" spans="2:3" x14ac:dyDescent="0.25">
      <c r="B3215" s="45"/>
      <c r="C3215" s="45"/>
    </row>
    <row r="3216" spans="2:3" x14ac:dyDescent="0.25">
      <c r="B3216" s="45"/>
      <c r="C3216" s="45"/>
    </row>
    <row r="3217" spans="2:3" x14ac:dyDescent="0.25">
      <c r="B3217" s="45"/>
      <c r="C3217" s="45"/>
    </row>
    <row r="3218" spans="2:3" x14ac:dyDescent="0.25">
      <c r="B3218" s="45"/>
      <c r="C3218" s="45"/>
    </row>
    <row r="3219" spans="2:3" x14ac:dyDescent="0.25">
      <c r="B3219" s="45"/>
      <c r="C3219" s="45"/>
    </row>
    <row r="3220" spans="2:3" x14ac:dyDescent="0.25">
      <c r="B3220" s="45"/>
      <c r="C3220" s="45"/>
    </row>
    <row r="3221" spans="2:3" x14ac:dyDescent="0.25">
      <c r="B3221" s="45"/>
      <c r="C3221" s="45"/>
    </row>
    <row r="3222" spans="2:3" x14ac:dyDescent="0.25">
      <c r="B3222" s="45"/>
      <c r="C3222" s="45"/>
    </row>
    <row r="3223" spans="2:3" x14ac:dyDescent="0.25">
      <c r="B3223" s="45"/>
      <c r="C3223" s="45"/>
    </row>
    <row r="3224" spans="2:3" x14ac:dyDescent="0.25">
      <c r="B3224" s="45"/>
      <c r="C3224" s="45"/>
    </row>
    <row r="3225" spans="2:3" x14ac:dyDescent="0.25">
      <c r="B3225" s="45"/>
      <c r="C3225" s="45"/>
    </row>
    <row r="3226" spans="2:3" x14ac:dyDescent="0.25">
      <c r="B3226" s="45"/>
      <c r="C3226" s="45"/>
    </row>
    <row r="3227" spans="2:3" x14ac:dyDescent="0.25">
      <c r="B3227" s="45"/>
      <c r="C3227" s="45"/>
    </row>
    <row r="3228" spans="2:3" x14ac:dyDescent="0.25">
      <c r="B3228" s="45"/>
      <c r="C3228" s="45"/>
    </row>
    <row r="3229" spans="2:3" x14ac:dyDescent="0.25">
      <c r="B3229" s="45"/>
      <c r="C3229" s="45"/>
    </row>
    <row r="3230" spans="2:3" x14ac:dyDescent="0.25">
      <c r="B3230" s="45"/>
      <c r="C3230" s="45"/>
    </row>
    <row r="3231" spans="2:3" x14ac:dyDescent="0.25">
      <c r="B3231" s="45"/>
      <c r="C3231" s="45"/>
    </row>
    <row r="3232" spans="2:3" x14ac:dyDescent="0.25">
      <c r="B3232" s="45"/>
      <c r="C3232" s="45"/>
    </row>
    <row r="3233" spans="2:3" x14ac:dyDescent="0.25">
      <c r="B3233" s="45"/>
      <c r="C3233" s="45"/>
    </row>
    <row r="3234" spans="2:3" x14ac:dyDescent="0.25">
      <c r="B3234" s="45"/>
      <c r="C3234" s="45"/>
    </row>
    <row r="3235" spans="2:3" x14ac:dyDescent="0.25">
      <c r="B3235" s="45"/>
      <c r="C3235" s="45"/>
    </row>
    <row r="3236" spans="2:3" x14ac:dyDescent="0.25">
      <c r="B3236" s="45"/>
      <c r="C3236" s="45"/>
    </row>
    <row r="3237" spans="2:3" x14ac:dyDescent="0.25">
      <c r="B3237" s="45"/>
      <c r="C3237" s="45"/>
    </row>
    <row r="3238" spans="2:3" x14ac:dyDescent="0.25">
      <c r="B3238" s="45"/>
      <c r="C3238" s="45"/>
    </row>
    <row r="3239" spans="2:3" x14ac:dyDescent="0.25">
      <c r="B3239" s="45"/>
      <c r="C3239" s="45"/>
    </row>
    <row r="3240" spans="2:3" x14ac:dyDescent="0.25">
      <c r="B3240" s="45"/>
      <c r="C3240" s="45"/>
    </row>
    <row r="3241" spans="2:3" x14ac:dyDescent="0.25">
      <c r="B3241" s="45"/>
      <c r="C3241" s="45"/>
    </row>
    <row r="3242" spans="2:3" x14ac:dyDescent="0.25">
      <c r="B3242" s="45"/>
      <c r="C3242" s="45"/>
    </row>
    <row r="3243" spans="2:3" x14ac:dyDescent="0.25">
      <c r="B3243" s="45"/>
      <c r="C3243" s="45"/>
    </row>
    <row r="3244" spans="2:3" x14ac:dyDescent="0.25">
      <c r="B3244" s="45"/>
      <c r="C3244" s="45"/>
    </row>
    <row r="3245" spans="2:3" x14ac:dyDescent="0.25">
      <c r="B3245" s="45"/>
      <c r="C3245" s="45"/>
    </row>
    <row r="3246" spans="2:3" x14ac:dyDescent="0.25">
      <c r="B3246" s="45"/>
      <c r="C3246" s="45"/>
    </row>
    <row r="3247" spans="2:3" x14ac:dyDescent="0.25">
      <c r="B3247" s="45"/>
      <c r="C3247" s="45"/>
    </row>
    <row r="3248" spans="2:3" x14ac:dyDescent="0.25">
      <c r="B3248" s="45"/>
      <c r="C3248" s="45"/>
    </row>
    <row r="3249" spans="2:3" x14ac:dyDescent="0.25">
      <c r="B3249" s="45"/>
      <c r="C3249" s="45"/>
    </row>
    <row r="3250" spans="2:3" x14ac:dyDescent="0.25">
      <c r="B3250" s="45"/>
      <c r="C3250" s="45"/>
    </row>
    <row r="3251" spans="2:3" x14ac:dyDescent="0.25">
      <c r="B3251" s="45"/>
      <c r="C3251" s="45"/>
    </row>
    <row r="3252" spans="2:3" x14ac:dyDescent="0.25">
      <c r="B3252" s="45"/>
      <c r="C3252" s="45"/>
    </row>
    <row r="3253" spans="2:3" x14ac:dyDescent="0.25">
      <c r="B3253" s="45"/>
      <c r="C3253" s="45"/>
    </row>
    <row r="3254" spans="2:3" x14ac:dyDescent="0.25">
      <c r="B3254" s="45"/>
      <c r="C3254" s="45"/>
    </row>
    <row r="3255" spans="2:3" x14ac:dyDescent="0.25">
      <c r="B3255" s="45"/>
      <c r="C3255" s="45"/>
    </row>
    <row r="3256" spans="2:3" x14ac:dyDescent="0.25">
      <c r="B3256" s="45"/>
      <c r="C3256" s="45"/>
    </row>
    <row r="3257" spans="2:3" x14ac:dyDescent="0.25">
      <c r="B3257" s="45"/>
      <c r="C3257" s="45"/>
    </row>
    <row r="3258" spans="2:3" x14ac:dyDescent="0.25">
      <c r="B3258" s="45"/>
      <c r="C3258" s="45"/>
    </row>
    <row r="3259" spans="2:3" x14ac:dyDescent="0.25">
      <c r="B3259" s="45"/>
      <c r="C3259" s="45"/>
    </row>
    <row r="3260" spans="2:3" x14ac:dyDescent="0.25">
      <c r="B3260" s="45"/>
      <c r="C3260" s="45"/>
    </row>
    <row r="3261" spans="2:3" x14ac:dyDescent="0.25">
      <c r="B3261" s="45"/>
      <c r="C3261" s="45"/>
    </row>
    <row r="3262" spans="2:3" x14ac:dyDescent="0.25">
      <c r="B3262" s="45"/>
      <c r="C3262" s="45"/>
    </row>
    <row r="3263" spans="2:3" x14ac:dyDescent="0.25">
      <c r="B3263" s="45"/>
      <c r="C3263" s="45"/>
    </row>
    <row r="3264" spans="2:3" x14ac:dyDescent="0.25">
      <c r="B3264" s="45"/>
      <c r="C3264" s="45"/>
    </row>
    <row r="3265" spans="2:3" x14ac:dyDescent="0.25">
      <c r="B3265" s="45"/>
      <c r="C3265" s="45"/>
    </row>
    <row r="3266" spans="2:3" x14ac:dyDescent="0.25">
      <c r="B3266" s="45"/>
      <c r="C3266" s="45"/>
    </row>
    <row r="3267" spans="2:3" x14ac:dyDescent="0.25">
      <c r="B3267" s="45"/>
      <c r="C3267" s="45"/>
    </row>
    <row r="3268" spans="2:3" x14ac:dyDescent="0.25">
      <c r="B3268" s="45"/>
      <c r="C3268" s="45"/>
    </row>
    <row r="3269" spans="2:3" x14ac:dyDescent="0.25">
      <c r="B3269" s="45"/>
      <c r="C3269" s="45"/>
    </row>
    <row r="3270" spans="2:3" x14ac:dyDescent="0.25">
      <c r="B3270" s="45"/>
      <c r="C3270" s="45"/>
    </row>
    <row r="3271" spans="2:3" x14ac:dyDescent="0.25">
      <c r="B3271" s="45"/>
      <c r="C3271" s="45"/>
    </row>
    <row r="3272" spans="2:3" x14ac:dyDescent="0.25">
      <c r="B3272" s="45"/>
      <c r="C3272" s="45"/>
    </row>
    <row r="3273" spans="2:3" x14ac:dyDescent="0.25">
      <c r="B3273" s="45"/>
      <c r="C3273" s="45"/>
    </row>
    <row r="3274" spans="2:3" x14ac:dyDescent="0.25">
      <c r="B3274" s="45"/>
      <c r="C3274" s="45"/>
    </row>
    <row r="3275" spans="2:3" x14ac:dyDescent="0.25">
      <c r="B3275" s="45"/>
      <c r="C3275" s="45"/>
    </row>
    <row r="3276" spans="2:3" x14ac:dyDescent="0.25">
      <c r="B3276" s="45"/>
      <c r="C3276" s="45"/>
    </row>
    <row r="3277" spans="2:3" x14ac:dyDescent="0.25">
      <c r="B3277" s="45"/>
      <c r="C3277" s="45"/>
    </row>
    <row r="3278" spans="2:3" x14ac:dyDescent="0.25">
      <c r="B3278" s="45"/>
      <c r="C3278" s="45"/>
    </row>
    <row r="3279" spans="2:3" x14ac:dyDescent="0.25">
      <c r="B3279" s="45"/>
      <c r="C3279" s="45"/>
    </row>
    <row r="3280" spans="2:3" x14ac:dyDescent="0.25">
      <c r="B3280" s="45"/>
      <c r="C3280" s="45"/>
    </row>
    <row r="3281" spans="2:3" x14ac:dyDescent="0.25">
      <c r="B3281" s="45"/>
      <c r="C3281" s="45"/>
    </row>
    <row r="3282" spans="2:3" x14ac:dyDescent="0.25">
      <c r="B3282" s="45"/>
      <c r="C3282" s="45"/>
    </row>
    <row r="3283" spans="2:3" x14ac:dyDescent="0.25">
      <c r="B3283" s="45"/>
      <c r="C3283" s="45"/>
    </row>
    <row r="3284" spans="2:3" x14ac:dyDescent="0.25">
      <c r="B3284" s="45"/>
      <c r="C3284" s="45"/>
    </row>
    <row r="3285" spans="2:3" x14ac:dyDescent="0.25">
      <c r="B3285" s="45"/>
      <c r="C3285" s="45"/>
    </row>
    <row r="3286" spans="2:3" x14ac:dyDescent="0.25">
      <c r="B3286" s="45"/>
      <c r="C3286" s="45"/>
    </row>
    <row r="3287" spans="2:3" x14ac:dyDescent="0.25">
      <c r="B3287" s="45"/>
      <c r="C3287" s="45"/>
    </row>
    <row r="3288" spans="2:3" x14ac:dyDescent="0.25">
      <c r="B3288" s="45"/>
      <c r="C3288" s="45"/>
    </row>
    <row r="3289" spans="2:3" x14ac:dyDescent="0.25">
      <c r="B3289" s="45"/>
      <c r="C3289" s="45"/>
    </row>
    <row r="3290" spans="2:3" x14ac:dyDescent="0.25">
      <c r="B3290" s="45"/>
      <c r="C3290" s="45"/>
    </row>
    <row r="3291" spans="2:3" x14ac:dyDescent="0.25">
      <c r="B3291" s="45"/>
      <c r="C3291" s="45"/>
    </row>
    <row r="3292" spans="2:3" x14ac:dyDescent="0.25">
      <c r="B3292" s="45"/>
      <c r="C3292" s="45"/>
    </row>
    <row r="3293" spans="2:3" x14ac:dyDescent="0.25">
      <c r="B3293" s="45"/>
      <c r="C3293" s="45"/>
    </row>
    <row r="3294" spans="2:3" x14ac:dyDescent="0.25">
      <c r="B3294" s="45"/>
      <c r="C3294" s="45"/>
    </row>
    <row r="3295" spans="2:3" x14ac:dyDescent="0.25">
      <c r="B3295" s="45"/>
      <c r="C3295" s="45"/>
    </row>
    <row r="3296" spans="2:3" x14ac:dyDescent="0.25">
      <c r="B3296" s="45"/>
      <c r="C3296" s="45"/>
    </row>
    <row r="3297" spans="2:3" x14ac:dyDescent="0.25">
      <c r="B3297" s="45"/>
      <c r="C3297" s="45"/>
    </row>
    <row r="3298" spans="2:3" x14ac:dyDescent="0.25">
      <c r="B3298" s="45"/>
      <c r="C3298" s="45"/>
    </row>
    <row r="3299" spans="2:3" x14ac:dyDescent="0.25">
      <c r="B3299" s="45"/>
      <c r="C3299" s="45"/>
    </row>
    <row r="3300" spans="2:3" x14ac:dyDescent="0.25">
      <c r="B3300" s="45"/>
      <c r="C3300" s="45"/>
    </row>
    <row r="3301" spans="2:3" x14ac:dyDescent="0.25">
      <c r="B3301" s="45"/>
      <c r="C3301" s="45"/>
    </row>
    <row r="3302" spans="2:3" x14ac:dyDescent="0.25">
      <c r="B3302" s="45"/>
      <c r="C3302" s="45"/>
    </row>
    <row r="3303" spans="2:3" x14ac:dyDescent="0.25">
      <c r="B3303" s="45"/>
      <c r="C3303" s="45"/>
    </row>
    <row r="3304" spans="2:3" x14ac:dyDescent="0.25">
      <c r="B3304" s="45"/>
      <c r="C3304" s="45"/>
    </row>
    <row r="3305" spans="2:3" x14ac:dyDescent="0.25">
      <c r="B3305" s="45"/>
      <c r="C3305" s="45"/>
    </row>
    <row r="3306" spans="2:3" x14ac:dyDescent="0.25">
      <c r="B3306" s="45"/>
      <c r="C3306" s="45"/>
    </row>
    <row r="3307" spans="2:3" x14ac:dyDescent="0.25">
      <c r="B3307" s="45"/>
      <c r="C3307" s="45"/>
    </row>
    <row r="3308" spans="2:3" x14ac:dyDescent="0.25">
      <c r="B3308" s="45"/>
      <c r="C3308" s="45"/>
    </row>
    <row r="3309" spans="2:3" x14ac:dyDescent="0.25">
      <c r="B3309" s="45"/>
      <c r="C3309" s="45"/>
    </row>
    <row r="3310" spans="2:3" x14ac:dyDescent="0.25">
      <c r="B3310" s="45"/>
      <c r="C3310" s="45"/>
    </row>
    <row r="3311" spans="2:3" x14ac:dyDescent="0.25">
      <c r="B3311" s="45"/>
      <c r="C3311" s="45"/>
    </row>
    <row r="3312" spans="2:3" x14ac:dyDescent="0.25">
      <c r="B3312" s="45"/>
      <c r="C3312" s="45"/>
    </row>
    <row r="3313" spans="2:3" x14ac:dyDescent="0.25">
      <c r="B3313" s="45"/>
      <c r="C3313" s="45"/>
    </row>
    <row r="3314" spans="2:3" x14ac:dyDescent="0.25">
      <c r="B3314" s="45"/>
      <c r="C3314" s="45"/>
    </row>
    <row r="3315" spans="2:3" x14ac:dyDescent="0.25">
      <c r="B3315" s="45"/>
      <c r="C3315" s="45"/>
    </row>
    <row r="3316" spans="2:3" x14ac:dyDescent="0.25">
      <c r="B3316" s="45"/>
      <c r="C3316" s="45"/>
    </row>
    <row r="3317" spans="2:3" x14ac:dyDescent="0.25">
      <c r="B3317" s="45"/>
      <c r="C3317" s="45"/>
    </row>
    <row r="3318" spans="2:3" x14ac:dyDescent="0.25">
      <c r="B3318" s="45"/>
      <c r="C3318" s="45"/>
    </row>
    <row r="3319" spans="2:3" x14ac:dyDescent="0.25">
      <c r="B3319" s="45"/>
      <c r="C3319" s="45"/>
    </row>
    <row r="3320" spans="2:3" x14ac:dyDescent="0.25">
      <c r="B3320" s="45"/>
      <c r="C3320" s="45"/>
    </row>
    <row r="3321" spans="2:3" x14ac:dyDescent="0.25">
      <c r="B3321" s="45"/>
      <c r="C3321" s="45"/>
    </row>
    <row r="3322" spans="2:3" x14ac:dyDescent="0.25">
      <c r="B3322" s="45"/>
      <c r="C3322" s="45"/>
    </row>
    <row r="3323" spans="2:3" x14ac:dyDescent="0.25">
      <c r="B3323" s="45"/>
      <c r="C3323" s="45"/>
    </row>
    <row r="3324" spans="2:3" x14ac:dyDescent="0.25">
      <c r="B3324" s="45"/>
      <c r="C3324" s="45"/>
    </row>
    <row r="3325" spans="2:3" x14ac:dyDescent="0.25">
      <c r="B3325" s="45"/>
      <c r="C3325" s="45"/>
    </row>
    <row r="3326" spans="2:3" x14ac:dyDescent="0.25">
      <c r="B3326" s="45"/>
      <c r="C3326" s="45"/>
    </row>
    <row r="3327" spans="2:3" x14ac:dyDescent="0.25">
      <c r="B3327" s="45"/>
      <c r="C3327" s="45"/>
    </row>
    <row r="3328" spans="2:3" x14ac:dyDescent="0.25">
      <c r="B3328" s="45"/>
      <c r="C3328" s="45"/>
    </row>
    <row r="3329" spans="2:3" x14ac:dyDescent="0.25">
      <c r="B3329" s="45"/>
      <c r="C3329" s="45"/>
    </row>
    <row r="3330" spans="2:3" x14ac:dyDescent="0.25">
      <c r="B3330" s="45"/>
      <c r="C3330" s="45"/>
    </row>
    <row r="3331" spans="2:3" x14ac:dyDescent="0.25">
      <c r="B3331" s="45"/>
      <c r="C3331" s="45"/>
    </row>
    <row r="3332" spans="2:3" x14ac:dyDescent="0.25">
      <c r="B3332" s="45"/>
      <c r="C3332" s="45"/>
    </row>
    <row r="3333" spans="2:3" x14ac:dyDescent="0.25">
      <c r="B3333" s="45"/>
      <c r="C3333" s="45"/>
    </row>
    <row r="3334" spans="2:3" x14ac:dyDescent="0.25">
      <c r="B3334" s="45"/>
      <c r="C3334" s="45"/>
    </row>
    <row r="3335" spans="2:3" x14ac:dyDescent="0.25">
      <c r="B3335" s="45"/>
      <c r="C3335" s="45"/>
    </row>
    <row r="3336" spans="2:3" x14ac:dyDescent="0.25">
      <c r="B3336" s="45"/>
      <c r="C3336" s="45"/>
    </row>
    <row r="3337" spans="2:3" x14ac:dyDescent="0.25">
      <c r="B3337" s="45"/>
      <c r="C3337" s="45"/>
    </row>
    <row r="3338" spans="2:3" x14ac:dyDescent="0.25">
      <c r="B3338" s="45"/>
      <c r="C3338" s="45"/>
    </row>
    <row r="3339" spans="2:3" x14ac:dyDescent="0.25">
      <c r="B3339" s="45"/>
      <c r="C3339" s="45"/>
    </row>
    <row r="3340" spans="2:3" x14ac:dyDescent="0.25">
      <c r="B3340" s="45"/>
      <c r="C3340" s="45"/>
    </row>
    <row r="3341" spans="2:3" x14ac:dyDescent="0.25">
      <c r="B3341" s="45"/>
      <c r="C3341" s="45"/>
    </row>
    <row r="3342" spans="2:3" x14ac:dyDescent="0.25">
      <c r="B3342" s="45"/>
      <c r="C3342" s="45"/>
    </row>
    <row r="3343" spans="2:3" x14ac:dyDescent="0.25">
      <c r="B3343" s="45"/>
      <c r="C3343" s="45"/>
    </row>
    <row r="3344" spans="2:3" x14ac:dyDescent="0.25">
      <c r="B3344" s="45"/>
      <c r="C3344" s="45"/>
    </row>
    <row r="3345" spans="2:3" x14ac:dyDescent="0.25">
      <c r="B3345" s="45"/>
      <c r="C3345" s="45"/>
    </row>
    <row r="3346" spans="2:3" x14ac:dyDescent="0.25">
      <c r="B3346" s="45"/>
      <c r="C3346" s="45"/>
    </row>
    <row r="3347" spans="2:3" x14ac:dyDescent="0.25">
      <c r="B3347" s="45"/>
      <c r="C3347" s="45"/>
    </row>
    <row r="3348" spans="2:3" x14ac:dyDescent="0.25">
      <c r="B3348" s="45"/>
      <c r="C3348" s="45"/>
    </row>
    <row r="3349" spans="2:3" x14ac:dyDescent="0.25">
      <c r="B3349" s="45"/>
      <c r="C3349" s="45"/>
    </row>
    <row r="3350" spans="2:3" x14ac:dyDescent="0.25">
      <c r="B3350" s="45"/>
      <c r="C3350" s="45"/>
    </row>
    <row r="3351" spans="2:3" x14ac:dyDescent="0.25">
      <c r="B3351" s="45"/>
      <c r="C3351" s="45"/>
    </row>
    <row r="3352" spans="2:3" x14ac:dyDescent="0.25">
      <c r="B3352" s="45"/>
      <c r="C3352" s="45"/>
    </row>
    <row r="3353" spans="2:3" x14ac:dyDescent="0.25">
      <c r="B3353" s="45"/>
      <c r="C3353" s="45"/>
    </row>
    <row r="3354" spans="2:3" x14ac:dyDescent="0.25">
      <c r="B3354" s="45"/>
      <c r="C3354" s="45"/>
    </row>
    <row r="3355" spans="2:3" x14ac:dyDescent="0.25">
      <c r="B3355" s="45"/>
      <c r="C3355" s="45"/>
    </row>
    <row r="3356" spans="2:3" x14ac:dyDescent="0.25">
      <c r="B3356" s="45"/>
      <c r="C3356" s="45"/>
    </row>
    <row r="3357" spans="2:3" x14ac:dyDescent="0.25">
      <c r="B3357" s="45"/>
      <c r="C3357" s="45"/>
    </row>
    <row r="3358" spans="2:3" x14ac:dyDescent="0.25">
      <c r="B3358" s="45"/>
      <c r="C3358" s="45"/>
    </row>
    <row r="3359" spans="2:3" x14ac:dyDescent="0.25">
      <c r="B3359" s="45"/>
      <c r="C3359" s="45"/>
    </row>
    <row r="3360" spans="2:3" x14ac:dyDescent="0.25">
      <c r="B3360" s="45"/>
      <c r="C3360" s="45"/>
    </row>
    <row r="3361" spans="2:3" x14ac:dyDescent="0.25">
      <c r="B3361" s="45"/>
      <c r="C3361" s="45"/>
    </row>
    <row r="3362" spans="2:3" x14ac:dyDescent="0.25">
      <c r="B3362" s="45"/>
      <c r="C3362" s="45"/>
    </row>
    <row r="3363" spans="2:3" x14ac:dyDescent="0.25">
      <c r="B3363" s="45"/>
      <c r="C3363" s="45"/>
    </row>
    <row r="3364" spans="2:3" x14ac:dyDescent="0.25">
      <c r="B3364" s="45"/>
      <c r="C3364" s="45"/>
    </row>
    <row r="3365" spans="2:3" x14ac:dyDescent="0.25">
      <c r="B3365" s="45"/>
      <c r="C3365" s="45"/>
    </row>
    <row r="3366" spans="2:3" x14ac:dyDescent="0.25">
      <c r="B3366" s="45"/>
      <c r="C3366" s="45"/>
    </row>
    <row r="3367" spans="2:3" x14ac:dyDescent="0.25">
      <c r="B3367" s="45"/>
      <c r="C3367" s="45"/>
    </row>
    <row r="3368" spans="2:3" x14ac:dyDescent="0.25">
      <c r="B3368" s="45"/>
      <c r="C3368" s="45"/>
    </row>
    <row r="3369" spans="2:3" x14ac:dyDescent="0.25">
      <c r="B3369" s="45"/>
      <c r="C3369" s="45"/>
    </row>
    <row r="3370" spans="2:3" x14ac:dyDescent="0.25">
      <c r="B3370" s="45"/>
      <c r="C3370" s="45"/>
    </row>
    <row r="3371" spans="2:3" x14ac:dyDescent="0.25">
      <c r="B3371" s="45"/>
      <c r="C3371" s="45"/>
    </row>
    <row r="3372" spans="2:3" x14ac:dyDescent="0.25">
      <c r="B3372" s="45"/>
      <c r="C3372" s="45"/>
    </row>
    <row r="3373" spans="2:3" x14ac:dyDescent="0.25">
      <c r="B3373" s="45"/>
      <c r="C3373" s="45"/>
    </row>
    <row r="3374" spans="2:3" x14ac:dyDescent="0.25">
      <c r="B3374" s="45"/>
      <c r="C3374" s="45"/>
    </row>
    <row r="3375" spans="2:3" x14ac:dyDescent="0.25">
      <c r="B3375" s="45"/>
      <c r="C3375" s="45"/>
    </row>
    <row r="3376" spans="2:3" x14ac:dyDescent="0.25">
      <c r="B3376" s="45"/>
      <c r="C3376" s="45"/>
    </row>
    <row r="3377" spans="2:3" x14ac:dyDescent="0.25">
      <c r="B3377" s="45"/>
      <c r="C3377" s="45"/>
    </row>
    <row r="3378" spans="2:3" x14ac:dyDescent="0.25">
      <c r="B3378" s="45"/>
      <c r="C3378" s="45"/>
    </row>
    <row r="3379" spans="2:3" x14ac:dyDescent="0.25">
      <c r="B3379" s="45"/>
      <c r="C3379" s="45"/>
    </row>
    <row r="3380" spans="2:3" x14ac:dyDescent="0.25">
      <c r="B3380" s="45"/>
      <c r="C3380" s="45"/>
    </row>
    <row r="3381" spans="2:3" x14ac:dyDescent="0.25">
      <c r="B3381" s="45"/>
      <c r="C3381" s="45"/>
    </row>
    <row r="3382" spans="2:3" x14ac:dyDescent="0.25">
      <c r="B3382" s="45"/>
      <c r="C3382" s="45"/>
    </row>
    <row r="3383" spans="2:3" x14ac:dyDescent="0.25">
      <c r="B3383" s="45"/>
      <c r="C3383" s="45"/>
    </row>
    <row r="3384" spans="2:3" x14ac:dyDescent="0.25">
      <c r="B3384" s="45"/>
      <c r="C3384" s="45"/>
    </row>
    <row r="3385" spans="2:3" x14ac:dyDescent="0.25">
      <c r="B3385" s="45"/>
      <c r="C3385" s="45"/>
    </row>
    <row r="3386" spans="2:3" x14ac:dyDescent="0.25">
      <c r="B3386" s="45"/>
      <c r="C3386" s="45"/>
    </row>
    <row r="3387" spans="2:3" x14ac:dyDescent="0.25">
      <c r="B3387" s="45"/>
      <c r="C3387" s="45"/>
    </row>
    <row r="3388" spans="2:3" x14ac:dyDescent="0.25">
      <c r="B3388" s="45"/>
      <c r="C3388" s="45"/>
    </row>
    <row r="3389" spans="2:3" x14ac:dyDescent="0.25">
      <c r="B3389" s="45"/>
      <c r="C3389" s="45"/>
    </row>
    <row r="3390" spans="2:3" x14ac:dyDescent="0.25">
      <c r="B3390" s="45"/>
      <c r="C3390" s="45"/>
    </row>
    <row r="3391" spans="2:3" x14ac:dyDescent="0.25">
      <c r="B3391" s="45"/>
      <c r="C3391" s="45"/>
    </row>
    <row r="3392" spans="2:3" x14ac:dyDescent="0.25">
      <c r="B3392" s="45"/>
      <c r="C3392" s="45"/>
    </row>
    <row r="3393" spans="2:3" x14ac:dyDescent="0.25">
      <c r="B3393" s="45"/>
      <c r="C3393" s="45"/>
    </row>
    <row r="3394" spans="2:3" x14ac:dyDescent="0.25">
      <c r="B3394" s="45"/>
      <c r="C3394" s="45"/>
    </row>
    <row r="3395" spans="2:3" x14ac:dyDescent="0.25">
      <c r="B3395" s="45"/>
      <c r="C3395" s="45"/>
    </row>
    <row r="3396" spans="2:3" x14ac:dyDescent="0.25">
      <c r="B3396" s="45"/>
      <c r="C3396" s="45"/>
    </row>
    <row r="3397" spans="2:3" x14ac:dyDescent="0.25">
      <c r="B3397" s="45"/>
      <c r="C3397" s="45"/>
    </row>
    <row r="3398" spans="2:3" x14ac:dyDescent="0.25">
      <c r="B3398" s="45"/>
      <c r="C3398" s="45"/>
    </row>
    <row r="3399" spans="2:3" x14ac:dyDescent="0.25">
      <c r="B3399" s="45"/>
      <c r="C3399" s="45"/>
    </row>
    <row r="3400" spans="2:3" x14ac:dyDescent="0.25">
      <c r="B3400" s="45"/>
      <c r="C3400" s="45"/>
    </row>
    <row r="3401" spans="2:3" x14ac:dyDescent="0.25">
      <c r="B3401" s="45"/>
      <c r="C3401" s="45"/>
    </row>
    <row r="3402" spans="2:3" x14ac:dyDescent="0.25">
      <c r="B3402" s="45"/>
      <c r="C3402" s="45"/>
    </row>
    <row r="3403" spans="2:3" x14ac:dyDescent="0.25">
      <c r="B3403" s="45"/>
      <c r="C3403" s="45"/>
    </row>
    <row r="3404" spans="2:3" x14ac:dyDescent="0.25">
      <c r="B3404" s="45"/>
      <c r="C3404" s="45"/>
    </row>
    <row r="3405" spans="2:3" x14ac:dyDescent="0.25">
      <c r="B3405" s="45"/>
      <c r="C3405" s="45"/>
    </row>
    <row r="3406" spans="2:3" x14ac:dyDescent="0.25">
      <c r="B3406" s="45"/>
      <c r="C3406" s="45"/>
    </row>
    <row r="3407" spans="2:3" x14ac:dyDescent="0.25">
      <c r="B3407" s="45"/>
      <c r="C3407" s="45"/>
    </row>
    <row r="3408" spans="2:3" x14ac:dyDescent="0.25">
      <c r="B3408" s="45"/>
      <c r="C3408" s="45"/>
    </row>
    <row r="3409" spans="2:3" x14ac:dyDescent="0.25">
      <c r="B3409" s="45"/>
      <c r="C3409" s="45"/>
    </row>
    <row r="3410" spans="2:3" x14ac:dyDescent="0.25">
      <c r="B3410" s="45"/>
      <c r="C3410" s="45"/>
    </row>
    <row r="3411" spans="2:3" x14ac:dyDescent="0.25">
      <c r="B3411" s="45"/>
      <c r="C3411" s="45"/>
    </row>
    <row r="3412" spans="2:3" x14ac:dyDescent="0.25">
      <c r="B3412" s="45"/>
      <c r="C3412" s="45"/>
    </row>
    <row r="3413" spans="2:3" x14ac:dyDescent="0.25">
      <c r="B3413" s="45"/>
      <c r="C3413" s="45"/>
    </row>
    <row r="3414" spans="2:3" x14ac:dyDescent="0.25">
      <c r="B3414" s="45"/>
      <c r="C3414" s="45"/>
    </row>
    <row r="3415" spans="2:3" x14ac:dyDescent="0.25">
      <c r="B3415" s="45"/>
      <c r="C3415" s="45"/>
    </row>
    <row r="3416" spans="2:3" x14ac:dyDescent="0.25">
      <c r="B3416" s="45"/>
      <c r="C3416" s="45"/>
    </row>
    <row r="3417" spans="2:3" x14ac:dyDescent="0.25">
      <c r="B3417" s="45"/>
      <c r="C3417" s="45"/>
    </row>
    <row r="3418" spans="2:3" x14ac:dyDescent="0.25">
      <c r="B3418" s="45"/>
      <c r="C3418" s="45"/>
    </row>
    <row r="3419" spans="2:3" x14ac:dyDescent="0.25">
      <c r="B3419" s="45"/>
      <c r="C3419" s="45"/>
    </row>
    <row r="3420" spans="2:3" x14ac:dyDescent="0.25">
      <c r="B3420" s="45"/>
      <c r="C3420" s="45"/>
    </row>
    <row r="3421" spans="2:3" x14ac:dyDescent="0.25">
      <c r="B3421" s="45"/>
      <c r="C3421" s="45"/>
    </row>
    <row r="3422" spans="2:3" x14ac:dyDescent="0.25">
      <c r="B3422" s="45"/>
      <c r="C3422" s="45"/>
    </row>
    <row r="3423" spans="2:3" x14ac:dyDescent="0.25">
      <c r="B3423" s="45"/>
      <c r="C3423" s="45"/>
    </row>
    <row r="3424" spans="2:3" x14ac:dyDescent="0.25">
      <c r="B3424" s="45"/>
      <c r="C3424" s="45"/>
    </row>
    <row r="3425" spans="2:3" x14ac:dyDescent="0.25">
      <c r="B3425" s="45"/>
      <c r="C3425" s="45"/>
    </row>
    <row r="3426" spans="2:3" x14ac:dyDescent="0.25">
      <c r="B3426" s="45"/>
      <c r="C3426" s="45"/>
    </row>
    <row r="3427" spans="2:3" x14ac:dyDescent="0.25">
      <c r="B3427" s="45"/>
      <c r="C3427" s="45"/>
    </row>
    <row r="3428" spans="2:3" x14ac:dyDescent="0.25">
      <c r="B3428" s="45"/>
      <c r="C3428" s="45"/>
    </row>
    <row r="3429" spans="2:3" x14ac:dyDescent="0.25">
      <c r="B3429" s="45"/>
      <c r="C3429" s="45"/>
    </row>
    <row r="3430" spans="2:3" x14ac:dyDescent="0.25">
      <c r="B3430" s="45"/>
      <c r="C3430" s="45"/>
    </row>
    <row r="3431" spans="2:3" x14ac:dyDescent="0.25">
      <c r="B3431" s="45"/>
      <c r="C3431" s="45"/>
    </row>
    <row r="3432" spans="2:3" x14ac:dyDescent="0.25">
      <c r="B3432" s="45"/>
      <c r="C3432" s="45"/>
    </row>
    <row r="3433" spans="2:3" x14ac:dyDescent="0.25">
      <c r="B3433" s="45"/>
      <c r="C3433" s="45"/>
    </row>
    <row r="3434" spans="2:3" x14ac:dyDescent="0.25">
      <c r="B3434" s="45"/>
      <c r="C3434" s="45"/>
    </row>
    <row r="3435" spans="2:3" x14ac:dyDescent="0.25">
      <c r="B3435" s="45"/>
      <c r="C3435" s="45"/>
    </row>
    <row r="3436" spans="2:3" x14ac:dyDescent="0.25">
      <c r="B3436" s="45"/>
      <c r="C3436" s="45"/>
    </row>
    <row r="3437" spans="2:3" x14ac:dyDescent="0.25">
      <c r="B3437" s="45"/>
      <c r="C3437" s="45"/>
    </row>
    <row r="3438" spans="2:3" x14ac:dyDescent="0.25">
      <c r="B3438" s="45"/>
      <c r="C3438" s="45"/>
    </row>
    <row r="3439" spans="2:3" x14ac:dyDescent="0.25">
      <c r="B3439" s="45"/>
      <c r="C3439" s="45"/>
    </row>
    <row r="3440" spans="2:3" x14ac:dyDescent="0.25">
      <c r="B3440" s="45"/>
      <c r="C3440" s="45"/>
    </row>
    <row r="3441" spans="2:3" x14ac:dyDescent="0.25">
      <c r="B3441" s="45"/>
      <c r="C3441" s="45"/>
    </row>
    <row r="3442" spans="2:3" x14ac:dyDescent="0.25">
      <c r="B3442" s="45"/>
      <c r="C3442" s="45"/>
    </row>
    <row r="3443" spans="2:3" x14ac:dyDescent="0.25">
      <c r="B3443" s="45"/>
      <c r="C3443" s="45"/>
    </row>
    <row r="3444" spans="2:3" x14ac:dyDescent="0.25">
      <c r="B3444" s="45"/>
      <c r="C3444" s="45"/>
    </row>
    <row r="3445" spans="2:3" x14ac:dyDescent="0.25">
      <c r="B3445" s="45"/>
      <c r="C3445" s="45"/>
    </row>
    <row r="3446" spans="2:3" x14ac:dyDescent="0.25">
      <c r="B3446" s="45"/>
      <c r="C3446" s="45"/>
    </row>
    <row r="3447" spans="2:3" x14ac:dyDescent="0.25">
      <c r="B3447" s="45"/>
      <c r="C3447" s="45"/>
    </row>
    <row r="3448" spans="2:3" x14ac:dyDescent="0.25">
      <c r="B3448" s="45"/>
      <c r="C3448" s="45"/>
    </row>
    <row r="3449" spans="2:3" x14ac:dyDescent="0.25">
      <c r="B3449" s="45"/>
      <c r="C3449" s="45"/>
    </row>
    <row r="3450" spans="2:3" x14ac:dyDescent="0.25">
      <c r="B3450" s="45"/>
      <c r="C3450" s="45"/>
    </row>
    <row r="3451" spans="2:3" x14ac:dyDescent="0.25">
      <c r="B3451" s="45"/>
      <c r="C3451" s="45"/>
    </row>
    <row r="3452" spans="2:3" x14ac:dyDescent="0.25">
      <c r="B3452" s="45"/>
      <c r="C3452" s="45"/>
    </row>
    <row r="3453" spans="2:3" x14ac:dyDescent="0.25">
      <c r="B3453" s="45"/>
      <c r="C3453" s="45"/>
    </row>
    <row r="3454" spans="2:3" x14ac:dyDescent="0.25">
      <c r="B3454" s="45"/>
      <c r="C3454" s="45"/>
    </row>
    <row r="3455" spans="2:3" x14ac:dyDescent="0.25">
      <c r="B3455" s="45"/>
      <c r="C3455" s="45"/>
    </row>
    <row r="3456" spans="2:3" x14ac:dyDescent="0.25">
      <c r="B3456" s="45"/>
      <c r="C3456" s="45"/>
    </row>
    <row r="3457" spans="2:3" x14ac:dyDescent="0.25">
      <c r="B3457" s="45"/>
      <c r="C3457" s="45"/>
    </row>
    <row r="3458" spans="2:3" x14ac:dyDescent="0.25">
      <c r="B3458" s="45"/>
      <c r="C3458" s="45"/>
    </row>
    <row r="3459" spans="2:3" x14ac:dyDescent="0.25">
      <c r="B3459" s="45"/>
      <c r="C3459" s="45"/>
    </row>
    <row r="3460" spans="2:3" x14ac:dyDescent="0.25">
      <c r="B3460" s="45"/>
      <c r="C3460" s="45"/>
    </row>
    <row r="3461" spans="2:3" x14ac:dyDescent="0.25">
      <c r="B3461" s="45"/>
      <c r="C3461" s="45"/>
    </row>
    <row r="3462" spans="2:3" x14ac:dyDescent="0.25">
      <c r="B3462" s="45"/>
      <c r="C3462" s="45"/>
    </row>
    <row r="3463" spans="2:3" x14ac:dyDescent="0.25">
      <c r="B3463" s="45"/>
      <c r="C3463" s="45"/>
    </row>
    <row r="3464" spans="2:3" x14ac:dyDescent="0.25">
      <c r="B3464" s="45"/>
      <c r="C3464" s="45"/>
    </row>
    <row r="3465" spans="2:3" x14ac:dyDescent="0.25">
      <c r="B3465" s="45"/>
      <c r="C3465" s="45"/>
    </row>
    <row r="3466" spans="2:3" x14ac:dyDescent="0.25">
      <c r="B3466" s="45"/>
      <c r="C3466" s="45"/>
    </row>
    <row r="3467" spans="2:3" x14ac:dyDescent="0.25">
      <c r="B3467" s="45"/>
      <c r="C3467" s="45"/>
    </row>
    <row r="3468" spans="2:3" x14ac:dyDescent="0.25">
      <c r="B3468" s="45"/>
      <c r="C3468" s="45"/>
    </row>
    <row r="3469" spans="2:3" x14ac:dyDescent="0.25">
      <c r="B3469" s="45"/>
      <c r="C3469" s="45"/>
    </row>
    <row r="3470" spans="2:3" x14ac:dyDescent="0.25">
      <c r="B3470" s="45"/>
      <c r="C3470" s="45"/>
    </row>
    <row r="3471" spans="2:3" x14ac:dyDescent="0.25">
      <c r="B3471" s="45"/>
      <c r="C3471" s="45"/>
    </row>
    <row r="3472" spans="2:3" x14ac:dyDescent="0.25">
      <c r="B3472" s="45"/>
      <c r="C3472" s="45"/>
    </row>
    <row r="3473" spans="2:3" x14ac:dyDescent="0.25">
      <c r="B3473" s="45"/>
      <c r="C3473" s="45"/>
    </row>
    <row r="3474" spans="2:3" x14ac:dyDescent="0.25">
      <c r="B3474" s="45"/>
      <c r="C3474" s="45"/>
    </row>
    <row r="3475" spans="2:3" x14ac:dyDescent="0.25">
      <c r="B3475" s="45"/>
      <c r="C3475" s="45"/>
    </row>
    <row r="3476" spans="2:3" x14ac:dyDescent="0.25">
      <c r="B3476" s="45"/>
      <c r="C3476" s="45"/>
    </row>
    <row r="3477" spans="2:3" x14ac:dyDescent="0.25">
      <c r="B3477" s="45"/>
      <c r="C3477" s="45"/>
    </row>
    <row r="3478" spans="2:3" x14ac:dyDescent="0.25">
      <c r="B3478" s="45"/>
      <c r="C3478" s="45"/>
    </row>
    <row r="3479" spans="2:3" x14ac:dyDescent="0.25">
      <c r="B3479" s="45"/>
      <c r="C3479" s="45"/>
    </row>
    <row r="3480" spans="2:3" x14ac:dyDescent="0.25">
      <c r="B3480" s="45"/>
      <c r="C3480" s="45"/>
    </row>
    <row r="3481" spans="2:3" x14ac:dyDescent="0.25">
      <c r="B3481" s="45"/>
      <c r="C3481" s="45"/>
    </row>
    <row r="3482" spans="2:3" x14ac:dyDescent="0.25">
      <c r="B3482" s="45"/>
      <c r="C3482" s="45"/>
    </row>
    <row r="3483" spans="2:3" x14ac:dyDescent="0.25">
      <c r="B3483" s="45"/>
      <c r="C3483" s="45"/>
    </row>
    <row r="3484" spans="2:3" x14ac:dyDescent="0.25">
      <c r="B3484" s="45"/>
      <c r="C3484" s="45"/>
    </row>
    <row r="3485" spans="2:3" x14ac:dyDescent="0.25">
      <c r="B3485" s="45"/>
      <c r="C3485" s="45"/>
    </row>
    <row r="3486" spans="2:3" x14ac:dyDescent="0.25">
      <c r="B3486" s="45"/>
      <c r="C3486" s="45"/>
    </row>
    <row r="3487" spans="2:3" x14ac:dyDescent="0.25">
      <c r="B3487" s="45"/>
      <c r="C3487" s="45"/>
    </row>
    <row r="3488" spans="2:3" x14ac:dyDescent="0.25">
      <c r="B3488" s="45"/>
      <c r="C3488" s="45"/>
    </row>
    <row r="3489" spans="2:3" x14ac:dyDescent="0.25">
      <c r="B3489" s="45"/>
      <c r="C3489" s="45"/>
    </row>
    <row r="3490" spans="2:3" x14ac:dyDescent="0.25">
      <c r="B3490" s="45"/>
      <c r="C3490" s="45"/>
    </row>
    <row r="3491" spans="2:3" x14ac:dyDescent="0.25">
      <c r="B3491" s="45"/>
      <c r="C3491" s="45"/>
    </row>
    <row r="3492" spans="2:3" x14ac:dyDescent="0.25">
      <c r="B3492" s="45"/>
      <c r="C3492" s="45"/>
    </row>
    <row r="3493" spans="2:3" x14ac:dyDescent="0.25">
      <c r="B3493" s="45"/>
      <c r="C3493" s="45"/>
    </row>
    <row r="3494" spans="2:3" x14ac:dyDescent="0.25">
      <c r="B3494" s="45"/>
      <c r="C3494" s="45"/>
    </row>
    <row r="3495" spans="2:3" x14ac:dyDescent="0.25">
      <c r="B3495" s="45"/>
      <c r="C3495" s="45"/>
    </row>
    <row r="3496" spans="2:3" x14ac:dyDescent="0.25">
      <c r="B3496" s="45"/>
      <c r="C3496" s="45"/>
    </row>
    <row r="3497" spans="2:3" x14ac:dyDescent="0.25">
      <c r="B3497" s="45"/>
      <c r="C3497" s="45"/>
    </row>
    <row r="3498" spans="2:3" x14ac:dyDescent="0.25">
      <c r="B3498" s="45"/>
      <c r="C3498" s="45"/>
    </row>
    <row r="3499" spans="2:3" x14ac:dyDescent="0.25">
      <c r="B3499" s="45"/>
      <c r="C3499" s="45"/>
    </row>
    <row r="3500" spans="2:3" x14ac:dyDescent="0.25">
      <c r="B3500" s="45"/>
      <c r="C3500" s="45"/>
    </row>
    <row r="3501" spans="2:3" x14ac:dyDescent="0.25">
      <c r="B3501" s="45"/>
      <c r="C3501" s="45"/>
    </row>
    <row r="3502" spans="2:3" x14ac:dyDescent="0.25">
      <c r="B3502" s="45"/>
      <c r="C3502" s="45"/>
    </row>
    <row r="3503" spans="2:3" x14ac:dyDescent="0.25">
      <c r="B3503" s="45"/>
      <c r="C3503" s="45"/>
    </row>
    <row r="3504" spans="2:3" x14ac:dyDescent="0.25">
      <c r="B3504" s="45"/>
      <c r="C3504" s="45"/>
    </row>
    <row r="3505" spans="2:3" x14ac:dyDescent="0.25">
      <c r="B3505" s="45"/>
      <c r="C3505" s="45"/>
    </row>
    <row r="3506" spans="2:3" x14ac:dyDescent="0.25">
      <c r="B3506" s="45"/>
      <c r="C3506" s="45"/>
    </row>
    <row r="3507" spans="2:3" x14ac:dyDescent="0.25">
      <c r="B3507" s="45"/>
      <c r="C3507" s="45"/>
    </row>
    <row r="3508" spans="2:3" x14ac:dyDescent="0.25">
      <c r="B3508" s="45"/>
      <c r="C3508" s="45"/>
    </row>
    <row r="3509" spans="2:3" x14ac:dyDescent="0.25">
      <c r="B3509" s="45"/>
      <c r="C3509" s="45"/>
    </row>
    <row r="3510" spans="2:3" x14ac:dyDescent="0.25">
      <c r="B3510" s="45"/>
      <c r="C3510" s="45"/>
    </row>
    <row r="3511" spans="2:3" x14ac:dyDescent="0.25">
      <c r="B3511" s="45"/>
      <c r="C3511" s="45"/>
    </row>
    <row r="3512" spans="2:3" x14ac:dyDescent="0.25">
      <c r="B3512" s="45"/>
      <c r="C3512" s="45"/>
    </row>
    <row r="3513" spans="2:3" x14ac:dyDescent="0.25">
      <c r="B3513" s="45"/>
      <c r="C3513" s="45"/>
    </row>
    <row r="3514" spans="2:3" x14ac:dyDescent="0.25">
      <c r="B3514" s="45"/>
      <c r="C3514" s="45"/>
    </row>
    <row r="3515" spans="2:3" x14ac:dyDescent="0.25">
      <c r="B3515" s="45"/>
      <c r="C3515" s="45"/>
    </row>
    <row r="3516" spans="2:3" x14ac:dyDescent="0.25">
      <c r="B3516" s="45"/>
      <c r="C3516" s="45"/>
    </row>
    <row r="3517" spans="2:3" x14ac:dyDescent="0.25">
      <c r="B3517" s="45"/>
      <c r="C3517" s="45"/>
    </row>
    <row r="3518" spans="2:3" x14ac:dyDescent="0.25">
      <c r="B3518" s="45"/>
      <c r="C3518" s="45"/>
    </row>
    <row r="3519" spans="2:3" x14ac:dyDescent="0.25">
      <c r="B3519" s="45"/>
      <c r="C3519" s="45"/>
    </row>
    <row r="3520" spans="2:3" x14ac:dyDescent="0.25">
      <c r="B3520" s="45"/>
      <c r="C3520" s="45"/>
    </row>
    <row r="3521" spans="2:3" x14ac:dyDescent="0.25">
      <c r="B3521" s="45"/>
      <c r="C3521" s="45"/>
    </row>
    <row r="3522" spans="2:3" x14ac:dyDescent="0.25">
      <c r="B3522" s="45"/>
      <c r="C3522" s="45"/>
    </row>
    <row r="3523" spans="2:3" x14ac:dyDescent="0.25">
      <c r="B3523" s="45"/>
      <c r="C3523" s="45"/>
    </row>
    <row r="3524" spans="2:3" x14ac:dyDescent="0.25">
      <c r="B3524" s="45"/>
      <c r="C3524" s="45"/>
    </row>
    <row r="3525" spans="2:3" x14ac:dyDescent="0.25">
      <c r="B3525" s="45"/>
      <c r="C3525" s="45"/>
    </row>
    <row r="3526" spans="2:3" x14ac:dyDescent="0.25">
      <c r="B3526" s="45"/>
      <c r="C3526" s="45"/>
    </row>
    <row r="3527" spans="2:3" x14ac:dyDescent="0.25">
      <c r="B3527" s="45"/>
      <c r="C3527" s="45"/>
    </row>
    <row r="3528" spans="2:3" x14ac:dyDescent="0.25">
      <c r="B3528" s="45"/>
      <c r="C3528" s="45"/>
    </row>
    <row r="3529" spans="2:3" x14ac:dyDescent="0.25">
      <c r="B3529" s="45"/>
      <c r="C3529" s="45"/>
    </row>
    <row r="3530" spans="2:3" x14ac:dyDescent="0.25">
      <c r="B3530" s="45"/>
      <c r="C3530" s="45"/>
    </row>
    <row r="3531" spans="2:3" x14ac:dyDescent="0.25">
      <c r="B3531" s="45"/>
      <c r="C3531" s="45"/>
    </row>
    <row r="3532" spans="2:3" x14ac:dyDescent="0.25">
      <c r="B3532" s="45"/>
      <c r="C3532" s="45"/>
    </row>
    <row r="3533" spans="2:3" x14ac:dyDescent="0.25">
      <c r="B3533" s="45"/>
      <c r="C3533" s="45"/>
    </row>
    <row r="3534" spans="2:3" x14ac:dyDescent="0.25">
      <c r="B3534" s="45"/>
      <c r="C3534" s="45"/>
    </row>
    <row r="3535" spans="2:3" x14ac:dyDescent="0.25">
      <c r="B3535" s="45"/>
      <c r="C3535" s="45"/>
    </row>
    <row r="3536" spans="2:3" x14ac:dyDescent="0.25">
      <c r="B3536" s="45"/>
      <c r="C3536" s="45"/>
    </row>
    <row r="3537" spans="2:3" x14ac:dyDescent="0.25">
      <c r="B3537" s="45"/>
      <c r="C3537" s="45"/>
    </row>
    <row r="3538" spans="2:3" x14ac:dyDescent="0.25">
      <c r="B3538" s="45"/>
      <c r="C3538" s="45"/>
    </row>
    <row r="3539" spans="2:3" x14ac:dyDescent="0.25">
      <c r="B3539" s="45"/>
      <c r="C3539" s="45"/>
    </row>
    <row r="3540" spans="2:3" x14ac:dyDescent="0.25">
      <c r="B3540" s="45"/>
      <c r="C3540" s="45"/>
    </row>
    <row r="3541" spans="2:3" x14ac:dyDescent="0.25">
      <c r="B3541" s="45"/>
      <c r="C3541" s="45"/>
    </row>
    <row r="3542" spans="2:3" x14ac:dyDescent="0.25">
      <c r="B3542" s="45"/>
      <c r="C3542" s="45"/>
    </row>
    <row r="3543" spans="2:3" x14ac:dyDescent="0.25">
      <c r="B3543" s="45"/>
      <c r="C3543" s="45"/>
    </row>
    <row r="3544" spans="2:3" x14ac:dyDescent="0.25">
      <c r="B3544" s="45"/>
      <c r="C3544" s="45"/>
    </row>
    <row r="3545" spans="2:3" x14ac:dyDescent="0.25">
      <c r="B3545" s="45"/>
      <c r="C3545" s="45"/>
    </row>
    <row r="3546" spans="2:3" x14ac:dyDescent="0.25">
      <c r="B3546" s="45"/>
      <c r="C3546" s="45"/>
    </row>
    <row r="3547" spans="2:3" x14ac:dyDescent="0.25">
      <c r="B3547" s="45"/>
      <c r="C3547" s="45"/>
    </row>
    <row r="3548" spans="2:3" x14ac:dyDescent="0.25">
      <c r="B3548" s="45"/>
      <c r="C3548" s="45"/>
    </row>
    <row r="3549" spans="2:3" x14ac:dyDescent="0.25">
      <c r="B3549" s="45"/>
      <c r="C3549" s="45"/>
    </row>
    <row r="3550" spans="2:3" x14ac:dyDescent="0.25">
      <c r="B3550" s="45"/>
      <c r="C3550" s="45"/>
    </row>
    <row r="3551" spans="2:3" x14ac:dyDescent="0.25">
      <c r="B3551" s="45"/>
      <c r="C3551" s="45"/>
    </row>
    <row r="3552" spans="2:3" x14ac:dyDescent="0.25">
      <c r="B3552" s="45"/>
      <c r="C3552" s="45"/>
    </row>
    <row r="3553" spans="2:3" x14ac:dyDescent="0.25">
      <c r="B3553" s="45"/>
      <c r="C3553" s="45"/>
    </row>
    <row r="3554" spans="2:3" x14ac:dyDescent="0.25">
      <c r="B3554" s="45"/>
      <c r="C3554" s="45"/>
    </row>
    <row r="3555" spans="2:3" x14ac:dyDescent="0.25">
      <c r="B3555" s="45"/>
      <c r="C3555" s="45"/>
    </row>
    <row r="3556" spans="2:3" x14ac:dyDescent="0.25">
      <c r="B3556" s="45"/>
      <c r="C3556" s="45"/>
    </row>
    <row r="3557" spans="2:3" x14ac:dyDescent="0.25">
      <c r="B3557" s="45"/>
      <c r="C3557" s="45"/>
    </row>
    <row r="3558" spans="2:3" x14ac:dyDescent="0.25">
      <c r="B3558" s="45"/>
      <c r="C3558" s="45"/>
    </row>
    <row r="3559" spans="2:3" x14ac:dyDescent="0.25">
      <c r="B3559" s="45"/>
      <c r="C3559" s="45"/>
    </row>
    <row r="3560" spans="2:3" x14ac:dyDescent="0.25">
      <c r="B3560" s="45"/>
      <c r="C3560" s="45"/>
    </row>
    <row r="3561" spans="2:3" x14ac:dyDescent="0.25">
      <c r="B3561" s="45"/>
      <c r="C3561" s="45"/>
    </row>
    <row r="3562" spans="2:3" x14ac:dyDescent="0.25">
      <c r="B3562" s="45"/>
      <c r="C3562" s="45"/>
    </row>
    <row r="3563" spans="2:3" x14ac:dyDescent="0.25">
      <c r="B3563" s="45"/>
      <c r="C3563" s="45"/>
    </row>
    <row r="3564" spans="2:3" x14ac:dyDescent="0.25">
      <c r="B3564" s="45"/>
      <c r="C3564" s="45"/>
    </row>
    <row r="3565" spans="2:3" x14ac:dyDescent="0.25">
      <c r="B3565" s="45"/>
      <c r="C3565" s="45"/>
    </row>
    <row r="3566" spans="2:3" x14ac:dyDescent="0.25">
      <c r="B3566" s="45"/>
      <c r="C3566" s="45"/>
    </row>
    <row r="3567" spans="2:3" x14ac:dyDescent="0.25">
      <c r="B3567" s="45"/>
      <c r="C3567" s="45"/>
    </row>
    <row r="3568" spans="2:3" x14ac:dyDescent="0.25">
      <c r="B3568" s="45"/>
      <c r="C3568" s="45"/>
    </row>
    <row r="3569" spans="2:3" x14ac:dyDescent="0.25">
      <c r="B3569" s="45"/>
      <c r="C3569" s="45"/>
    </row>
    <row r="3570" spans="2:3" x14ac:dyDescent="0.25">
      <c r="B3570" s="45"/>
      <c r="C3570" s="45"/>
    </row>
    <row r="3571" spans="2:3" x14ac:dyDescent="0.25">
      <c r="B3571" s="45"/>
      <c r="C3571" s="45"/>
    </row>
    <row r="3572" spans="2:3" x14ac:dyDescent="0.25">
      <c r="B3572" s="45"/>
      <c r="C3572" s="45"/>
    </row>
    <row r="3573" spans="2:3" x14ac:dyDescent="0.25">
      <c r="B3573" s="45"/>
      <c r="C3573" s="45"/>
    </row>
    <row r="3574" spans="2:3" x14ac:dyDescent="0.25">
      <c r="B3574" s="45"/>
      <c r="C3574" s="45"/>
    </row>
    <row r="3575" spans="2:3" x14ac:dyDescent="0.25">
      <c r="B3575" s="45"/>
      <c r="C3575" s="45"/>
    </row>
    <row r="3576" spans="2:3" x14ac:dyDescent="0.25">
      <c r="B3576" s="45"/>
      <c r="C3576" s="45"/>
    </row>
    <row r="3577" spans="2:3" x14ac:dyDescent="0.25">
      <c r="B3577" s="45"/>
      <c r="C3577" s="45"/>
    </row>
    <row r="3578" spans="2:3" x14ac:dyDescent="0.25">
      <c r="B3578" s="45"/>
      <c r="C3578" s="45"/>
    </row>
    <row r="3579" spans="2:3" x14ac:dyDescent="0.25">
      <c r="B3579" s="45"/>
      <c r="C3579" s="45"/>
    </row>
    <row r="3580" spans="2:3" x14ac:dyDescent="0.25">
      <c r="B3580" s="45"/>
      <c r="C3580" s="45"/>
    </row>
    <row r="3581" spans="2:3" x14ac:dyDescent="0.25">
      <c r="B3581" s="45"/>
      <c r="C3581" s="45"/>
    </row>
    <row r="3582" spans="2:3" x14ac:dyDescent="0.25">
      <c r="B3582" s="45"/>
      <c r="C3582" s="45"/>
    </row>
    <row r="3583" spans="2:3" x14ac:dyDescent="0.25">
      <c r="B3583" s="45"/>
      <c r="C3583" s="45"/>
    </row>
    <row r="3584" spans="2:3" x14ac:dyDescent="0.25">
      <c r="B3584" s="45"/>
      <c r="C3584" s="45"/>
    </row>
    <row r="3585" spans="2:3" x14ac:dyDescent="0.25">
      <c r="B3585" s="45"/>
      <c r="C3585" s="45"/>
    </row>
    <row r="3586" spans="2:3" x14ac:dyDescent="0.25">
      <c r="B3586" s="45"/>
      <c r="C3586" s="45"/>
    </row>
    <row r="3587" spans="2:3" x14ac:dyDescent="0.25">
      <c r="B3587" s="45"/>
      <c r="C3587" s="45"/>
    </row>
    <row r="3588" spans="2:3" x14ac:dyDescent="0.25">
      <c r="B3588" s="45"/>
      <c r="C3588" s="45"/>
    </row>
    <row r="3589" spans="2:3" x14ac:dyDescent="0.25">
      <c r="B3589" s="45"/>
      <c r="C3589" s="45"/>
    </row>
    <row r="3590" spans="2:3" x14ac:dyDescent="0.25">
      <c r="B3590" s="45"/>
      <c r="C3590" s="45"/>
    </row>
    <row r="3591" spans="2:3" x14ac:dyDescent="0.25">
      <c r="B3591" s="45"/>
      <c r="C3591" s="45"/>
    </row>
    <row r="3592" spans="2:3" x14ac:dyDescent="0.25">
      <c r="B3592" s="45"/>
      <c r="C3592" s="45"/>
    </row>
    <row r="3593" spans="2:3" x14ac:dyDescent="0.25">
      <c r="B3593" s="45"/>
      <c r="C3593" s="45"/>
    </row>
    <row r="3594" spans="2:3" x14ac:dyDescent="0.25">
      <c r="B3594" s="45"/>
      <c r="C3594" s="45"/>
    </row>
    <row r="3595" spans="2:3" x14ac:dyDescent="0.25">
      <c r="B3595" s="45"/>
      <c r="C3595" s="45"/>
    </row>
    <row r="3596" spans="2:3" x14ac:dyDescent="0.25">
      <c r="B3596" s="45"/>
      <c r="C3596" s="45"/>
    </row>
    <row r="3597" spans="2:3" x14ac:dyDescent="0.25">
      <c r="B3597" s="45"/>
      <c r="C3597" s="45"/>
    </row>
    <row r="3598" spans="2:3" x14ac:dyDescent="0.25">
      <c r="B3598" s="45"/>
      <c r="C3598" s="45"/>
    </row>
    <row r="3599" spans="2:3" x14ac:dyDescent="0.25">
      <c r="B3599" s="45"/>
      <c r="C3599" s="45"/>
    </row>
    <row r="3600" spans="2:3" x14ac:dyDescent="0.25">
      <c r="B3600" s="45"/>
      <c r="C3600" s="45"/>
    </row>
    <row r="3601" spans="2:3" x14ac:dyDescent="0.25">
      <c r="B3601" s="45"/>
      <c r="C3601" s="45"/>
    </row>
    <row r="3602" spans="2:3" x14ac:dyDescent="0.25">
      <c r="B3602" s="45"/>
      <c r="C3602" s="45"/>
    </row>
    <row r="3603" spans="2:3" x14ac:dyDescent="0.25">
      <c r="B3603" s="45"/>
      <c r="C3603" s="45"/>
    </row>
    <row r="3604" spans="2:3" x14ac:dyDescent="0.25">
      <c r="B3604" s="45"/>
      <c r="C3604" s="45"/>
    </row>
    <row r="3605" spans="2:3" x14ac:dyDescent="0.25">
      <c r="B3605" s="45"/>
      <c r="C3605" s="45"/>
    </row>
    <row r="3606" spans="2:3" x14ac:dyDescent="0.25">
      <c r="B3606" s="45"/>
      <c r="C3606" s="45"/>
    </row>
    <row r="3607" spans="2:3" x14ac:dyDescent="0.25">
      <c r="B3607" s="45"/>
      <c r="C3607" s="45"/>
    </row>
    <row r="3608" spans="2:3" x14ac:dyDescent="0.25">
      <c r="B3608" s="45"/>
      <c r="C3608" s="45"/>
    </row>
    <row r="3609" spans="2:3" x14ac:dyDescent="0.25">
      <c r="B3609" s="45"/>
      <c r="C3609" s="45"/>
    </row>
    <row r="3610" spans="2:3" x14ac:dyDescent="0.25">
      <c r="B3610" s="45"/>
      <c r="C3610" s="45"/>
    </row>
    <row r="3611" spans="2:3" x14ac:dyDescent="0.25">
      <c r="B3611" s="45"/>
      <c r="C3611" s="45"/>
    </row>
    <row r="3612" spans="2:3" x14ac:dyDescent="0.25">
      <c r="B3612" s="45"/>
      <c r="C3612" s="45"/>
    </row>
    <row r="3613" spans="2:3" x14ac:dyDescent="0.25">
      <c r="B3613" s="45"/>
      <c r="C3613" s="45"/>
    </row>
    <row r="3614" spans="2:3" x14ac:dyDescent="0.25">
      <c r="B3614" s="45"/>
      <c r="C3614" s="45"/>
    </row>
    <row r="3615" spans="2:3" x14ac:dyDescent="0.25">
      <c r="B3615" s="45"/>
      <c r="C3615" s="45"/>
    </row>
    <row r="3616" spans="2:3" x14ac:dyDescent="0.25">
      <c r="B3616" s="45"/>
      <c r="C3616" s="45"/>
    </row>
    <row r="3617" spans="2:3" x14ac:dyDescent="0.25">
      <c r="B3617" s="45"/>
      <c r="C3617" s="45"/>
    </row>
    <row r="3618" spans="2:3" x14ac:dyDescent="0.25">
      <c r="B3618" s="45"/>
      <c r="C3618" s="45"/>
    </row>
    <row r="3619" spans="2:3" x14ac:dyDescent="0.25">
      <c r="B3619" s="45"/>
      <c r="C3619" s="45"/>
    </row>
    <row r="3620" spans="2:3" x14ac:dyDescent="0.25">
      <c r="B3620" s="45"/>
      <c r="C3620" s="45"/>
    </row>
    <row r="3621" spans="2:3" x14ac:dyDescent="0.25">
      <c r="B3621" s="45"/>
      <c r="C3621" s="45"/>
    </row>
    <row r="3622" spans="2:3" x14ac:dyDescent="0.25">
      <c r="B3622" s="45"/>
      <c r="C3622" s="45"/>
    </row>
    <row r="3623" spans="2:3" x14ac:dyDescent="0.25">
      <c r="B3623" s="45"/>
      <c r="C3623" s="45"/>
    </row>
    <row r="3624" spans="2:3" x14ac:dyDescent="0.25">
      <c r="B3624" s="45"/>
      <c r="C3624" s="45"/>
    </row>
    <row r="3625" spans="2:3" x14ac:dyDescent="0.25">
      <c r="B3625" s="45"/>
      <c r="C3625" s="45"/>
    </row>
    <row r="3626" spans="2:3" x14ac:dyDescent="0.25">
      <c r="B3626" s="45"/>
      <c r="C3626" s="45"/>
    </row>
    <row r="3627" spans="2:3" x14ac:dyDescent="0.25">
      <c r="B3627" s="45"/>
      <c r="C3627" s="45"/>
    </row>
    <row r="3628" spans="2:3" x14ac:dyDescent="0.25">
      <c r="B3628" s="45"/>
      <c r="C3628" s="45"/>
    </row>
    <row r="3629" spans="2:3" x14ac:dyDescent="0.25">
      <c r="B3629" s="45"/>
      <c r="C3629" s="45"/>
    </row>
    <row r="3630" spans="2:3" x14ac:dyDescent="0.25">
      <c r="B3630" s="45"/>
      <c r="C3630" s="45"/>
    </row>
    <row r="3631" spans="2:3" x14ac:dyDescent="0.25">
      <c r="B3631" s="45"/>
      <c r="C3631" s="45"/>
    </row>
    <row r="3632" spans="2:3" x14ac:dyDescent="0.25">
      <c r="B3632" s="45"/>
      <c r="C3632" s="45"/>
    </row>
    <row r="3633" spans="2:3" x14ac:dyDescent="0.25">
      <c r="B3633" s="45"/>
      <c r="C3633" s="45"/>
    </row>
    <row r="3634" spans="2:3" x14ac:dyDescent="0.25">
      <c r="B3634" s="45"/>
      <c r="C3634" s="45"/>
    </row>
    <row r="3635" spans="2:3" x14ac:dyDescent="0.25">
      <c r="B3635" s="45"/>
      <c r="C3635" s="45"/>
    </row>
    <row r="3636" spans="2:3" x14ac:dyDescent="0.25">
      <c r="B3636" s="45"/>
      <c r="C3636" s="45"/>
    </row>
    <row r="3637" spans="2:3" x14ac:dyDescent="0.25">
      <c r="B3637" s="45"/>
      <c r="C3637" s="45"/>
    </row>
    <row r="3638" spans="2:3" x14ac:dyDescent="0.25">
      <c r="B3638" s="45"/>
      <c r="C3638" s="45"/>
    </row>
    <row r="3639" spans="2:3" x14ac:dyDescent="0.25">
      <c r="B3639" s="45"/>
      <c r="C3639" s="45"/>
    </row>
    <row r="3640" spans="2:3" x14ac:dyDescent="0.25">
      <c r="B3640" s="45"/>
      <c r="C3640" s="45"/>
    </row>
    <row r="3641" spans="2:3" x14ac:dyDescent="0.25">
      <c r="B3641" s="45"/>
      <c r="C3641" s="45"/>
    </row>
    <row r="3642" spans="2:3" x14ac:dyDescent="0.25">
      <c r="B3642" s="45"/>
      <c r="C3642" s="45"/>
    </row>
    <row r="3643" spans="2:3" x14ac:dyDescent="0.25">
      <c r="B3643" s="45"/>
      <c r="C3643" s="45"/>
    </row>
    <row r="3644" spans="2:3" x14ac:dyDescent="0.25">
      <c r="B3644" s="45"/>
      <c r="C3644" s="45"/>
    </row>
    <row r="3645" spans="2:3" x14ac:dyDescent="0.25">
      <c r="B3645" s="45"/>
      <c r="C3645" s="45"/>
    </row>
    <row r="3646" spans="2:3" x14ac:dyDescent="0.25">
      <c r="B3646" s="45"/>
      <c r="C3646" s="45"/>
    </row>
    <row r="3647" spans="2:3" x14ac:dyDescent="0.25">
      <c r="B3647" s="45"/>
      <c r="C3647" s="45"/>
    </row>
    <row r="3648" spans="2:3" x14ac:dyDescent="0.25">
      <c r="B3648" s="45"/>
      <c r="C3648" s="45"/>
    </row>
    <row r="3649" spans="2:3" x14ac:dyDescent="0.25">
      <c r="B3649" s="45"/>
      <c r="C3649" s="45"/>
    </row>
    <row r="3650" spans="2:3" x14ac:dyDescent="0.25">
      <c r="B3650" s="45"/>
      <c r="C3650" s="45"/>
    </row>
    <row r="3651" spans="2:3" x14ac:dyDescent="0.25">
      <c r="B3651" s="45"/>
      <c r="C3651" s="45"/>
    </row>
    <row r="3652" spans="2:3" x14ac:dyDescent="0.25">
      <c r="B3652" s="45"/>
      <c r="C3652" s="45"/>
    </row>
    <row r="3653" spans="2:3" x14ac:dyDescent="0.25">
      <c r="B3653" s="45"/>
      <c r="C3653" s="45"/>
    </row>
    <row r="3654" spans="2:3" x14ac:dyDescent="0.25">
      <c r="B3654" s="45"/>
      <c r="C3654" s="45"/>
    </row>
    <row r="3655" spans="2:3" x14ac:dyDescent="0.25">
      <c r="B3655" s="45"/>
      <c r="C3655" s="45"/>
    </row>
    <row r="3656" spans="2:3" x14ac:dyDescent="0.25">
      <c r="B3656" s="45"/>
      <c r="C3656" s="45"/>
    </row>
    <row r="3657" spans="2:3" x14ac:dyDescent="0.25">
      <c r="B3657" s="45"/>
      <c r="C3657" s="45"/>
    </row>
    <row r="3658" spans="2:3" x14ac:dyDescent="0.25">
      <c r="B3658" s="45"/>
      <c r="C3658" s="45"/>
    </row>
    <row r="3659" spans="2:3" x14ac:dyDescent="0.25">
      <c r="B3659" s="45"/>
      <c r="C3659" s="45"/>
    </row>
    <row r="3660" spans="2:3" x14ac:dyDescent="0.25">
      <c r="B3660" s="45"/>
      <c r="C3660" s="45"/>
    </row>
    <row r="3661" spans="2:3" x14ac:dyDescent="0.25">
      <c r="B3661" s="45"/>
      <c r="C3661" s="45"/>
    </row>
    <row r="3662" spans="2:3" x14ac:dyDescent="0.25">
      <c r="B3662" s="45"/>
      <c r="C3662" s="45"/>
    </row>
    <row r="3663" spans="2:3" x14ac:dyDescent="0.25">
      <c r="B3663" s="45"/>
      <c r="C3663" s="45"/>
    </row>
    <row r="3664" spans="2:3" x14ac:dyDescent="0.25">
      <c r="B3664" s="45"/>
      <c r="C3664" s="45"/>
    </row>
    <row r="3665" spans="2:3" x14ac:dyDescent="0.25">
      <c r="B3665" s="45"/>
      <c r="C3665" s="45"/>
    </row>
    <row r="3666" spans="2:3" x14ac:dyDescent="0.25">
      <c r="B3666" s="45"/>
      <c r="C3666" s="45"/>
    </row>
    <row r="3667" spans="2:3" x14ac:dyDescent="0.25">
      <c r="B3667" s="45"/>
      <c r="C3667" s="45"/>
    </row>
    <row r="3668" spans="2:3" x14ac:dyDescent="0.25">
      <c r="B3668" s="45"/>
      <c r="C3668" s="45"/>
    </row>
    <row r="3669" spans="2:3" x14ac:dyDescent="0.25">
      <c r="B3669" s="45"/>
      <c r="C3669" s="45"/>
    </row>
    <row r="3670" spans="2:3" x14ac:dyDescent="0.25">
      <c r="B3670" s="45"/>
      <c r="C3670" s="45"/>
    </row>
    <row r="3671" spans="2:3" x14ac:dyDescent="0.25">
      <c r="B3671" s="45"/>
      <c r="C3671" s="45"/>
    </row>
    <row r="3672" spans="2:3" x14ac:dyDescent="0.25">
      <c r="B3672" s="45"/>
      <c r="C3672" s="45"/>
    </row>
    <row r="3673" spans="2:3" x14ac:dyDescent="0.25">
      <c r="B3673" s="45"/>
      <c r="C3673" s="45"/>
    </row>
    <row r="3674" spans="2:3" x14ac:dyDescent="0.25">
      <c r="B3674" s="45"/>
      <c r="C3674" s="45"/>
    </row>
    <row r="3675" spans="2:3" x14ac:dyDescent="0.25">
      <c r="B3675" s="45"/>
      <c r="C3675" s="45"/>
    </row>
    <row r="3676" spans="2:3" x14ac:dyDescent="0.25">
      <c r="B3676" s="45"/>
      <c r="C3676" s="45"/>
    </row>
    <row r="3677" spans="2:3" x14ac:dyDescent="0.25">
      <c r="B3677" s="45"/>
      <c r="C3677" s="45"/>
    </row>
    <row r="3678" spans="2:3" x14ac:dyDescent="0.25">
      <c r="B3678" s="45"/>
      <c r="C3678" s="45"/>
    </row>
    <row r="3679" spans="2:3" x14ac:dyDescent="0.25">
      <c r="B3679" s="45"/>
      <c r="C3679" s="45"/>
    </row>
    <row r="3680" spans="2:3" x14ac:dyDescent="0.25">
      <c r="B3680" s="45"/>
      <c r="C3680" s="45"/>
    </row>
    <row r="3681" spans="2:3" x14ac:dyDescent="0.25">
      <c r="B3681" s="45"/>
      <c r="C3681" s="45"/>
    </row>
    <row r="3682" spans="2:3" x14ac:dyDescent="0.25">
      <c r="B3682" s="45"/>
      <c r="C3682" s="45"/>
    </row>
    <row r="3683" spans="2:3" x14ac:dyDescent="0.25">
      <c r="B3683" s="45"/>
      <c r="C3683" s="45"/>
    </row>
    <row r="3684" spans="2:3" x14ac:dyDescent="0.25">
      <c r="B3684" s="45"/>
      <c r="C3684" s="45"/>
    </row>
    <row r="3685" spans="2:3" x14ac:dyDescent="0.25">
      <c r="B3685" s="45"/>
      <c r="C3685" s="45"/>
    </row>
    <row r="3686" spans="2:3" x14ac:dyDescent="0.25">
      <c r="B3686" s="45"/>
      <c r="C3686" s="45"/>
    </row>
    <row r="3687" spans="2:3" x14ac:dyDescent="0.25">
      <c r="B3687" s="45"/>
      <c r="C3687" s="45"/>
    </row>
    <row r="3688" spans="2:3" x14ac:dyDescent="0.25">
      <c r="B3688" s="45"/>
      <c r="C3688" s="45"/>
    </row>
    <row r="3689" spans="2:3" x14ac:dyDescent="0.25">
      <c r="B3689" s="45"/>
      <c r="C3689" s="45"/>
    </row>
    <row r="3690" spans="2:3" x14ac:dyDescent="0.25">
      <c r="B3690" s="45"/>
      <c r="C3690" s="45"/>
    </row>
    <row r="3691" spans="2:3" x14ac:dyDescent="0.25">
      <c r="B3691" s="45"/>
      <c r="C3691" s="45"/>
    </row>
    <row r="3692" spans="2:3" x14ac:dyDescent="0.25">
      <c r="B3692" s="45"/>
      <c r="C3692" s="45"/>
    </row>
    <row r="3693" spans="2:3" x14ac:dyDescent="0.25">
      <c r="B3693" s="45"/>
      <c r="C3693" s="45"/>
    </row>
    <row r="3694" spans="2:3" x14ac:dyDescent="0.25">
      <c r="B3694" s="45"/>
      <c r="C3694" s="45"/>
    </row>
    <row r="3695" spans="2:3" x14ac:dyDescent="0.25">
      <c r="B3695" s="45"/>
      <c r="C3695" s="45"/>
    </row>
    <row r="3696" spans="2:3" x14ac:dyDescent="0.25">
      <c r="B3696" s="45"/>
      <c r="C3696" s="45"/>
    </row>
    <row r="3697" spans="2:3" x14ac:dyDescent="0.25">
      <c r="B3697" s="45"/>
      <c r="C3697" s="45"/>
    </row>
    <row r="3698" spans="2:3" x14ac:dyDescent="0.25">
      <c r="B3698" s="45"/>
      <c r="C3698" s="45"/>
    </row>
    <row r="3699" spans="2:3" x14ac:dyDescent="0.25">
      <c r="B3699" s="45"/>
      <c r="C3699" s="45"/>
    </row>
    <row r="3700" spans="2:3" x14ac:dyDescent="0.25">
      <c r="B3700" s="45"/>
      <c r="C3700" s="45"/>
    </row>
    <row r="3701" spans="2:3" x14ac:dyDescent="0.25">
      <c r="B3701" s="45"/>
      <c r="C3701" s="45"/>
    </row>
    <row r="3702" spans="2:3" x14ac:dyDescent="0.25">
      <c r="B3702" s="45"/>
      <c r="C3702" s="45"/>
    </row>
    <row r="3703" spans="2:3" x14ac:dyDescent="0.25">
      <c r="B3703" s="45"/>
      <c r="C3703" s="45"/>
    </row>
    <row r="3704" spans="2:3" x14ac:dyDescent="0.25">
      <c r="B3704" s="45"/>
      <c r="C3704" s="45"/>
    </row>
    <row r="3705" spans="2:3" x14ac:dyDescent="0.25">
      <c r="B3705" s="45"/>
      <c r="C3705" s="45"/>
    </row>
    <row r="3706" spans="2:3" x14ac:dyDescent="0.25">
      <c r="B3706" s="45"/>
      <c r="C3706" s="45"/>
    </row>
    <row r="3707" spans="2:3" x14ac:dyDescent="0.25">
      <c r="B3707" s="45"/>
      <c r="C3707" s="45"/>
    </row>
    <row r="3708" spans="2:3" x14ac:dyDescent="0.25">
      <c r="B3708" s="45"/>
      <c r="C3708" s="45"/>
    </row>
    <row r="3709" spans="2:3" x14ac:dyDescent="0.25">
      <c r="B3709" s="45"/>
      <c r="C3709" s="45"/>
    </row>
    <row r="3710" spans="2:3" x14ac:dyDescent="0.25">
      <c r="B3710" s="45"/>
      <c r="C3710" s="45"/>
    </row>
    <row r="3711" spans="2:3" x14ac:dyDescent="0.25">
      <c r="B3711" s="45"/>
      <c r="C3711" s="45"/>
    </row>
    <row r="3712" spans="2:3" x14ac:dyDescent="0.25">
      <c r="B3712" s="45"/>
      <c r="C3712" s="45"/>
    </row>
    <row r="3713" spans="2:3" x14ac:dyDescent="0.25">
      <c r="B3713" s="45"/>
      <c r="C3713" s="45"/>
    </row>
    <row r="3714" spans="2:3" x14ac:dyDescent="0.25">
      <c r="B3714" s="45"/>
      <c r="C3714" s="45"/>
    </row>
    <row r="3715" spans="2:3" x14ac:dyDescent="0.25">
      <c r="B3715" s="45"/>
      <c r="C3715" s="45"/>
    </row>
    <row r="3716" spans="2:3" x14ac:dyDescent="0.25">
      <c r="B3716" s="45"/>
      <c r="C3716" s="45"/>
    </row>
    <row r="3717" spans="2:3" x14ac:dyDescent="0.25">
      <c r="B3717" s="45"/>
      <c r="C3717" s="45"/>
    </row>
    <row r="3718" spans="2:3" x14ac:dyDescent="0.25">
      <c r="B3718" s="45"/>
      <c r="C3718" s="45"/>
    </row>
    <row r="3719" spans="2:3" x14ac:dyDescent="0.25">
      <c r="B3719" s="45"/>
      <c r="C3719" s="45"/>
    </row>
    <row r="3720" spans="2:3" x14ac:dyDescent="0.25">
      <c r="B3720" s="45"/>
      <c r="C3720" s="45"/>
    </row>
    <row r="3721" spans="2:3" x14ac:dyDescent="0.25">
      <c r="B3721" s="45"/>
      <c r="C3721" s="45"/>
    </row>
    <row r="3722" spans="2:3" x14ac:dyDescent="0.25">
      <c r="B3722" s="45"/>
      <c r="C3722" s="45"/>
    </row>
    <row r="3723" spans="2:3" x14ac:dyDescent="0.25">
      <c r="B3723" s="45"/>
      <c r="C3723" s="45"/>
    </row>
    <row r="3724" spans="2:3" x14ac:dyDescent="0.25">
      <c r="B3724" s="45"/>
      <c r="C3724" s="45"/>
    </row>
    <row r="3725" spans="2:3" x14ac:dyDescent="0.25">
      <c r="B3725" s="45"/>
      <c r="C3725" s="45"/>
    </row>
    <row r="3726" spans="2:3" x14ac:dyDescent="0.25">
      <c r="B3726" s="45"/>
      <c r="C3726" s="45"/>
    </row>
    <row r="3727" spans="2:3" x14ac:dyDescent="0.25">
      <c r="B3727" s="45"/>
      <c r="C3727" s="45"/>
    </row>
    <row r="3728" spans="2:3" x14ac:dyDescent="0.25">
      <c r="B3728" s="45"/>
      <c r="C3728" s="45"/>
    </row>
    <row r="3729" spans="2:3" x14ac:dyDescent="0.25">
      <c r="B3729" s="45"/>
      <c r="C3729" s="45"/>
    </row>
    <row r="3730" spans="2:3" x14ac:dyDescent="0.25">
      <c r="B3730" s="45"/>
      <c r="C3730" s="45"/>
    </row>
    <row r="3731" spans="2:3" x14ac:dyDescent="0.25">
      <c r="B3731" s="45"/>
      <c r="C3731" s="45"/>
    </row>
    <row r="3732" spans="2:3" x14ac:dyDescent="0.25">
      <c r="B3732" s="45"/>
      <c r="C3732" s="45"/>
    </row>
    <row r="3733" spans="2:3" x14ac:dyDescent="0.25">
      <c r="B3733" s="45"/>
      <c r="C3733" s="45"/>
    </row>
    <row r="3734" spans="2:3" x14ac:dyDescent="0.25">
      <c r="B3734" s="45"/>
      <c r="C3734" s="45"/>
    </row>
    <row r="3735" spans="2:3" x14ac:dyDescent="0.25">
      <c r="B3735" s="45"/>
      <c r="C3735" s="45"/>
    </row>
    <row r="3736" spans="2:3" x14ac:dyDescent="0.25">
      <c r="B3736" s="45"/>
      <c r="C3736" s="45"/>
    </row>
    <row r="3737" spans="2:3" x14ac:dyDescent="0.25">
      <c r="B3737" s="45"/>
      <c r="C3737" s="45"/>
    </row>
    <row r="3738" spans="2:3" x14ac:dyDescent="0.25">
      <c r="B3738" s="45"/>
      <c r="C3738" s="45"/>
    </row>
    <row r="3739" spans="2:3" x14ac:dyDescent="0.25">
      <c r="B3739" s="45"/>
      <c r="C3739" s="45"/>
    </row>
    <row r="3740" spans="2:3" x14ac:dyDescent="0.25">
      <c r="B3740" s="45"/>
      <c r="C3740" s="45"/>
    </row>
    <row r="3741" spans="2:3" x14ac:dyDescent="0.25">
      <c r="B3741" s="45"/>
      <c r="C3741" s="45"/>
    </row>
    <row r="3742" spans="2:3" x14ac:dyDescent="0.25">
      <c r="B3742" s="45"/>
      <c r="C3742" s="45"/>
    </row>
    <row r="3743" spans="2:3" x14ac:dyDescent="0.25">
      <c r="B3743" s="45"/>
      <c r="C3743" s="45"/>
    </row>
    <row r="3744" spans="2:3" x14ac:dyDescent="0.25">
      <c r="B3744" s="45"/>
      <c r="C3744" s="45"/>
    </row>
    <row r="3745" spans="2:3" x14ac:dyDescent="0.25">
      <c r="B3745" s="45"/>
      <c r="C3745" s="45"/>
    </row>
    <row r="3746" spans="2:3" x14ac:dyDescent="0.25">
      <c r="B3746" s="45"/>
      <c r="C3746" s="45"/>
    </row>
    <row r="3747" spans="2:3" x14ac:dyDescent="0.25">
      <c r="B3747" s="45"/>
      <c r="C3747" s="45"/>
    </row>
    <row r="3748" spans="2:3" x14ac:dyDescent="0.25">
      <c r="B3748" s="45"/>
      <c r="C3748" s="45"/>
    </row>
    <row r="3749" spans="2:3" x14ac:dyDescent="0.25">
      <c r="B3749" s="45"/>
      <c r="C3749" s="45"/>
    </row>
    <row r="3750" spans="2:3" x14ac:dyDescent="0.25">
      <c r="B3750" s="45"/>
      <c r="C3750" s="45"/>
    </row>
    <row r="3751" spans="2:3" x14ac:dyDescent="0.25">
      <c r="B3751" s="45"/>
      <c r="C3751" s="45"/>
    </row>
    <row r="3752" spans="2:3" x14ac:dyDescent="0.25">
      <c r="B3752" s="45"/>
      <c r="C3752" s="45"/>
    </row>
    <row r="3753" spans="2:3" x14ac:dyDescent="0.25">
      <c r="B3753" s="45"/>
      <c r="C3753" s="45"/>
    </row>
    <row r="3754" spans="2:3" x14ac:dyDescent="0.25">
      <c r="B3754" s="45"/>
      <c r="C3754" s="45"/>
    </row>
    <row r="3755" spans="2:3" x14ac:dyDescent="0.25">
      <c r="B3755" s="45"/>
      <c r="C3755" s="45"/>
    </row>
    <row r="3756" spans="2:3" x14ac:dyDescent="0.25">
      <c r="B3756" s="45"/>
      <c r="C3756" s="45"/>
    </row>
    <row r="3757" spans="2:3" x14ac:dyDescent="0.25">
      <c r="B3757" s="45"/>
      <c r="C3757" s="45"/>
    </row>
    <row r="3758" spans="2:3" x14ac:dyDescent="0.25">
      <c r="B3758" s="45"/>
      <c r="C3758" s="45"/>
    </row>
    <row r="3759" spans="2:3" x14ac:dyDescent="0.25">
      <c r="B3759" s="45"/>
      <c r="C3759" s="45"/>
    </row>
    <row r="3760" spans="2:3" x14ac:dyDescent="0.25">
      <c r="B3760" s="45"/>
      <c r="C3760" s="45"/>
    </row>
    <row r="3761" spans="2:3" x14ac:dyDescent="0.25">
      <c r="B3761" s="45"/>
      <c r="C3761" s="45"/>
    </row>
    <row r="3762" spans="2:3" x14ac:dyDescent="0.25">
      <c r="B3762" s="45"/>
      <c r="C3762" s="45"/>
    </row>
    <row r="3763" spans="2:3" x14ac:dyDescent="0.25">
      <c r="B3763" s="45"/>
      <c r="C3763" s="45"/>
    </row>
    <row r="3764" spans="2:3" x14ac:dyDescent="0.25">
      <c r="B3764" s="45"/>
      <c r="C3764" s="45"/>
    </row>
    <row r="3765" spans="2:3" x14ac:dyDescent="0.25">
      <c r="B3765" s="45"/>
      <c r="C3765" s="45"/>
    </row>
    <row r="3766" spans="2:3" x14ac:dyDescent="0.25">
      <c r="B3766" s="45"/>
      <c r="C3766" s="45"/>
    </row>
    <row r="3767" spans="2:3" x14ac:dyDescent="0.25">
      <c r="B3767" s="45"/>
      <c r="C3767" s="45"/>
    </row>
    <row r="3768" spans="2:3" x14ac:dyDescent="0.25">
      <c r="B3768" s="45"/>
      <c r="C3768" s="45"/>
    </row>
    <row r="3769" spans="2:3" x14ac:dyDescent="0.25">
      <c r="B3769" s="45"/>
      <c r="C3769" s="45"/>
    </row>
    <row r="3770" spans="2:3" x14ac:dyDescent="0.25">
      <c r="B3770" s="45"/>
      <c r="C3770" s="45"/>
    </row>
    <row r="3771" spans="2:3" x14ac:dyDescent="0.25">
      <c r="B3771" s="45"/>
      <c r="C3771" s="45"/>
    </row>
    <row r="3772" spans="2:3" x14ac:dyDescent="0.25">
      <c r="B3772" s="45"/>
      <c r="C3772" s="45"/>
    </row>
    <row r="3773" spans="2:3" x14ac:dyDescent="0.25">
      <c r="B3773" s="45"/>
      <c r="C3773" s="45"/>
    </row>
    <row r="3774" spans="2:3" x14ac:dyDescent="0.25">
      <c r="B3774" s="45"/>
      <c r="C3774" s="45"/>
    </row>
    <row r="3775" spans="2:3" x14ac:dyDescent="0.25">
      <c r="B3775" s="45"/>
      <c r="C3775" s="45"/>
    </row>
    <row r="3776" spans="2:3" x14ac:dyDescent="0.25">
      <c r="B3776" s="45"/>
      <c r="C3776" s="45"/>
    </row>
    <row r="3777" spans="2:3" x14ac:dyDescent="0.25">
      <c r="B3777" s="45"/>
      <c r="C3777" s="45"/>
    </row>
    <row r="3778" spans="2:3" x14ac:dyDescent="0.25">
      <c r="B3778" s="45"/>
      <c r="C3778" s="45"/>
    </row>
    <row r="3779" spans="2:3" x14ac:dyDescent="0.25">
      <c r="B3779" s="45"/>
      <c r="C3779" s="45"/>
    </row>
    <row r="3780" spans="2:3" x14ac:dyDescent="0.25">
      <c r="B3780" s="45"/>
      <c r="C3780" s="45"/>
    </row>
    <row r="3781" spans="2:3" x14ac:dyDescent="0.25">
      <c r="B3781" s="45"/>
      <c r="C3781" s="45"/>
    </row>
    <row r="3782" spans="2:3" x14ac:dyDescent="0.25">
      <c r="B3782" s="45"/>
      <c r="C3782" s="45"/>
    </row>
    <row r="3783" spans="2:3" x14ac:dyDescent="0.25">
      <c r="B3783" s="45"/>
      <c r="C3783" s="45"/>
    </row>
    <row r="3784" spans="2:3" x14ac:dyDescent="0.25">
      <c r="B3784" s="45"/>
      <c r="C3784" s="45"/>
    </row>
    <row r="3785" spans="2:3" x14ac:dyDescent="0.25">
      <c r="B3785" s="45"/>
      <c r="C3785" s="45"/>
    </row>
    <row r="3786" spans="2:3" x14ac:dyDescent="0.25">
      <c r="B3786" s="45"/>
      <c r="C3786" s="45"/>
    </row>
    <row r="3787" spans="2:3" x14ac:dyDescent="0.25">
      <c r="B3787" s="45"/>
      <c r="C3787" s="45"/>
    </row>
    <row r="3788" spans="2:3" x14ac:dyDescent="0.25">
      <c r="B3788" s="45"/>
      <c r="C3788" s="45"/>
    </row>
    <row r="3789" spans="2:3" x14ac:dyDescent="0.25">
      <c r="B3789" s="45"/>
      <c r="C3789" s="45"/>
    </row>
    <row r="3790" spans="2:3" x14ac:dyDescent="0.25">
      <c r="B3790" s="45"/>
      <c r="C3790" s="45"/>
    </row>
    <row r="3791" spans="2:3" x14ac:dyDescent="0.25">
      <c r="B3791" s="45"/>
      <c r="C3791" s="45"/>
    </row>
    <row r="3792" spans="2:3" x14ac:dyDescent="0.25">
      <c r="B3792" s="45"/>
      <c r="C3792" s="45"/>
    </row>
    <row r="3793" spans="2:3" x14ac:dyDescent="0.25">
      <c r="B3793" s="45"/>
      <c r="C3793" s="45"/>
    </row>
    <row r="3794" spans="2:3" x14ac:dyDescent="0.25">
      <c r="B3794" s="45"/>
      <c r="C3794" s="45"/>
    </row>
    <row r="3795" spans="2:3" x14ac:dyDescent="0.25">
      <c r="B3795" s="45"/>
      <c r="C3795" s="45"/>
    </row>
    <row r="3796" spans="2:3" x14ac:dyDescent="0.25">
      <c r="B3796" s="45"/>
      <c r="C3796" s="45"/>
    </row>
    <row r="3797" spans="2:3" x14ac:dyDescent="0.25">
      <c r="B3797" s="45"/>
      <c r="C3797" s="45"/>
    </row>
    <row r="3798" spans="2:3" x14ac:dyDescent="0.25">
      <c r="B3798" s="45"/>
      <c r="C3798" s="45"/>
    </row>
    <row r="3799" spans="2:3" x14ac:dyDescent="0.25">
      <c r="B3799" s="45"/>
      <c r="C3799" s="45"/>
    </row>
    <row r="3800" spans="2:3" x14ac:dyDescent="0.25">
      <c r="B3800" s="45"/>
      <c r="C3800" s="45"/>
    </row>
    <row r="3801" spans="2:3" x14ac:dyDescent="0.25">
      <c r="B3801" s="45"/>
      <c r="C3801" s="45"/>
    </row>
    <row r="3802" spans="2:3" x14ac:dyDescent="0.25">
      <c r="B3802" s="45"/>
      <c r="C3802" s="45"/>
    </row>
    <row r="3803" spans="2:3" x14ac:dyDescent="0.25">
      <c r="B3803" s="45"/>
      <c r="C3803" s="45"/>
    </row>
    <row r="3804" spans="2:3" x14ac:dyDescent="0.25">
      <c r="B3804" s="45"/>
      <c r="C3804" s="45"/>
    </row>
    <row r="3805" spans="2:3" x14ac:dyDescent="0.25">
      <c r="B3805" s="45"/>
      <c r="C3805" s="45"/>
    </row>
    <row r="3806" spans="2:3" x14ac:dyDescent="0.25">
      <c r="B3806" s="45"/>
      <c r="C3806" s="45"/>
    </row>
    <row r="3807" spans="2:3" x14ac:dyDescent="0.25">
      <c r="B3807" s="45"/>
      <c r="C3807" s="45"/>
    </row>
    <row r="3808" spans="2:3" x14ac:dyDescent="0.25">
      <c r="B3808" s="45"/>
      <c r="C3808" s="45"/>
    </row>
    <row r="3809" spans="2:3" x14ac:dyDescent="0.25">
      <c r="B3809" s="45"/>
      <c r="C3809" s="45"/>
    </row>
    <row r="3810" spans="2:3" x14ac:dyDescent="0.25">
      <c r="B3810" s="45"/>
      <c r="C3810" s="45"/>
    </row>
    <row r="3811" spans="2:3" x14ac:dyDescent="0.25">
      <c r="B3811" s="45"/>
      <c r="C3811" s="45"/>
    </row>
    <row r="3812" spans="2:3" x14ac:dyDescent="0.25">
      <c r="B3812" s="45"/>
      <c r="C3812" s="45"/>
    </row>
    <row r="3813" spans="2:3" x14ac:dyDescent="0.25">
      <c r="B3813" s="45"/>
      <c r="C3813" s="45"/>
    </row>
    <row r="3814" spans="2:3" x14ac:dyDescent="0.25">
      <c r="B3814" s="45"/>
      <c r="C3814" s="45"/>
    </row>
    <row r="3815" spans="2:3" x14ac:dyDescent="0.25">
      <c r="B3815" s="45"/>
      <c r="C3815" s="45"/>
    </row>
    <row r="3816" spans="2:3" x14ac:dyDescent="0.25">
      <c r="B3816" s="45"/>
      <c r="C3816" s="45"/>
    </row>
    <row r="3817" spans="2:3" x14ac:dyDescent="0.25">
      <c r="B3817" s="45"/>
      <c r="C3817" s="45"/>
    </row>
    <row r="3818" spans="2:3" x14ac:dyDescent="0.25">
      <c r="B3818" s="45"/>
      <c r="C3818" s="45"/>
    </row>
    <row r="3819" spans="2:3" x14ac:dyDescent="0.25">
      <c r="B3819" s="45"/>
      <c r="C3819" s="45"/>
    </row>
    <row r="3820" spans="2:3" x14ac:dyDescent="0.25">
      <c r="B3820" s="45"/>
      <c r="C3820" s="45"/>
    </row>
    <row r="3821" spans="2:3" x14ac:dyDescent="0.25">
      <c r="B3821" s="45"/>
      <c r="C3821" s="45"/>
    </row>
    <row r="3822" spans="2:3" x14ac:dyDescent="0.25">
      <c r="B3822" s="45"/>
      <c r="C3822" s="45"/>
    </row>
    <row r="3823" spans="2:3" x14ac:dyDescent="0.25">
      <c r="B3823" s="45"/>
      <c r="C3823" s="45"/>
    </row>
    <row r="3824" spans="2:3" x14ac:dyDescent="0.25">
      <c r="B3824" s="45"/>
      <c r="C3824" s="45"/>
    </row>
    <row r="3825" spans="2:3" x14ac:dyDescent="0.25">
      <c r="B3825" s="45"/>
      <c r="C3825" s="45"/>
    </row>
    <row r="3826" spans="2:3" x14ac:dyDescent="0.25">
      <c r="B3826" s="45"/>
      <c r="C3826" s="45"/>
    </row>
    <row r="3827" spans="2:3" x14ac:dyDescent="0.25">
      <c r="B3827" s="45"/>
      <c r="C3827" s="45"/>
    </row>
    <row r="3828" spans="2:3" x14ac:dyDescent="0.25">
      <c r="B3828" s="45"/>
      <c r="C3828" s="45"/>
    </row>
    <row r="3829" spans="2:3" x14ac:dyDescent="0.25">
      <c r="B3829" s="45"/>
      <c r="C3829" s="45"/>
    </row>
    <row r="3830" spans="2:3" x14ac:dyDescent="0.25">
      <c r="B3830" s="45"/>
      <c r="C3830" s="45"/>
    </row>
    <row r="3831" spans="2:3" x14ac:dyDescent="0.25">
      <c r="B3831" s="45"/>
      <c r="C3831" s="45"/>
    </row>
    <row r="3832" spans="2:3" x14ac:dyDescent="0.25">
      <c r="B3832" s="45"/>
      <c r="C3832" s="45"/>
    </row>
    <row r="3833" spans="2:3" x14ac:dyDescent="0.25">
      <c r="B3833" s="45"/>
      <c r="C3833" s="45"/>
    </row>
    <row r="3834" spans="2:3" x14ac:dyDescent="0.25">
      <c r="B3834" s="45"/>
      <c r="C3834" s="45"/>
    </row>
    <row r="3835" spans="2:3" x14ac:dyDescent="0.25">
      <c r="B3835" s="45"/>
      <c r="C3835" s="45"/>
    </row>
    <row r="3836" spans="2:3" x14ac:dyDescent="0.25">
      <c r="B3836" s="45"/>
      <c r="C3836" s="45"/>
    </row>
    <row r="3837" spans="2:3" x14ac:dyDescent="0.25">
      <c r="B3837" s="45"/>
      <c r="C3837" s="45"/>
    </row>
    <row r="3838" spans="2:3" x14ac:dyDescent="0.25">
      <c r="B3838" s="45"/>
      <c r="C3838" s="45"/>
    </row>
    <row r="3839" spans="2:3" x14ac:dyDescent="0.25">
      <c r="B3839" s="45"/>
      <c r="C3839" s="45"/>
    </row>
    <row r="3840" spans="2:3" x14ac:dyDescent="0.25">
      <c r="B3840" s="45"/>
      <c r="C3840" s="45"/>
    </row>
    <row r="3841" spans="2:3" x14ac:dyDescent="0.25">
      <c r="B3841" s="45"/>
      <c r="C3841" s="45"/>
    </row>
    <row r="3842" spans="2:3" x14ac:dyDescent="0.25">
      <c r="B3842" s="45"/>
      <c r="C3842" s="45"/>
    </row>
    <row r="3843" spans="2:3" x14ac:dyDescent="0.25">
      <c r="B3843" s="45"/>
      <c r="C3843" s="45"/>
    </row>
    <row r="3844" spans="2:3" x14ac:dyDescent="0.25">
      <c r="B3844" s="45"/>
      <c r="C3844" s="45"/>
    </row>
    <row r="3845" spans="2:3" x14ac:dyDescent="0.25">
      <c r="B3845" s="45"/>
      <c r="C3845" s="45"/>
    </row>
    <row r="3846" spans="2:3" x14ac:dyDescent="0.25">
      <c r="B3846" s="45"/>
      <c r="C3846" s="45"/>
    </row>
    <row r="3847" spans="2:3" x14ac:dyDescent="0.25">
      <c r="B3847" s="45"/>
      <c r="C3847" s="45"/>
    </row>
    <row r="3848" spans="2:3" x14ac:dyDescent="0.25">
      <c r="B3848" s="45"/>
      <c r="C3848" s="45"/>
    </row>
    <row r="3849" spans="2:3" x14ac:dyDescent="0.25">
      <c r="B3849" s="45"/>
      <c r="C3849" s="45"/>
    </row>
    <row r="3850" spans="2:3" x14ac:dyDescent="0.25">
      <c r="B3850" s="45"/>
      <c r="C3850" s="45"/>
    </row>
    <row r="3851" spans="2:3" x14ac:dyDescent="0.25">
      <c r="B3851" s="45"/>
      <c r="C3851" s="45"/>
    </row>
    <row r="3852" spans="2:3" x14ac:dyDescent="0.25">
      <c r="B3852" s="45"/>
      <c r="C3852" s="45"/>
    </row>
    <row r="3853" spans="2:3" x14ac:dyDescent="0.25">
      <c r="B3853" s="45"/>
      <c r="C3853" s="45"/>
    </row>
    <row r="3854" spans="2:3" x14ac:dyDescent="0.25">
      <c r="B3854" s="45"/>
      <c r="C3854" s="45"/>
    </row>
    <row r="3855" spans="2:3" x14ac:dyDescent="0.25">
      <c r="B3855" s="45"/>
      <c r="C3855" s="45"/>
    </row>
    <row r="3856" spans="2:3" x14ac:dyDescent="0.25">
      <c r="B3856" s="45"/>
      <c r="C3856" s="45"/>
    </row>
    <row r="3857" spans="2:3" x14ac:dyDescent="0.25">
      <c r="B3857" s="45"/>
      <c r="C3857" s="45"/>
    </row>
    <row r="3858" spans="2:3" x14ac:dyDescent="0.25">
      <c r="B3858" s="45"/>
      <c r="C3858" s="45"/>
    </row>
    <row r="3859" spans="2:3" x14ac:dyDescent="0.25">
      <c r="B3859" s="45"/>
      <c r="C3859" s="45"/>
    </row>
    <row r="3860" spans="2:3" x14ac:dyDescent="0.25">
      <c r="B3860" s="45"/>
      <c r="C3860" s="45"/>
    </row>
    <row r="3861" spans="2:3" x14ac:dyDescent="0.25">
      <c r="B3861" s="45"/>
      <c r="C3861" s="45"/>
    </row>
    <row r="3862" spans="2:3" x14ac:dyDescent="0.25">
      <c r="B3862" s="45"/>
      <c r="C3862" s="45"/>
    </row>
    <row r="3863" spans="2:3" x14ac:dyDescent="0.25">
      <c r="B3863" s="45"/>
      <c r="C3863" s="45"/>
    </row>
    <row r="3864" spans="2:3" x14ac:dyDescent="0.25">
      <c r="B3864" s="45"/>
      <c r="C3864" s="45"/>
    </row>
    <row r="3865" spans="2:3" x14ac:dyDescent="0.25">
      <c r="B3865" s="45"/>
      <c r="C3865" s="45"/>
    </row>
    <row r="3866" spans="2:3" x14ac:dyDescent="0.25">
      <c r="B3866" s="45"/>
      <c r="C3866" s="45"/>
    </row>
    <row r="3867" spans="2:3" x14ac:dyDescent="0.25">
      <c r="B3867" s="45"/>
      <c r="C3867" s="45"/>
    </row>
    <row r="3868" spans="2:3" x14ac:dyDescent="0.25">
      <c r="B3868" s="45"/>
      <c r="C3868" s="45"/>
    </row>
    <row r="3869" spans="2:3" x14ac:dyDescent="0.25">
      <c r="B3869" s="45"/>
      <c r="C3869" s="45"/>
    </row>
    <row r="3870" spans="2:3" x14ac:dyDescent="0.25">
      <c r="B3870" s="45"/>
      <c r="C3870" s="45"/>
    </row>
    <row r="3871" spans="2:3" x14ac:dyDescent="0.25">
      <c r="B3871" s="45"/>
      <c r="C3871" s="45"/>
    </row>
    <row r="3872" spans="2:3" x14ac:dyDescent="0.25">
      <c r="B3872" s="45"/>
      <c r="C3872" s="45"/>
    </row>
    <row r="3873" spans="2:3" x14ac:dyDescent="0.25">
      <c r="B3873" s="45"/>
      <c r="C3873" s="45"/>
    </row>
    <row r="3874" spans="2:3" x14ac:dyDescent="0.25">
      <c r="B3874" s="45"/>
      <c r="C3874" s="45"/>
    </row>
    <row r="3875" spans="2:3" x14ac:dyDescent="0.25">
      <c r="B3875" s="45"/>
      <c r="C3875" s="45"/>
    </row>
    <row r="3876" spans="2:3" x14ac:dyDescent="0.25">
      <c r="B3876" s="45"/>
      <c r="C3876" s="45"/>
    </row>
    <row r="3877" spans="2:3" x14ac:dyDescent="0.25">
      <c r="B3877" s="45"/>
      <c r="C3877" s="45"/>
    </row>
    <row r="3878" spans="2:3" x14ac:dyDescent="0.25">
      <c r="B3878" s="45"/>
      <c r="C3878" s="45"/>
    </row>
    <row r="3879" spans="2:3" x14ac:dyDescent="0.25">
      <c r="B3879" s="45"/>
      <c r="C3879" s="45"/>
    </row>
    <row r="3880" spans="2:3" x14ac:dyDescent="0.25">
      <c r="B3880" s="45"/>
      <c r="C3880" s="45"/>
    </row>
    <row r="3881" spans="2:3" x14ac:dyDescent="0.25">
      <c r="B3881" s="45"/>
      <c r="C3881" s="45"/>
    </row>
    <row r="3882" spans="2:3" x14ac:dyDescent="0.25">
      <c r="B3882" s="45"/>
      <c r="C3882" s="45"/>
    </row>
    <row r="3883" spans="2:3" x14ac:dyDescent="0.25">
      <c r="B3883" s="45"/>
      <c r="C3883" s="45"/>
    </row>
    <row r="3884" spans="2:3" x14ac:dyDescent="0.25">
      <c r="B3884" s="45"/>
      <c r="C3884" s="45"/>
    </row>
    <row r="3885" spans="2:3" x14ac:dyDescent="0.25">
      <c r="B3885" s="45"/>
      <c r="C3885" s="45"/>
    </row>
    <row r="3886" spans="2:3" x14ac:dyDescent="0.25">
      <c r="B3886" s="45"/>
      <c r="C3886" s="45"/>
    </row>
    <row r="3887" spans="2:3" x14ac:dyDescent="0.25">
      <c r="B3887" s="45"/>
      <c r="C3887" s="45"/>
    </row>
    <row r="3888" spans="2:3" x14ac:dyDescent="0.25">
      <c r="B3888" s="45"/>
      <c r="C3888" s="45"/>
    </row>
    <row r="3889" spans="2:3" x14ac:dyDescent="0.25">
      <c r="B3889" s="45"/>
      <c r="C3889" s="45"/>
    </row>
    <row r="3890" spans="2:3" x14ac:dyDescent="0.25">
      <c r="B3890" s="45"/>
      <c r="C3890" s="45"/>
    </row>
    <row r="3891" spans="2:3" x14ac:dyDescent="0.25">
      <c r="B3891" s="45"/>
      <c r="C3891" s="45"/>
    </row>
    <row r="3892" spans="2:3" x14ac:dyDescent="0.25">
      <c r="B3892" s="45"/>
      <c r="C3892" s="45"/>
    </row>
    <row r="3893" spans="2:3" x14ac:dyDescent="0.25">
      <c r="B3893" s="45"/>
      <c r="C3893" s="45"/>
    </row>
    <row r="3894" spans="2:3" x14ac:dyDescent="0.25">
      <c r="B3894" s="45"/>
      <c r="C3894" s="45"/>
    </row>
    <row r="3895" spans="2:3" x14ac:dyDescent="0.25">
      <c r="B3895" s="45"/>
      <c r="C3895" s="45"/>
    </row>
    <row r="3896" spans="2:3" x14ac:dyDescent="0.25">
      <c r="B3896" s="45"/>
      <c r="C3896" s="45"/>
    </row>
    <row r="3897" spans="2:3" x14ac:dyDescent="0.25">
      <c r="B3897" s="45"/>
      <c r="C3897" s="45"/>
    </row>
    <row r="3898" spans="2:3" x14ac:dyDescent="0.25">
      <c r="B3898" s="45"/>
      <c r="C3898" s="45"/>
    </row>
    <row r="3899" spans="2:3" x14ac:dyDescent="0.25">
      <c r="B3899" s="45"/>
      <c r="C3899" s="45"/>
    </row>
    <row r="3900" spans="2:3" x14ac:dyDescent="0.25">
      <c r="B3900" s="45"/>
      <c r="C3900" s="45"/>
    </row>
    <row r="3901" spans="2:3" x14ac:dyDescent="0.25">
      <c r="B3901" s="45"/>
      <c r="C3901" s="45"/>
    </row>
    <row r="3902" spans="2:3" x14ac:dyDescent="0.25">
      <c r="B3902" s="45"/>
      <c r="C3902" s="45"/>
    </row>
    <row r="3903" spans="2:3" x14ac:dyDescent="0.25">
      <c r="B3903" s="45"/>
      <c r="C3903" s="45"/>
    </row>
    <row r="3904" spans="2:3" x14ac:dyDescent="0.25">
      <c r="B3904" s="45"/>
      <c r="C3904" s="45"/>
    </row>
    <row r="3905" spans="2:3" x14ac:dyDescent="0.25">
      <c r="B3905" s="45"/>
      <c r="C3905" s="45"/>
    </row>
    <row r="3906" spans="2:3" x14ac:dyDescent="0.25">
      <c r="B3906" s="45"/>
      <c r="C3906" s="45"/>
    </row>
    <row r="3907" spans="2:3" x14ac:dyDescent="0.25">
      <c r="B3907" s="45"/>
      <c r="C3907" s="45"/>
    </row>
    <row r="3908" spans="2:3" x14ac:dyDescent="0.25">
      <c r="B3908" s="45"/>
      <c r="C3908" s="45"/>
    </row>
    <row r="3909" spans="2:3" x14ac:dyDescent="0.25">
      <c r="B3909" s="45"/>
      <c r="C3909" s="45"/>
    </row>
    <row r="3910" spans="2:3" x14ac:dyDescent="0.25">
      <c r="B3910" s="45"/>
      <c r="C3910" s="45"/>
    </row>
    <row r="3911" spans="2:3" x14ac:dyDescent="0.25">
      <c r="B3911" s="45"/>
      <c r="C3911" s="45"/>
    </row>
    <row r="3912" spans="2:3" x14ac:dyDescent="0.25">
      <c r="B3912" s="45"/>
      <c r="C3912" s="45"/>
    </row>
    <row r="3913" spans="2:3" x14ac:dyDescent="0.25">
      <c r="B3913" s="45"/>
      <c r="C3913" s="45"/>
    </row>
    <row r="3914" spans="2:3" x14ac:dyDescent="0.25">
      <c r="B3914" s="45"/>
      <c r="C3914" s="45"/>
    </row>
    <row r="3915" spans="2:3" x14ac:dyDescent="0.25">
      <c r="B3915" s="45"/>
      <c r="C3915" s="45"/>
    </row>
    <row r="3916" spans="2:3" x14ac:dyDescent="0.25">
      <c r="B3916" s="45"/>
      <c r="C3916" s="45"/>
    </row>
    <row r="3917" spans="2:3" x14ac:dyDescent="0.25">
      <c r="B3917" s="45"/>
      <c r="C3917" s="45"/>
    </row>
    <row r="3918" spans="2:3" x14ac:dyDescent="0.25">
      <c r="B3918" s="45"/>
      <c r="C3918" s="45"/>
    </row>
    <row r="3919" spans="2:3" x14ac:dyDescent="0.25">
      <c r="B3919" s="45"/>
      <c r="C3919" s="45"/>
    </row>
    <row r="3920" spans="2:3" x14ac:dyDescent="0.25">
      <c r="B3920" s="45"/>
      <c r="C3920" s="45"/>
    </row>
    <row r="3921" spans="2:3" x14ac:dyDescent="0.25">
      <c r="B3921" s="45"/>
      <c r="C3921" s="45"/>
    </row>
    <row r="3922" spans="2:3" x14ac:dyDescent="0.25">
      <c r="B3922" s="45"/>
      <c r="C3922" s="45"/>
    </row>
    <row r="3923" spans="2:3" x14ac:dyDescent="0.25">
      <c r="B3923" s="45"/>
      <c r="C3923" s="45"/>
    </row>
    <row r="3924" spans="2:3" x14ac:dyDescent="0.25">
      <c r="B3924" s="45"/>
      <c r="C3924" s="45"/>
    </row>
    <row r="3925" spans="2:3" x14ac:dyDescent="0.25">
      <c r="B3925" s="45"/>
      <c r="C3925" s="45"/>
    </row>
    <row r="3926" spans="2:3" x14ac:dyDescent="0.25">
      <c r="B3926" s="45"/>
      <c r="C3926" s="45"/>
    </row>
    <row r="3927" spans="2:3" x14ac:dyDescent="0.25">
      <c r="B3927" s="45"/>
      <c r="C3927" s="45"/>
    </row>
    <row r="3928" spans="2:3" x14ac:dyDescent="0.25">
      <c r="B3928" s="45"/>
      <c r="C3928" s="45"/>
    </row>
    <row r="3929" spans="2:3" x14ac:dyDescent="0.25">
      <c r="B3929" s="45"/>
      <c r="C3929" s="45"/>
    </row>
    <row r="3930" spans="2:3" x14ac:dyDescent="0.25">
      <c r="B3930" s="45"/>
      <c r="C3930" s="45"/>
    </row>
    <row r="3931" spans="2:3" x14ac:dyDescent="0.25">
      <c r="B3931" s="45"/>
      <c r="C3931" s="45"/>
    </row>
    <row r="3932" spans="2:3" x14ac:dyDescent="0.25">
      <c r="B3932" s="45"/>
      <c r="C3932" s="45"/>
    </row>
    <row r="3933" spans="2:3" x14ac:dyDescent="0.25">
      <c r="B3933" s="45"/>
      <c r="C3933" s="45"/>
    </row>
    <row r="3934" spans="2:3" x14ac:dyDescent="0.25">
      <c r="B3934" s="45"/>
      <c r="C3934" s="45"/>
    </row>
    <row r="3935" spans="2:3" x14ac:dyDescent="0.25">
      <c r="B3935" s="45"/>
      <c r="C3935" s="45"/>
    </row>
    <row r="3936" spans="2:3" x14ac:dyDescent="0.25">
      <c r="B3936" s="45"/>
      <c r="C3936" s="45"/>
    </row>
    <row r="3937" spans="2:3" x14ac:dyDescent="0.25">
      <c r="B3937" s="45"/>
      <c r="C3937" s="45"/>
    </row>
    <row r="3938" spans="2:3" x14ac:dyDescent="0.25">
      <c r="B3938" s="45"/>
      <c r="C3938" s="45"/>
    </row>
    <row r="3939" spans="2:3" x14ac:dyDescent="0.25">
      <c r="B3939" s="45"/>
      <c r="C3939" s="45"/>
    </row>
    <row r="3940" spans="2:3" x14ac:dyDescent="0.25">
      <c r="B3940" s="45"/>
      <c r="C3940" s="45"/>
    </row>
    <row r="3941" spans="2:3" x14ac:dyDescent="0.25">
      <c r="B3941" s="45"/>
      <c r="C3941" s="45"/>
    </row>
    <row r="3942" spans="2:3" x14ac:dyDescent="0.25">
      <c r="B3942" s="45"/>
      <c r="C3942" s="45"/>
    </row>
    <row r="3943" spans="2:3" x14ac:dyDescent="0.25">
      <c r="B3943" s="45"/>
      <c r="C3943" s="45"/>
    </row>
    <row r="3944" spans="2:3" x14ac:dyDescent="0.25">
      <c r="B3944" s="45"/>
      <c r="C3944" s="45"/>
    </row>
    <row r="3945" spans="2:3" x14ac:dyDescent="0.25">
      <c r="B3945" s="45"/>
      <c r="C3945" s="45"/>
    </row>
    <row r="3946" spans="2:3" x14ac:dyDescent="0.25">
      <c r="B3946" s="45"/>
      <c r="C3946" s="45"/>
    </row>
    <row r="3947" spans="2:3" x14ac:dyDescent="0.25">
      <c r="B3947" s="45"/>
      <c r="C3947" s="45"/>
    </row>
    <row r="3948" spans="2:3" x14ac:dyDescent="0.25">
      <c r="B3948" s="45"/>
      <c r="C3948" s="45"/>
    </row>
    <row r="3949" spans="2:3" x14ac:dyDescent="0.25">
      <c r="B3949" s="45"/>
      <c r="C3949" s="45"/>
    </row>
    <row r="3950" spans="2:3" x14ac:dyDescent="0.25">
      <c r="B3950" s="45"/>
      <c r="C3950" s="45"/>
    </row>
    <row r="3951" spans="2:3" x14ac:dyDescent="0.25">
      <c r="B3951" s="45"/>
      <c r="C3951" s="45"/>
    </row>
    <row r="3952" spans="2:3" x14ac:dyDescent="0.25">
      <c r="B3952" s="45"/>
      <c r="C3952" s="45"/>
    </row>
    <row r="3953" spans="2:3" x14ac:dyDescent="0.25">
      <c r="B3953" s="45"/>
      <c r="C3953" s="45"/>
    </row>
    <row r="3954" spans="2:3" x14ac:dyDescent="0.25">
      <c r="B3954" s="45"/>
      <c r="C3954" s="45"/>
    </row>
    <row r="3955" spans="2:3" x14ac:dyDescent="0.25">
      <c r="B3955" s="45"/>
      <c r="C3955" s="45"/>
    </row>
    <row r="3956" spans="2:3" x14ac:dyDescent="0.25">
      <c r="B3956" s="45"/>
      <c r="C3956" s="45"/>
    </row>
    <row r="3957" spans="2:3" x14ac:dyDescent="0.25">
      <c r="B3957" s="45"/>
      <c r="C3957" s="45"/>
    </row>
    <row r="3958" spans="2:3" x14ac:dyDescent="0.25">
      <c r="B3958" s="45"/>
      <c r="C3958" s="45"/>
    </row>
    <row r="3959" spans="2:3" x14ac:dyDescent="0.25">
      <c r="B3959" s="45"/>
      <c r="C3959" s="45"/>
    </row>
    <row r="3960" spans="2:3" x14ac:dyDescent="0.25">
      <c r="B3960" s="45"/>
      <c r="C3960" s="45"/>
    </row>
    <row r="3961" spans="2:3" x14ac:dyDescent="0.25">
      <c r="B3961" s="45"/>
      <c r="C3961" s="45"/>
    </row>
    <row r="3962" spans="2:3" x14ac:dyDescent="0.25">
      <c r="B3962" s="45"/>
      <c r="C3962" s="45"/>
    </row>
    <row r="3963" spans="2:3" x14ac:dyDescent="0.25">
      <c r="B3963" s="45"/>
      <c r="C3963" s="45"/>
    </row>
    <row r="3964" spans="2:3" x14ac:dyDescent="0.25">
      <c r="B3964" s="45"/>
      <c r="C3964" s="45"/>
    </row>
    <row r="3965" spans="2:3" x14ac:dyDescent="0.25">
      <c r="B3965" s="45"/>
      <c r="C3965" s="45"/>
    </row>
    <row r="3966" spans="2:3" x14ac:dyDescent="0.25">
      <c r="B3966" s="45"/>
      <c r="C3966" s="45"/>
    </row>
    <row r="3967" spans="2:3" x14ac:dyDescent="0.25">
      <c r="B3967" s="45"/>
      <c r="C3967" s="45"/>
    </row>
    <row r="3968" spans="2:3" x14ac:dyDescent="0.25">
      <c r="B3968" s="45"/>
      <c r="C3968" s="45"/>
    </row>
    <row r="3969" spans="2:3" x14ac:dyDescent="0.25">
      <c r="B3969" s="45"/>
      <c r="C3969" s="45"/>
    </row>
    <row r="3970" spans="2:3" x14ac:dyDescent="0.25">
      <c r="B3970" s="45"/>
      <c r="C3970" s="45"/>
    </row>
    <row r="3971" spans="2:3" x14ac:dyDescent="0.25">
      <c r="B3971" s="45"/>
      <c r="C3971" s="45"/>
    </row>
    <row r="3972" spans="2:3" x14ac:dyDescent="0.25">
      <c r="B3972" s="45"/>
      <c r="C3972" s="45"/>
    </row>
    <row r="3973" spans="2:3" x14ac:dyDescent="0.25">
      <c r="B3973" s="45"/>
      <c r="C3973" s="45"/>
    </row>
    <row r="3974" spans="2:3" x14ac:dyDescent="0.25">
      <c r="B3974" s="45"/>
      <c r="C3974" s="45"/>
    </row>
    <row r="3975" spans="2:3" x14ac:dyDescent="0.25">
      <c r="B3975" s="45"/>
      <c r="C3975" s="45"/>
    </row>
    <row r="3976" spans="2:3" x14ac:dyDescent="0.25">
      <c r="B3976" s="45"/>
      <c r="C3976" s="45"/>
    </row>
    <row r="3977" spans="2:3" x14ac:dyDescent="0.25">
      <c r="B3977" s="45"/>
      <c r="C3977" s="45"/>
    </row>
    <row r="3978" spans="2:3" x14ac:dyDescent="0.25">
      <c r="B3978" s="45"/>
      <c r="C3978" s="45"/>
    </row>
    <row r="3979" spans="2:3" x14ac:dyDescent="0.25">
      <c r="B3979" s="45"/>
      <c r="C3979" s="45"/>
    </row>
    <row r="3980" spans="2:3" x14ac:dyDescent="0.25">
      <c r="B3980" s="45"/>
      <c r="C3980" s="45"/>
    </row>
    <row r="3981" spans="2:3" x14ac:dyDescent="0.25">
      <c r="B3981" s="45"/>
      <c r="C3981" s="45"/>
    </row>
    <row r="3982" spans="2:3" x14ac:dyDescent="0.25">
      <c r="B3982" s="45"/>
      <c r="C3982" s="45"/>
    </row>
    <row r="3983" spans="2:3" x14ac:dyDescent="0.25">
      <c r="B3983" s="45"/>
      <c r="C3983" s="45"/>
    </row>
    <row r="3984" spans="2:3" x14ac:dyDescent="0.25">
      <c r="B3984" s="45"/>
      <c r="C3984" s="45"/>
    </row>
    <row r="3985" spans="2:3" x14ac:dyDescent="0.25">
      <c r="B3985" s="45"/>
      <c r="C3985" s="45"/>
    </row>
    <row r="3986" spans="2:3" x14ac:dyDescent="0.25">
      <c r="B3986" s="45"/>
      <c r="C3986" s="45"/>
    </row>
    <row r="3987" spans="2:3" x14ac:dyDescent="0.25">
      <c r="B3987" s="45"/>
      <c r="C3987" s="45"/>
    </row>
    <row r="3988" spans="2:3" x14ac:dyDescent="0.25">
      <c r="B3988" s="45"/>
      <c r="C3988" s="45"/>
    </row>
    <row r="3989" spans="2:3" x14ac:dyDescent="0.25">
      <c r="B3989" s="45"/>
      <c r="C3989" s="45"/>
    </row>
    <row r="3990" spans="2:3" x14ac:dyDescent="0.25">
      <c r="B3990" s="45"/>
      <c r="C3990" s="45"/>
    </row>
    <row r="3991" spans="2:3" x14ac:dyDescent="0.25">
      <c r="B3991" s="45"/>
      <c r="C3991" s="45"/>
    </row>
    <row r="3992" spans="2:3" x14ac:dyDescent="0.25">
      <c r="B3992" s="45"/>
      <c r="C3992" s="45"/>
    </row>
    <row r="3993" spans="2:3" x14ac:dyDescent="0.25">
      <c r="B3993" s="45"/>
      <c r="C3993" s="45"/>
    </row>
    <row r="3994" spans="2:3" x14ac:dyDescent="0.25">
      <c r="B3994" s="45"/>
      <c r="C3994" s="45"/>
    </row>
    <row r="3995" spans="2:3" x14ac:dyDescent="0.25">
      <c r="B3995" s="45"/>
      <c r="C3995" s="45"/>
    </row>
    <row r="3996" spans="2:3" x14ac:dyDescent="0.25">
      <c r="B3996" s="45"/>
      <c r="C3996" s="45"/>
    </row>
    <row r="3997" spans="2:3" x14ac:dyDescent="0.25">
      <c r="B3997" s="45"/>
      <c r="C3997" s="45"/>
    </row>
    <row r="3998" spans="2:3" x14ac:dyDescent="0.25">
      <c r="B3998" s="45"/>
      <c r="C3998" s="45"/>
    </row>
    <row r="3999" spans="2:3" x14ac:dyDescent="0.25">
      <c r="B3999" s="45"/>
      <c r="C3999" s="45"/>
    </row>
    <row r="4000" spans="2:3" x14ac:dyDescent="0.25">
      <c r="B4000" s="45"/>
      <c r="C4000" s="45"/>
    </row>
    <row r="4001" spans="2:3" x14ac:dyDescent="0.25">
      <c r="B4001" s="45"/>
      <c r="C4001" s="45"/>
    </row>
    <row r="4002" spans="2:3" x14ac:dyDescent="0.25">
      <c r="B4002" s="45"/>
      <c r="C4002" s="45"/>
    </row>
    <row r="4003" spans="2:3" x14ac:dyDescent="0.25">
      <c r="B4003" s="45"/>
      <c r="C4003" s="45"/>
    </row>
    <row r="4004" spans="2:3" x14ac:dyDescent="0.25">
      <c r="B4004" s="45"/>
      <c r="C4004" s="45"/>
    </row>
    <row r="4005" spans="2:3" x14ac:dyDescent="0.25">
      <c r="B4005" s="45"/>
      <c r="C4005" s="45"/>
    </row>
    <row r="4006" spans="2:3" x14ac:dyDescent="0.25">
      <c r="B4006" s="45"/>
      <c r="C4006" s="45"/>
    </row>
    <row r="4007" spans="2:3" x14ac:dyDescent="0.25">
      <c r="B4007" s="45"/>
      <c r="C4007" s="45"/>
    </row>
    <row r="4008" spans="2:3" x14ac:dyDescent="0.25">
      <c r="B4008" s="45"/>
      <c r="C4008" s="45"/>
    </row>
    <row r="4009" spans="2:3" x14ac:dyDescent="0.25">
      <c r="B4009" s="45"/>
      <c r="C4009" s="45"/>
    </row>
    <row r="4010" spans="2:3" x14ac:dyDescent="0.25">
      <c r="B4010" s="45"/>
      <c r="C4010" s="45"/>
    </row>
    <row r="4011" spans="2:3" x14ac:dyDescent="0.25">
      <c r="B4011" s="45"/>
      <c r="C4011" s="45"/>
    </row>
    <row r="4012" spans="2:3" x14ac:dyDescent="0.25">
      <c r="B4012" s="45"/>
      <c r="C4012" s="45"/>
    </row>
    <row r="4013" spans="2:3" x14ac:dyDescent="0.25">
      <c r="B4013" s="45"/>
      <c r="C4013" s="45"/>
    </row>
    <row r="4014" spans="2:3" x14ac:dyDescent="0.25">
      <c r="B4014" s="45"/>
      <c r="C4014" s="45"/>
    </row>
    <row r="4015" spans="2:3" x14ac:dyDescent="0.25">
      <c r="B4015" s="45"/>
      <c r="C4015" s="45"/>
    </row>
    <row r="4016" spans="2:3" x14ac:dyDescent="0.25">
      <c r="B4016" s="45"/>
      <c r="C4016" s="45"/>
    </row>
    <row r="4017" spans="2:3" x14ac:dyDescent="0.25">
      <c r="B4017" s="45"/>
      <c r="C4017" s="45"/>
    </row>
    <row r="4018" spans="2:3" x14ac:dyDescent="0.25">
      <c r="B4018" s="45"/>
      <c r="C4018" s="45"/>
    </row>
    <row r="4019" spans="2:3" x14ac:dyDescent="0.25">
      <c r="B4019" s="45"/>
      <c r="C4019" s="45"/>
    </row>
    <row r="4020" spans="2:3" x14ac:dyDescent="0.25">
      <c r="B4020" s="45"/>
      <c r="C4020" s="45"/>
    </row>
    <row r="4021" spans="2:3" x14ac:dyDescent="0.25">
      <c r="B4021" s="45"/>
      <c r="C4021" s="45"/>
    </row>
    <row r="4022" spans="2:3" x14ac:dyDescent="0.25">
      <c r="B4022" s="45"/>
      <c r="C4022" s="45"/>
    </row>
    <row r="4023" spans="2:3" x14ac:dyDescent="0.25">
      <c r="B4023" s="45"/>
      <c r="C4023" s="45"/>
    </row>
    <row r="4024" spans="2:3" x14ac:dyDescent="0.25">
      <c r="B4024" s="45"/>
      <c r="C4024" s="45"/>
    </row>
    <row r="4025" spans="2:3" x14ac:dyDescent="0.25">
      <c r="B4025" s="45"/>
      <c r="C4025" s="45"/>
    </row>
    <row r="4026" spans="2:3" x14ac:dyDescent="0.25">
      <c r="B4026" s="45"/>
      <c r="C4026" s="45"/>
    </row>
    <row r="4027" spans="2:3" x14ac:dyDescent="0.25">
      <c r="B4027" s="45"/>
      <c r="C4027" s="45"/>
    </row>
    <row r="4028" spans="2:3" x14ac:dyDescent="0.25">
      <c r="B4028" s="45"/>
      <c r="C4028" s="45"/>
    </row>
    <row r="4029" spans="2:3" x14ac:dyDescent="0.25">
      <c r="B4029" s="45"/>
      <c r="C4029" s="45"/>
    </row>
    <row r="4030" spans="2:3" x14ac:dyDescent="0.25">
      <c r="B4030" s="45"/>
      <c r="C4030" s="45"/>
    </row>
    <row r="4031" spans="2:3" x14ac:dyDescent="0.25">
      <c r="B4031" s="45"/>
      <c r="C4031" s="45"/>
    </row>
    <row r="4032" spans="2:3" x14ac:dyDescent="0.25">
      <c r="B4032" s="45"/>
      <c r="C4032" s="45"/>
    </row>
    <row r="4033" spans="2:3" x14ac:dyDescent="0.25">
      <c r="B4033" s="45"/>
      <c r="C4033" s="45"/>
    </row>
    <row r="4034" spans="2:3" x14ac:dyDescent="0.25">
      <c r="B4034" s="45"/>
      <c r="C4034" s="45"/>
    </row>
    <row r="4035" spans="2:3" x14ac:dyDescent="0.25">
      <c r="B4035" s="45"/>
      <c r="C4035" s="45"/>
    </row>
    <row r="4036" spans="2:3" x14ac:dyDescent="0.25">
      <c r="B4036" s="45"/>
      <c r="C4036" s="45"/>
    </row>
    <row r="4037" spans="2:3" x14ac:dyDescent="0.25">
      <c r="B4037" s="45"/>
      <c r="C4037" s="45"/>
    </row>
    <row r="4038" spans="2:3" x14ac:dyDescent="0.25">
      <c r="B4038" s="45"/>
      <c r="C4038" s="45"/>
    </row>
    <row r="4039" spans="2:3" x14ac:dyDescent="0.25">
      <c r="B4039" s="45"/>
      <c r="C4039" s="45"/>
    </row>
    <row r="4040" spans="2:3" x14ac:dyDescent="0.25">
      <c r="B4040" s="45"/>
      <c r="C4040" s="45"/>
    </row>
    <row r="4041" spans="2:3" x14ac:dyDescent="0.25">
      <c r="B4041" s="45"/>
      <c r="C4041" s="45"/>
    </row>
    <row r="4042" spans="2:3" x14ac:dyDescent="0.25">
      <c r="B4042" s="45"/>
      <c r="C4042" s="45"/>
    </row>
    <row r="4043" spans="2:3" x14ac:dyDescent="0.25">
      <c r="B4043" s="45"/>
      <c r="C4043" s="45"/>
    </row>
    <row r="4044" spans="2:3" x14ac:dyDescent="0.25">
      <c r="B4044" s="45"/>
      <c r="C4044" s="45"/>
    </row>
    <row r="4045" spans="2:3" x14ac:dyDescent="0.25">
      <c r="B4045" s="45"/>
      <c r="C4045" s="45"/>
    </row>
    <row r="4046" spans="2:3" x14ac:dyDescent="0.25">
      <c r="B4046" s="45"/>
      <c r="C4046" s="45"/>
    </row>
    <row r="4047" spans="2:3" x14ac:dyDescent="0.25">
      <c r="B4047" s="45"/>
      <c r="C4047" s="45"/>
    </row>
    <row r="4048" spans="2:3" x14ac:dyDescent="0.25">
      <c r="B4048" s="45"/>
      <c r="C4048" s="45"/>
    </row>
    <row r="4049" spans="2:3" x14ac:dyDescent="0.25">
      <c r="B4049" s="45"/>
      <c r="C4049" s="45"/>
    </row>
    <row r="4050" spans="2:3" x14ac:dyDescent="0.25">
      <c r="B4050" s="45"/>
      <c r="C4050" s="45"/>
    </row>
    <row r="4051" spans="2:3" x14ac:dyDescent="0.25">
      <c r="B4051" s="45"/>
      <c r="C4051" s="45"/>
    </row>
    <row r="4052" spans="2:3" x14ac:dyDescent="0.25">
      <c r="B4052" s="45"/>
      <c r="C4052" s="45"/>
    </row>
    <row r="4053" spans="2:3" x14ac:dyDescent="0.25">
      <c r="B4053" s="45"/>
      <c r="C4053" s="45"/>
    </row>
    <row r="4054" spans="2:3" x14ac:dyDescent="0.25">
      <c r="B4054" s="45"/>
      <c r="C4054" s="45"/>
    </row>
    <row r="4055" spans="2:3" x14ac:dyDescent="0.25">
      <c r="B4055" s="45"/>
      <c r="C4055" s="45"/>
    </row>
    <row r="4056" spans="2:3" x14ac:dyDescent="0.25">
      <c r="B4056" s="45"/>
      <c r="C4056" s="45"/>
    </row>
    <row r="4057" spans="2:3" x14ac:dyDescent="0.25">
      <c r="B4057" s="45"/>
      <c r="C4057" s="45"/>
    </row>
    <row r="4058" spans="2:3" x14ac:dyDescent="0.25">
      <c r="B4058" s="45"/>
      <c r="C4058" s="45"/>
    </row>
    <row r="4059" spans="2:3" x14ac:dyDescent="0.25">
      <c r="B4059" s="45"/>
      <c r="C4059" s="45"/>
    </row>
    <row r="4060" spans="2:3" x14ac:dyDescent="0.25">
      <c r="B4060" s="45"/>
      <c r="C4060" s="45"/>
    </row>
    <row r="4061" spans="2:3" x14ac:dyDescent="0.25">
      <c r="B4061" s="45"/>
      <c r="C4061" s="45"/>
    </row>
    <row r="4062" spans="2:3" x14ac:dyDescent="0.25">
      <c r="B4062" s="45"/>
      <c r="C4062" s="45"/>
    </row>
    <row r="4063" spans="2:3" x14ac:dyDescent="0.25">
      <c r="B4063" s="45"/>
      <c r="C4063" s="45"/>
    </row>
    <row r="4064" spans="2:3" x14ac:dyDescent="0.25">
      <c r="B4064" s="45"/>
      <c r="C4064" s="45"/>
    </row>
    <row r="4065" spans="2:3" x14ac:dyDescent="0.25">
      <c r="B4065" s="45"/>
      <c r="C4065" s="45"/>
    </row>
    <row r="4066" spans="2:3" x14ac:dyDescent="0.25">
      <c r="B4066" s="45"/>
      <c r="C4066" s="45"/>
    </row>
    <row r="4067" spans="2:3" x14ac:dyDescent="0.25">
      <c r="B4067" s="45"/>
      <c r="C4067" s="45"/>
    </row>
    <row r="4068" spans="2:3" x14ac:dyDescent="0.25">
      <c r="B4068" s="45"/>
      <c r="C4068" s="45"/>
    </row>
    <row r="4069" spans="2:3" x14ac:dyDescent="0.25">
      <c r="B4069" s="45"/>
      <c r="C4069" s="45"/>
    </row>
    <row r="4070" spans="2:3" x14ac:dyDescent="0.25">
      <c r="B4070" s="45"/>
      <c r="C4070" s="45"/>
    </row>
    <row r="4071" spans="2:3" x14ac:dyDescent="0.25">
      <c r="B4071" s="45"/>
      <c r="C4071" s="45"/>
    </row>
    <row r="4072" spans="2:3" x14ac:dyDescent="0.25">
      <c r="B4072" s="45"/>
      <c r="C4072" s="45"/>
    </row>
    <row r="4073" spans="2:3" x14ac:dyDescent="0.25">
      <c r="B4073" s="45"/>
      <c r="C4073" s="45"/>
    </row>
    <row r="4074" spans="2:3" x14ac:dyDescent="0.25">
      <c r="B4074" s="45"/>
      <c r="C4074" s="45"/>
    </row>
    <row r="4075" spans="2:3" x14ac:dyDescent="0.25">
      <c r="B4075" s="45"/>
      <c r="C4075" s="45"/>
    </row>
    <row r="4076" spans="2:3" x14ac:dyDescent="0.25">
      <c r="B4076" s="45"/>
      <c r="C4076" s="45"/>
    </row>
    <row r="4077" spans="2:3" x14ac:dyDescent="0.25">
      <c r="B4077" s="45"/>
      <c r="C4077" s="45"/>
    </row>
    <row r="4078" spans="2:3" x14ac:dyDescent="0.25">
      <c r="B4078" s="45"/>
      <c r="C4078" s="45"/>
    </row>
    <row r="4079" spans="2:3" x14ac:dyDescent="0.25">
      <c r="B4079" s="45"/>
      <c r="C4079" s="45"/>
    </row>
    <row r="4080" spans="2:3" x14ac:dyDescent="0.25">
      <c r="B4080" s="45"/>
      <c r="C4080" s="45"/>
    </row>
    <row r="4081" spans="2:3" x14ac:dyDescent="0.25">
      <c r="B4081" s="45"/>
      <c r="C4081" s="45"/>
    </row>
    <row r="4082" spans="2:3" x14ac:dyDescent="0.25">
      <c r="B4082" s="45"/>
      <c r="C4082" s="45"/>
    </row>
    <row r="4083" spans="2:3" x14ac:dyDescent="0.25">
      <c r="B4083" s="45"/>
      <c r="C4083" s="45"/>
    </row>
    <row r="4084" spans="2:3" x14ac:dyDescent="0.25">
      <c r="B4084" s="45"/>
      <c r="C4084" s="45"/>
    </row>
    <row r="4085" spans="2:3" x14ac:dyDescent="0.25">
      <c r="B4085" s="45"/>
      <c r="C4085" s="45"/>
    </row>
    <row r="4086" spans="2:3" x14ac:dyDescent="0.25">
      <c r="B4086" s="45"/>
      <c r="C4086" s="45"/>
    </row>
    <row r="4087" spans="2:3" x14ac:dyDescent="0.25">
      <c r="B4087" s="45"/>
      <c r="C4087" s="45"/>
    </row>
    <row r="4088" spans="2:3" x14ac:dyDescent="0.25">
      <c r="B4088" s="45"/>
      <c r="C4088" s="45"/>
    </row>
    <row r="4089" spans="2:3" x14ac:dyDescent="0.25">
      <c r="B4089" s="45"/>
      <c r="C4089" s="45"/>
    </row>
    <row r="4090" spans="2:3" x14ac:dyDescent="0.25">
      <c r="B4090" s="45"/>
      <c r="C4090" s="45"/>
    </row>
    <row r="4091" spans="2:3" x14ac:dyDescent="0.25">
      <c r="B4091" s="45"/>
      <c r="C4091" s="45"/>
    </row>
    <row r="4092" spans="2:3" x14ac:dyDescent="0.25">
      <c r="B4092" s="45"/>
      <c r="C4092" s="45"/>
    </row>
    <row r="4093" spans="2:3" x14ac:dyDescent="0.25">
      <c r="B4093" s="45"/>
      <c r="C4093" s="45"/>
    </row>
    <row r="4094" spans="2:3" x14ac:dyDescent="0.25">
      <c r="B4094" s="45"/>
      <c r="C4094" s="45"/>
    </row>
    <row r="4095" spans="2:3" x14ac:dyDescent="0.25">
      <c r="B4095" s="45"/>
      <c r="C4095" s="45"/>
    </row>
    <row r="4096" spans="2:3" x14ac:dyDescent="0.25">
      <c r="B4096" s="45"/>
      <c r="C4096" s="45"/>
    </row>
    <row r="4097" spans="2:3" x14ac:dyDescent="0.25">
      <c r="B4097" s="45"/>
      <c r="C4097" s="45"/>
    </row>
    <row r="4098" spans="2:3" x14ac:dyDescent="0.25">
      <c r="B4098" s="45"/>
      <c r="C4098" s="45"/>
    </row>
    <row r="4099" spans="2:3" x14ac:dyDescent="0.25">
      <c r="B4099" s="45"/>
      <c r="C4099" s="45"/>
    </row>
    <row r="4100" spans="2:3" x14ac:dyDescent="0.25">
      <c r="B4100" s="45"/>
      <c r="C4100" s="45"/>
    </row>
    <row r="4101" spans="2:3" x14ac:dyDescent="0.25">
      <c r="B4101" s="45"/>
      <c r="C4101" s="45"/>
    </row>
    <row r="4102" spans="2:3" x14ac:dyDescent="0.25">
      <c r="B4102" s="45"/>
      <c r="C4102" s="45"/>
    </row>
    <row r="4103" spans="2:3" x14ac:dyDescent="0.25">
      <c r="B4103" s="45"/>
      <c r="C4103" s="45"/>
    </row>
    <row r="4104" spans="2:3" x14ac:dyDescent="0.25">
      <c r="B4104" s="45"/>
      <c r="C4104" s="45"/>
    </row>
    <row r="4105" spans="2:3" x14ac:dyDescent="0.25">
      <c r="B4105" s="45"/>
      <c r="C4105" s="45"/>
    </row>
    <row r="4106" spans="2:3" x14ac:dyDescent="0.25">
      <c r="B4106" s="45"/>
      <c r="C4106" s="45"/>
    </row>
    <row r="4107" spans="2:3" x14ac:dyDescent="0.25">
      <c r="B4107" s="45"/>
      <c r="C4107" s="45"/>
    </row>
    <row r="4108" spans="2:3" x14ac:dyDescent="0.25">
      <c r="B4108" s="45"/>
      <c r="C4108" s="45"/>
    </row>
    <row r="4109" spans="2:3" x14ac:dyDescent="0.25">
      <c r="B4109" s="45"/>
      <c r="C4109" s="45"/>
    </row>
    <row r="4110" spans="2:3" x14ac:dyDescent="0.25">
      <c r="B4110" s="45"/>
      <c r="C4110" s="45"/>
    </row>
    <row r="4111" spans="2:3" x14ac:dyDescent="0.25">
      <c r="B4111" s="45"/>
      <c r="C4111" s="45"/>
    </row>
    <row r="4112" spans="2:3" x14ac:dyDescent="0.25">
      <c r="B4112" s="45"/>
      <c r="C4112" s="45"/>
    </row>
    <row r="4113" spans="2:3" x14ac:dyDescent="0.25">
      <c r="B4113" s="45"/>
      <c r="C4113" s="45"/>
    </row>
    <row r="4114" spans="2:3" x14ac:dyDescent="0.25">
      <c r="B4114" s="45"/>
      <c r="C4114" s="45"/>
    </row>
    <row r="4115" spans="2:3" x14ac:dyDescent="0.25">
      <c r="B4115" s="45"/>
      <c r="C4115" s="45"/>
    </row>
    <row r="4116" spans="2:3" x14ac:dyDescent="0.25">
      <c r="B4116" s="45"/>
      <c r="C4116" s="45"/>
    </row>
    <row r="4117" spans="2:3" x14ac:dyDescent="0.25">
      <c r="B4117" s="45"/>
      <c r="C4117" s="45"/>
    </row>
    <row r="4118" spans="2:3" x14ac:dyDescent="0.25">
      <c r="B4118" s="45"/>
      <c r="C4118" s="45"/>
    </row>
    <row r="4119" spans="2:3" x14ac:dyDescent="0.25">
      <c r="B4119" s="45"/>
      <c r="C4119" s="45"/>
    </row>
    <row r="4120" spans="2:3" x14ac:dyDescent="0.25">
      <c r="B4120" s="45"/>
      <c r="C4120" s="45"/>
    </row>
    <row r="4121" spans="2:3" x14ac:dyDescent="0.25">
      <c r="B4121" s="45"/>
      <c r="C4121" s="45"/>
    </row>
    <row r="4122" spans="2:3" x14ac:dyDescent="0.25">
      <c r="B4122" s="45"/>
      <c r="C4122" s="45"/>
    </row>
    <row r="4123" spans="2:3" x14ac:dyDescent="0.25">
      <c r="B4123" s="45"/>
      <c r="C4123" s="45"/>
    </row>
    <row r="4124" spans="2:3" x14ac:dyDescent="0.25">
      <c r="B4124" s="45"/>
      <c r="C4124" s="45"/>
    </row>
    <row r="4125" spans="2:3" x14ac:dyDescent="0.25">
      <c r="B4125" s="45"/>
      <c r="C4125" s="45"/>
    </row>
    <row r="4126" spans="2:3" x14ac:dyDescent="0.25">
      <c r="B4126" s="45"/>
      <c r="C4126" s="45"/>
    </row>
    <row r="4127" spans="2:3" x14ac:dyDescent="0.25">
      <c r="B4127" s="45"/>
      <c r="C4127" s="45"/>
    </row>
    <row r="4128" spans="2:3" x14ac:dyDescent="0.25">
      <c r="B4128" s="45"/>
      <c r="C4128" s="45"/>
    </row>
    <row r="4129" spans="2:3" x14ac:dyDescent="0.25">
      <c r="B4129" s="45"/>
      <c r="C4129" s="45"/>
    </row>
    <row r="4130" spans="2:3" x14ac:dyDescent="0.25">
      <c r="B4130" s="45"/>
      <c r="C4130" s="45"/>
    </row>
    <row r="4131" spans="2:3" x14ac:dyDescent="0.25">
      <c r="B4131" s="45"/>
      <c r="C4131" s="45"/>
    </row>
    <row r="4132" spans="2:3" x14ac:dyDescent="0.25">
      <c r="B4132" s="45"/>
      <c r="C4132" s="45"/>
    </row>
    <row r="4133" spans="2:3" x14ac:dyDescent="0.25">
      <c r="B4133" s="45"/>
      <c r="C4133" s="45"/>
    </row>
    <row r="4134" spans="2:3" x14ac:dyDescent="0.25">
      <c r="B4134" s="45"/>
      <c r="C4134" s="45"/>
    </row>
    <row r="4135" spans="2:3" x14ac:dyDescent="0.25">
      <c r="B4135" s="45"/>
      <c r="C4135" s="45"/>
    </row>
    <row r="4136" spans="2:3" x14ac:dyDescent="0.25">
      <c r="B4136" s="45"/>
      <c r="C4136" s="45"/>
    </row>
    <row r="4137" spans="2:3" x14ac:dyDescent="0.25">
      <c r="B4137" s="45"/>
      <c r="C4137" s="45"/>
    </row>
    <row r="4138" spans="2:3" x14ac:dyDescent="0.25">
      <c r="B4138" s="45"/>
      <c r="C4138" s="45"/>
    </row>
    <row r="4139" spans="2:3" x14ac:dyDescent="0.25">
      <c r="B4139" s="45"/>
      <c r="C4139" s="45"/>
    </row>
    <row r="4140" spans="2:3" x14ac:dyDescent="0.25">
      <c r="B4140" s="45"/>
      <c r="C4140" s="45"/>
    </row>
    <row r="4141" spans="2:3" x14ac:dyDescent="0.25">
      <c r="B4141" s="45"/>
      <c r="C4141" s="45"/>
    </row>
    <row r="4142" spans="2:3" x14ac:dyDescent="0.25">
      <c r="B4142" s="45"/>
      <c r="C4142" s="45"/>
    </row>
    <row r="4143" spans="2:3" x14ac:dyDescent="0.25">
      <c r="B4143" s="45"/>
      <c r="C4143" s="45"/>
    </row>
    <row r="4144" spans="2:3" x14ac:dyDescent="0.25">
      <c r="B4144" s="45"/>
      <c r="C4144" s="45"/>
    </row>
    <row r="4145" spans="2:3" x14ac:dyDescent="0.25">
      <c r="B4145" s="45"/>
      <c r="C4145" s="45"/>
    </row>
    <row r="4146" spans="2:3" x14ac:dyDescent="0.25">
      <c r="B4146" s="45"/>
      <c r="C4146" s="45"/>
    </row>
    <row r="4147" spans="2:3" x14ac:dyDescent="0.25">
      <c r="B4147" s="45"/>
      <c r="C4147" s="45"/>
    </row>
    <row r="4148" spans="2:3" x14ac:dyDescent="0.25">
      <c r="B4148" s="45"/>
      <c r="C4148" s="45"/>
    </row>
    <row r="4149" spans="2:3" x14ac:dyDescent="0.25">
      <c r="B4149" s="45"/>
      <c r="C4149" s="45"/>
    </row>
    <row r="4150" spans="2:3" x14ac:dyDescent="0.25">
      <c r="B4150" s="45"/>
      <c r="C4150" s="45"/>
    </row>
    <row r="4151" spans="2:3" x14ac:dyDescent="0.25">
      <c r="B4151" s="45"/>
      <c r="C4151" s="45"/>
    </row>
    <row r="4152" spans="2:3" x14ac:dyDescent="0.25">
      <c r="B4152" s="45"/>
      <c r="C4152" s="45"/>
    </row>
    <row r="4153" spans="2:3" x14ac:dyDescent="0.25">
      <c r="B4153" s="45"/>
      <c r="C4153" s="45"/>
    </row>
    <row r="4154" spans="2:3" x14ac:dyDescent="0.25">
      <c r="B4154" s="45"/>
      <c r="C4154" s="45"/>
    </row>
    <row r="4155" spans="2:3" x14ac:dyDescent="0.25">
      <c r="B4155" s="45"/>
      <c r="C4155" s="45"/>
    </row>
    <row r="4156" spans="2:3" x14ac:dyDescent="0.25">
      <c r="B4156" s="45"/>
      <c r="C4156" s="45"/>
    </row>
    <row r="4157" spans="2:3" x14ac:dyDescent="0.25">
      <c r="B4157" s="45"/>
      <c r="C4157" s="45"/>
    </row>
    <row r="4158" spans="2:3" x14ac:dyDescent="0.25">
      <c r="B4158" s="45"/>
      <c r="C4158" s="45"/>
    </row>
    <row r="4159" spans="2:3" x14ac:dyDescent="0.25">
      <c r="B4159" s="45"/>
      <c r="C4159" s="45"/>
    </row>
    <row r="4160" spans="2:3" x14ac:dyDescent="0.25">
      <c r="B4160" s="45"/>
      <c r="C4160" s="45"/>
    </row>
    <row r="4161" spans="2:3" x14ac:dyDescent="0.25">
      <c r="B4161" s="45"/>
      <c r="C4161" s="45"/>
    </row>
    <row r="4162" spans="2:3" x14ac:dyDescent="0.25">
      <c r="B4162" s="45"/>
      <c r="C4162" s="45"/>
    </row>
    <row r="4163" spans="2:3" x14ac:dyDescent="0.25">
      <c r="B4163" s="45"/>
      <c r="C4163" s="45"/>
    </row>
    <row r="4164" spans="2:3" x14ac:dyDescent="0.25">
      <c r="B4164" s="45"/>
      <c r="C4164" s="45"/>
    </row>
    <row r="4165" spans="2:3" x14ac:dyDescent="0.25">
      <c r="B4165" s="45"/>
      <c r="C4165" s="45"/>
    </row>
    <row r="4166" spans="2:3" x14ac:dyDescent="0.25">
      <c r="B4166" s="45"/>
      <c r="C4166" s="45"/>
    </row>
    <row r="4167" spans="2:3" x14ac:dyDescent="0.25">
      <c r="B4167" s="45"/>
      <c r="C4167" s="45"/>
    </row>
    <row r="4168" spans="2:3" x14ac:dyDescent="0.25">
      <c r="B4168" s="45"/>
      <c r="C4168" s="45"/>
    </row>
    <row r="4169" spans="2:3" x14ac:dyDescent="0.25">
      <c r="B4169" s="45"/>
      <c r="C4169" s="45"/>
    </row>
    <row r="4170" spans="2:3" x14ac:dyDescent="0.25">
      <c r="B4170" s="45"/>
      <c r="C4170" s="45"/>
    </row>
    <row r="4171" spans="2:3" x14ac:dyDescent="0.25">
      <c r="B4171" s="45"/>
      <c r="C4171" s="45"/>
    </row>
    <row r="4172" spans="2:3" x14ac:dyDescent="0.25">
      <c r="B4172" s="45"/>
      <c r="C4172" s="45"/>
    </row>
    <row r="4173" spans="2:3" x14ac:dyDescent="0.25">
      <c r="B4173" s="45"/>
      <c r="C4173" s="45"/>
    </row>
    <row r="4174" spans="2:3" x14ac:dyDescent="0.25">
      <c r="B4174" s="45"/>
      <c r="C4174" s="45"/>
    </row>
    <row r="4175" spans="2:3" x14ac:dyDescent="0.25">
      <c r="B4175" s="45"/>
      <c r="C4175" s="45"/>
    </row>
    <row r="4176" spans="2:3" x14ac:dyDescent="0.25">
      <c r="B4176" s="45"/>
      <c r="C4176" s="45"/>
    </row>
    <row r="4177" spans="2:3" x14ac:dyDescent="0.25">
      <c r="B4177" s="45"/>
      <c r="C4177" s="45"/>
    </row>
    <row r="4178" spans="2:3" x14ac:dyDescent="0.25">
      <c r="B4178" s="45"/>
      <c r="C4178" s="45"/>
    </row>
    <row r="4179" spans="2:3" x14ac:dyDescent="0.25">
      <c r="B4179" s="45"/>
      <c r="C4179" s="45"/>
    </row>
    <row r="4180" spans="2:3" x14ac:dyDescent="0.25">
      <c r="B4180" s="45"/>
      <c r="C4180" s="45"/>
    </row>
    <row r="4181" spans="2:3" x14ac:dyDescent="0.25">
      <c r="B4181" s="45"/>
      <c r="C4181" s="45"/>
    </row>
    <row r="4182" spans="2:3" x14ac:dyDescent="0.25">
      <c r="B4182" s="45"/>
      <c r="C4182" s="45"/>
    </row>
    <row r="4183" spans="2:3" x14ac:dyDescent="0.25">
      <c r="B4183" s="45"/>
      <c r="C4183" s="45"/>
    </row>
    <row r="4184" spans="2:3" x14ac:dyDescent="0.25">
      <c r="B4184" s="45"/>
      <c r="C4184" s="45"/>
    </row>
    <row r="4185" spans="2:3" x14ac:dyDescent="0.25">
      <c r="B4185" s="45"/>
      <c r="C4185" s="45"/>
    </row>
    <row r="4186" spans="2:3" x14ac:dyDescent="0.25">
      <c r="B4186" s="45"/>
      <c r="C4186" s="45"/>
    </row>
    <row r="4187" spans="2:3" x14ac:dyDescent="0.25">
      <c r="B4187" s="45"/>
      <c r="C4187" s="45"/>
    </row>
    <row r="4188" spans="2:3" x14ac:dyDescent="0.25">
      <c r="B4188" s="45"/>
      <c r="C4188" s="45"/>
    </row>
    <row r="4189" spans="2:3" x14ac:dyDescent="0.25">
      <c r="B4189" s="45"/>
      <c r="C4189" s="45"/>
    </row>
    <row r="4190" spans="2:3" x14ac:dyDescent="0.25">
      <c r="B4190" s="45"/>
      <c r="C4190" s="45"/>
    </row>
    <row r="4191" spans="2:3" x14ac:dyDescent="0.25">
      <c r="B4191" s="45"/>
      <c r="C4191" s="45"/>
    </row>
    <row r="4192" spans="2:3" x14ac:dyDescent="0.25">
      <c r="B4192" s="45"/>
      <c r="C4192" s="45"/>
    </row>
    <row r="4193" spans="2:3" x14ac:dyDescent="0.25">
      <c r="B4193" s="45"/>
      <c r="C4193" s="45"/>
    </row>
    <row r="4194" spans="2:3" x14ac:dyDescent="0.25">
      <c r="B4194" s="45"/>
      <c r="C4194" s="45"/>
    </row>
    <row r="4195" spans="2:3" x14ac:dyDescent="0.25">
      <c r="B4195" s="45"/>
      <c r="C4195" s="45"/>
    </row>
    <row r="4196" spans="2:3" x14ac:dyDescent="0.25">
      <c r="B4196" s="45"/>
      <c r="C4196" s="45"/>
    </row>
    <row r="4197" spans="2:3" x14ac:dyDescent="0.25">
      <c r="B4197" s="45"/>
      <c r="C4197" s="45"/>
    </row>
    <row r="4198" spans="2:3" x14ac:dyDescent="0.25">
      <c r="B4198" s="45"/>
      <c r="C4198" s="45"/>
    </row>
    <row r="4199" spans="2:3" x14ac:dyDescent="0.25">
      <c r="B4199" s="45"/>
      <c r="C4199" s="45"/>
    </row>
    <row r="4200" spans="2:3" x14ac:dyDescent="0.25">
      <c r="B4200" s="45"/>
      <c r="C4200" s="45"/>
    </row>
    <row r="4201" spans="2:3" x14ac:dyDescent="0.25">
      <c r="B4201" s="45"/>
      <c r="C4201" s="45"/>
    </row>
    <row r="4202" spans="2:3" x14ac:dyDescent="0.25">
      <c r="B4202" s="45"/>
      <c r="C4202" s="45"/>
    </row>
    <row r="4203" spans="2:3" x14ac:dyDescent="0.25">
      <c r="B4203" s="45"/>
      <c r="C4203" s="45"/>
    </row>
    <row r="4204" spans="2:3" x14ac:dyDescent="0.25">
      <c r="B4204" s="45"/>
      <c r="C4204" s="45"/>
    </row>
    <row r="4205" spans="2:3" x14ac:dyDescent="0.25">
      <c r="B4205" s="45"/>
      <c r="C4205" s="45"/>
    </row>
    <row r="4206" spans="2:3" x14ac:dyDescent="0.25">
      <c r="B4206" s="45"/>
      <c r="C4206" s="45"/>
    </row>
    <row r="4207" spans="2:3" x14ac:dyDescent="0.25">
      <c r="B4207" s="45"/>
      <c r="C4207" s="45"/>
    </row>
    <row r="4208" spans="2:3" x14ac:dyDescent="0.25">
      <c r="B4208" s="45"/>
      <c r="C4208" s="45"/>
    </row>
    <row r="4209" spans="2:3" x14ac:dyDescent="0.25">
      <c r="B4209" s="45"/>
      <c r="C4209" s="45"/>
    </row>
    <row r="4210" spans="2:3" x14ac:dyDescent="0.25">
      <c r="B4210" s="45"/>
      <c r="C4210" s="45"/>
    </row>
    <row r="4211" spans="2:3" x14ac:dyDescent="0.25">
      <c r="B4211" s="45"/>
      <c r="C4211" s="45"/>
    </row>
    <row r="4212" spans="2:3" x14ac:dyDescent="0.25">
      <c r="B4212" s="45"/>
      <c r="C4212" s="45"/>
    </row>
    <row r="4213" spans="2:3" x14ac:dyDescent="0.25">
      <c r="B4213" s="45"/>
      <c r="C4213" s="45"/>
    </row>
    <row r="4214" spans="2:3" x14ac:dyDescent="0.25">
      <c r="B4214" s="45"/>
      <c r="C4214" s="45"/>
    </row>
    <row r="4215" spans="2:3" x14ac:dyDescent="0.25">
      <c r="B4215" s="45"/>
      <c r="C4215" s="45"/>
    </row>
    <row r="4216" spans="2:3" x14ac:dyDescent="0.25">
      <c r="B4216" s="45"/>
      <c r="C4216" s="45"/>
    </row>
    <row r="4217" spans="2:3" x14ac:dyDescent="0.25">
      <c r="B4217" s="45"/>
      <c r="C4217" s="45"/>
    </row>
    <row r="4218" spans="2:3" x14ac:dyDescent="0.25">
      <c r="B4218" s="45"/>
      <c r="C4218" s="45"/>
    </row>
    <row r="4219" spans="2:3" x14ac:dyDescent="0.25">
      <c r="B4219" s="45"/>
      <c r="C4219" s="45"/>
    </row>
    <row r="4220" spans="2:3" x14ac:dyDescent="0.25">
      <c r="B4220" s="45"/>
      <c r="C4220" s="45"/>
    </row>
    <row r="4221" spans="2:3" x14ac:dyDescent="0.25">
      <c r="B4221" s="45"/>
      <c r="C4221" s="45"/>
    </row>
    <row r="4222" spans="2:3" x14ac:dyDescent="0.25">
      <c r="B4222" s="45"/>
      <c r="C4222" s="45"/>
    </row>
    <row r="4223" spans="2:3" x14ac:dyDescent="0.25">
      <c r="B4223" s="45"/>
      <c r="C4223" s="45"/>
    </row>
    <row r="4224" spans="2:3" x14ac:dyDescent="0.25">
      <c r="B4224" s="45"/>
      <c r="C4224" s="45"/>
    </row>
    <row r="4225" spans="2:3" x14ac:dyDescent="0.25">
      <c r="B4225" s="45"/>
      <c r="C4225" s="45"/>
    </row>
    <row r="4226" spans="2:3" x14ac:dyDescent="0.25">
      <c r="B4226" s="45"/>
      <c r="C4226" s="45"/>
    </row>
    <row r="4227" spans="2:3" x14ac:dyDescent="0.25">
      <c r="B4227" s="45"/>
      <c r="C4227" s="45"/>
    </row>
    <row r="4228" spans="2:3" x14ac:dyDescent="0.25">
      <c r="B4228" s="45"/>
      <c r="C4228" s="45"/>
    </row>
    <row r="4229" spans="2:3" x14ac:dyDescent="0.25">
      <c r="B4229" s="45"/>
      <c r="C4229" s="45"/>
    </row>
    <row r="4230" spans="2:3" x14ac:dyDescent="0.25">
      <c r="B4230" s="45"/>
      <c r="C4230" s="45"/>
    </row>
    <row r="4231" spans="2:3" x14ac:dyDescent="0.25">
      <c r="B4231" s="45"/>
      <c r="C4231" s="45"/>
    </row>
    <row r="4232" spans="2:3" x14ac:dyDescent="0.25">
      <c r="B4232" s="45"/>
      <c r="C4232" s="45"/>
    </row>
    <row r="4233" spans="2:3" x14ac:dyDescent="0.25">
      <c r="B4233" s="45"/>
      <c r="C4233" s="45"/>
    </row>
    <row r="4234" spans="2:3" x14ac:dyDescent="0.25">
      <c r="B4234" s="45"/>
      <c r="C4234" s="45"/>
    </row>
    <row r="4235" spans="2:3" x14ac:dyDescent="0.25">
      <c r="B4235" s="45"/>
      <c r="C4235" s="45"/>
    </row>
    <row r="4236" spans="2:3" x14ac:dyDescent="0.25">
      <c r="B4236" s="45"/>
      <c r="C4236" s="45"/>
    </row>
    <row r="4237" spans="2:3" x14ac:dyDescent="0.25">
      <c r="B4237" s="45"/>
      <c r="C4237" s="45"/>
    </row>
    <row r="4238" spans="2:3" x14ac:dyDescent="0.25">
      <c r="B4238" s="45"/>
      <c r="C4238" s="45"/>
    </row>
    <row r="4239" spans="2:3" x14ac:dyDescent="0.25">
      <c r="B4239" s="45"/>
      <c r="C4239" s="45"/>
    </row>
    <row r="4240" spans="2:3" x14ac:dyDescent="0.25">
      <c r="B4240" s="45"/>
      <c r="C4240" s="45"/>
    </row>
    <row r="4241" spans="2:3" x14ac:dyDescent="0.25">
      <c r="B4241" s="45"/>
      <c r="C4241" s="45"/>
    </row>
    <row r="4242" spans="2:3" x14ac:dyDescent="0.25">
      <c r="B4242" s="45"/>
      <c r="C4242" s="45"/>
    </row>
    <row r="4243" spans="2:3" x14ac:dyDescent="0.25">
      <c r="B4243" s="45"/>
      <c r="C4243" s="45"/>
    </row>
    <row r="4244" spans="2:3" x14ac:dyDescent="0.25">
      <c r="B4244" s="45"/>
      <c r="C4244" s="45"/>
    </row>
    <row r="4245" spans="2:3" x14ac:dyDescent="0.25">
      <c r="B4245" s="45"/>
      <c r="C4245" s="45"/>
    </row>
    <row r="4246" spans="2:3" x14ac:dyDescent="0.25">
      <c r="B4246" s="45"/>
      <c r="C4246" s="45"/>
    </row>
    <row r="4247" spans="2:3" x14ac:dyDescent="0.25">
      <c r="B4247" s="45"/>
      <c r="C4247" s="45"/>
    </row>
    <row r="4248" spans="2:3" x14ac:dyDescent="0.25">
      <c r="B4248" s="45"/>
      <c r="C4248" s="45"/>
    </row>
    <row r="4249" spans="2:3" x14ac:dyDescent="0.25">
      <c r="B4249" s="45"/>
      <c r="C4249" s="45"/>
    </row>
    <row r="4250" spans="2:3" x14ac:dyDescent="0.25">
      <c r="B4250" s="45"/>
      <c r="C4250" s="45"/>
    </row>
    <row r="4251" spans="2:3" x14ac:dyDescent="0.25">
      <c r="B4251" s="45"/>
      <c r="C4251" s="45"/>
    </row>
    <row r="4252" spans="2:3" x14ac:dyDescent="0.25">
      <c r="B4252" s="45"/>
      <c r="C4252" s="45"/>
    </row>
    <row r="4253" spans="2:3" x14ac:dyDescent="0.25">
      <c r="B4253" s="45"/>
      <c r="C4253" s="45"/>
    </row>
    <row r="4254" spans="2:3" x14ac:dyDescent="0.25">
      <c r="B4254" s="45"/>
      <c r="C4254" s="45"/>
    </row>
    <row r="4255" spans="2:3" x14ac:dyDescent="0.25">
      <c r="B4255" s="45"/>
      <c r="C4255" s="45"/>
    </row>
    <row r="4256" spans="2:3" x14ac:dyDescent="0.25">
      <c r="B4256" s="45"/>
      <c r="C4256" s="45"/>
    </row>
    <row r="4257" spans="2:3" x14ac:dyDescent="0.25">
      <c r="B4257" s="45"/>
      <c r="C4257" s="45"/>
    </row>
    <row r="4258" spans="2:3" x14ac:dyDescent="0.25">
      <c r="B4258" s="45"/>
      <c r="C4258" s="45"/>
    </row>
    <row r="4259" spans="2:3" x14ac:dyDescent="0.25">
      <c r="B4259" s="45"/>
      <c r="C4259" s="45"/>
    </row>
    <row r="4260" spans="2:3" x14ac:dyDescent="0.25">
      <c r="B4260" s="45"/>
      <c r="C4260" s="45"/>
    </row>
    <row r="4261" spans="2:3" x14ac:dyDescent="0.25">
      <c r="B4261" s="45"/>
      <c r="C4261" s="45"/>
    </row>
    <row r="4262" spans="2:3" x14ac:dyDescent="0.25">
      <c r="B4262" s="45"/>
      <c r="C4262" s="45"/>
    </row>
    <row r="4263" spans="2:3" x14ac:dyDescent="0.25">
      <c r="B4263" s="45"/>
      <c r="C4263" s="45"/>
    </row>
    <row r="4264" spans="2:3" x14ac:dyDescent="0.25">
      <c r="B4264" s="45"/>
      <c r="C4264" s="45"/>
    </row>
    <row r="4265" spans="2:3" x14ac:dyDescent="0.25">
      <c r="B4265" s="45"/>
      <c r="C4265" s="45"/>
    </row>
    <row r="4266" spans="2:3" x14ac:dyDescent="0.25">
      <c r="B4266" s="45"/>
      <c r="C4266" s="45"/>
    </row>
    <row r="4267" spans="2:3" x14ac:dyDescent="0.25">
      <c r="B4267" s="45"/>
      <c r="C4267" s="45"/>
    </row>
    <row r="4268" spans="2:3" x14ac:dyDescent="0.25">
      <c r="B4268" s="45"/>
      <c r="C4268" s="45"/>
    </row>
    <row r="4269" spans="2:3" x14ac:dyDescent="0.25">
      <c r="B4269" s="45"/>
      <c r="C4269" s="45"/>
    </row>
    <row r="4270" spans="2:3" x14ac:dyDescent="0.25">
      <c r="B4270" s="45"/>
      <c r="C4270" s="45"/>
    </row>
    <row r="4271" spans="2:3" x14ac:dyDescent="0.25">
      <c r="B4271" s="45"/>
      <c r="C4271" s="45"/>
    </row>
    <row r="4272" spans="2:3" x14ac:dyDescent="0.25">
      <c r="B4272" s="45"/>
      <c r="C4272" s="45"/>
    </row>
    <row r="4273" spans="2:3" x14ac:dyDescent="0.25">
      <c r="B4273" s="45"/>
      <c r="C4273" s="45"/>
    </row>
    <row r="4274" spans="2:3" x14ac:dyDescent="0.25">
      <c r="B4274" s="45"/>
      <c r="C4274" s="45"/>
    </row>
    <row r="4275" spans="2:3" x14ac:dyDescent="0.25">
      <c r="B4275" s="45"/>
      <c r="C4275" s="45"/>
    </row>
    <row r="4276" spans="2:3" x14ac:dyDescent="0.25">
      <c r="B4276" s="45"/>
      <c r="C4276" s="45"/>
    </row>
    <row r="4277" spans="2:3" x14ac:dyDescent="0.25">
      <c r="B4277" s="45"/>
      <c r="C4277" s="45"/>
    </row>
    <row r="4278" spans="2:3" x14ac:dyDescent="0.25">
      <c r="B4278" s="45"/>
      <c r="C4278" s="45"/>
    </row>
    <row r="4279" spans="2:3" x14ac:dyDescent="0.25">
      <c r="B4279" s="45"/>
      <c r="C4279" s="45"/>
    </row>
    <row r="4280" spans="2:3" x14ac:dyDescent="0.25">
      <c r="B4280" s="45"/>
      <c r="C4280" s="45"/>
    </row>
    <row r="4281" spans="2:3" x14ac:dyDescent="0.25">
      <c r="B4281" s="45"/>
      <c r="C4281" s="45"/>
    </row>
    <row r="4282" spans="2:3" x14ac:dyDescent="0.25">
      <c r="B4282" s="45"/>
      <c r="C4282" s="45"/>
    </row>
    <row r="4283" spans="2:3" x14ac:dyDescent="0.25">
      <c r="B4283" s="45"/>
      <c r="C4283" s="45"/>
    </row>
    <row r="4284" spans="2:3" x14ac:dyDescent="0.25">
      <c r="B4284" s="45"/>
      <c r="C4284" s="45"/>
    </row>
    <row r="4285" spans="2:3" x14ac:dyDescent="0.25">
      <c r="B4285" s="45"/>
      <c r="C4285" s="45"/>
    </row>
    <row r="4286" spans="2:3" x14ac:dyDescent="0.25">
      <c r="B4286" s="45"/>
      <c r="C4286" s="45"/>
    </row>
    <row r="4287" spans="2:3" x14ac:dyDescent="0.25">
      <c r="B4287" s="45"/>
      <c r="C4287" s="45"/>
    </row>
    <row r="4288" spans="2:3" x14ac:dyDescent="0.25">
      <c r="B4288" s="45"/>
      <c r="C4288" s="45"/>
    </row>
    <row r="4289" spans="2:3" x14ac:dyDescent="0.25">
      <c r="B4289" s="45"/>
      <c r="C4289" s="45"/>
    </row>
    <row r="4290" spans="2:3" x14ac:dyDescent="0.25">
      <c r="B4290" s="45"/>
      <c r="C4290" s="45"/>
    </row>
    <row r="4291" spans="2:3" x14ac:dyDescent="0.25">
      <c r="B4291" s="45"/>
      <c r="C4291" s="45"/>
    </row>
    <row r="4292" spans="2:3" x14ac:dyDescent="0.25">
      <c r="B4292" s="45"/>
      <c r="C4292" s="45"/>
    </row>
    <row r="4293" spans="2:3" x14ac:dyDescent="0.25">
      <c r="B4293" s="45"/>
      <c r="C4293" s="45"/>
    </row>
    <row r="4294" spans="2:3" x14ac:dyDescent="0.25">
      <c r="B4294" s="45"/>
      <c r="C4294" s="45"/>
    </row>
    <row r="4295" spans="2:3" x14ac:dyDescent="0.25">
      <c r="B4295" s="45"/>
      <c r="C4295" s="45"/>
    </row>
    <row r="4296" spans="2:3" x14ac:dyDescent="0.25">
      <c r="B4296" s="45"/>
      <c r="C4296" s="45"/>
    </row>
    <row r="4297" spans="2:3" x14ac:dyDescent="0.25">
      <c r="B4297" s="45"/>
      <c r="C4297" s="45"/>
    </row>
    <row r="4298" spans="2:3" x14ac:dyDescent="0.25">
      <c r="B4298" s="45"/>
      <c r="C4298" s="45"/>
    </row>
    <row r="4299" spans="2:3" x14ac:dyDescent="0.25">
      <c r="B4299" s="45"/>
      <c r="C4299" s="45"/>
    </row>
    <row r="4300" spans="2:3" x14ac:dyDescent="0.25">
      <c r="B4300" s="45"/>
      <c r="C4300" s="45"/>
    </row>
    <row r="4301" spans="2:3" x14ac:dyDescent="0.25">
      <c r="B4301" s="45"/>
      <c r="C4301" s="45"/>
    </row>
    <row r="4302" spans="2:3" x14ac:dyDescent="0.25">
      <c r="B4302" s="45"/>
      <c r="C4302" s="45"/>
    </row>
    <row r="4303" spans="2:3" x14ac:dyDescent="0.25">
      <c r="B4303" s="45"/>
      <c r="C4303" s="45"/>
    </row>
    <row r="4304" spans="2:3" x14ac:dyDescent="0.25">
      <c r="B4304" s="45"/>
      <c r="C4304" s="45"/>
    </row>
    <row r="4305" spans="2:3" x14ac:dyDescent="0.25">
      <c r="B4305" s="45"/>
      <c r="C4305" s="45"/>
    </row>
    <row r="4306" spans="2:3" x14ac:dyDescent="0.25">
      <c r="B4306" s="45"/>
      <c r="C4306" s="45"/>
    </row>
    <row r="4307" spans="2:3" x14ac:dyDescent="0.25">
      <c r="B4307" s="45"/>
      <c r="C4307" s="45"/>
    </row>
    <row r="4308" spans="2:3" x14ac:dyDescent="0.25">
      <c r="B4308" s="45"/>
      <c r="C4308" s="45"/>
    </row>
    <row r="4309" spans="2:3" x14ac:dyDescent="0.25">
      <c r="B4309" s="45"/>
      <c r="C4309" s="45"/>
    </row>
    <row r="4310" spans="2:3" x14ac:dyDescent="0.25">
      <c r="B4310" s="45"/>
      <c r="C4310" s="45"/>
    </row>
    <row r="4311" spans="2:3" x14ac:dyDescent="0.25">
      <c r="B4311" s="45"/>
      <c r="C4311" s="45"/>
    </row>
    <row r="4312" spans="2:3" x14ac:dyDescent="0.25">
      <c r="B4312" s="45"/>
      <c r="C4312" s="45"/>
    </row>
    <row r="4313" spans="2:3" x14ac:dyDescent="0.25">
      <c r="B4313" s="45"/>
      <c r="C4313" s="45"/>
    </row>
    <row r="4314" spans="2:3" x14ac:dyDescent="0.25">
      <c r="B4314" s="45"/>
      <c r="C4314" s="45"/>
    </row>
    <row r="4315" spans="2:3" x14ac:dyDescent="0.25">
      <c r="B4315" s="45"/>
      <c r="C4315" s="45"/>
    </row>
    <row r="4316" spans="2:3" x14ac:dyDescent="0.25">
      <c r="B4316" s="45"/>
      <c r="C4316" s="45"/>
    </row>
    <row r="4317" spans="2:3" x14ac:dyDescent="0.25">
      <c r="B4317" s="45"/>
      <c r="C4317" s="45"/>
    </row>
    <row r="4318" spans="2:3" x14ac:dyDescent="0.25">
      <c r="B4318" s="45"/>
      <c r="C4318" s="45"/>
    </row>
    <row r="4319" spans="2:3" x14ac:dyDescent="0.25">
      <c r="B4319" s="45"/>
      <c r="C4319" s="45"/>
    </row>
    <row r="4320" spans="2:3" x14ac:dyDescent="0.25">
      <c r="B4320" s="45"/>
      <c r="C4320" s="45"/>
    </row>
    <row r="4321" spans="2:3" x14ac:dyDescent="0.25">
      <c r="B4321" s="45"/>
      <c r="C4321" s="45"/>
    </row>
    <row r="4322" spans="2:3" x14ac:dyDescent="0.25">
      <c r="B4322" s="45"/>
      <c r="C4322" s="45"/>
    </row>
    <row r="4323" spans="2:3" x14ac:dyDescent="0.25">
      <c r="B4323" s="45"/>
      <c r="C4323" s="45"/>
    </row>
    <row r="4324" spans="2:3" x14ac:dyDescent="0.25">
      <c r="B4324" s="45"/>
      <c r="C4324" s="45"/>
    </row>
    <row r="4325" spans="2:3" x14ac:dyDescent="0.25">
      <c r="B4325" s="45"/>
      <c r="C4325" s="45"/>
    </row>
    <row r="4326" spans="2:3" x14ac:dyDescent="0.25">
      <c r="B4326" s="45"/>
      <c r="C4326" s="45"/>
    </row>
    <row r="4327" spans="2:3" x14ac:dyDescent="0.25">
      <c r="B4327" s="45"/>
      <c r="C4327" s="45"/>
    </row>
    <row r="4328" spans="2:3" x14ac:dyDescent="0.25">
      <c r="B4328" s="45"/>
      <c r="C4328" s="45"/>
    </row>
    <row r="4329" spans="2:3" x14ac:dyDescent="0.25">
      <c r="B4329" s="45"/>
      <c r="C4329" s="45"/>
    </row>
    <row r="4330" spans="2:3" x14ac:dyDescent="0.25">
      <c r="B4330" s="45"/>
      <c r="C4330" s="45"/>
    </row>
    <row r="4331" spans="2:3" x14ac:dyDescent="0.25">
      <c r="B4331" s="45"/>
      <c r="C4331" s="45"/>
    </row>
    <row r="4332" spans="2:3" x14ac:dyDescent="0.25">
      <c r="B4332" s="45"/>
      <c r="C4332" s="45"/>
    </row>
    <row r="4333" spans="2:3" x14ac:dyDescent="0.25">
      <c r="B4333" s="45"/>
      <c r="C4333" s="45"/>
    </row>
    <row r="4334" spans="2:3" x14ac:dyDescent="0.25">
      <c r="B4334" s="45"/>
      <c r="C4334" s="45"/>
    </row>
    <row r="4335" spans="2:3" x14ac:dyDescent="0.25">
      <c r="B4335" s="45"/>
      <c r="C4335" s="45"/>
    </row>
    <row r="4336" spans="2:3" x14ac:dyDescent="0.25">
      <c r="B4336" s="45"/>
      <c r="C4336" s="45"/>
    </row>
    <row r="4337" spans="2:3" x14ac:dyDescent="0.25">
      <c r="B4337" s="45"/>
      <c r="C4337" s="45"/>
    </row>
    <row r="4338" spans="2:3" x14ac:dyDescent="0.25">
      <c r="B4338" s="45"/>
      <c r="C4338" s="45"/>
    </row>
    <row r="4339" spans="2:3" x14ac:dyDescent="0.25">
      <c r="B4339" s="45"/>
      <c r="C4339" s="45"/>
    </row>
    <row r="4340" spans="2:3" x14ac:dyDescent="0.25">
      <c r="B4340" s="45"/>
      <c r="C4340" s="45"/>
    </row>
    <row r="4341" spans="2:3" x14ac:dyDescent="0.25">
      <c r="B4341" s="45"/>
      <c r="C4341" s="45"/>
    </row>
    <row r="4342" spans="2:3" x14ac:dyDescent="0.25">
      <c r="B4342" s="45"/>
      <c r="C4342" s="45"/>
    </row>
    <row r="4343" spans="2:3" x14ac:dyDescent="0.25">
      <c r="B4343" s="45"/>
      <c r="C4343" s="45"/>
    </row>
    <row r="4344" spans="2:3" x14ac:dyDescent="0.25">
      <c r="B4344" s="45"/>
      <c r="C4344" s="45"/>
    </row>
    <row r="4345" spans="2:3" x14ac:dyDescent="0.25">
      <c r="B4345" s="45"/>
      <c r="C4345" s="45"/>
    </row>
    <row r="4346" spans="2:3" x14ac:dyDescent="0.25">
      <c r="B4346" s="45"/>
      <c r="C4346" s="45"/>
    </row>
    <row r="4347" spans="2:3" x14ac:dyDescent="0.25">
      <c r="B4347" s="45"/>
      <c r="C4347" s="45"/>
    </row>
    <row r="4348" spans="2:3" x14ac:dyDescent="0.25">
      <c r="B4348" s="45"/>
      <c r="C4348" s="45"/>
    </row>
    <row r="4349" spans="2:3" x14ac:dyDescent="0.25">
      <c r="B4349" s="45"/>
      <c r="C4349" s="45"/>
    </row>
    <row r="4350" spans="2:3" x14ac:dyDescent="0.25">
      <c r="B4350" s="45"/>
      <c r="C4350" s="45"/>
    </row>
    <row r="4351" spans="2:3" x14ac:dyDescent="0.25">
      <c r="B4351" s="45"/>
      <c r="C4351" s="45"/>
    </row>
    <row r="4352" spans="2:3" x14ac:dyDescent="0.25">
      <c r="B4352" s="45"/>
      <c r="C4352" s="45"/>
    </row>
    <row r="4353" spans="2:3" x14ac:dyDescent="0.25">
      <c r="B4353" s="45"/>
      <c r="C4353" s="45"/>
    </row>
    <row r="4354" spans="2:3" x14ac:dyDescent="0.25">
      <c r="B4354" s="45"/>
      <c r="C4354" s="45"/>
    </row>
    <row r="4355" spans="2:3" x14ac:dyDescent="0.25">
      <c r="B4355" s="45"/>
      <c r="C4355" s="45"/>
    </row>
    <row r="4356" spans="2:3" x14ac:dyDescent="0.25">
      <c r="B4356" s="45"/>
      <c r="C4356" s="45"/>
    </row>
    <row r="4357" spans="2:3" x14ac:dyDescent="0.25">
      <c r="B4357" s="45"/>
      <c r="C4357" s="45"/>
    </row>
    <row r="4358" spans="2:3" x14ac:dyDescent="0.25">
      <c r="B4358" s="45"/>
      <c r="C4358" s="45"/>
    </row>
    <row r="4359" spans="2:3" x14ac:dyDescent="0.25">
      <c r="B4359" s="45"/>
      <c r="C4359" s="45"/>
    </row>
    <row r="4360" spans="2:3" x14ac:dyDescent="0.25">
      <c r="B4360" s="45"/>
      <c r="C4360" s="45"/>
    </row>
    <row r="4361" spans="2:3" x14ac:dyDescent="0.25">
      <c r="B4361" s="45"/>
      <c r="C4361" s="45"/>
    </row>
    <row r="4362" spans="2:3" x14ac:dyDescent="0.25">
      <c r="B4362" s="45"/>
      <c r="C4362" s="45"/>
    </row>
    <row r="4363" spans="2:3" x14ac:dyDescent="0.25">
      <c r="B4363" s="45"/>
      <c r="C4363" s="45"/>
    </row>
    <row r="4364" spans="2:3" x14ac:dyDescent="0.25">
      <c r="B4364" s="45"/>
      <c r="C4364" s="45"/>
    </row>
    <row r="4365" spans="2:3" x14ac:dyDescent="0.25">
      <c r="B4365" s="45"/>
      <c r="C4365" s="45"/>
    </row>
    <row r="4366" spans="2:3" x14ac:dyDescent="0.25">
      <c r="B4366" s="45"/>
      <c r="C4366" s="45"/>
    </row>
    <row r="4367" spans="2:3" x14ac:dyDescent="0.25">
      <c r="B4367" s="45"/>
      <c r="C4367" s="45"/>
    </row>
    <row r="4368" spans="2:3" x14ac:dyDescent="0.25">
      <c r="B4368" s="45"/>
      <c r="C4368" s="45"/>
    </row>
    <row r="4369" spans="2:3" x14ac:dyDescent="0.25">
      <c r="B4369" s="45"/>
      <c r="C4369" s="45"/>
    </row>
    <row r="4370" spans="2:3" x14ac:dyDescent="0.25">
      <c r="B4370" s="45"/>
      <c r="C4370" s="45"/>
    </row>
    <row r="4371" spans="2:3" x14ac:dyDescent="0.25">
      <c r="B4371" s="45"/>
      <c r="C4371" s="45"/>
    </row>
    <row r="4372" spans="2:3" x14ac:dyDescent="0.25">
      <c r="B4372" s="45"/>
      <c r="C4372" s="45"/>
    </row>
    <row r="4373" spans="2:3" x14ac:dyDescent="0.25">
      <c r="B4373" s="45"/>
      <c r="C4373" s="45"/>
    </row>
    <row r="4374" spans="2:3" x14ac:dyDescent="0.25">
      <c r="B4374" s="45"/>
      <c r="C4374" s="45"/>
    </row>
    <row r="4375" spans="2:3" x14ac:dyDescent="0.25">
      <c r="B4375" s="45"/>
      <c r="C4375" s="45"/>
    </row>
    <row r="4376" spans="2:3" x14ac:dyDescent="0.25">
      <c r="B4376" s="45"/>
      <c r="C4376" s="45"/>
    </row>
    <row r="4377" spans="2:3" x14ac:dyDescent="0.25">
      <c r="B4377" s="45"/>
      <c r="C4377" s="45"/>
    </row>
    <row r="4378" spans="2:3" x14ac:dyDescent="0.25">
      <c r="B4378" s="45"/>
      <c r="C4378" s="45"/>
    </row>
    <row r="4379" spans="2:3" x14ac:dyDescent="0.25">
      <c r="B4379" s="45"/>
      <c r="C4379" s="45"/>
    </row>
    <row r="4380" spans="2:3" x14ac:dyDescent="0.25">
      <c r="B4380" s="45"/>
      <c r="C4380" s="45"/>
    </row>
    <row r="4381" spans="2:3" x14ac:dyDescent="0.25">
      <c r="B4381" s="45"/>
      <c r="C4381" s="45"/>
    </row>
    <row r="4382" spans="2:3" x14ac:dyDescent="0.25">
      <c r="B4382" s="45"/>
      <c r="C4382" s="45"/>
    </row>
    <row r="4383" spans="2:3" x14ac:dyDescent="0.25">
      <c r="B4383" s="45"/>
      <c r="C4383" s="45"/>
    </row>
    <row r="4384" spans="2:3" x14ac:dyDescent="0.25">
      <c r="B4384" s="45"/>
      <c r="C4384" s="45"/>
    </row>
    <row r="4385" spans="2:3" x14ac:dyDescent="0.25">
      <c r="B4385" s="45"/>
      <c r="C4385" s="45"/>
    </row>
    <row r="4386" spans="2:3" x14ac:dyDescent="0.25">
      <c r="B4386" s="45"/>
      <c r="C4386" s="45"/>
    </row>
    <row r="4387" spans="2:3" x14ac:dyDescent="0.25">
      <c r="B4387" s="45"/>
      <c r="C4387" s="45"/>
    </row>
    <row r="4388" spans="2:3" x14ac:dyDescent="0.25">
      <c r="B4388" s="45"/>
      <c r="C4388" s="45"/>
    </row>
    <row r="4389" spans="2:3" x14ac:dyDescent="0.25">
      <c r="B4389" s="45"/>
      <c r="C4389" s="45"/>
    </row>
    <row r="4390" spans="2:3" x14ac:dyDescent="0.25">
      <c r="B4390" s="45"/>
      <c r="C4390" s="45"/>
    </row>
    <row r="4391" spans="2:3" x14ac:dyDescent="0.25">
      <c r="B4391" s="45"/>
      <c r="C4391" s="45"/>
    </row>
    <row r="4392" spans="2:3" x14ac:dyDescent="0.25">
      <c r="B4392" s="45"/>
      <c r="C4392" s="45"/>
    </row>
    <row r="4393" spans="2:3" x14ac:dyDescent="0.25">
      <c r="B4393" s="45"/>
      <c r="C4393" s="45"/>
    </row>
    <row r="4394" spans="2:3" x14ac:dyDescent="0.25">
      <c r="B4394" s="45"/>
      <c r="C4394" s="45"/>
    </row>
    <row r="4395" spans="2:3" x14ac:dyDescent="0.25">
      <c r="B4395" s="45"/>
      <c r="C4395" s="45"/>
    </row>
    <row r="4396" spans="2:3" x14ac:dyDescent="0.25">
      <c r="B4396" s="45"/>
      <c r="C4396" s="45"/>
    </row>
    <row r="4397" spans="2:3" x14ac:dyDescent="0.25">
      <c r="B4397" s="45"/>
      <c r="C4397" s="45"/>
    </row>
    <row r="4398" spans="2:3" x14ac:dyDescent="0.25">
      <c r="B4398" s="45"/>
      <c r="C4398" s="45"/>
    </row>
    <row r="4399" spans="2:3" x14ac:dyDescent="0.25">
      <c r="B4399" s="45"/>
      <c r="C4399" s="45"/>
    </row>
    <row r="4400" spans="2:3" x14ac:dyDescent="0.25">
      <c r="B4400" s="45"/>
      <c r="C4400" s="45"/>
    </row>
    <row r="4401" spans="2:3" x14ac:dyDescent="0.25">
      <c r="B4401" s="45"/>
      <c r="C4401" s="45"/>
    </row>
    <row r="4402" spans="2:3" x14ac:dyDescent="0.25">
      <c r="B4402" s="45"/>
      <c r="C4402" s="45"/>
    </row>
    <row r="4403" spans="2:3" x14ac:dyDescent="0.25">
      <c r="B4403" s="45"/>
      <c r="C4403" s="45"/>
    </row>
    <row r="4404" spans="2:3" x14ac:dyDescent="0.25">
      <c r="B4404" s="45"/>
      <c r="C4404" s="45"/>
    </row>
    <row r="4405" spans="2:3" x14ac:dyDescent="0.25">
      <c r="B4405" s="45"/>
      <c r="C4405" s="45"/>
    </row>
    <row r="4406" spans="2:3" x14ac:dyDescent="0.25">
      <c r="B4406" s="45"/>
      <c r="C4406" s="45"/>
    </row>
    <row r="4407" spans="2:3" x14ac:dyDescent="0.25">
      <c r="B4407" s="45"/>
      <c r="C4407" s="45"/>
    </row>
    <row r="4408" spans="2:3" x14ac:dyDescent="0.25">
      <c r="B4408" s="45"/>
      <c r="C4408" s="45"/>
    </row>
    <row r="4409" spans="2:3" x14ac:dyDescent="0.25">
      <c r="B4409" s="45"/>
      <c r="C4409" s="45"/>
    </row>
    <row r="4410" spans="2:3" x14ac:dyDescent="0.25">
      <c r="B4410" s="45"/>
      <c r="C4410" s="45"/>
    </row>
    <row r="4411" spans="2:3" x14ac:dyDescent="0.25">
      <c r="B4411" s="45"/>
      <c r="C4411" s="45"/>
    </row>
    <row r="4412" spans="2:3" x14ac:dyDescent="0.25">
      <c r="B4412" s="45"/>
      <c r="C4412" s="45"/>
    </row>
    <row r="4413" spans="2:3" x14ac:dyDescent="0.25">
      <c r="B4413" s="45"/>
      <c r="C4413" s="45"/>
    </row>
    <row r="4414" spans="2:3" x14ac:dyDescent="0.25">
      <c r="B4414" s="45"/>
      <c r="C4414" s="45"/>
    </row>
    <row r="4415" spans="2:3" x14ac:dyDescent="0.25">
      <c r="B4415" s="45"/>
      <c r="C4415" s="45"/>
    </row>
    <row r="4416" spans="2:3" x14ac:dyDescent="0.25">
      <c r="B4416" s="45"/>
      <c r="C4416" s="45"/>
    </row>
    <row r="4417" spans="2:3" x14ac:dyDescent="0.25">
      <c r="B4417" s="45"/>
      <c r="C4417" s="45"/>
    </row>
    <row r="4418" spans="2:3" x14ac:dyDescent="0.25">
      <c r="B4418" s="45"/>
      <c r="C4418" s="45"/>
    </row>
    <row r="4419" spans="2:3" x14ac:dyDescent="0.25">
      <c r="B4419" s="45"/>
      <c r="C4419" s="45"/>
    </row>
    <row r="4420" spans="2:3" x14ac:dyDescent="0.25">
      <c r="B4420" s="45"/>
      <c r="C4420" s="45"/>
    </row>
    <row r="4421" spans="2:3" x14ac:dyDescent="0.25">
      <c r="B4421" s="45"/>
      <c r="C4421" s="45"/>
    </row>
    <row r="4422" spans="2:3" x14ac:dyDescent="0.25">
      <c r="B4422" s="45"/>
      <c r="C4422" s="45"/>
    </row>
    <row r="4423" spans="2:3" x14ac:dyDescent="0.25">
      <c r="B4423" s="45"/>
      <c r="C4423" s="45"/>
    </row>
    <row r="4424" spans="2:3" x14ac:dyDescent="0.25">
      <c r="B4424" s="45"/>
      <c r="C4424" s="45"/>
    </row>
    <row r="4425" spans="2:3" x14ac:dyDescent="0.25">
      <c r="B4425" s="45"/>
      <c r="C4425" s="45"/>
    </row>
    <row r="4426" spans="2:3" x14ac:dyDescent="0.25">
      <c r="B4426" s="45"/>
      <c r="C4426" s="45"/>
    </row>
    <row r="4427" spans="2:3" x14ac:dyDescent="0.25">
      <c r="B4427" s="45"/>
      <c r="C4427" s="45"/>
    </row>
    <row r="4428" spans="2:3" x14ac:dyDescent="0.25">
      <c r="B4428" s="45"/>
      <c r="C4428" s="45"/>
    </row>
    <row r="4429" spans="2:3" x14ac:dyDescent="0.25">
      <c r="B4429" s="45"/>
      <c r="C4429" s="45"/>
    </row>
    <row r="4430" spans="2:3" x14ac:dyDescent="0.25">
      <c r="B4430" s="45"/>
      <c r="C4430" s="45"/>
    </row>
    <row r="4431" spans="2:3" x14ac:dyDescent="0.25">
      <c r="B4431" s="45"/>
      <c r="C4431" s="45"/>
    </row>
    <row r="4432" spans="2:3" x14ac:dyDescent="0.25">
      <c r="B4432" s="45"/>
      <c r="C4432" s="45"/>
    </row>
    <row r="4433" spans="2:3" x14ac:dyDescent="0.25">
      <c r="B4433" s="45"/>
      <c r="C4433" s="45"/>
    </row>
    <row r="4434" spans="2:3" x14ac:dyDescent="0.25">
      <c r="B4434" s="45"/>
      <c r="C4434" s="45"/>
    </row>
    <row r="4435" spans="2:3" x14ac:dyDescent="0.25">
      <c r="B4435" s="45"/>
      <c r="C4435" s="45"/>
    </row>
    <row r="4436" spans="2:3" x14ac:dyDescent="0.25">
      <c r="B4436" s="45"/>
      <c r="C4436" s="45"/>
    </row>
    <row r="4437" spans="2:3" x14ac:dyDescent="0.25">
      <c r="B4437" s="45"/>
      <c r="C4437" s="45"/>
    </row>
    <row r="4438" spans="2:3" x14ac:dyDescent="0.25">
      <c r="B4438" s="45"/>
      <c r="C4438" s="45"/>
    </row>
    <row r="4439" spans="2:3" x14ac:dyDescent="0.25">
      <c r="B4439" s="45"/>
      <c r="C4439" s="45"/>
    </row>
    <row r="4440" spans="2:3" x14ac:dyDescent="0.25">
      <c r="B4440" s="45"/>
      <c r="C4440" s="45"/>
    </row>
    <row r="4441" spans="2:3" x14ac:dyDescent="0.25">
      <c r="B4441" s="45"/>
      <c r="C4441" s="45"/>
    </row>
    <row r="4442" spans="2:3" x14ac:dyDescent="0.25">
      <c r="B4442" s="45"/>
      <c r="C4442" s="45"/>
    </row>
    <row r="4443" spans="2:3" x14ac:dyDescent="0.25">
      <c r="B4443" s="45"/>
      <c r="C4443" s="45"/>
    </row>
    <row r="4444" spans="2:3" x14ac:dyDescent="0.25">
      <c r="B4444" s="45"/>
      <c r="C4444" s="45"/>
    </row>
    <row r="4445" spans="2:3" x14ac:dyDescent="0.25">
      <c r="B4445" s="45"/>
      <c r="C4445" s="45"/>
    </row>
    <row r="4446" spans="2:3" x14ac:dyDescent="0.25">
      <c r="B4446" s="45"/>
      <c r="C4446" s="45"/>
    </row>
    <row r="4447" spans="2:3" x14ac:dyDescent="0.25">
      <c r="B4447" s="45"/>
      <c r="C4447" s="45"/>
    </row>
    <row r="4448" spans="2:3" x14ac:dyDescent="0.25">
      <c r="B4448" s="45"/>
      <c r="C4448" s="45"/>
    </row>
    <row r="4449" spans="2:3" x14ac:dyDescent="0.25">
      <c r="B4449" s="45"/>
      <c r="C4449" s="45"/>
    </row>
    <row r="4450" spans="2:3" x14ac:dyDescent="0.25">
      <c r="B4450" s="45"/>
      <c r="C4450" s="45"/>
    </row>
    <row r="4451" spans="2:3" x14ac:dyDescent="0.25">
      <c r="B4451" s="45"/>
      <c r="C4451" s="45"/>
    </row>
    <row r="4452" spans="2:3" x14ac:dyDescent="0.25">
      <c r="B4452" s="45"/>
      <c r="C4452" s="45"/>
    </row>
    <row r="4453" spans="2:3" x14ac:dyDescent="0.25">
      <c r="B4453" s="45"/>
      <c r="C4453" s="45"/>
    </row>
    <row r="4454" spans="2:3" x14ac:dyDescent="0.25">
      <c r="B4454" s="45"/>
      <c r="C4454" s="45"/>
    </row>
    <row r="4455" spans="2:3" x14ac:dyDescent="0.25">
      <c r="B4455" s="45"/>
      <c r="C4455" s="45"/>
    </row>
    <row r="4456" spans="2:3" x14ac:dyDescent="0.25">
      <c r="B4456" s="45"/>
      <c r="C4456" s="45"/>
    </row>
    <row r="4457" spans="2:3" x14ac:dyDescent="0.25">
      <c r="B4457" s="45"/>
      <c r="C4457" s="45"/>
    </row>
    <row r="4458" spans="2:3" x14ac:dyDescent="0.25">
      <c r="B4458" s="45"/>
      <c r="C4458" s="45"/>
    </row>
    <row r="4459" spans="2:3" x14ac:dyDescent="0.25">
      <c r="B4459" s="45"/>
      <c r="C4459" s="45"/>
    </row>
    <row r="4460" spans="2:3" x14ac:dyDescent="0.25">
      <c r="B4460" s="45"/>
      <c r="C4460" s="45"/>
    </row>
    <row r="4461" spans="2:3" x14ac:dyDescent="0.25">
      <c r="B4461" s="45"/>
      <c r="C4461" s="45"/>
    </row>
    <row r="4462" spans="2:3" x14ac:dyDescent="0.25">
      <c r="B4462" s="45"/>
      <c r="C4462" s="45"/>
    </row>
    <row r="4463" spans="2:3" x14ac:dyDescent="0.25">
      <c r="B4463" s="45"/>
      <c r="C4463" s="45"/>
    </row>
    <row r="4464" spans="2:3" x14ac:dyDescent="0.25">
      <c r="B4464" s="45"/>
      <c r="C4464" s="45"/>
    </row>
    <row r="4465" spans="2:3" x14ac:dyDescent="0.25">
      <c r="B4465" s="45"/>
      <c r="C4465" s="45"/>
    </row>
    <row r="4466" spans="2:3" x14ac:dyDescent="0.25">
      <c r="B4466" s="45"/>
      <c r="C4466" s="45"/>
    </row>
    <row r="4467" spans="2:3" x14ac:dyDescent="0.25">
      <c r="B4467" s="45"/>
      <c r="C4467" s="45"/>
    </row>
    <row r="4468" spans="2:3" x14ac:dyDescent="0.25">
      <c r="B4468" s="45"/>
      <c r="C4468" s="45"/>
    </row>
    <row r="4469" spans="2:3" x14ac:dyDescent="0.25">
      <c r="B4469" s="45"/>
      <c r="C4469" s="45"/>
    </row>
    <row r="4470" spans="2:3" x14ac:dyDescent="0.25">
      <c r="B4470" s="45"/>
      <c r="C4470" s="45"/>
    </row>
    <row r="4471" spans="2:3" x14ac:dyDescent="0.25">
      <c r="B4471" s="45"/>
      <c r="C4471" s="45"/>
    </row>
    <row r="4472" spans="2:3" x14ac:dyDescent="0.25">
      <c r="B4472" s="45"/>
      <c r="C4472" s="45"/>
    </row>
    <row r="4473" spans="2:3" x14ac:dyDescent="0.25">
      <c r="B4473" s="45"/>
      <c r="C4473" s="45"/>
    </row>
    <row r="4474" spans="2:3" x14ac:dyDescent="0.25">
      <c r="B4474" s="45"/>
      <c r="C4474" s="45"/>
    </row>
    <row r="4475" spans="2:3" x14ac:dyDescent="0.25">
      <c r="B4475" s="45"/>
      <c r="C4475" s="45"/>
    </row>
    <row r="4476" spans="2:3" x14ac:dyDescent="0.25">
      <c r="B4476" s="45"/>
      <c r="C4476" s="45"/>
    </row>
    <row r="4477" spans="2:3" x14ac:dyDescent="0.25">
      <c r="B4477" s="45"/>
      <c r="C4477" s="45"/>
    </row>
    <row r="4478" spans="2:3" x14ac:dyDescent="0.25">
      <c r="B4478" s="45"/>
      <c r="C4478" s="45"/>
    </row>
    <row r="4479" spans="2:3" x14ac:dyDescent="0.25">
      <c r="B4479" s="45"/>
      <c r="C4479" s="45"/>
    </row>
    <row r="4480" spans="2:3" x14ac:dyDescent="0.25">
      <c r="B4480" s="45"/>
      <c r="C4480" s="45"/>
    </row>
    <row r="4481" spans="2:3" x14ac:dyDescent="0.25">
      <c r="B4481" s="45"/>
      <c r="C4481" s="45"/>
    </row>
    <row r="4482" spans="2:3" x14ac:dyDescent="0.25">
      <c r="B4482" s="45"/>
      <c r="C4482" s="45"/>
    </row>
    <row r="4483" spans="2:3" x14ac:dyDescent="0.25">
      <c r="B4483" s="45"/>
      <c r="C4483" s="45"/>
    </row>
    <row r="4484" spans="2:3" x14ac:dyDescent="0.25">
      <c r="B4484" s="45"/>
      <c r="C4484" s="45"/>
    </row>
    <row r="4485" spans="2:3" x14ac:dyDescent="0.25">
      <c r="B4485" s="45"/>
      <c r="C4485" s="45"/>
    </row>
    <row r="4486" spans="2:3" x14ac:dyDescent="0.25">
      <c r="B4486" s="45"/>
      <c r="C4486" s="45"/>
    </row>
    <row r="4487" spans="2:3" x14ac:dyDescent="0.25">
      <c r="B4487" s="45"/>
      <c r="C4487" s="45"/>
    </row>
    <row r="4488" spans="2:3" x14ac:dyDescent="0.25">
      <c r="B4488" s="45"/>
      <c r="C4488" s="45"/>
    </row>
    <row r="4489" spans="2:3" x14ac:dyDescent="0.25">
      <c r="B4489" s="45"/>
      <c r="C4489" s="45"/>
    </row>
    <row r="4490" spans="2:3" x14ac:dyDescent="0.25">
      <c r="B4490" s="45"/>
      <c r="C4490" s="45"/>
    </row>
    <row r="4491" spans="2:3" x14ac:dyDescent="0.25">
      <c r="B4491" s="45"/>
      <c r="C4491" s="45"/>
    </row>
    <row r="4492" spans="2:3" x14ac:dyDescent="0.25">
      <c r="B4492" s="45"/>
      <c r="C4492" s="45"/>
    </row>
    <row r="4493" spans="2:3" x14ac:dyDescent="0.25">
      <c r="B4493" s="45"/>
      <c r="C4493" s="45"/>
    </row>
    <row r="4494" spans="2:3" x14ac:dyDescent="0.25">
      <c r="B4494" s="45"/>
      <c r="C4494" s="45"/>
    </row>
    <row r="4495" spans="2:3" x14ac:dyDescent="0.25">
      <c r="B4495" s="45"/>
      <c r="C4495" s="45"/>
    </row>
    <row r="4496" spans="2:3" x14ac:dyDescent="0.25">
      <c r="B4496" s="45"/>
      <c r="C4496" s="45"/>
    </row>
    <row r="4497" spans="2:3" x14ac:dyDescent="0.25">
      <c r="B4497" s="45"/>
      <c r="C4497" s="45"/>
    </row>
    <row r="4498" spans="2:3" x14ac:dyDescent="0.25">
      <c r="B4498" s="45"/>
      <c r="C4498" s="45"/>
    </row>
    <row r="4499" spans="2:3" x14ac:dyDescent="0.25">
      <c r="B4499" s="45"/>
      <c r="C4499" s="45"/>
    </row>
    <row r="4500" spans="2:3" x14ac:dyDescent="0.25">
      <c r="B4500" s="45"/>
      <c r="C4500" s="45"/>
    </row>
    <row r="4501" spans="2:3" x14ac:dyDescent="0.25">
      <c r="B4501" s="45"/>
      <c r="C4501" s="45"/>
    </row>
    <row r="4502" spans="2:3" x14ac:dyDescent="0.25">
      <c r="B4502" s="45"/>
      <c r="C4502" s="45"/>
    </row>
    <row r="4503" spans="2:3" x14ac:dyDescent="0.25">
      <c r="B4503" s="45"/>
      <c r="C4503" s="45"/>
    </row>
    <row r="4504" spans="2:3" x14ac:dyDescent="0.25">
      <c r="B4504" s="45"/>
      <c r="C4504" s="45"/>
    </row>
    <row r="4505" spans="2:3" x14ac:dyDescent="0.25">
      <c r="B4505" s="45"/>
      <c r="C4505" s="45"/>
    </row>
    <row r="4506" spans="2:3" x14ac:dyDescent="0.25">
      <c r="B4506" s="45"/>
      <c r="C4506" s="45"/>
    </row>
    <row r="4507" spans="2:3" x14ac:dyDescent="0.25">
      <c r="B4507" s="45"/>
      <c r="C4507" s="45"/>
    </row>
    <row r="4508" spans="2:3" x14ac:dyDescent="0.25">
      <c r="B4508" s="45"/>
      <c r="C4508" s="45"/>
    </row>
    <row r="4509" spans="2:3" x14ac:dyDescent="0.25">
      <c r="B4509" s="45"/>
      <c r="C4509" s="45"/>
    </row>
    <row r="4510" spans="2:3" x14ac:dyDescent="0.25">
      <c r="B4510" s="45"/>
      <c r="C4510" s="45"/>
    </row>
    <row r="4511" spans="2:3" x14ac:dyDescent="0.25">
      <c r="B4511" s="45"/>
      <c r="C4511" s="45"/>
    </row>
    <row r="4512" spans="2:3" x14ac:dyDescent="0.25">
      <c r="B4512" s="45"/>
      <c r="C4512" s="45"/>
    </row>
    <row r="4513" spans="2:3" x14ac:dyDescent="0.25">
      <c r="B4513" s="45"/>
      <c r="C4513" s="45"/>
    </row>
    <row r="4514" spans="2:3" x14ac:dyDescent="0.25">
      <c r="B4514" s="45"/>
      <c r="C4514" s="45"/>
    </row>
    <row r="4515" spans="2:3" x14ac:dyDescent="0.25">
      <c r="B4515" s="45"/>
      <c r="C4515" s="45"/>
    </row>
    <row r="4516" spans="2:3" x14ac:dyDescent="0.25">
      <c r="B4516" s="45"/>
      <c r="C4516" s="45"/>
    </row>
    <row r="4517" spans="2:3" x14ac:dyDescent="0.25">
      <c r="B4517" s="45"/>
      <c r="C4517" s="45"/>
    </row>
    <row r="4518" spans="2:3" x14ac:dyDescent="0.25">
      <c r="B4518" s="45"/>
      <c r="C4518" s="45"/>
    </row>
    <row r="4519" spans="2:3" x14ac:dyDescent="0.25">
      <c r="B4519" s="45"/>
      <c r="C4519" s="45"/>
    </row>
    <row r="4520" spans="2:3" x14ac:dyDescent="0.25">
      <c r="B4520" s="45"/>
      <c r="C4520" s="45"/>
    </row>
    <row r="4521" spans="2:3" x14ac:dyDescent="0.25">
      <c r="B4521" s="45"/>
      <c r="C4521" s="45"/>
    </row>
    <row r="4522" spans="2:3" x14ac:dyDescent="0.25">
      <c r="B4522" s="45"/>
      <c r="C4522" s="45"/>
    </row>
    <row r="4523" spans="2:3" x14ac:dyDescent="0.25">
      <c r="B4523" s="45"/>
      <c r="C4523" s="45"/>
    </row>
    <row r="4524" spans="2:3" x14ac:dyDescent="0.25">
      <c r="B4524" s="45"/>
      <c r="C4524" s="45"/>
    </row>
    <row r="4525" spans="2:3" x14ac:dyDescent="0.25">
      <c r="B4525" s="45"/>
      <c r="C4525" s="45"/>
    </row>
    <row r="4526" spans="2:3" x14ac:dyDescent="0.25">
      <c r="B4526" s="45"/>
      <c r="C4526" s="45"/>
    </row>
    <row r="4527" spans="2:3" x14ac:dyDescent="0.25">
      <c r="B4527" s="45"/>
      <c r="C4527" s="45"/>
    </row>
    <row r="4528" spans="2:3" x14ac:dyDescent="0.25">
      <c r="B4528" s="45"/>
      <c r="C4528" s="45"/>
    </row>
    <row r="4529" spans="2:3" x14ac:dyDescent="0.25">
      <c r="B4529" s="45"/>
      <c r="C4529" s="45"/>
    </row>
    <row r="4530" spans="2:3" x14ac:dyDescent="0.25">
      <c r="B4530" s="45"/>
      <c r="C4530" s="45"/>
    </row>
    <row r="4531" spans="2:3" x14ac:dyDescent="0.25">
      <c r="B4531" s="45"/>
      <c r="C4531" s="45"/>
    </row>
    <row r="4532" spans="2:3" x14ac:dyDescent="0.25">
      <c r="B4532" s="45"/>
      <c r="C4532" s="45"/>
    </row>
    <row r="4533" spans="2:3" x14ac:dyDescent="0.25">
      <c r="B4533" s="45"/>
      <c r="C4533" s="45"/>
    </row>
    <row r="4534" spans="2:3" x14ac:dyDescent="0.25">
      <c r="B4534" s="45"/>
      <c r="C4534" s="45"/>
    </row>
    <row r="4535" spans="2:3" x14ac:dyDescent="0.25">
      <c r="B4535" s="45"/>
      <c r="C4535" s="45"/>
    </row>
    <row r="4536" spans="2:3" x14ac:dyDescent="0.25">
      <c r="B4536" s="45"/>
      <c r="C4536" s="45"/>
    </row>
    <row r="4537" spans="2:3" x14ac:dyDescent="0.25">
      <c r="B4537" s="45"/>
      <c r="C4537" s="45"/>
    </row>
    <row r="4538" spans="2:3" x14ac:dyDescent="0.25">
      <c r="B4538" s="45"/>
      <c r="C4538" s="45"/>
    </row>
    <row r="4539" spans="2:3" x14ac:dyDescent="0.25">
      <c r="B4539" s="45"/>
      <c r="C4539" s="45"/>
    </row>
    <row r="4540" spans="2:3" x14ac:dyDescent="0.25">
      <c r="B4540" s="45"/>
      <c r="C4540" s="45"/>
    </row>
    <row r="4541" spans="2:3" x14ac:dyDescent="0.25">
      <c r="B4541" s="45"/>
      <c r="C4541" s="45"/>
    </row>
    <row r="4542" spans="2:3" x14ac:dyDescent="0.25">
      <c r="B4542" s="45"/>
      <c r="C4542" s="45"/>
    </row>
    <row r="4543" spans="2:3" x14ac:dyDescent="0.25">
      <c r="B4543" s="45"/>
      <c r="C4543" s="45"/>
    </row>
    <row r="4544" spans="2:3" x14ac:dyDescent="0.25">
      <c r="B4544" s="45"/>
      <c r="C4544" s="45"/>
    </row>
    <row r="4545" spans="2:3" x14ac:dyDescent="0.25">
      <c r="B4545" s="45"/>
      <c r="C4545" s="45"/>
    </row>
    <row r="4546" spans="2:3" x14ac:dyDescent="0.25">
      <c r="B4546" s="45"/>
      <c r="C4546" s="45"/>
    </row>
    <row r="4547" spans="2:3" x14ac:dyDescent="0.25">
      <c r="B4547" s="45"/>
      <c r="C4547" s="45"/>
    </row>
    <row r="4548" spans="2:3" x14ac:dyDescent="0.25">
      <c r="B4548" s="45"/>
      <c r="C4548" s="45"/>
    </row>
    <row r="4549" spans="2:3" x14ac:dyDescent="0.25">
      <c r="B4549" s="45"/>
      <c r="C4549" s="45"/>
    </row>
    <row r="4550" spans="2:3" x14ac:dyDescent="0.25">
      <c r="B4550" s="45"/>
      <c r="C4550" s="45"/>
    </row>
    <row r="4551" spans="2:3" x14ac:dyDescent="0.25">
      <c r="B4551" s="45"/>
      <c r="C4551" s="45"/>
    </row>
    <row r="4552" spans="2:3" x14ac:dyDescent="0.25">
      <c r="B4552" s="45"/>
      <c r="C4552" s="45"/>
    </row>
    <row r="4553" spans="2:3" x14ac:dyDescent="0.25">
      <c r="B4553" s="45"/>
      <c r="C4553" s="45"/>
    </row>
    <row r="4554" spans="2:3" x14ac:dyDescent="0.25">
      <c r="B4554" s="45"/>
      <c r="C4554" s="45"/>
    </row>
    <row r="4555" spans="2:3" x14ac:dyDescent="0.25">
      <c r="B4555" s="45"/>
      <c r="C4555" s="45"/>
    </row>
    <row r="4556" spans="2:3" x14ac:dyDescent="0.25">
      <c r="B4556" s="45"/>
      <c r="C4556" s="45"/>
    </row>
    <row r="4557" spans="2:3" x14ac:dyDescent="0.25">
      <c r="B4557" s="45"/>
      <c r="C4557" s="45"/>
    </row>
    <row r="4558" spans="2:3" x14ac:dyDescent="0.25">
      <c r="B4558" s="45"/>
      <c r="C4558" s="45"/>
    </row>
    <row r="4559" spans="2:3" x14ac:dyDescent="0.25">
      <c r="B4559" s="45"/>
      <c r="C4559" s="45"/>
    </row>
    <row r="4560" spans="2:3" x14ac:dyDescent="0.25">
      <c r="B4560" s="45"/>
      <c r="C4560" s="45"/>
    </row>
    <row r="4561" spans="2:3" x14ac:dyDescent="0.25">
      <c r="B4561" s="45"/>
      <c r="C4561" s="45"/>
    </row>
    <row r="4562" spans="2:3" x14ac:dyDescent="0.25">
      <c r="B4562" s="45"/>
      <c r="C4562" s="45"/>
    </row>
    <row r="4563" spans="2:3" x14ac:dyDescent="0.25">
      <c r="B4563" s="45"/>
      <c r="C4563" s="45"/>
    </row>
    <row r="4564" spans="2:3" x14ac:dyDescent="0.25">
      <c r="B4564" s="45"/>
      <c r="C4564" s="45"/>
    </row>
    <row r="4565" spans="2:3" x14ac:dyDescent="0.25">
      <c r="B4565" s="45"/>
      <c r="C4565" s="45"/>
    </row>
    <row r="4566" spans="2:3" x14ac:dyDescent="0.25">
      <c r="B4566" s="45"/>
      <c r="C4566" s="45"/>
    </row>
    <row r="4567" spans="2:3" x14ac:dyDescent="0.25">
      <c r="B4567" s="45"/>
      <c r="C4567" s="45"/>
    </row>
    <row r="4568" spans="2:3" x14ac:dyDescent="0.25">
      <c r="B4568" s="45"/>
      <c r="C4568" s="45"/>
    </row>
    <row r="4569" spans="2:3" x14ac:dyDescent="0.25">
      <c r="B4569" s="45"/>
      <c r="C4569" s="45"/>
    </row>
    <row r="4570" spans="2:3" x14ac:dyDescent="0.25">
      <c r="B4570" s="45"/>
      <c r="C4570" s="45"/>
    </row>
    <row r="4571" spans="2:3" x14ac:dyDescent="0.25">
      <c r="B4571" s="45"/>
      <c r="C4571" s="45"/>
    </row>
    <row r="4572" spans="2:3" x14ac:dyDescent="0.25">
      <c r="B4572" s="45"/>
      <c r="C4572" s="45"/>
    </row>
    <row r="4573" spans="2:3" x14ac:dyDescent="0.25">
      <c r="B4573" s="45"/>
      <c r="C4573" s="45"/>
    </row>
    <row r="4574" spans="2:3" x14ac:dyDescent="0.25">
      <c r="B4574" s="45"/>
      <c r="C4574" s="45"/>
    </row>
    <row r="4575" spans="2:3" x14ac:dyDescent="0.25">
      <c r="B4575" s="45"/>
      <c r="C4575" s="45"/>
    </row>
    <row r="4576" spans="2:3" x14ac:dyDescent="0.25">
      <c r="B4576" s="45"/>
      <c r="C4576" s="45"/>
    </row>
    <row r="4577" spans="2:3" x14ac:dyDescent="0.25">
      <c r="B4577" s="45"/>
      <c r="C4577" s="45"/>
    </row>
    <row r="4578" spans="2:3" x14ac:dyDescent="0.25">
      <c r="B4578" s="45"/>
      <c r="C4578" s="45"/>
    </row>
    <row r="4579" spans="2:3" x14ac:dyDescent="0.25">
      <c r="B4579" s="45"/>
      <c r="C4579" s="45"/>
    </row>
    <row r="4580" spans="2:3" x14ac:dyDescent="0.25">
      <c r="B4580" s="45"/>
      <c r="C4580" s="45"/>
    </row>
    <row r="4581" spans="2:3" x14ac:dyDescent="0.25">
      <c r="B4581" s="45"/>
      <c r="C4581" s="45"/>
    </row>
    <row r="4582" spans="2:3" x14ac:dyDescent="0.25">
      <c r="B4582" s="45"/>
      <c r="C4582" s="45"/>
    </row>
    <row r="4583" spans="2:3" x14ac:dyDescent="0.25">
      <c r="B4583" s="45"/>
      <c r="C4583" s="45"/>
    </row>
    <row r="4584" spans="2:3" x14ac:dyDescent="0.25">
      <c r="B4584" s="45"/>
      <c r="C4584" s="45"/>
    </row>
    <row r="4585" spans="2:3" x14ac:dyDescent="0.25">
      <c r="B4585" s="45"/>
      <c r="C4585" s="45"/>
    </row>
    <row r="4586" spans="2:3" x14ac:dyDescent="0.25">
      <c r="B4586" s="45"/>
      <c r="C4586" s="45"/>
    </row>
    <row r="4587" spans="2:3" x14ac:dyDescent="0.25">
      <c r="B4587" s="45"/>
      <c r="C4587" s="45"/>
    </row>
    <row r="4588" spans="2:3" x14ac:dyDescent="0.25">
      <c r="B4588" s="45"/>
      <c r="C4588" s="45"/>
    </row>
    <row r="4589" spans="2:3" x14ac:dyDescent="0.25">
      <c r="B4589" s="45"/>
      <c r="C4589" s="45"/>
    </row>
    <row r="4590" spans="2:3" x14ac:dyDescent="0.25">
      <c r="B4590" s="45"/>
      <c r="C4590" s="45"/>
    </row>
    <row r="4591" spans="2:3" x14ac:dyDescent="0.25">
      <c r="B4591" s="45"/>
      <c r="C4591" s="45"/>
    </row>
    <row r="4592" spans="2:3" x14ac:dyDescent="0.25">
      <c r="B4592" s="45"/>
      <c r="C4592" s="45"/>
    </row>
    <row r="4593" spans="2:3" x14ac:dyDescent="0.25">
      <c r="B4593" s="45"/>
      <c r="C4593" s="45"/>
    </row>
    <row r="4594" spans="2:3" x14ac:dyDescent="0.25">
      <c r="B4594" s="45"/>
      <c r="C4594" s="45"/>
    </row>
    <row r="4595" spans="2:3" x14ac:dyDescent="0.25">
      <c r="B4595" s="45"/>
      <c r="C4595" s="45"/>
    </row>
    <row r="4596" spans="2:3" x14ac:dyDescent="0.25">
      <c r="B4596" s="45"/>
      <c r="C4596" s="45"/>
    </row>
    <row r="4597" spans="2:3" x14ac:dyDescent="0.25">
      <c r="B4597" s="45"/>
      <c r="C4597" s="45"/>
    </row>
    <row r="4598" spans="2:3" x14ac:dyDescent="0.25">
      <c r="B4598" s="45"/>
      <c r="C4598" s="45"/>
    </row>
    <row r="4599" spans="2:3" x14ac:dyDescent="0.25">
      <c r="B4599" s="45"/>
      <c r="C4599" s="45"/>
    </row>
    <row r="4600" spans="2:3" x14ac:dyDescent="0.25">
      <c r="B4600" s="45"/>
      <c r="C4600" s="45"/>
    </row>
    <row r="4601" spans="2:3" x14ac:dyDescent="0.25">
      <c r="B4601" s="45"/>
      <c r="C4601" s="45"/>
    </row>
    <row r="4602" spans="2:3" x14ac:dyDescent="0.25">
      <c r="B4602" s="45"/>
      <c r="C4602" s="45"/>
    </row>
    <row r="4603" spans="2:3" x14ac:dyDescent="0.25">
      <c r="B4603" s="45"/>
      <c r="C4603" s="45"/>
    </row>
    <row r="4604" spans="2:3" x14ac:dyDescent="0.25">
      <c r="B4604" s="45"/>
      <c r="C4604" s="45"/>
    </row>
    <row r="4605" spans="2:3" x14ac:dyDescent="0.25">
      <c r="B4605" s="45"/>
      <c r="C4605" s="45"/>
    </row>
    <row r="4606" spans="2:3" x14ac:dyDescent="0.25">
      <c r="B4606" s="45"/>
      <c r="C4606" s="45"/>
    </row>
    <row r="4607" spans="2:3" x14ac:dyDescent="0.25">
      <c r="B4607" s="45"/>
      <c r="C4607" s="45"/>
    </row>
    <row r="4608" spans="2:3" x14ac:dyDescent="0.25">
      <c r="B4608" s="45"/>
      <c r="C4608" s="45"/>
    </row>
    <row r="4609" spans="2:3" x14ac:dyDescent="0.25">
      <c r="B4609" s="45"/>
      <c r="C4609" s="45"/>
    </row>
    <row r="4610" spans="2:3" x14ac:dyDescent="0.25">
      <c r="B4610" s="45"/>
      <c r="C4610" s="45"/>
    </row>
    <row r="4611" spans="2:3" x14ac:dyDescent="0.25">
      <c r="B4611" s="45"/>
      <c r="C4611" s="45"/>
    </row>
    <row r="4612" spans="2:3" x14ac:dyDescent="0.25">
      <c r="B4612" s="45"/>
      <c r="C4612" s="45"/>
    </row>
    <row r="4613" spans="2:3" x14ac:dyDescent="0.25">
      <c r="B4613" s="45"/>
      <c r="C4613" s="45"/>
    </row>
    <row r="4614" spans="2:3" x14ac:dyDescent="0.25">
      <c r="B4614" s="45"/>
      <c r="C4614" s="45"/>
    </row>
    <row r="4615" spans="2:3" x14ac:dyDescent="0.25">
      <c r="B4615" s="45"/>
      <c r="C4615" s="45"/>
    </row>
    <row r="4616" spans="2:3" x14ac:dyDescent="0.25">
      <c r="B4616" s="45"/>
      <c r="C4616" s="45"/>
    </row>
    <row r="4617" spans="2:3" x14ac:dyDescent="0.25">
      <c r="B4617" s="45"/>
      <c r="C4617" s="45"/>
    </row>
    <row r="4618" spans="2:3" x14ac:dyDescent="0.25">
      <c r="B4618" s="45"/>
      <c r="C4618" s="45"/>
    </row>
    <row r="4619" spans="2:3" x14ac:dyDescent="0.25">
      <c r="B4619" s="45"/>
      <c r="C4619" s="45"/>
    </row>
    <row r="4620" spans="2:3" x14ac:dyDescent="0.25">
      <c r="B4620" s="45"/>
      <c r="C4620" s="45"/>
    </row>
    <row r="4621" spans="2:3" x14ac:dyDescent="0.25">
      <c r="B4621" s="45"/>
      <c r="C4621" s="45"/>
    </row>
    <row r="4622" spans="2:3" x14ac:dyDescent="0.25">
      <c r="B4622" s="45"/>
      <c r="C4622" s="45"/>
    </row>
    <row r="4623" spans="2:3" x14ac:dyDescent="0.25">
      <c r="B4623" s="45"/>
      <c r="C4623" s="45"/>
    </row>
    <row r="4624" spans="2:3" x14ac:dyDescent="0.25">
      <c r="B4624" s="45"/>
      <c r="C4624" s="45"/>
    </row>
    <row r="4625" spans="2:3" x14ac:dyDescent="0.25">
      <c r="B4625" s="45"/>
      <c r="C4625" s="45"/>
    </row>
    <row r="4626" spans="2:3" x14ac:dyDescent="0.25">
      <c r="B4626" s="45"/>
      <c r="C4626" s="45"/>
    </row>
    <row r="4627" spans="2:3" x14ac:dyDescent="0.25">
      <c r="B4627" s="45"/>
      <c r="C4627" s="45"/>
    </row>
    <row r="4628" spans="2:3" x14ac:dyDescent="0.25">
      <c r="B4628" s="45"/>
      <c r="C4628" s="45"/>
    </row>
    <row r="4629" spans="2:3" x14ac:dyDescent="0.25">
      <c r="B4629" s="45"/>
      <c r="C4629" s="45"/>
    </row>
    <row r="4630" spans="2:3" x14ac:dyDescent="0.25">
      <c r="B4630" s="45"/>
      <c r="C4630" s="45"/>
    </row>
    <row r="4631" spans="2:3" x14ac:dyDescent="0.25">
      <c r="B4631" s="45"/>
      <c r="C4631" s="45"/>
    </row>
    <row r="4632" spans="2:3" x14ac:dyDescent="0.25">
      <c r="B4632" s="45"/>
      <c r="C4632" s="45"/>
    </row>
    <row r="4633" spans="2:3" x14ac:dyDescent="0.25">
      <c r="B4633" s="45"/>
      <c r="C4633" s="45"/>
    </row>
    <row r="4634" spans="2:3" x14ac:dyDescent="0.25">
      <c r="B4634" s="45"/>
      <c r="C4634" s="45"/>
    </row>
    <row r="4635" spans="2:3" x14ac:dyDescent="0.25">
      <c r="B4635" s="45"/>
      <c r="C4635" s="45"/>
    </row>
    <row r="4636" spans="2:3" x14ac:dyDescent="0.25">
      <c r="B4636" s="45"/>
      <c r="C4636" s="45"/>
    </row>
    <row r="4637" spans="2:3" x14ac:dyDescent="0.25">
      <c r="B4637" s="45"/>
      <c r="C4637" s="45"/>
    </row>
    <row r="4638" spans="2:3" x14ac:dyDescent="0.25">
      <c r="B4638" s="45"/>
      <c r="C4638" s="45"/>
    </row>
    <row r="4639" spans="2:3" x14ac:dyDescent="0.25">
      <c r="B4639" s="45"/>
      <c r="C4639" s="45"/>
    </row>
    <row r="4640" spans="2:3" x14ac:dyDescent="0.25">
      <c r="B4640" s="45"/>
      <c r="C4640" s="45"/>
    </row>
    <row r="4641" spans="2:3" x14ac:dyDescent="0.25">
      <c r="B4641" s="45"/>
      <c r="C4641" s="45"/>
    </row>
    <row r="4642" spans="2:3" x14ac:dyDescent="0.25">
      <c r="B4642" s="45"/>
      <c r="C4642" s="45"/>
    </row>
    <row r="4643" spans="2:3" x14ac:dyDescent="0.25">
      <c r="B4643" s="45"/>
      <c r="C4643" s="45"/>
    </row>
    <row r="4644" spans="2:3" x14ac:dyDescent="0.25">
      <c r="B4644" s="45"/>
      <c r="C4644" s="45"/>
    </row>
    <row r="4645" spans="2:3" x14ac:dyDescent="0.25">
      <c r="B4645" s="45"/>
      <c r="C4645" s="45"/>
    </row>
    <row r="4646" spans="2:3" x14ac:dyDescent="0.25">
      <c r="B4646" s="45"/>
      <c r="C4646" s="45"/>
    </row>
    <row r="4647" spans="2:3" x14ac:dyDescent="0.25">
      <c r="B4647" s="45"/>
      <c r="C4647" s="45"/>
    </row>
    <row r="4648" spans="2:3" x14ac:dyDescent="0.25">
      <c r="B4648" s="45"/>
      <c r="C4648" s="45"/>
    </row>
    <row r="4649" spans="2:3" x14ac:dyDescent="0.25">
      <c r="B4649" s="45"/>
      <c r="C4649" s="45"/>
    </row>
    <row r="4650" spans="2:3" x14ac:dyDescent="0.25">
      <c r="B4650" s="45"/>
      <c r="C4650" s="45"/>
    </row>
    <row r="4651" spans="2:3" x14ac:dyDescent="0.25">
      <c r="B4651" s="45"/>
      <c r="C4651" s="45"/>
    </row>
    <row r="4652" spans="2:3" x14ac:dyDescent="0.25">
      <c r="B4652" s="45"/>
      <c r="C4652" s="45"/>
    </row>
    <row r="4653" spans="2:3" x14ac:dyDescent="0.25">
      <c r="B4653" s="45"/>
      <c r="C4653" s="45"/>
    </row>
    <row r="4654" spans="2:3" x14ac:dyDescent="0.25">
      <c r="B4654" s="45"/>
      <c r="C4654" s="45"/>
    </row>
    <row r="4655" spans="2:3" x14ac:dyDescent="0.25">
      <c r="B4655" s="45"/>
      <c r="C4655" s="45"/>
    </row>
    <row r="4656" spans="2:3" x14ac:dyDescent="0.25">
      <c r="B4656" s="45"/>
      <c r="C4656" s="45"/>
    </row>
    <row r="4657" spans="2:3" x14ac:dyDescent="0.25">
      <c r="B4657" s="45"/>
      <c r="C4657" s="45"/>
    </row>
    <row r="4658" spans="2:3" x14ac:dyDescent="0.25">
      <c r="B4658" s="45"/>
      <c r="C4658" s="45"/>
    </row>
    <row r="4659" spans="2:3" x14ac:dyDescent="0.25">
      <c r="B4659" s="45"/>
      <c r="C4659" s="45"/>
    </row>
    <row r="4660" spans="2:3" x14ac:dyDescent="0.25">
      <c r="B4660" s="45"/>
      <c r="C4660" s="45"/>
    </row>
    <row r="4661" spans="2:3" x14ac:dyDescent="0.25">
      <c r="B4661" s="45"/>
      <c r="C4661" s="45"/>
    </row>
    <row r="4662" spans="2:3" x14ac:dyDescent="0.25">
      <c r="B4662" s="45"/>
      <c r="C4662" s="45"/>
    </row>
    <row r="4663" spans="2:3" x14ac:dyDescent="0.25">
      <c r="B4663" s="45"/>
      <c r="C4663" s="45"/>
    </row>
    <row r="4664" spans="2:3" x14ac:dyDescent="0.25">
      <c r="B4664" s="45"/>
      <c r="C4664" s="45"/>
    </row>
    <row r="4665" spans="2:3" x14ac:dyDescent="0.25">
      <c r="B4665" s="45"/>
      <c r="C4665" s="45"/>
    </row>
    <row r="4666" spans="2:3" x14ac:dyDescent="0.25">
      <c r="B4666" s="45"/>
      <c r="C4666" s="45"/>
    </row>
    <row r="4667" spans="2:3" x14ac:dyDescent="0.25">
      <c r="B4667" s="45"/>
      <c r="C4667" s="45"/>
    </row>
    <row r="4668" spans="2:3" x14ac:dyDescent="0.25">
      <c r="B4668" s="45"/>
      <c r="C4668" s="45"/>
    </row>
    <row r="4669" spans="2:3" x14ac:dyDescent="0.25">
      <c r="B4669" s="45"/>
      <c r="C4669" s="45"/>
    </row>
    <row r="4670" spans="2:3" x14ac:dyDescent="0.25">
      <c r="B4670" s="45"/>
      <c r="C4670" s="45"/>
    </row>
    <row r="4671" spans="2:3" x14ac:dyDescent="0.25">
      <c r="B4671" s="45"/>
      <c r="C4671" s="45"/>
    </row>
    <row r="4672" spans="2:3" x14ac:dyDescent="0.25">
      <c r="B4672" s="45"/>
      <c r="C4672" s="45"/>
    </row>
    <row r="4673" spans="2:3" x14ac:dyDescent="0.25">
      <c r="B4673" s="45"/>
      <c r="C4673" s="45"/>
    </row>
    <row r="4674" spans="2:3" x14ac:dyDescent="0.25">
      <c r="B4674" s="45"/>
      <c r="C4674" s="45"/>
    </row>
    <row r="4675" spans="2:3" x14ac:dyDescent="0.25">
      <c r="B4675" s="45"/>
      <c r="C4675" s="45"/>
    </row>
    <row r="4676" spans="2:3" x14ac:dyDescent="0.25">
      <c r="B4676" s="45"/>
      <c r="C4676" s="45"/>
    </row>
    <row r="4677" spans="2:3" x14ac:dyDescent="0.25">
      <c r="B4677" s="45"/>
      <c r="C4677" s="45"/>
    </row>
    <row r="4678" spans="2:3" x14ac:dyDescent="0.25">
      <c r="B4678" s="45"/>
      <c r="C4678" s="45"/>
    </row>
    <row r="4679" spans="2:3" x14ac:dyDescent="0.25">
      <c r="B4679" s="45"/>
      <c r="C4679" s="45"/>
    </row>
    <row r="4680" spans="2:3" x14ac:dyDescent="0.25">
      <c r="B4680" s="45"/>
      <c r="C4680" s="45"/>
    </row>
    <row r="4681" spans="2:3" x14ac:dyDescent="0.25">
      <c r="B4681" s="45"/>
      <c r="C4681" s="45"/>
    </row>
    <row r="4682" spans="2:3" x14ac:dyDescent="0.25">
      <c r="B4682" s="45"/>
      <c r="C4682" s="45"/>
    </row>
    <row r="4683" spans="2:3" x14ac:dyDescent="0.25">
      <c r="B4683" s="45"/>
      <c r="C4683" s="45"/>
    </row>
    <row r="4684" spans="2:3" x14ac:dyDescent="0.25">
      <c r="B4684" s="45"/>
      <c r="C4684" s="45"/>
    </row>
    <row r="4685" spans="2:3" x14ac:dyDescent="0.25">
      <c r="B4685" s="45"/>
      <c r="C4685" s="45"/>
    </row>
    <row r="4686" spans="2:3" x14ac:dyDescent="0.25">
      <c r="B4686" s="45"/>
      <c r="C4686" s="45"/>
    </row>
    <row r="4687" spans="2:3" x14ac:dyDescent="0.25">
      <c r="B4687" s="45"/>
      <c r="C4687" s="45"/>
    </row>
    <row r="4688" spans="2:3" x14ac:dyDescent="0.25">
      <c r="B4688" s="45"/>
      <c r="C4688" s="45"/>
    </row>
    <row r="4689" spans="2:3" x14ac:dyDescent="0.25">
      <c r="B4689" s="45"/>
      <c r="C4689" s="45"/>
    </row>
    <row r="4690" spans="2:3" x14ac:dyDescent="0.25">
      <c r="B4690" s="45"/>
      <c r="C4690" s="45"/>
    </row>
    <row r="4691" spans="2:3" x14ac:dyDescent="0.25">
      <c r="B4691" s="45"/>
      <c r="C4691" s="45"/>
    </row>
    <row r="4692" spans="2:3" x14ac:dyDescent="0.25">
      <c r="B4692" s="45"/>
      <c r="C4692" s="45"/>
    </row>
    <row r="4693" spans="2:3" x14ac:dyDescent="0.25">
      <c r="B4693" s="45"/>
      <c r="C4693" s="45"/>
    </row>
    <row r="4694" spans="2:3" x14ac:dyDescent="0.25">
      <c r="B4694" s="45"/>
      <c r="C4694" s="45"/>
    </row>
    <row r="4695" spans="2:3" x14ac:dyDescent="0.25">
      <c r="B4695" s="45"/>
      <c r="C4695" s="45"/>
    </row>
    <row r="4696" spans="2:3" x14ac:dyDescent="0.25">
      <c r="B4696" s="45"/>
      <c r="C4696" s="45"/>
    </row>
    <row r="4697" spans="2:3" x14ac:dyDescent="0.25">
      <c r="B4697" s="45"/>
      <c r="C4697" s="45"/>
    </row>
    <row r="4698" spans="2:3" x14ac:dyDescent="0.25">
      <c r="B4698" s="45"/>
      <c r="C4698" s="45"/>
    </row>
    <row r="4699" spans="2:3" x14ac:dyDescent="0.25">
      <c r="B4699" s="45"/>
      <c r="C4699" s="45"/>
    </row>
    <row r="4700" spans="2:3" x14ac:dyDescent="0.25">
      <c r="B4700" s="45"/>
      <c r="C4700" s="45"/>
    </row>
    <row r="4701" spans="2:3" x14ac:dyDescent="0.25">
      <c r="B4701" s="45"/>
      <c r="C4701" s="45"/>
    </row>
    <row r="4702" spans="2:3" x14ac:dyDescent="0.25">
      <c r="B4702" s="45"/>
      <c r="C4702" s="45"/>
    </row>
    <row r="4703" spans="2:3" x14ac:dyDescent="0.25">
      <c r="B4703" s="45"/>
      <c r="C4703" s="45"/>
    </row>
    <row r="4704" spans="2:3" x14ac:dyDescent="0.25">
      <c r="B4704" s="45"/>
      <c r="C4704" s="45"/>
    </row>
    <row r="4705" spans="2:3" x14ac:dyDescent="0.25">
      <c r="B4705" s="45"/>
      <c r="C4705" s="45"/>
    </row>
    <row r="4706" spans="2:3" x14ac:dyDescent="0.25">
      <c r="B4706" s="45"/>
      <c r="C4706" s="45"/>
    </row>
    <row r="4707" spans="2:3" x14ac:dyDescent="0.25">
      <c r="B4707" s="45"/>
      <c r="C4707" s="45"/>
    </row>
    <row r="4708" spans="2:3" x14ac:dyDescent="0.25">
      <c r="B4708" s="45"/>
      <c r="C4708" s="45"/>
    </row>
    <row r="4709" spans="2:3" x14ac:dyDescent="0.25">
      <c r="B4709" s="45"/>
      <c r="C4709" s="45"/>
    </row>
    <row r="4710" spans="2:3" x14ac:dyDescent="0.25">
      <c r="B4710" s="45"/>
      <c r="C4710" s="45"/>
    </row>
    <row r="4711" spans="2:3" x14ac:dyDescent="0.25">
      <c r="B4711" s="45"/>
      <c r="C4711" s="45"/>
    </row>
    <row r="4712" spans="2:3" x14ac:dyDescent="0.25">
      <c r="B4712" s="45"/>
      <c r="C4712" s="45"/>
    </row>
    <row r="4713" spans="2:3" x14ac:dyDescent="0.25">
      <c r="B4713" s="45"/>
      <c r="C4713" s="45"/>
    </row>
    <row r="4714" spans="2:3" x14ac:dyDescent="0.25">
      <c r="B4714" s="45"/>
      <c r="C4714" s="45"/>
    </row>
    <row r="4715" spans="2:3" x14ac:dyDescent="0.25">
      <c r="B4715" s="45"/>
      <c r="C4715" s="45"/>
    </row>
    <row r="4716" spans="2:3" x14ac:dyDescent="0.25">
      <c r="B4716" s="45"/>
      <c r="C4716" s="45"/>
    </row>
    <row r="4717" spans="2:3" x14ac:dyDescent="0.25">
      <c r="B4717" s="45"/>
      <c r="C4717" s="45"/>
    </row>
    <row r="4718" spans="2:3" x14ac:dyDescent="0.25">
      <c r="B4718" s="45"/>
      <c r="C4718" s="45"/>
    </row>
    <row r="4719" spans="2:3" x14ac:dyDescent="0.25">
      <c r="B4719" s="45"/>
      <c r="C4719" s="45"/>
    </row>
    <row r="4720" spans="2:3" x14ac:dyDescent="0.25">
      <c r="B4720" s="45"/>
      <c r="C4720" s="45"/>
    </row>
    <row r="4721" spans="2:3" x14ac:dyDescent="0.25">
      <c r="B4721" s="45"/>
      <c r="C4721" s="45"/>
    </row>
    <row r="4722" spans="2:3" x14ac:dyDescent="0.25">
      <c r="B4722" s="45"/>
      <c r="C4722" s="45"/>
    </row>
    <row r="4723" spans="2:3" x14ac:dyDescent="0.25">
      <c r="B4723" s="45"/>
      <c r="C4723" s="45"/>
    </row>
    <row r="4724" spans="2:3" x14ac:dyDescent="0.25">
      <c r="B4724" s="45"/>
      <c r="C4724" s="45"/>
    </row>
    <row r="4725" spans="2:3" x14ac:dyDescent="0.25">
      <c r="B4725" s="45"/>
      <c r="C4725" s="45"/>
    </row>
    <row r="4726" spans="2:3" x14ac:dyDescent="0.25">
      <c r="B4726" s="45"/>
      <c r="C4726" s="45"/>
    </row>
    <row r="4727" spans="2:3" x14ac:dyDescent="0.25">
      <c r="B4727" s="45"/>
      <c r="C4727" s="45"/>
    </row>
    <row r="4728" spans="2:3" x14ac:dyDescent="0.25">
      <c r="B4728" s="45"/>
      <c r="C4728" s="45"/>
    </row>
    <row r="4729" spans="2:3" x14ac:dyDescent="0.25">
      <c r="B4729" s="45"/>
      <c r="C4729" s="45"/>
    </row>
    <row r="4730" spans="2:3" x14ac:dyDescent="0.25">
      <c r="B4730" s="45"/>
      <c r="C4730" s="45"/>
    </row>
    <row r="4731" spans="2:3" x14ac:dyDescent="0.25">
      <c r="B4731" s="45"/>
      <c r="C4731" s="45"/>
    </row>
    <row r="4732" spans="2:3" x14ac:dyDescent="0.25">
      <c r="B4732" s="45"/>
      <c r="C4732" s="45"/>
    </row>
    <row r="4733" spans="2:3" x14ac:dyDescent="0.25">
      <c r="B4733" s="45"/>
      <c r="C4733" s="45"/>
    </row>
    <row r="4734" spans="2:3" x14ac:dyDescent="0.25">
      <c r="B4734" s="45"/>
      <c r="C4734" s="45"/>
    </row>
    <row r="4735" spans="2:3" x14ac:dyDescent="0.25">
      <c r="B4735" s="45"/>
      <c r="C4735" s="45"/>
    </row>
    <row r="4736" spans="2:3" x14ac:dyDescent="0.25">
      <c r="B4736" s="45"/>
      <c r="C4736" s="45"/>
    </row>
    <row r="4737" spans="2:3" x14ac:dyDescent="0.25">
      <c r="B4737" s="45"/>
      <c r="C4737" s="45"/>
    </row>
    <row r="4738" spans="2:3" x14ac:dyDescent="0.25">
      <c r="B4738" s="45"/>
      <c r="C4738" s="45"/>
    </row>
    <row r="4739" spans="2:3" x14ac:dyDescent="0.25">
      <c r="B4739" s="45"/>
      <c r="C4739" s="45"/>
    </row>
    <row r="4740" spans="2:3" x14ac:dyDescent="0.25">
      <c r="B4740" s="45"/>
      <c r="C4740" s="45"/>
    </row>
    <row r="4741" spans="2:3" x14ac:dyDescent="0.25">
      <c r="B4741" s="45"/>
      <c r="C4741" s="45"/>
    </row>
    <row r="4742" spans="2:3" x14ac:dyDescent="0.25">
      <c r="B4742" s="45"/>
      <c r="C4742" s="45"/>
    </row>
    <row r="4743" spans="2:3" x14ac:dyDescent="0.25">
      <c r="B4743" s="45"/>
      <c r="C4743" s="45"/>
    </row>
    <row r="4744" spans="2:3" x14ac:dyDescent="0.25">
      <c r="B4744" s="45"/>
      <c r="C4744" s="45"/>
    </row>
    <row r="4745" spans="2:3" x14ac:dyDescent="0.25">
      <c r="B4745" s="45"/>
      <c r="C4745" s="45"/>
    </row>
    <row r="4746" spans="2:3" x14ac:dyDescent="0.25">
      <c r="B4746" s="45"/>
      <c r="C4746" s="45"/>
    </row>
    <row r="4747" spans="2:3" x14ac:dyDescent="0.25">
      <c r="B4747" s="45"/>
      <c r="C4747" s="45"/>
    </row>
    <row r="4748" spans="2:3" x14ac:dyDescent="0.25">
      <c r="B4748" s="45"/>
      <c r="C4748" s="45"/>
    </row>
    <row r="4749" spans="2:3" x14ac:dyDescent="0.25">
      <c r="B4749" s="45"/>
      <c r="C4749" s="45"/>
    </row>
    <row r="4750" spans="2:3" x14ac:dyDescent="0.25">
      <c r="B4750" s="45"/>
      <c r="C4750" s="45"/>
    </row>
    <row r="4751" spans="2:3" x14ac:dyDescent="0.25">
      <c r="B4751" s="45"/>
      <c r="C4751" s="45"/>
    </row>
    <row r="4752" spans="2:3" x14ac:dyDescent="0.25">
      <c r="B4752" s="45"/>
      <c r="C4752" s="45"/>
    </row>
    <row r="4753" spans="2:3" x14ac:dyDescent="0.25">
      <c r="B4753" s="45"/>
      <c r="C4753" s="45"/>
    </row>
    <row r="4754" spans="2:3" x14ac:dyDescent="0.25">
      <c r="B4754" s="45"/>
      <c r="C4754" s="45"/>
    </row>
    <row r="4755" spans="2:3" x14ac:dyDescent="0.25">
      <c r="B4755" s="45"/>
      <c r="C4755" s="45"/>
    </row>
    <row r="4756" spans="2:3" x14ac:dyDescent="0.25">
      <c r="B4756" s="45"/>
      <c r="C4756" s="45"/>
    </row>
    <row r="4757" spans="2:3" x14ac:dyDescent="0.25">
      <c r="B4757" s="45"/>
      <c r="C4757" s="45"/>
    </row>
    <row r="4758" spans="2:3" x14ac:dyDescent="0.25">
      <c r="B4758" s="45"/>
      <c r="C4758" s="45"/>
    </row>
    <row r="4759" spans="2:3" x14ac:dyDescent="0.25">
      <c r="B4759" s="45"/>
      <c r="C4759" s="45"/>
    </row>
    <row r="4760" spans="2:3" x14ac:dyDescent="0.25">
      <c r="B4760" s="45"/>
      <c r="C4760" s="45"/>
    </row>
    <row r="4761" spans="2:3" x14ac:dyDescent="0.25">
      <c r="B4761" s="45"/>
      <c r="C4761" s="45"/>
    </row>
    <row r="4762" spans="2:3" x14ac:dyDescent="0.25">
      <c r="B4762" s="45"/>
      <c r="C4762" s="45"/>
    </row>
    <row r="4763" spans="2:3" x14ac:dyDescent="0.25">
      <c r="B4763" s="45"/>
      <c r="C4763" s="45"/>
    </row>
    <row r="4764" spans="2:3" x14ac:dyDescent="0.25">
      <c r="B4764" s="45"/>
      <c r="C4764" s="45"/>
    </row>
    <row r="4765" spans="2:3" x14ac:dyDescent="0.25">
      <c r="B4765" s="45"/>
      <c r="C4765" s="45"/>
    </row>
    <row r="4766" spans="2:3" x14ac:dyDescent="0.25">
      <c r="B4766" s="45"/>
      <c r="C4766" s="45"/>
    </row>
    <row r="4767" spans="2:3" x14ac:dyDescent="0.25">
      <c r="B4767" s="45"/>
      <c r="C4767" s="45"/>
    </row>
    <row r="4768" spans="2:3" x14ac:dyDescent="0.25">
      <c r="B4768" s="45"/>
      <c r="C4768" s="45"/>
    </row>
    <row r="4769" spans="2:3" x14ac:dyDescent="0.25">
      <c r="B4769" s="45"/>
      <c r="C4769" s="45"/>
    </row>
    <row r="4770" spans="2:3" x14ac:dyDescent="0.25">
      <c r="B4770" s="45"/>
      <c r="C4770" s="45"/>
    </row>
    <row r="4771" spans="2:3" x14ac:dyDescent="0.25">
      <c r="B4771" s="45"/>
      <c r="C4771" s="45"/>
    </row>
    <row r="4772" spans="2:3" x14ac:dyDescent="0.25">
      <c r="B4772" s="45"/>
      <c r="C4772" s="45"/>
    </row>
    <row r="4773" spans="2:3" x14ac:dyDescent="0.25">
      <c r="B4773" s="45"/>
      <c r="C4773" s="45"/>
    </row>
    <row r="4774" spans="2:3" x14ac:dyDescent="0.25">
      <c r="B4774" s="45"/>
      <c r="C4774" s="45"/>
    </row>
    <row r="4775" spans="2:3" x14ac:dyDescent="0.25">
      <c r="B4775" s="45"/>
      <c r="C4775" s="45"/>
    </row>
    <row r="4776" spans="2:3" x14ac:dyDescent="0.25">
      <c r="B4776" s="45"/>
      <c r="C4776" s="45"/>
    </row>
    <row r="4777" spans="2:3" x14ac:dyDescent="0.25">
      <c r="B4777" s="45"/>
      <c r="C4777" s="45"/>
    </row>
    <row r="4778" spans="2:3" x14ac:dyDescent="0.25">
      <c r="B4778" s="45"/>
      <c r="C4778" s="45"/>
    </row>
    <row r="4779" spans="2:3" x14ac:dyDescent="0.25">
      <c r="B4779" s="45"/>
      <c r="C4779" s="45"/>
    </row>
    <row r="4780" spans="2:3" x14ac:dyDescent="0.25">
      <c r="B4780" s="45"/>
      <c r="C4780" s="45"/>
    </row>
    <row r="4781" spans="2:3" x14ac:dyDescent="0.25">
      <c r="B4781" s="45"/>
      <c r="C4781" s="45"/>
    </row>
    <row r="4782" spans="2:3" x14ac:dyDescent="0.25">
      <c r="B4782" s="45"/>
      <c r="C4782" s="45"/>
    </row>
    <row r="4783" spans="2:3" x14ac:dyDescent="0.25">
      <c r="B4783" s="45"/>
      <c r="C4783" s="45"/>
    </row>
    <row r="4784" spans="2:3" x14ac:dyDescent="0.25">
      <c r="B4784" s="45"/>
      <c r="C4784" s="45"/>
    </row>
    <row r="4785" spans="2:3" x14ac:dyDescent="0.25">
      <c r="B4785" s="45"/>
      <c r="C4785" s="45"/>
    </row>
    <row r="4786" spans="2:3" x14ac:dyDescent="0.25">
      <c r="B4786" s="45"/>
      <c r="C4786" s="45"/>
    </row>
    <row r="4787" spans="2:3" x14ac:dyDescent="0.25">
      <c r="B4787" s="45"/>
      <c r="C4787" s="45"/>
    </row>
    <row r="4788" spans="2:3" x14ac:dyDescent="0.25">
      <c r="B4788" s="45"/>
      <c r="C4788" s="45"/>
    </row>
    <row r="4789" spans="2:3" x14ac:dyDescent="0.25">
      <c r="B4789" s="45"/>
      <c r="C4789" s="45"/>
    </row>
    <row r="4790" spans="2:3" x14ac:dyDescent="0.25">
      <c r="B4790" s="45"/>
      <c r="C4790" s="45"/>
    </row>
    <row r="4791" spans="2:3" x14ac:dyDescent="0.25">
      <c r="B4791" s="45"/>
      <c r="C4791" s="45"/>
    </row>
    <row r="4792" spans="2:3" x14ac:dyDescent="0.25">
      <c r="B4792" s="45"/>
      <c r="C4792" s="45"/>
    </row>
    <row r="4793" spans="2:3" x14ac:dyDescent="0.25">
      <c r="B4793" s="45"/>
      <c r="C4793" s="45"/>
    </row>
    <row r="4794" spans="2:3" x14ac:dyDescent="0.25">
      <c r="B4794" s="45"/>
      <c r="C4794" s="45"/>
    </row>
    <row r="4795" spans="2:3" x14ac:dyDescent="0.25">
      <c r="B4795" s="45"/>
      <c r="C4795" s="45"/>
    </row>
    <row r="4796" spans="2:3" x14ac:dyDescent="0.25">
      <c r="B4796" s="45"/>
      <c r="C4796" s="45"/>
    </row>
    <row r="4797" spans="2:3" x14ac:dyDescent="0.25">
      <c r="B4797" s="45"/>
      <c r="C4797" s="45"/>
    </row>
    <row r="4798" spans="2:3" x14ac:dyDescent="0.25">
      <c r="B4798" s="45"/>
      <c r="C4798" s="45"/>
    </row>
    <row r="4799" spans="2:3" x14ac:dyDescent="0.25">
      <c r="B4799" s="45"/>
      <c r="C4799" s="45"/>
    </row>
    <row r="4800" spans="2:3" x14ac:dyDescent="0.25">
      <c r="B4800" s="45"/>
      <c r="C4800" s="45"/>
    </row>
    <row r="4801" spans="2:3" x14ac:dyDescent="0.25">
      <c r="B4801" s="45"/>
      <c r="C4801" s="45"/>
    </row>
    <row r="4802" spans="2:3" x14ac:dyDescent="0.25">
      <c r="B4802" s="45"/>
      <c r="C4802" s="45"/>
    </row>
    <row r="4803" spans="2:3" x14ac:dyDescent="0.25">
      <c r="B4803" s="45"/>
      <c r="C4803" s="45"/>
    </row>
    <row r="4804" spans="2:3" x14ac:dyDescent="0.25">
      <c r="B4804" s="45"/>
      <c r="C4804" s="45"/>
    </row>
    <row r="4805" spans="2:3" x14ac:dyDescent="0.25">
      <c r="B4805" s="45"/>
      <c r="C4805" s="45"/>
    </row>
    <row r="4806" spans="2:3" x14ac:dyDescent="0.25">
      <c r="B4806" s="45"/>
      <c r="C4806" s="45"/>
    </row>
    <row r="4807" spans="2:3" x14ac:dyDescent="0.25">
      <c r="B4807" s="45"/>
      <c r="C4807" s="45"/>
    </row>
    <row r="4808" spans="2:3" x14ac:dyDescent="0.25">
      <c r="B4808" s="45"/>
      <c r="C4808" s="45"/>
    </row>
    <row r="4809" spans="2:3" x14ac:dyDescent="0.25">
      <c r="B4809" s="45"/>
      <c r="C4809" s="45"/>
    </row>
    <row r="4810" spans="2:3" x14ac:dyDescent="0.25">
      <c r="B4810" s="45"/>
      <c r="C4810" s="45"/>
    </row>
    <row r="4811" spans="2:3" x14ac:dyDescent="0.25">
      <c r="B4811" s="45"/>
      <c r="C4811" s="45"/>
    </row>
    <row r="4812" spans="2:3" x14ac:dyDescent="0.25">
      <c r="B4812" s="45"/>
      <c r="C4812" s="45"/>
    </row>
    <row r="4813" spans="2:3" x14ac:dyDescent="0.25">
      <c r="B4813" s="45"/>
      <c r="C4813" s="45"/>
    </row>
    <row r="4814" spans="2:3" x14ac:dyDescent="0.25">
      <c r="B4814" s="45"/>
      <c r="C4814" s="45"/>
    </row>
    <row r="4815" spans="2:3" x14ac:dyDescent="0.25">
      <c r="B4815" s="45"/>
      <c r="C4815" s="45"/>
    </row>
    <row r="4816" spans="2:3" x14ac:dyDescent="0.25">
      <c r="B4816" s="45"/>
      <c r="C4816" s="45"/>
    </row>
    <row r="4817" spans="2:3" x14ac:dyDescent="0.25">
      <c r="B4817" s="45"/>
      <c r="C4817" s="45"/>
    </row>
    <row r="4818" spans="2:3" x14ac:dyDescent="0.25">
      <c r="B4818" s="45"/>
      <c r="C4818" s="45"/>
    </row>
    <row r="4819" spans="2:3" x14ac:dyDescent="0.25">
      <c r="B4819" s="45"/>
      <c r="C4819" s="45"/>
    </row>
    <row r="4820" spans="2:3" x14ac:dyDescent="0.25">
      <c r="B4820" s="45"/>
      <c r="C4820" s="45"/>
    </row>
    <row r="4821" spans="2:3" x14ac:dyDescent="0.25">
      <c r="B4821" s="45"/>
      <c r="C4821" s="45"/>
    </row>
    <row r="4822" spans="2:3" x14ac:dyDescent="0.25">
      <c r="B4822" s="45"/>
      <c r="C4822" s="45"/>
    </row>
    <row r="4823" spans="2:3" x14ac:dyDescent="0.25">
      <c r="B4823" s="45"/>
      <c r="C4823" s="45"/>
    </row>
    <row r="4824" spans="2:3" x14ac:dyDescent="0.25">
      <c r="B4824" s="45"/>
      <c r="C4824" s="45"/>
    </row>
    <row r="4825" spans="2:3" x14ac:dyDescent="0.25">
      <c r="B4825" s="45"/>
      <c r="C4825" s="45"/>
    </row>
    <row r="4826" spans="2:3" x14ac:dyDescent="0.25">
      <c r="B4826" s="45"/>
      <c r="C4826" s="45"/>
    </row>
    <row r="4827" spans="2:3" x14ac:dyDescent="0.25">
      <c r="B4827" s="45"/>
      <c r="C4827" s="45"/>
    </row>
    <row r="4828" spans="2:3" x14ac:dyDescent="0.25">
      <c r="B4828" s="45"/>
      <c r="C4828" s="45"/>
    </row>
    <row r="4829" spans="2:3" x14ac:dyDescent="0.25">
      <c r="B4829" s="45"/>
      <c r="C4829" s="45"/>
    </row>
    <row r="4830" spans="2:3" x14ac:dyDescent="0.25">
      <c r="B4830" s="45"/>
      <c r="C4830" s="45"/>
    </row>
    <row r="4831" spans="2:3" x14ac:dyDescent="0.25">
      <c r="B4831" s="45"/>
      <c r="C4831" s="45"/>
    </row>
    <row r="4832" spans="2:3" x14ac:dyDescent="0.25">
      <c r="B4832" s="45"/>
      <c r="C4832" s="45"/>
    </row>
    <row r="4833" spans="2:3" x14ac:dyDescent="0.25">
      <c r="B4833" s="45"/>
      <c r="C4833" s="45"/>
    </row>
    <row r="4834" spans="2:3" x14ac:dyDescent="0.25">
      <c r="B4834" s="45"/>
      <c r="C4834" s="45"/>
    </row>
    <row r="4835" spans="2:3" x14ac:dyDescent="0.25">
      <c r="B4835" s="45"/>
      <c r="C4835" s="45"/>
    </row>
    <row r="4836" spans="2:3" x14ac:dyDescent="0.25">
      <c r="B4836" s="45"/>
      <c r="C4836" s="45"/>
    </row>
    <row r="4837" spans="2:3" x14ac:dyDescent="0.25">
      <c r="B4837" s="45"/>
      <c r="C4837" s="45"/>
    </row>
    <row r="4838" spans="2:3" x14ac:dyDescent="0.25">
      <c r="B4838" s="45"/>
      <c r="C4838" s="45"/>
    </row>
    <row r="4839" spans="2:3" x14ac:dyDescent="0.25">
      <c r="B4839" s="45"/>
      <c r="C4839" s="45"/>
    </row>
    <row r="4840" spans="2:3" x14ac:dyDescent="0.25">
      <c r="B4840" s="45"/>
      <c r="C4840" s="45"/>
    </row>
    <row r="4841" spans="2:3" x14ac:dyDescent="0.25">
      <c r="B4841" s="45"/>
      <c r="C4841" s="45"/>
    </row>
    <row r="4842" spans="2:3" x14ac:dyDescent="0.25">
      <c r="B4842" s="45"/>
      <c r="C4842" s="45"/>
    </row>
    <row r="4843" spans="2:3" x14ac:dyDescent="0.25">
      <c r="B4843" s="45"/>
      <c r="C4843" s="45"/>
    </row>
    <row r="4844" spans="2:3" x14ac:dyDescent="0.25">
      <c r="B4844" s="45"/>
      <c r="C4844" s="45"/>
    </row>
    <row r="4845" spans="2:3" x14ac:dyDescent="0.25">
      <c r="B4845" s="45"/>
      <c r="C4845" s="45"/>
    </row>
    <row r="4846" spans="2:3" x14ac:dyDescent="0.25">
      <c r="B4846" s="45"/>
      <c r="C4846" s="45"/>
    </row>
    <row r="4847" spans="2:3" x14ac:dyDescent="0.25">
      <c r="B4847" s="45"/>
      <c r="C4847" s="45"/>
    </row>
    <row r="4848" spans="2:3" x14ac:dyDescent="0.25">
      <c r="B4848" s="45"/>
      <c r="C4848" s="45"/>
    </row>
    <row r="4849" spans="2:3" x14ac:dyDescent="0.25">
      <c r="B4849" s="45"/>
      <c r="C4849" s="45"/>
    </row>
    <row r="4850" spans="2:3" x14ac:dyDescent="0.25">
      <c r="B4850" s="45"/>
      <c r="C4850" s="45"/>
    </row>
    <row r="4851" spans="2:3" x14ac:dyDescent="0.25">
      <c r="B4851" s="45"/>
      <c r="C4851" s="45"/>
    </row>
    <row r="4852" spans="2:3" x14ac:dyDescent="0.25">
      <c r="B4852" s="45"/>
      <c r="C4852" s="45"/>
    </row>
    <row r="4853" spans="2:3" x14ac:dyDescent="0.25">
      <c r="B4853" s="45"/>
      <c r="C4853" s="45"/>
    </row>
    <row r="4854" spans="2:3" x14ac:dyDescent="0.25">
      <c r="B4854" s="45"/>
      <c r="C4854" s="45"/>
    </row>
    <row r="4855" spans="2:3" x14ac:dyDescent="0.25">
      <c r="B4855" s="45"/>
      <c r="C4855" s="45"/>
    </row>
    <row r="4856" spans="2:3" x14ac:dyDescent="0.25">
      <c r="B4856" s="45"/>
      <c r="C4856" s="45"/>
    </row>
    <row r="4857" spans="2:3" x14ac:dyDescent="0.25">
      <c r="B4857" s="45"/>
      <c r="C4857" s="45"/>
    </row>
    <row r="4858" spans="2:3" x14ac:dyDescent="0.25">
      <c r="B4858" s="45"/>
      <c r="C4858" s="45"/>
    </row>
    <row r="4859" spans="2:3" x14ac:dyDescent="0.25">
      <c r="B4859" s="45"/>
      <c r="C4859" s="45"/>
    </row>
    <row r="4860" spans="2:3" x14ac:dyDescent="0.25">
      <c r="B4860" s="45"/>
      <c r="C4860" s="45"/>
    </row>
    <row r="4861" spans="2:3" x14ac:dyDescent="0.25">
      <c r="B4861" s="45"/>
      <c r="C4861" s="45"/>
    </row>
    <row r="4862" spans="2:3" x14ac:dyDescent="0.25">
      <c r="B4862" s="45"/>
      <c r="C4862" s="45"/>
    </row>
    <row r="4863" spans="2:3" x14ac:dyDescent="0.25">
      <c r="B4863" s="45"/>
      <c r="C4863" s="45"/>
    </row>
    <row r="4864" spans="2:3" x14ac:dyDescent="0.25">
      <c r="B4864" s="45"/>
      <c r="C4864" s="45"/>
    </row>
    <row r="4865" spans="2:3" x14ac:dyDescent="0.25">
      <c r="B4865" s="45"/>
      <c r="C4865" s="45"/>
    </row>
    <row r="4866" spans="2:3" x14ac:dyDescent="0.25">
      <c r="B4866" s="45"/>
      <c r="C4866" s="45"/>
    </row>
    <row r="4867" spans="2:3" x14ac:dyDescent="0.25">
      <c r="B4867" s="45"/>
      <c r="C4867" s="45"/>
    </row>
    <row r="4868" spans="2:3" x14ac:dyDescent="0.25">
      <c r="B4868" s="45"/>
      <c r="C4868" s="45"/>
    </row>
    <row r="4869" spans="2:3" x14ac:dyDescent="0.25">
      <c r="B4869" s="45"/>
      <c r="C4869" s="45"/>
    </row>
    <row r="4870" spans="2:3" x14ac:dyDescent="0.25">
      <c r="B4870" s="45"/>
      <c r="C4870" s="45"/>
    </row>
    <row r="4871" spans="2:3" x14ac:dyDescent="0.25">
      <c r="B4871" s="45"/>
      <c r="C4871" s="45"/>
    </row>
    <row r="4872" spans="2:3" x14ac:dyDescent="0.25">
      <c r="B4872" s="45"/>
      <c r="C4872" s="45"/>
    </row>
    <row r="4873" spans="2:3" x14ac:dyDescent="0.25">
      <c r="B4873" s="45"/>
      <c r="C4873" s="45"/>
    </row>
    <row r="4874" spans="2:3" x14ac:dyDescent="0.25">
      <c r="B4874" s="45"/>
      <c r="C4874" s="45"/>
    </row>
    <row r="4875" spans="2:3" x14ac:dyDescent="0.25">
      <c r="B4875" s="45"/>
      <c r="C4875" s="45"/>
    </row>
    <row r="4876" spans="2:3" x14ac:dyDescent="0.25">
      <c r="B4876" s="45"/>
      <c r="C4876" s="45"/>
    </row>
    <row r="4877" spans="2:3" x14ac:dyDescent="0.25">
      <c r="B4877" s="45"/>
      <c r="C4877" s="45"/>
    </row>
    <row r="4878" spans="2:3" x14ac:dyDescent="0.25">
      <c r="B4878" s="45"/>
      <c r="C4878" s="45"/>
    </row>
    <row r="4879" spans="2:3" x14ac:dyDescent="0.25">
      <c r="B4879" s="45"/>
      <c r="C4879" s="45"/>
    </row>
    <row r="4880" spans="2:3" x14ac:dyDescent="0.25">
      <c r="B4880" s="45"/>
      <c r="C4880" s="45"/>
    </row>
    <row r="4881" spans="2:3" x14ac:dyDescent="0.25">
      <c r="B4881" s="45"/>
      <c r="C4881" s="45"/>
    </row>
    <row r="4882" spans="2:3" x14ac:dyDescent="0.25">
      <c r="B4882" s="45"/>
      <c r="C4882" s="45"/>
    </row>
    <row r="4883" spans="2:3" x14ac:dyDescent="0.25">
      <c r="B4883" s="45"/>
      <c r="C4883" s="45"/>
    </row>
    <row r="4884" spans="2:3" x14ac:dyDescent="0.25">
      <c r="B4884" s="45"/>
      <c r="C4884" s="45"/>
    </row>
    <row r="4885" spans="2:3" x14ac:dyDescent="0.25">
      <c r="B4885" s="45"/>
      <c r="C4885" s="45"/>
    </row>
    <row r="4886" spans="2:3" x14ac:dyDescent="0.25">
      <c r="B4886" s="45"/>
      <c r="C4886" s="45"/>
    </row>
    <row r="4887" spans="2:3" x14ac:dyDescent="0.25">
      <c r="B4887" s="45"/>
      <c r="C4887" s="45"/>
    </row>
    <row r="4888" spans="2:3" x14ac:dyDescent="0.25">
      <c r="B4888" s="45"/>
      <c r="C4888" s="45"/>
    </row>
    <row r="4889" spans="2:3" x14ac:dyDescent="0.25">
      <c r="B4889" s="45"/>
      <c r="C4889" s="45"/>
    </row>
    <row r="4890" spans="2:3" x14ac:dyDescent="0.25">
      <c r="B4890" s="45"/>
      <c r="C4890" s="45"/>
    </row>
    <row r="4891" spans="2:3" x14ac:dyDescent="0.25">
      <c r="B4891" s="45"/>
      <c r="C4891" s="45"/>
    </row>
    <row r="4892" spans="2:3" x14ac:dyDescent="0.25">
      <c r="B4892" s="45"/>
      <c r="C4892" s="45"/>
    </row>
    <row r="4893" spans="2:3" x14ac:dyDescent="0.25">
      <c r="B4893" s="45"/>
      <c r="C4893" s="45"/>
    </row>
    <row r="4894" spans="2:3" x14ac:dyDescent="0.25">
      <c r="B4894" s="45"/>
      <c r="C4894" s="45"/>
    </row>
    <row r="4895" spans="2:3" x14ac:dyDescent="0.25">
      <c r="B4895" s="45"/>
      <c r="C4895" s="45"/>
    </row>
    <row r="4896" spans="2:3" x14ac:dyDescent="0.25">
      <c r="B4896" s="45"/>
      <c r="C4896" s="45"/>
    </row>
    <row r="4897" spans="2:3" x14ac:dyDescent="0.25">
      <c r="B4897" s="45"/>
      <c r="C4897" s="45"/>
    </row>
    <row r="4898" spans="2:3" x14ac:dyDescent="0.25">
      <c r="B4898" s="45"/>
      <c r="C4898" s="45"/>
    </row>
    <row r="4899" spans="2:3" x14ac:dyDescent="0.25">
      <c r="B4899" s="45"/>
      <c r="C4899" s="45"/>
    </row>
    <row r="4900" spans="2:3" x14ac:dyDescent="0.25">
      <c r="B4900" s="45"/>
      <c r="C4900" s="45"/>
    </row>
    <row r="4901" spans="2:3" x14ac:dyDescent="0.25">
      <c r="B4901" s="45"/>
      <c r="C4901" s="45"/>
    </row>
    <row r="4902" spans="2:3" x14ac:dyDescent="0.25">
      <c r="B4902" s="45"/>
      <c r="C4902" s="45"/>
    </row>
    <row r="4903" spans="2:3" x14ac:dyDescent="0.25">
      <c r="B4903" s="45"/>
      <c r="C4903" s="45"/>
    </row>
    <row r="4904" spans="2:3" x14ac:dyDescent="0.25">
      <c r="B4904" s="45"/>
      <c r="C4904" s="45"/>
    </row>
    <row r="4905" spans="2:3" x14ac:dyDescent="0.25">
      <c r="B4905" s="45"/>
      <c r="C4905" s="45"/>
    </row>
    <row r="4906" spans="2:3" x14ac:dyDescent="0.25">
      <c r="B4906" s="45"/>
      <c r="C4906" s="45"/>
    </row>
    <row r="4907" spans="2:3" x14ac:dyDescent="0.25">
      <c r="B4907" s="45"/>
      <c r="C4907" s="45"/>
    </row>
    <row r="4908" spans="2:3" x14ac:dyDescent="0.25">
      <c r="B4908" s="45"/>
      <c r="C4908" s="45"/>
    </row>
    <row r="4909" spans="2:3" x14ac:dyDescent="0.25">
      <c r="B4909" s="45"/>
      <c r="C4909" s="45"/>
    </row>
    <row r="4910" spans="2:3" x14ac:dyDescent="0.25">
      <c r="B4910" s="45"/>
      <c r="C4910" s="45"/>
    </row>
    <row r="4911" spans="2:3" x14ac:dyDescent="0.25">
      <c r="B4911" s="45"/>
      <c r="C4911" s="45"/>
    </row>
    <row r="4912" spans="2:3" x14ac:dyDescent="0.25">
      <c r="B4912" s="45"/>
      <c r="C4912" s="45"/>
    </row>
    <row r="4913" spans="2:3" x14ac:dyDescent="0.25">
      <c r="B4913" s="45"/>
      <c r="C4913" s="45"/>
    </row>
    <row r="4914" spans="2:3" x14ac:dyDescent="0.25">
      <c r="B4914" s="45"/>
      <c r="C4914" s="45"/>
    </row>
    <row r="4915" spans="2:3" x14ac:dyDescent="0.25">
      <c r="B4915" s="45"/>
      <c r="C4915" s="45"/>
    </row>
    <row r="4916" spans="2:3" x14ac:dyDescent="0.25">
      <c r="B4916" s="45"/>
      <c r="C4916" s="45"/>
    </row>
    <row r="4917" spans="2:3" x14ac:dyDescent="0.25">
      <c r="B4917" s="45"/>
      <c r="C4917" s="45"/>
    </row>
    <row r="4918" spans="2:3" x14ac:dyDescent="0.25">
      <c r="B4918" s="45"/>
      <c r="C4918" s="45"/>
    </row>
    <row r="4919" spans="2:3" x14ac:dyDescent="0.25">
      <c r="B4919" s="45"/>
      <c r="C4919" s="45"/>
    </row>
    <row r="4920" spans="2:3" x14ac:dyDescent="0.25">
      <c r="B4920" s="45"/>
      <c r="C4920" s="45"/>
    </row>
    <row r="4921" spans="2:3" x14ac:dyDescent="0.25">
      <c r="B4921" s="45"/>
      <c r="C4921" s="45"/>
    </row>
    <row r="4922" spans="2:3" x14ac:dyDescent="0.25">
      <c r="B4922" s="45"/>
      <c r="C4922" s="45"/>
    </row>
    <row r="4923" spans="2:3" x14ac:dyDescent="0.25">
      <c r="B4923" s="45"/>
      <c r="C4923" s="45"/>
    </row>
    <row r="4924" spans="2:3" x14ac:dyDescent="0.25">
      <c r="B4924" s="45"/>
      <c r="C4924" s="45"/>
    </row>
    <row r="4925" spans="2:3" x14ac:dyDescent="0.25">
      <c r="B4925" s="45"/>
      <c r="C4925" s="45"/>
    </row>
    <row r="4926" spans="2:3" x14ac:dyDescent="0.25">
      <c r="B4926" s="45"/>
      <c r="C4926" s="45"/>
    </row>
    <row r="4927" spans="2:3" x14ac:dyDescent="0.25">
      <c r="B4927" s="45"/>
      <c r="C4927" s="45"/>
    </row>
    <row r="4928" spans="2:3" x14ac:dyDescent="0.25">
      <c r="B4928" s="45"/>
      <c r="C4928" s="45"/>
    </row>
    <row r="4929" spans="2:3" x14ac:dyDescent="0.25">
      <c r="B4929" s="45"/>
      <c r="C4929" s="45"/>
    </row>
    <row r="4930" spans="2:3" x14ac:dyDescent="0.25">
      <c r="B4930" s="45"/>
      <c r="C4930" s="45"/>
    </row>
    <row r="4931" spans="2:3" x14ac:dyDescent="0.25">
      <c r="B4931" s="45"/>
      <c r="C4931" s="45"/>
    </row>
    <row r="4932" spans="2:3" x14ac:dyDescent="0.25">
      <c r="B4932" s="45"/>
      <c r="C4932" s="45"/>
    </row>
    <row r="4933" spans="2:3" x14ac:dyDescent="0.25">
      <c r="B4933" s="45"/>
      <c r="C4933" s="45"/>
    </row>
    <row r="4934" spans="2:3" x14ac:dyDescent="0.25">
      <c r="B4934" s="45"/>
      <c r="C4934" s="45"/>
    </row>
    <row r="4935" spans="2:3" x14ac:dyDescent="0.25">
      <c r="B4935" s="45"/>
      <c r="C4935" s="45"/>
    </row>
    <row r="4936" spans="2:3" x14ac:dyDescent="0.25">
      <c r="B4936" s="45"/>
      <c r="C4936" s="45"/>
    </row>
    <row r="4937" spans="2:3" x14ac:dyDescent="0.25">
      <c r="B4937" s="45"/>
      <c r="C4937" s="45"/>
    </row>
    <row r="4938" spans="2:3" x14ac:dyDescent="0.25">
      <c r="B4938" s="45"/>
      <c r="C4938" s="45"/>
    </row>
    <row r="4939" spans="2:3" x14ac:dyDescent="0.25">
      <c r="B4939" s="45"/>
      <c r="C4939" s="45"/>
    </row>
    <row r="4940" spans="2:3" x14ac:dyDescent="0.25">
      <c r="B4940" s="45"/>
      <c r="C4940" s="45"/>
    </row>
    <row r="4941" spans="2:3" x14ac:dyDescent="0.25">
      <c r="B4941" s="45"/>
      <c r="C4941" s="45"/>
    </row>
    <row r="4942" spans="2:3" x14ac:dyDescent="0.25">
      <c r="B4942" s="45"/>
      <c r="C4942" s="45"/>
    </row>
    <row r="4943" spans="2:3" x14ac:dyDescent="0.25">
      <c r="B4943" s="45"/>
      <c r="C4943" s="45"/>
    </row>
    <row r="4944" spans="2:3" x14ac:dyDescent="0.25">
      <c r="B4944" s="45"/>
      <c r="C4944" s="45"/>
    </row>
    <row r="4945" spans="2:3" x14ac:dyDescent="0.25">
      <c r="B4945" s="45"/>
      <c r="C4945" s="45"/>
    </row>
    <row r="4946" spans="2:3" x14ac:dyDescent="0.25">
      <c r="B4946" s="45"/>
      <c r="C4946" s="45"/>
    </row>
    <row r="4947" spans="2:3" x14ac:dyDescent="0.25">
      <c r="B4947" s="45"/>
      <c r="C4947" s="45"/>
    </row>
    <row r="4948" spans="2:3" x14ac:dyDescent="0.25">
      <c r="B4948" s="45"/>
      <c r="C4948" s="45"/>
    </row>
    <row r="4949" spans="2:3" x14ac:dyDescent="0.25">
      <c r="B4949" s="45"/>
      <c r="C4949" s="45"/>
    </row>
    <row r="4950" spans="2:3" x14ac:dyDescent="0.25">
      <c r="B4950" s="45"/>
      <c r="C4950" s="45"/>
    </row>
    <row r="4951" spans="2:3" x14ac:dyDescent="0.25">
      <c r="B4951" s="45"/>
      <c r="C4951" s="45"/>
    </row>
    <row r="4952" spans="2:3" x14ac:dyDescent="0.25">
      <c r="B4952" s="45"/>
      <c r="C4952" s="45"/>
    </row>
    <row r="4953" spans="2:3" x14ac:dyDescent="0.25">
      <c r="B4953" s="45"/>
      <c r="C4953" s="45"/>
    </row>
    <row r="4954" spans="2:3" x14ac:dyDescent="0.25">
      <c r="B4954" s="45"/>
      <c r="C4954" s="45"/>
    </row>
    <row r="4955" spans="2:3" x14ac:dyDescent="0.25">
      <c r="B4955" s="45"/>
      <c r="C4955" s="45"/>
    </row>
    <row r="4956" spans="2:3" x14ac:dyDescent="0.25">
      <c r="B4956" s="45"/>
      <c r="C4956" s="45"/>
    </row>
    <row r="4957" spans="2:3" x14ac:dyDescent="0.25">
      <c r="B4957" s="45"/>
      <c r="C4957" s="45"/>
    </row>
    <row r="4958" spans="2:3" x14ac:dyDescent="0.25">
      <c r="B4958" s="45"/>
      <c r="C4958" s="45"/>
    </row>
    <row r="4959" spans="2:3" x14ac:dyDescent="0.25">
      <c r="B4959" s="45"/>
      <c r="C4959" s="45"/>
    </row>
    <row r="4960" spans="2:3" x14ac:dyDescent="0.25">
      <c r="B4960" s="45"/>
      <c r="C4960" s="45"/>
    </row>
    <row r="4961" spans="2:3" x14ac:dyDescent="0.25">
      <c r="B4961" s="45"/>
      <c r="C4961" s="45"/>
    </row>
    <row r="4962" spans="2:3" x14ac:dyDescent="0.25">
      <c r="B4962" s="45"/>
      <c r="C4962" s="45"/>
    </row>
    <row r="4963" spans="2:3" x14ac:dyDescent="0.25">
      <c r="B4963" s="45"/>
      <c r="C4963" s="45"/>
    </row>
    <row r="4964" spans="2:3" x14ac:dyDescent="0.25">
      <c r="B4964" s="45"/>
      <c r="C4964" s="45"/>
    </row>
    <row r="4965" spans="2:3" x14ac:dyDescent="0.25">
      <c r="B4965" s="45"/>
      <c r="C4965" s="45"/>
    </row>
    <row r="4966" spans="2:3" x14ac:dyDescent="0.25">
      <c r="B4966" s="45"/>
      <c r="C4966" s="45"/>
    </row>
    <row r="4967" spans="2:3" x14ac:dyDescent="0.25">
      <c r="B4967" s="45"/>
      <c r="C4967" s="45"/>
    </row>
    <row r="4968" spans="2:3" x14ac:dyDescent="0.25">
      <c r="B4968" s="45"/>
      <c r="C4968" s="45"/>
    </row>
    <row r="4969" spans="2:3" x14ac:dyDescent="0.25">
      <c r="B4969" s="45"/>
      <c r="C4969" s="45"/>
    </row>
    <row r="4970" spans="2:3" x14ac:dyDescent="0.25">
      <c r="B4970" s="45"/>
      <c r="C4970" s="45"/>
    </row>
    <row r="4971" spans="2:3" x14ac:dyDescent="0.25">
      <c r="B4971" s="45"/>
      <c r="C4971" s="45"/>
    </row>
    <row r="4972" spans="2:3" x14ac:dyDescent="0.25">
      <c r="B4972" s="45"/>
      <c r="C4972" s="45"/>
    </row>
    <row r="4973" spans="2:3" x14ac:dyDescent="0.25">
      <c r="B4973" s="45"/>
      <c r="C4973" s="45"/>
    </row>
    <row r="4974" spans="2:3" x14ac:dyDescent="0.25">
      <c r="B4974" s="45"/>
      <c r="C4974" s="45"/>
    </row>
    <row r="4975" spans="2:3" x14ac:dyDescent="0.25">
      <c r="B4975" s="45"/>
      <c r="C4975" s="45"/>
    </row>
    <row r="4976" spans="2:3" x14ac:dyDescent="0.25">
      <c r="B4976" s="45"/>
      <c r="C4976" s="45"/>
    </row>
    <row r="4977" spans="2:3" x14ac:dyDescent="0.25">
      <c r="B4977" s="45"/>
      <c r="C4977" s="45"/>
    </row>
    <row r="4978" spans="2:3" x14ac:dyDescent="0.25">
      <c r="B4978" s="45"/>
      <c r="C4978" s="45"/>
    </row>
    <row r="4979" spans="2:3" x14ac:dyDescent="0.25">
      <c r="B4979" s="45"/>
      <c r="C4979" s="45"/>
    </row>
    <row r="4980" spans="2:3" x14ac:dyDescent="0.25">
      <c r="B4980" s="45"/>
      <c r="C4980" s="45"/>
    </row>
    <row r="4981" spans="2:3" x14ac:dyDescent="0.25">
      <c r="B4981" s="45"/>
      <c r="C4981" s="45"/>
    </row>
    <row r="4982" spans="2:3" x14ac:dyDescent="0.25">
      <c r="B4982" s="45"/>
      <c r="C4982" s="45"/>
    </row>
    <row r="4983" spans="2:3" x14ac:dyDescent="0.25">
      <c r="B4983" s="45"/>
      <c r="C4983" s="45"/>
    </row>
    <row r="4984" spans="2:3" x14ac:dyDescent="0.25">
      <c r="B4984" s="45"/>
      <c r="C4984" s="45"/>
    </row>
    <row r="4985" spans="2:3" x14ac:dyDescent="0.25">
      <c r="B4985" s="45"/>
      <c r="C4985" s="45"/>
    </row>
    <row r="4986" spans="2:3" x14ac:dyDescent="0.25">
      <c r="B4986" s="45"/>
      <c r="C4986" s="45"/>
    </row>
    <row r="4987" spans="2:3" x14ac:dyDescent="0.25">
      <c r="B4987" s="45"/>
      <c r="C4987" s="45"/>
    </row>
    <row r="4988" spans="2:3" x14ac:dyDescent="0.25">
      <c r="B4988" s="45"/>
      <c r="C4988" s="45"/>
    </row>
    <row r="4989" spans="2:3" x14ac:dyDescent="0.25">
      <c r="B4989" s="45"/>
      <c r="C4989" s="45"/>
    </row>
    <row r="4990" spans="2:3" x14ac:dyDescent="0.25">
      <c r="B4990" s="45"/>
      <c r="C4990" s="45"/>
    </row>
    <row r="4991" spans="2:3" x14ac:dyDescent="0.25">
      <c r="B4991" s="45"/>
      <c r="C4991" s="45"/>
    </row>
    <row r="4992" spans="2:3" x14ac:dyDescent="0.25">
      <c r="B4992" s="45"/>
      <c r="C4992" s="45"/>
    </row>
    <row r="4993" spans="2:3" x14ac:dyDescent="0.25">
      <c r="B4993" s="45"/>
      <c r="C4993" s="45"/>
    </row>
    <row r="4994" spans="2:3" x14ac:dyDescent="0.25">
      <c r="B4994" s="45"/>
      <c r="C4994" s="45"/>
    </row>
    <row r="4995" spans="2:3" x14ac:dyDescent="0.25">
      <c r="B4995" s="45"/>
      <c r="C4995" s="45"/>
    </row>
    <row r="4996" spans="2:3" x14ac:dyDescent="0.25">
      <c r="B4996" s="45"/>
      <c r="C4996" s="45"/>
    </row>
    <row r="4997" spans="2:3" x14ac:dyDescent="0.25">
      <c r="B4997" s="45"/>
      <c r="C4997" s="45"/>
    </row>
    <row r="4998" spans="2:3" x14ac:dyDescent="0.25">
      <c r="B4998" s="45"/>
      <c r="C4998" s="45"/>
    </row>
    <row r="4999" spans="2:3" x14ac:dyDescent="0.25">
      <c r="B4999" s="45"/>
      <c r="C4999" s="45"/>
    </row>
    <row r="5000" spans="2:3" x14ac:dyDescent="0.25">
      <c r="B5000" s="45"/>
      <c r="C5000" s="45"/>
    </row>
    <row r="5001" spans="2:3" x14ac:dyDescent="0.25">
      <c r="B5001" s="45"/>
      <c r="C5001" s="45"/>
    </row>
    <row r="5002" spans="2:3" x14ac:dyDescent="0.25">
      <c r="B5002" s="45"/>
      <c r="C5002" s="45"/>
    </row>
    <row r="5003" spans="2:3" x14ac:dyDescent="0.25">
      <c r="B5003" s="45"/>
      <c r="C5003" s="45"/>
    </row>
    <row r="5004" spans="2:3" x14ac:dyDescent="0.25">
      <c r="B5004" s="45"/>
      <c r="C5004" s="45"/>
    </row>
    <row r="5005" spans="2:3" x14ac:dyDescent="0.25">
      <c r="B5005" s="45"/>
      <c r="C5005" s="45"/>
    </row>
    <row r="5006" spans="2:3" x14ac:dyDescent="0.25">
      <c r="B5006" s="45"/>
      <c r="C5006" s="45"/>
    </row>
    <row r="5007" spans="2:3" x14ac:dyDescent="0.25">
      <c r="B5007" s="45"/>
      <c r="C5007" s="45"/>
    </row>
    <row r="5008" spans="2:3" x14ac:dyDescent="0.25">
      <c r="B5008" s="45"/>
      <c r="C5008" s="45"/>
    </row>
    <row r="5009" spans="2:3" x14ac:dyDescent="0.25">
      <c r="B5009" s="45"/>
      <c r="C5009" s="45"/>
    </row>
    <row r="5010" spans="2:3" x14ac:dyDescent="0.25">
      <c r="B5010" s="45"/>
      <c r="C5010" s="45"/>
    </row>
    <row r="5011" spans="2:3" x14ac:dyDescent="0.25">
      <c r="B5011" s="45"/>
      <c r="C5011" s="45"/>
    </row>
    <row r="5012" spans="2:3" x14ac:dyDescent="0.25">
      <c r="B5012" s="45"/>
      <c r="C5012" s="45"/>
    </row>
    <row r="5013" spans="2:3" x14ac:dyDescent="0.25">
      <c r="B5013" s="45"/>
      <c r="C5013" s="45"/>
    </row>
    <row r="5014" spans="2:3" x14ac:dyDescent="0.25">
      <c r="B5014" s="45"/>
      <c r="C5014" s="45"/>
    </row>
    <row r="5015" spans="2:3" x14ac:dyDescent="0.25">
      <c r="B5015" s="45"/>
      <c r="C5015" s="45"/>
    </row>
    <row r="5016" spans="2:3" x14ac:dyDescent="0.25">
      <c r="B5016" s="45"/>
      <c r="C5016" s="45"/>
    </row>
    <row r="5017" spans="2:3" x14ac:dyDescent="0.25">
      <c r="B5017" s="45"/>
      <c r="C5017" s="45"/>
    </row>
    <row r="5018" spans="2:3" x14ac:dyDescent="0.25">
      <c r="B5018" s="45"/>
      <c r="C5018" s="45"/>
    </row>
    <row r="5019" spans="2:3" x14ac:dyDescent="0.25">
      <c r="B5019" s="45"/>
      <c r="C5019" s="45"/>
    </row>
    <row r="5020" spans="2:3" x14ac:dyDescent="0.25">
      <c r="B5020" s="45"/>
      <c r="C5020" s="45"/>
    </row>
    <row r="5021" spans="2:3" x14ac:dyDescent="0.25">
      <c r="B5021" s="45"/>
      <c r="C5021" s="45"/>
    </row>
    <row r="5022" spans="2:3" x14ac:dyDescent="0.25">
      <c r="B5022" s="45"/>
      <c r="C5022" s="45"/>
    </row>
    <row r="5023" spans="2:3" x14ac:dyDescent="0.25">
      <c r="B5023" s="45"/>
      <c r="C5023" s="45"/>
    </row>
    <row r="5024" spans="2:3" x14ac:dyDescent="0.25">
      <c r="B5024" s="45"/>
      <c r="C5024" s="45"/>
    </row>
    <row r="5025" spans="2:3" x14ac:dyDescent="0.25">
      <c r="B5025" s="45"/>
      <c r="C5025" s="45"/>
    </row>
    <row r="5026" spans="2:3" x14ac:dyDescent="0.25">
      <c r="B5026" s="45"/>
      <c r="C5026" s="45"/>
    </row>
    <row r="5027" spans="2:3" x14ac:dyDescent="0.25">
      <c r="B5027" s="45"/>
      <c r="C5027" s="45"/>
    </row>
    <row r="5028" spans="2:3" x14ac:dyDescent="0.25">
      <c r="B5028" s="45"/>
      <c r="C5028" s="45"/>
    </row>
    <row r="5029" spans="2:3" x14ac:dyDescent="0.25">
      <c r="B5029" s="45"/>
      <c r="C5029" s="45"/>
    </row>
    <row r="5030" spans="2:3" x14ac:dyDescent="0.25">
      <c r="B5030" s="45"/>
      <c r="C5030" s="45"/>
    </row>
    <row r="5031" spans="2:3" x14ac:dyDescent="0.25">
      <c r="B5031" s="45"/>
      <c r="C5031" s="45"/>
    </row>
    <row r="5032" spans="2:3" x14ac:dyDescent="0.25">
      <c r="B5032" s="45"/>
      <c r="C5032" s="45"/>
    </row>
    <row r="5033" spans="2:3" x14ac:dyDescent="0.25">
      <c r="B5033" s="45"/>
      <c r="C5033" s="45"/>
    </row>
    <row r="5034" spans="2:3" x14ac:dyDescent="0.25">
      <c r="B5034" s="45"/>
      <c r="C5034" s="45"/>
    </row>
    <row r="5035" spans="2:3" x14ac:dyDescent="0.25">
      <c r="B5035" s="45"/>
      <c r="C5035" s="45"/>
    </row>
    <row r="5036" spans="2:3" x14ac:dyDescent="0.25">
      <c r="B5036" s="45"/>
      <c r="C5036" s="45"/>
    </row>
    <row r="5037" spans="2:3" x14ac:dyDescent="0.25">
      <c r="B5037" s="45"/>
      <c r="C5037" s="45"/>
    </row>
    <row r="5038" spans="2:3" x14ac:dyDescent="0.25">
      <c r="B5038" s="45"/>
      <c r="C5038" s="45"/>
    </row>
    <row r="5039" spans="2:3" x14ac:dyDescent="0.25">
      <c r="B5039" s="45"/>
      <c r="C5039" s="45"/>
    </row>
    <row r="5040" spans="2:3" x14ac:dyDescent="0.25">
      <c r="B5040" s="45"/>
      <c r="C5040" s="45"/>
    </row>
    <row r="5041" spans="2:3" x14ac:dyDescent="0.25">
      <c r="B5041" s="45"/>
      <c r="C5041" s="45"/>
    </row>
    <row r="5042" spans="2:3" x14ac:dyDescent="0.25">
      <c r="B5042" s="45"/>
      <c r="C5042" s="45"/>
    </row>
    <row r="5043" spans="2:3" x14ac:dyDescent="0.25">
      <c r="B5043" s="45"/>
      <c r="C5043" s="45"/>
    </row>
    <row r="5044" spans="2:3" x14ac:dyDescent="0.25">
      <c r="B5044" s="45"/>
      <c r="C5044" s="45"/>
    </row>
    <row r="5045" spans="2:3" x14ac:dyDescent="0.25">
      <c r="B5045" s="45"/>
      <c r="C5045" s="45"/>
    </row>
    <row r="5046" spans="2:3" x14ac:dyDescent="0.25">
      <c r="B5046" s="45"/>
      <c r="C5046" s="45"/>
    </row>
    <row r="5047" spans="2:3" x14ac:dyDescent="0.25">
      <c r="B5047" s="45"/>
      <c r="C5047" s="45"/>
    </row>
    <row r="5048" spans="2:3" x14ac:dyDescent="0.25">
      <c r="B5048" s="45"/>
      <c r="C5048" s="45"/>
    </row>
    <row r="5049" spans="2:3" x14ac:dyDescent="0.25">
      <c r="B5049" s="45"/>
      <c r="C5049" s="45"/>
    </row>
    <row r="5050" spans="2:3" x14ac:dyDescent="0.25">
      <c r="B5050" s="45"/>
      <c r="C5050" s="45"/>
    </row>
    <row r="5051" spans="2:3" x14ac:dyDescent="0.25">
      <c r="B5051" s="45"/>
      <c r="C5051" s="45"/>
    </row>
    <row r="5052" spans="2:3" x14ac:dyDescent="0.25">
      <c r="B5052" s="45"/>
      <c r="C5052" s="45"/>
    </row>
    <row r="5053" spans="2:3" x14ac:dyDescent="0.25">
      <c r="B5053" s="45"/>
      <c r="C5053" s="45"/>
    </row>
    <row r="5054" spans="2:3" x14ac:dyDescent="0.25">
      <c r="B5054" s="45"/>
      <c r="C5054" s="45"/>
    </row>
    <row r="5055" spans="2:3" x14ac:dyDescent="0.25">
      <c r="B5055" s="45"/>
      <c r="C5055" s="45"/>
    </row>
    <row r="5056" spans="2:3" x14ac:dyDescent="0.25">
      <c r="B5056" s="45"/>
      <c r="C5056" s="45"/>
    </row>
    <row r="5057" spans="2:3" x14ac:dyDescent="0.25">
      <c r="B5057" s="45"/>
      <c r="C5057" s="45"/>
    </row>
    <row r="5058" spans="2:3" x14ac:dyDescent="0.25">
      <c r="B5058" s="45"/>
      <c r="C5058" s="45"/>
    </row>
    <row r="5059" spans="2:3" x14ac:dyDescent="0.25">
      <c r="B5059" s="45"/>
      <c r="C5059" s="45"/>
    </row>
    <row r="5060" spans="2:3" x14ac:dyDescent="0.25">
      <c r="B5060" s="45"/>
      <c r="C5060" s="45"/>
    </row>
    <row r="5061" spans="2:3" x14ac:dyDescent="0.25">
      <c r="B5061" s="45"/>
      <c r="C5061" s="45"/>
    </row>
    <row r="5062" spans="2:3" x14ac:dyDescent="0.25">
      <c r="B5062" s="45"/>
      <c r="C5062" s="45"/>
    </row>
    <row r="5063" spans="2:3" x14ac:dyDescent="0.25">
      <c r="B5063" s="45"/>
      <c r="C5063" s="45"/>
    </row>
    <row r="5064" spans="2:3" x14ac:dyDescent="0.25">
      <c r="B5064" s="45"/>
      <c r="C5064" s="45"/>
    </row>
    <row r="5065" spans="2:3" x14ac:dyDescent="0.25">
      <c r="B5065" s="45"/>
      <c r="C5065" s="45"/>
    </row>
    <row r="5066" spans="2:3" x14ac:dyDescent="0.25">
      <c r="B5066" s="45"/>
      <c r="C5066" s="45"/>
    </row>
    <row r="5067" spans="2:3" x14ac:dyDescent="0.25">
      <c r="B5067" s="45"/>
      <c r="C5067" s="45"/>
    </row>
    <row r="5068" spans="2:3" x14ac:dyDescent="0.25">
      <c r="B5068" s="45"/>
      <c r="C5068" s="45"/>
    </row>
    <row r="5069" spans="2:3" x14ac:dyDescent="0.25">
      <c r="B5069" s="45"/>
      <c r="C5069" s="45"/>
    </row>
    <row r="5070" spans="2:3" x14ac:dyDescent="0.25">
      <c r="B5070" s="45"/>
      <c r="C5070" s="45"/>
    </row>
    <row r="5071" spans="2:3" x14ac:dyDescent="0.25">
      <c r="B5071" s="45"/>
      <c r="C5071" s="45"/>
    </row>
    <row r="5072" spans="2:3" x14ac:dyDescent="0.25">
      <c r="B5072" s="45"/>
      <c r="C5072" s="45"/>
    </row>
    <row r="5073" spans="2:3" x14ac:dyDescent="0.25">
      <c r="B5073" s="45"/>
      <c r="C5073" s="45"/>
    </row>
    <row r="5074" spans="2:3" x14ac:dyDescent="0.25">
      <c r="B5074" s="45"/>
      <c r="C5074" s="45"/>
    </row>
    <row r="5075" spans="2:3" x14ac:dyDescent="0.25">
      <c r="B5075" s="45"/>
      <c r="C5075" s="45"/>
    </row>
    <row r="5076" spans="2:3" x14ac:dyDescent="0.25">
      <c r="B5076" s="45"/>
      <c r="C5076" s="45"/>
    </row>
    <row r="5077" spans="2:3" x14ac:dyDescent="0.25">
      <c r="B5077" s="45"/>
      <c r="C5077" s="45"/>
    </row>
    <row r="5078" spans="2:3" x14ac:dyDescent="0.25">
      <c r="B5078" s="45"/>
      <c r="C5078" s="45"/>
    </row>
    <row r="5079" spans="2:3" x14ac:dyDescent="0.25">
      <c r="B5079" s="45"/>
      <c r="C5079" s="45"/>
    </row>
    <row r="5080" spans="2:3" x14ac:dyDescent="0.25">
      <c r="B5080" s="45"/>
      <c r="C5080" s="45"/>
    </row>
    <row r="5081" spans="2:3" x14ac:dyDescent="0.25">
      <c r="B5081" s="45"/>
      <c r="C5081" s="45"/>
    </row>
    <row r="5082" spans="2:3" x14ac:dyDescent="0.25">
      <c r="B5082" s="45"/>
      <c r="C5082" s="45"/>
    </row>
    <row r="5083" spans="2:3" x14ac:dyDescent="0.25">
      <c r="B5083" s="45"/>
      <c r="C5083" s="45"/>
    </row>
    <row r="5084" spans="2:3" x14ac:dyDescent="0.25">
      <c r="B5084" s="45"/>
      <c r="C5084" s="45"/>
    </row>
    <row r="5085" spans="2:3" x14ac:dyDescent="0.25">
      <c r="B5085" s="45"/>
      <c r="C5085" s="45"/>
    </row>
    <row r="5086" spans="2:3" x14ac:dyDescent="0.25">
      <c r="B5086" s="45"/>
      <c r="C5086" s="45"/>
    </row>
    <row r="5087" spans="2:3" x14ac:dyDescent="0.25">
      <c r="B5087" s="45"/>
      <c r="C5087" s="45"/>
    </row>
    <row r="5088" spans="2:3" x14ac:dyDescent="0.25">
      <c r="B5088" s="45"/>
      <c r="C5088" s="45"/>
    </row>
    <row r="5089" spans="2:3" x14ac:dyDescent="0.25">
      <c r="B5089" s="45"/>
      <c r="C5089" s="45"/>
    </row>
    <row r="5090" spans="2:3" x14ac:dyDescent="0.25">
      <c r="B5090" s="45"/>
      <c r="C5090" s="45"/>
    </row>
    <row r="5091" spans="2:3" x14ac:dyDescent="0.25">
      <c r="B5091" s="45"/>
      <c r="C5091" s="45"/>
    </row>
    <row r="5092" spans="2:3" x14ac:dyDescent="0.25">
      <c r="B5092" s="45"/>
      <c r="C5092" s="45"/>
    </row>
    <row r="5093" spans="2:3" x14ac:dyDescent="0.25">
      <c r="B5093" s="45"/>
      <c r="C5093" s="45"/>
    </row>
    <row r="5094" spans="2:3" x14ac:dyDescent="0.25">
      <c r="B5094" s="45"/>
      <c r="C5094" s="45"/>
    </row>
    <row r="5095" spans="2:3" x14ac:dyDescent="0.25">
      <c r="B5095" s="45"/>
      <c r="C5095" s="45"/>
    </row>
    <row r="5096" spans="2:3" x14ac:dyDescent="0.25">
      <c r="B5096" s="45"/>
      <c r="C5096" s="45"/>
    </row>
    <row r="5097" spans="2:3" x14ac:dyDescent="0.25">
      <c r="B5097" s="45"/>
      <c r="C5097" s="45"/>
    </row>
    <row r="5098" spans="2:3" x14ac:dyDescent="0.25">
      <c r="B5098" s="45"/>
      <c r="C5098" s="45"/>
    </row>
    <row r="5099" spans="2:3" x14ac:dyDescent="0.25">
      <c r="B5099" s="45"/>
      <c r="C5099" s="45"/>
    </row>
    <row r="5100" spans="2:3" x14ac:dyDescent="0.25">
      <c r="B5100" s="45"/>
      <c r="C5100" s="45"/>
    </row>
    <row r="5101" spans="2:3" x14ac:dyDescent="0.25">
      <c r="B5101" s="45"/>
      <c r="C5101" s="45"/>
    </row>
    <row r="5102" spans="2:3" x14ac:dyDescent="0.25">
      <c r="B5102" s="45"/>
      <c r="C5102" s="45"/>
    </row>
    <row r="5103" spans="2:3" x14ac:dyDescent="0.25">
      <c r="B5103" s="45"/>
      <c r="C5103" s="45"/>
    </row>
    <row r="5104" spans="2:3" x14ac:dyDescent="0.25">
      <c r="B5104" s="45"/>
      <c r="C5104" s="45"/>
    </row>
    <row r="5105" spans="2:3" x14ac:dyDescent="0.25">
      <c r="B5105" s="45"/>
      <c r="C5105" s="45"/>
    </row>
    <row r="5106" spans="2:3" x14ac:dyDescent="0.25">
      <c r="B5106" s="45"/>
      <c r="C5106" s="45"/>
    </row>
    <row r="5107" spans="2:3" x14ac:dyDescent="0.25">
      <c r="B5107" s="45"/>
      <c r="C5107" s="45"/>
    </row>
    <row r="5108" spans="2:3" x14ac:dyDescent="0.25">
      <c r="B5108" s="45"/>
      <c r="C5108" s="45"/>
    </row>
    <row r="5109" spans="2:3" x14ac:dyDescent="0.25">
      <c r="B5109" s="45"/>
      <c r="C5109" s="45"/>
    </row>
    <row r="5110" spans="2:3" x14ac:dyDescent="0.25">
      <c r="B5110" s="45"/>
      <c r="C5110" s="45"/>
    </row>
    <row r="5111" spans="2:3" x14ac:dyDescent="0.25">
      <c r="B5111" s="45"/>
      <c r="C5111" s="45"/>
    </row>
    <row r="5112" spans="2:3" x14ac:dyDescent="0.25">
      <c r="B5112" s="45"/>
      <c r="C5112" s="45"/>
    </row>
    <row r="5113" spans="2:3" x14ac:dyDescent="0.25">
      <c r="B5113" s="45"/>
      <c r="C5113" s="45"/>
    </row>
    <row r="5114" spans="2:3" x14ac:dyDescent="0.25">
      <c r="B5114" s="45"/>
      <c r="C5114" s="45"/>
    </row>
    <row r="5115" spans="2:3" x14ac:dyDescent="0.25">
      <c r="B5115" s="45"/>
      <c r="C5115" s="45"/>
    </row>
    <row r="5116" spans="2:3" x14ac:dyDescent="0.25">
      <c r="B5116" s="45"/>
      <c r="C5116" s="45"/>
    </row>
    <row r="5117" spans="2:3" x14ac:dyDescent="0.25">
      <c r="B5117" s="45"/>
      <c r="C5117" s="45"/>
    </row>
    <row r="5118" spans="2:3" x14ac:dyDescent="0.25">
      <c r="B5118" s="45"/>
      <c r="C5118" s="45"/>
    </row>
    <row r="5119" spans="2:3" x14ac:dyDescent="0.25">
      <c r="B5119" s="45"/>
      <c r="C5119" s="45"/>
    </row>
    <row r="5120" spans="2:3" x14ac:dyDescent="0.25">
      <c r="B5120" s="45"/>
      <c r="C5120" s="45"/>
    </row>
    <row r="5121" spans="2:3" x14ac:dyDescent="0.25">
      <c r="B5121" s="45"/>
      <c r="C5121" s="45"/>
    </row>
    <row r="5122" spans="2:3" x14ac:dyDescent="0.25">
      <c r="B5122" s="45"/>
      <c r="C5122" s="45"/>
    </row>
    <row r="5123" spans="2:3" x14ac:dyDescent="0.25">
      <c r="B5123" s="45"/>
      <c r="C5123" s="45"/>
    </row>
    <row r="5124" spans="2:3" x14ac:dyDescent="0.25">
      <c r="B5124" s="45"/>
      <c r="C5124" s="45"/>
    </row>
    <row r="5125" spans="2:3" x14ac:dyDescent="0.25">
      <c r="B5125" s="45"/>
      <c r="C5125" s="45"/>
    </row>
    <row r="5126" spans="2:3" x14ac:dyDescent="0.25">
      <c r="B5126" s="45"/>
      <c r="C5126" s="45"/>
    </row>
    <row r="5127" spans="2:3" x14ac:dyDescent="0.25">
      <c r="B5127" s="45"/>
      <c r="C5127" s="45"/>
    </row>
    <row r="5128" spans="2:3" x14ac:dyDescent="0.25">
      <c r="B5128" s="45"/>
      <c r="C5128" s="45"/>
    </row>
    <row r="5129" spans="2:3" x14ac:dyDescent="0.25">
      <c r="B5129" s="45"/>
      <c r="C5129" s="45"/>
    </row>
    <row r="5130" spans="2:3" x14ac:dyDescent="0.25">
      <c r="B5130" s="45"/>
      <c r="C5130" s="45"/>
    </row>
    <row r="5131" spans="2:3" x14ac:dyDescent="0.25">
      <c r="B5131" s="45"/>
      <c r="C5131" s="45"/>
    </row>
    <row r="5132" spans="2:3" x14ac:dyDescent="0.25">
      <c r="B5132" s="45"/>
      <c r="C5132" s="45"/>
    </row>
    <row r="5133" spans="2:3" x14ac:dyDescent="0.25">
      <c r="B5133" s="45"/>
      <c r="C5133" s="45"/>
    </row>
    <row r="5134" spans="2:3" x14ac:dyDescent="0.25">
      <c r="B5134" s="45"/>
      <c r="C5134" s="45"/>
    </row>
    <row r="5135" spans="2:3" x14ac:dyDescent="0.25">
      <c r="B5135" s="45"/>
      <c r="C5135" s="45"/>
    </row>
    <row r="5136" spans="2:3" x14ac:dyDescent="0.25">
      <c r="B5136" s="45"/>
      <c r="C5136" s="45"/>
    </row>
    <row r="5137" spans="2:3" x14ac:dyDescent="0.25">
      <c r="B5137" s="45"/>
      <c r="C5137" s="45"/>
    </row>
    <row r="5138" spans="2:3" x14ac:dyDescent="0.25">
      <c r="B5138" s="45"/>
      <c r="C5138" s="45"/>
    </row>
    <row r="5139" spans="2:3" x14ac:dyDescent="0.25">
      <c r="B5139" s="45"/>
      <c r="C5139" s="45"/>
    </row>
    <row r="5140" spans="2:3" x14ac:dyDescent="0.25">
      <c r="B5140" s="45"/>
      <c r="C5140" s="45"/>
    </row>
    <row r="5141" spans="2:3" x14ac:dyDescent="0.25">
      <c r="B5141" s="45"/>
      <c r="C5141" s="45"/>
    </row>
    <row r="5142" spans="2:3" x14ac:dyDescent="0.25">
      <c r="B5142" s="45"/>
      <c r="C5142" s="45"/>
    </row>
    <row r="5143" spans="2:3" x14ac:dyDescent="0.25">
      <c r="B5143" s="45"/>
      <c r="C5143" s="45"/>
    </row>
    <row r="5144" spans="2:3" x14ac:dyDescent="0.25">
      <c r="B5144" s="45"/>
      <c r="C5144" s="45"/>
    </row>
    <row r="5145" spans="2:3" x14ac:dyDescent="0.25">
      <c r="B5145" s="45"/>
      <c r="C5145" s="45"/>
    </row>
    <row r="5146" spans="2:3" x14ac:dyDescent="0.25">
      <c r="B5146" s="45"/>
      <c r="C5146" s="45"/>
    </row>
    <row r="5147" spans="2:3" x14ac:dyDescent="0.25">
      <c r="B5147" s="45"/>
      <c r="C5147" s="45"/>
    </row>
    <row r="5148" spans="2:3" x14ac:dyDescent="0.25">
      <c r="B5148" s="45"/>
      <c r="C5148" s="45"/>
    </row>
    <row r="5149" spans="2:3" x14ac:dyDescent="0.25">
      <c r="B5149" s="45"/>
      <c r="C5149" s="45"/>
    </row>
    <row r="5150" spans="2:3" x14ac:dyDescent="0.25">
      <c r="B5150" s="45"/>
      <c r="C5150" s="45"/>
    </row>
    <row r="5151" spans="2:3" x14ac:dyDescent="0.25">
      <c r="B5151" s="45"/>
      <c r="C5151" s="45"/>
    </row>
    <row r="5152" spans="2:3" x14ac:dyDescent="0.25">
      <c r="B5152" s="45"/>
      <c r="C5152" s="45"/>
    </row>
    <row r="5153" spans="2:3" x14ac:dyDescent="0.25">
      <c r="B5153" s="45"/>
      <c r="C5153" s="45"/>
    </row>
    <row r="5154" spans="2:3" x14ac:dyDescent="0.25">
      <c r="B5154" s="45"/>
      <c r="C5154" s="45"/>
    </row>
    <row r="5155" spans="2:3" x14ac:dyDescent="0.25">
      <c r="B5155" s="45"/>
      <c r="C5155" s="45"/>
    </row>
    <row r="5156" spans="2:3" x14ac:dyDescent="0.25">
      <c r="B5156" s="45"/>
      <c r="C5156" s="45"/>
    </row>
    <row r="5157" spans="2:3" x14ac:dyDescent="0.25">
      <c r="B5157" s="45"/>
      <c r="C5157" s="45"/>
    </row>
    <row r="5158" spans="2:3" x14ac:dyDescent="0.25">
      <c r="B5158" s="45"/>
      <c r="C5158" s="45"/>
    </row>
    <row r="5159" spans="2:3" x14ac:dyDescent="0.25">
      <c r="B5159" s="45"/>
      <c r="C5159" s="45"/>
    </row>
    <row r="5160" spans="2:3" x14ac:dyDescent="0.25">
      <c r="B5160" s="45"/>
      <c r="C5160" s="45"/>
    </row>
    <row r="5161" spans="2:3" x14ac:dyDescent="0.25">
      <c r="B5161" s="45"/>
      <c r="C5161" s="45"/>
    </row>
    <row r="5162" spans="2:3" x14ac:dyDescent="0.25">
      <c r="B5162" s="45"/>
      <c r="C5162" s="45"/>
    </row>
    <row r="5163" spans="2:3" x14ac:dyDescent="0.25">
      <c r="B5163" s="45"/>
      <c r="C5163" s="45"/>
    </row>
    <row r="5164" spans="2:3" x14ac:dyDescent="0.25">
      <c r="B5164" s="45"/>
      <c r="C5164" s="45"/>
    </row>
    <row r="5165" spans="2:3" x14ac:dyDescent="0.25">
      <c r="B5165" s="45"/>
      <c r="C5165" s="45"/>
    </row>
    <row r="5166" spans="2:3" x14ac:dyDescent="0.25">
      <c r="B5166" s="45"/>
      <c r="C5166" s="45"/>
    </row>
    <row r="5167" spans="2:3" x14ac:dyDescent="0.25">
      <c r="B5167" s="45"/>
      <c r="C5167" s="45"/>
    </row>
    <row r="5168" spans="2:3" x14ac:dyDescent="0.25">
      <c r="B5168" s="45"/>
      <c r="C5168" s="45"/>
    </row>
    <row r="5169" spans="2:3" x14ac:dyDescent="0.25">
      <c r="B5169" s="45"/>
      <c r="C5169" s="45"/>
    </row>
    <row r="5170" spans="2:3" x14ac:dyDescent="0.25">
      <c r="B5170" s="45"/>
      <c r="C5170" s="45"/>
    </row>
    <row r="5171" spans="2:3" x14ac:dyDescent="0.25">
      <c r="B5171" s="45"/>
      <c r="C5171" s="45"/>
    </row>
    <row r="5172" spans="2:3" x14ac:dyDescent="0.25">
      <c r="B5172" s="45"/>
      <c r="C5172" s="45"/>
    </row>
    <row r="5173" spans="2:3" x14ac:dyDescent="0.25">
      <c r="B5173" s="45"/>
      <c r="C5173" s="45"/>
    </row>
    <row r="5174" spans="2:3" x14ac:dyDescent="0.25">
      <c r="B5174" s="45"/>
      <c r="C5174" s="45"/>
    </row>
    <row r="5175" spans="2:3" x14ac:dyDescent="0.25">
      <c r="B5175" s="45"/>
      <c r="C5175" s="45"/>
    </row>
    <row r="5176" spans="2:3" x14ac:dyDescent="0.25">
      <c r="B5176" s="45"/>
      <c r="C5176" s="45"/>
    </row>
    <row r="5177" spans="2:3" x14ac:dyDescent="0.25">
      <c r="B5177" s="45"/>
      <c r="C5177" s="45"/>
    </row>
    <row r="5178" spans="2:3" x14ac:dyDescent="0.25">
      <c r="B5178" s="45"/>
      <c r="C5178" s="45"/>
    </row>
    <row r="5179" spans="2:3" x14ac:dyDescent="0.25">
      <c r="B5179" s="45"/>
      <c r="C5179" s="45"/>
    </row>
    <row r="5180" spans="2:3" x14ac:dyDescent="0.25">
      <c r="B5180" s="45"/>
      <c r="C5180" s="45"/>
    </row>
    <row r="5181" spans="2:3" x14ac:dyDescent="0.25">
      <c r="B5181" s="45"/>
      <c r="C5181" s="45"/>
    </row>
    <row r="5182" spans="2:3" x14ac:dyDescent="0.25">
      <c r="B5182" s="45"/>
      <c r="C5182" s="45"/>
    </row>
    <row r="5183" spans="2:3" x14ac:dyDescent="0.25">
      <c r="B5183" s="45"/>
      <c r="C5183" s="45"/>
    </row>
    <row r="5184" spans="2:3" x14ac:dyDescent="0.25">
      <c r="B5184" s="45"/>
      <c r="C5184" s="45"/>
    </row>
    <row r="5185" spans="2:3" x14ac:dyDescent="0.25">
      <c r="B5185" s="45"/>
      <c r="C5185" s="45"/>
    </row>
    <row r="5186" spans="2:3" x14ac:dyDescent="0.25">
      <c r="B5186" s="45"/>
      <c r="C5186" s="45"/>
    </row>
    <row r="5187" spans="2:3" x14ac:dyDescent="0.25">
      <c r="B5187" s="45"/>
      <c r="C5187" s="45"/>
    </row>
    <row r="5188" spans="2:3" x14ac:dyDescent="0.25">
      <c r="B5188" s="45"/>
      <c r="C5188" s="45"/>
    </row>
    <row r="5189" spans="2:3" x14ac:dyDescent="0.25">
      <c r="B5189" s="45"/>
      <c r="C5189" s="45"/>
    </row>
    <row r="5190" spans="2:3" x14ac:dyDescent="0.25">
      <c r="B5190" s="45"/>
      <c r="C5190" s="45"/>
    </row>
    <row r="5191" spans="2:3" x14ac:dyDescent="0.25">
      <c r="B5191" s="45"/>
      <c r="C5191" s="45"/>
    </row>
    <row r="5192" spans="2:3" x14ac:dyDescent="0.25">
      <c r="B5192" s="45"/>
      <c r="C5192" s="45"/>
    </row>
    <row r="5193" spans="2:3" x14ac:dyDescent="0.25">
      <c r="B5193" s="45"/>
      <c r="C5193" s="45"/>
    </row>
    <row r="5194" spans="2:3" x14ac:dyDescent="0.25">
      <c r="B5194" s="45"/>
      <c r="C5194" s="45"/>
    </row>
    <row r="5195" spans="2:3" x14ac:dyDescent="0.25">
      <c r="B5195" s="45"/>
      <c r="C5195" s="45"/>
    </row>
    <row r="5196" spans="2:3" x14ac:dyDescent="0.25">
      <c r="B5196" s="45"/>
      <c r="C5196" s="45"/>
    </row>
    <row r="5197" spans="2:3" x14ac:dyDescent="0.25">
      <c r="B5197" s="45"/>
      <c r="C5197" s="45"/>
    </row>
    <row r="5198" spans="2:3" x14ac:dyDescent="0.25">
      <c r="B5198" s="45"/>
      <c r="C5198" s="45"/>
    </row>
    <row r="5199" spans="2:3" x14ac:dyDescent="0.25">
      <c r="B5199" s="45"/>
      <c r="C5199" s="45"/>
    </row>
    <row r="5200" spans="2:3" x14ac:dyDescent="0.25">
      <c r="B5200" s="45"/>
      <c r="C5200" s="45"/>
    </row>
    <row r="5201" spans="2:3" x14ac:dyDescent="0.25">
      <c r="B5201" s="45"/>
      <c r="C5201" s="45"/>
    </row>
    <row r="5202" spans="2:3" x14ac:dyDescent="0.25">
      <c r="B5202" s="45"/>
      <c r="C5202" s="45"/>
    </row>
    <row r="5203" spans="2:3" x14ac:dyDescent="0.25">
      <c r="B5203" s="45"/>
      <c r="C5203" s="45"/>
    </row>
    <row r="5204" spans="2:3" x14ac:dyDescent="0.25">
      <c r="B5204" s="45"/>
      <c r="C5204" s="45"/>
    </row>
    <row r="5205" spans="2:3" x14ac:dyDescent="0.25">
      <c r="B5205" s="45"/>
      <c r="C5205" s="45"/>
    </row>
    <row r="5206" spans="2:3" x14ac:dyDescent="0.25">
      <c r="B5206" s="45"/>
      <c r="C5206" s="45"/>
    </row>
    <row r="5207" spans="2:3" x14ac:dyDescent="0.25">
      <c r="B5207" s="45"/>
      <c r="C5207" s="45"/>
    </row>
    <row r="5208" spans="2:3" x14ac:dyDescent="0.25">
      <c r="B5208" s="45"/>
      <c r="C5208" s="45"/>
    </row>
    <row r="5209" spans="2:3" x14ac:dyDescent="0.25">
      <c r="B5209" s="45"/>
      <c r="C5209" s="45"/>
    </row>
    <row r="5210" spans="2:3" x14ac:dyDescent="0.25">
      <c r="B5210" s="45"/>
      <c r="C5210" s="45"/>
    </row>
    <row r="5211" spans="2:3" x14ac:dyDescent="0.25">
      <c r="B5211" s="45"/>
      <c r="C5211" s="45"/>
    </row>
    <row r="5212" spans="2:3" x14ac:dyDescent="0.25">
      <c r="B5212" s="45"/>
      <c r="C5212" s="45"/>
    </row>
    <row r="5213" spans="2:3" x14ac:dyDescent="0.25">
      <c r="B5213" s="45"/>
      <c r="C5213" s="45"/>
    </row>
    <row r="5214" spans="2:3" x14ac:dyDescent="0.25">
      <c r="B5214" s="45"/>
      <c r="C5214" s="45"/>
    </row>
    <row r="5215" spans="2:3" x14ac:dyDescent="0.25">
      <c r="B5215" s="45"/>
      <c r="C5215" s="45"/>
    </row>
    <row r="5216" spans="2:3" x14ac:dyDescent="0.25">
      <c r="B5216" s="45"/>
      <c r="C5216" s="45"/>
    </row>
    <row r="5217" spans="2:3" x14ac:dyDescent="0.25">
      <c r="B5217" s="45"/>
      <c r="C5217" s="45"/>
    </row>
    <row r="5218" spans="2:3" x14ac:dyDescent="0.25">
      <c r="B5218" s="45"/>
      <c r="C5218" s="45"/>
    </row>
    <row r="5219" spans="2:3" x14ac:dyDescent="0.25">
      <c r="B5219" s="45"/>
      <c r="C5219" s="45"/>
    </row>
    <row r="5220" spans="2:3" x14ac:dyDescent="0.25">
      <c r="B5220" s="45"/>
      <c r="C5220" s="45"/>
    </row>
    <row r="5221" spans="2:3" x14ac:dyDescent="0.25">
      <c r="B5221" s="45"/>
      <c r="C5221" s="45"/>
    </row>
    <row r="5222" spans="2:3" x14ac:dyDescent="0.25">
      <c r="B5222" s="45"/>
      <c r="C5222" s="45"/>
    </row>
    <row r="5223" spans="2:3" x14ac:dyDescent="0.25">
      <c r="B5223" s="45"/>
      <c r="C5223" s="45"/>
    </row>
    <row r="5224" spans="2:3" x14ac:dyDescent="0.25">
      <c r="B5224" s="45"/>
      <c r="C5224" s="45"/>
    </row>
    <row r="5225" spans="2:3" x14ac:dyDescent="0.25">
      <c r="B5225" s="45"/>
      <c r="C5225" s="45"/>
    </row>
    <row r="5226" spans="2:3" x14ac:dyDescent="0.25">
      <c r="B5226" s="45"/>
      <c r="C5226" s="45"/>
    </row>
    <row r="5227" spans="2:3" x14ac:dyDescent="0.25">
      <c r="B5227" s="45"/>
      <c r="C5227" s="45"/>
    </row>
    <row r="5228" spans="2:3" x14ac:dyDescent="0.25">
      <c r="B5228" s="45"/>
      <c r="C5228" s="45"/>
    </row>
    <row r="5229" spans="2:3" x14ac:dyDescent="0.25">
      <c r="B5229" s="45"/>
      <c r="C5229" s="45"/>
    </row>
    <row r="5230" spans="2:3" x14ac:dyDescent="0.25">
      <c r="B5230" s="45"/>
      <c r="C5230" s="45"/>
    </row>
    <row r="5231" spans="2:3" x14ac:dyDescent="0.25">
      <c r="B5231" s="45"/>
      <c r="C5231" s="45"/>
    </row>
    <row r="5232" spans="2:3" x14ac:dyDescent="0.25">
      <c r="B5232" s="45"/>
      <c r="C5232" s="45"/>
    </row>
    <row r="5233" spans="2:3" x14ac:dyDescent="0.25">
      <c r="B5233" s="45"/>
      <c r="C5233" s="45"/>
    </row>
    <row r="5234" spans="2:3" x14ac:dyDescent="0.25">
      <c r="B5234" s="45"/>
      <c r="C5234" s="45"/>
    </row>
    <row r="5235" spans="2:3" x14ac:dyDescent="0.25">
      <c r="B5235" s="45"/>
      <c r="C5235" s="45"/>
    </row>
    <row r="5236" spans="2:3" x14ac:dyDescent="0.25">
      <c r="B5236" s="45"/>
      <c r="C5236" s="45"/>
    </row>
    <row r="5237" spans="2:3" x14ac:dyDescent="0.25">
      <c r="B5237" s="45"/>
      <c r="C5237" s="45"/>
    </row>
    <row r="5238" spans="2:3" x14ac:dyDescent="0.25">
      <c r="B5238" s="45"/>
      <c r="C5238" s="45"/>
    </row>
    <row r="5239" spans="2:3" x14ac:dyDescent="0.25">
      <c r="B5239" s="45"/>
      <c r="C5239" s="45"/>
    </row>
    <row r="5240" spans="2:3" x14ac:dyDescent="0.25">
      <c r="B5240" s="45"/>
      <c r="C5240" s="45"/>
    </row>
    <row r="5241" spans="2:3" x14ac:dyDescent="0.25">
      <c r="B5241" s="45"/>
      <c r="C5241" s="45"/>
    </row>
    <row r="5242" spans="2:3" x14ac:dyDescent="0.25">
      <c r="B5242" s="45"/>
      <c r="C5242" s="45"/>
    </row>
    <row r="5243" spans="2:3" x14ac:dyDescent="0.25">
      <c r="B5243" s="45"/>
      <c r="C5243" s="45"/>
    </row>
    <row r="5244" spans="2:3" x14ac:dyDescent="0.25">
      <c r="B5244" s="45"/>
      <c r="C5244" s="45"/>
    </row>
    <row r="5245" spans="2:3" x14ac:dyDescent="0.25">
      <c r="B5245" s="45"/>
      <c r="C5245" s="45"/>
    </row>
    <row r="5246" spans="2:3" x14ac:dyDescent="0.25">
      <c r="B5246" s="45"/>
      <c r="C5246" s="45"/>
    </row>
    <row r="5247" spans="2:3" x14ac:dyDescent="0.25">
      <c r="B5247" s="45"/>
      <c r="C5247" s="45"/>
    </row>
    <row r="5248" spans="2:3" x14ac:dyDescent="0.25">
      <c r="B5248" s="45"/>
      <c r="C5248" s="45"/>
    </row>
    <row r="5249" spans="2:3" x14ac:dyDescent="0.25">
      <c r="B5249" s="45"/>
      <c r="C5249" s="45"/>
    </row>
    <row r="5250" spans="2:3" x14ac:dyDescent="0.25">
      <c r="B5250" s="45"/>
      <c r="C5250" s="45"/>
    </row>
    <row r="5251" spans="2:3" x14ac:dyDescent="0.25">
      <c r="B5251" s="45"/>
      <c r="C5251" s="45"/>
    </row>
    <row r="5252" spans="2:3" x14ac:dyDescent="0.25">
      <c r="B5252" s="45"/>
      <c r="C5252" s="45"/>
    </row>
    <row r="5253" spans="2:3" x14ac:dyDescent="0.25">
      <c r="B5253" s="45"/>
      <c r="C5253" s="45"/>
    </row>
    <row r="5254" spans="2:3" x14ac:dyDescent="0.25">
      <c r="B5254" s="45"/>
      <c r="C5254" s="45"/>
    </row>
    <row r="5255" spans="2:3" x14ac:dyDescent="0.25">
      <c r="B5255" s="45"/>
      <c r="C5255" s="45"/>
    </row>
    <row r="5256" spans="2:3" x14ac:dyDescent="0.25">
      <c r="B5256" s="45"/>
      <c r="C5256" s="45"/>
    </row>
    <row r="5257" spans="2:3" x14ac:dyDescent="0.25">
      <c r="B5257" s="45"/>
      <c r="C5257" s="45"/>
    </row>
    <row r="5258" spans="2:3" x14ac:dyDescent="0.25">
      <c r="B5258" s="45"/>
      <c r="C5258" s="45"/>
    </row>
    <row r="5259" spans="2:3" x14ac:dyDescent="0.25">
      <c r="B5259" s="45"/>
      <c r="C5259" s="45"/>
    </row>
    <row r="5260" spans="2:3" x14ac:dyDescent="0.25">
      <c r="B5260" s="45"/>
      <c r="C5260" s="45"/>
    </row>
    <row r="5261" spans="2:3" x14ac:dyDescent="0.25">
      <c r="B5261" s="45"/>
      <c r="C5261" s="45"/>
    </row>
    <row r="5262" spans="2:3" x14ac:dyDescent="0.25">
      <c r="B5262" s="45"/>
      <c r="C5262" s="45"/>
    </row>
    <row r="5263" spans="2:3" x14ac:dyDescent="0.25">
      <c r="B5263" s="45"/>
      <c r="C5263" s="45"/>
    </row>
    <row r="5264" spans="2:3" x14ac:dyDescent="0.25">
      <c r="B5264" s="45"/>
      <c r="C5264" s="45"/>
    </row>
    <row r="5265" spans="2:3" x14ac:dyDescent="0.25">
      <c r="B5265" s="45"/>
      <c r="C5265" s="45"/>
    </row>
    <row r="5266" spans="2:3" x14ac:dyDescent="0.25">
      <c r="B5266" s="45"/>
      <c r="C5266" s="45"/>
    </row>
    <row r="5267" spans="2:3" x14ac:dyDescent="0.25">
      <c r="B5267" s="45"/>
      <c r="C5267" s="45"/>
    </row>
    <row r="5268" spans="2:3" x14ac:dyDescent="0.25">
      <c r="B5268" s="45"/>
      <c r="C5268" s="45"/>
    </row>
    <row r="5269" spans="2:3" x14ac:dyDescent="0.25">
      <c r="B5269" s="45"/>
      <c r="C5269" s="45"/>
    </row>
    <row r="5270" spans="2:3" x14ac:dyDescent="0.25">
      <c r="B5270" s="45"/>
      <c r="C5270" s="45"/>
    </row>
    <row r="5271" spans="2:3" x14ac:dyDescent="0.25">
      <c r="B5271" s="45"/>
      <c r="C5271" s="45"/>
    </row>
    <row r="5272" spans="2:3" x14ac:dyDescent="0.25">
      <c r="B5272" s="45"/>
      <c r="C5272" s="45"/>
    </row>
    <row r="5273" spans="2:3" x14ac:dyDescent="0.25">
      <c r="B5273" s="45"/>
      <c r="C5273" s="45"/>
    </row>
    <row r="5274" spans="2:3" x14ac:dyDescent="0.25">
      <c r="B5274" s="45"/>
      <c r="C5274" s="45"/>
    </row>
    <row r="5275" spans="2:3" x14ac:dyDescent="0.25">
      <c r="B5275" s="45"/>
      <c r="C5275" s="45"/>
    </row>
    <row r="5276" spans="2:3" x14ac:dyDescent="0.25">
      <c r="B5276" s="45"/>
      <c r="C5276" s="45"/>
    </row>
    <row r="5277" spans="2:3" x14ac:dyDescent="0.25">
      <c r="B5277" s="45"/>
      <c r="C5277" s="45"/>
    </row>
    <row r="5278" spans="2:3" x14ac:dyDescent="0.25">
      <c r="B5278" s="45"/>
      <c r="C5278" s="45"/>
    </row>
    <row r="5279" spans="2:3" x14ac:dyDescent="0.25">
      <c r="B5279" s="45"/>
      <c r="C5279" s="45"/>
    </row>
    <row r="5280" spans="2:3" x14ac:dyDescent="0.25">
      <c r="B5280" s="45"/>
      <c r="C5280" s="45"/>
    </row>
    <row r="5281" spans="2:3" x14ac:dyDescent="0.25">
      <c r="B5281" s="45"/>
      <c r="C5281" s="45"/>
    </row>
    <row r="5282" spans="2:3" x14ac:dyDescent="0.25">
      <c r="B5282" s="45"/>
      <c r="C5282" s="45"/>
    </row>
    <row r="5283" spans="2:3" x14ac:dyDescent="0.25">
      <c r="B5283" s="45"/>
      <c r="C5283" s="45"/>
    </row>
    <row r="5284" spans="2:3" x14ac:dyDescent="0.25">
      <c r="B5284" s="45"/>
      <c r="C5284" s="45"/>
    </row>
    <row r="5285" spans="2:3" x14ac:dyDescent="0.25">
      <c r="B5285" s="45"/>
      <c r="C5285" s="45"/>
    </row>
    <row r="5286" spans="2:3" x14ac:dyDescent="0.25">
      <c r="B5286" s="45"/>
      <c r="C5286" s="45"/>
    </row>
    <row r="5287" spans="2:3" x14ac:dyDescent="0.25">
      <c r="B5287" s="45"/>
      <c r="C5287" s="45"/>
    </row>
    <row r="5288" spans="2:3" x14ac:dyDescent="0.25">
      <c r="B5288" s="45"/>
      <c r="C5288" s="45"/>
    </row>
    <row r="5289" spans="2:3" x14ac:dyDescent="0.25">
      <c r="B5289" s="45"/>
      <c r="C5289" s="45"/>
    </row>
    <row r="5290" spans="2:3" x14ac:dyDescent="0.25">
      <c r="B5290" s="45"/>
      <c r="C5290" s="45"/>
    </row>
    <row r="5291" spans="2:3" x14ac:dyDescent="0.25">
      <c r="B5291" s="45"/>
      <c r="C5291" s="45"/>
    </row>
    <row r="5292" spans="2:3" x14ac:dyDescent="0.25">
      <c r="B5292" s="45"/>
      <c r="C5292" s="45"/>
    </row>
    <row r="5293" spans="2:3" x14ac:dyDescent="0.25">
      <c r="B5293" s="45"/>
      <c r="C5293" s="45"/>
    </row>
    <row r="5294" spans="2:3" x14ac:dyDescent="0.25">
      <c r="B5294" s="45"/>
      <c r="C5294" s="45"/>
    </row>
    <row r="5295" spans="2:3" x14ac:dyDescent="0.25">
      <c r="B5295" s="45"/>
      <c r="C5295" s="45"/>
    </row>
    <row r="5296" spans="2:3" x14ac:dyDescent="0.25">
      <c r="B5296" s="45"/>
      <c r="C5296" s="45"/>
    </row>
    <row r="5297" spans="2:3" x14ac:dyDescent="0.25">
      <c r="B5297" s="45"/>
      <c r="C5297" s="45"/>
    </row>
    <row r="5298" spans="2:3" x14ac:dyDescent="0.25">
      <c r="B5298" s="45"/>
      <c r="C5298" s="45"/>
    </row>
    <row r="5299" spans="2:3" x14ac:dyDescent="0.25">
      <c r="B5299" s="45"/>
      <c r="C5299" s="45"/>
    </row>
    <row r="5300" spans="2:3" x14ac:dyDescent="0.25">
      <c r="B5300" s="45"/>
      <c r="C5300" s="45"/>
    </row>
    <row r="5301" spans="2:3" x14ac:dyDescent="0.25">
      <c r="B5301" s="45"/>
      <c r="C5301" s="45"/>
    </row>
    <row r="5302" spans="2:3" x14ac:dyDescent="0.25">
      <c r="B5302" s="45"/>
      <c r="C5302" s="45"/>
    </row>
    <row r="5303" spans="2:3" x14ac:dyDescent="0.25">
      <c r="B5303" s="45"/>
      <c r="C5303" s="45"/>
    </row>
    <row r="5304" spans="2:3" x14ac:dyDescent="0.25">
      <c r="B5304" s="45"/>
      <c r="C5304" s="45"/>
    </row>
    <row r="5305" spans="2:3" x14ac:dyDescent="0.25">
      <c r="B5305" s="45"/>
      <c r="C5305" s="45"/>
    </row>
    <row r="5306" spans="2:3" x14ac:dyDescent="0.25">
      <c r="B5306" s="45"/>
      <c r="C5306" s="45"/>
    </row>
    <row r="5307" spans="2:3" x14ac:dyDescent="0.25">
      <c r="B5307" s="45"/>
      <c r="C5307" s="45"/>
    </row>
    <row r="5308" spans="2:3" x14ac:dyDescent="0.25">
      <c r="B5308" s="45"/>
      <c r="C5308" s="45"/>
    </row>
    <row r="5309" spans="2:3" x14ac:dyDescent="0.25">
      <c r="B5309" s="45"/>
      <c r="C5309" s="45"/>
    </row>
    <row r="5310" spans="2:3" x14ac:dyDescent="0.25">
      <c r="B5310" s="45"/>
      <c r="C5310" s="45"/>
    </row>
    <row r="5311" spans="2:3" x14ac:dyDescent="0.25">
      <c r="B5311" s="45"/>
      <c r="C5311" s="45"/>
    </row>
    <row r="5312" spans="2:3" x14ac:dyDescent="0.25">
      <c r="B5312" s="45"/>
      <c r="C5312" s="45"/>
    </row>
    <row r="5313" spans="2:3" x14ac:dyDescent="0.25">
      <c r="B5313" s="45"/>
      <c r="C5313" s="45"/>
    </row>
    <row r="5314" spans="2:3" x14ac:dyDescent="0.25">
      <c r="B5314" s="45"/>
      <c r="C5314" s="45"/>
    </row>
    <row r="5315" spans="2:3" x14ac:dyDescent="0.25">
      <c r="B5315" s="45"/>
      <c r="C5315" s="45"/>
    </row>
    <row r="5316" spans="2:3" x14ac:dyDescent="0.25">
      <c r="B5316" s="45"/>
      <c r="C5316" s="45"/>
    </row>
    <row r="5317" spans="2:3" x14ac:dyDescent="0.25">
      <c r="B5317" s="45"/>
      <c r="C5317" s="45"/>
    </row>
    <row r="5318" spans="2:3" x14ac:dyDescent="0.25">
      <c r="B5318" s="45"/>
      <c r="C5318" s="45"/>
    </row>
    <row r="5319" spans="2:3" x14ac:dyDescent="0.25">
      <c r="B5319" s="45"/>
      <c r="C5319" s="45"/>
    </row>
    <row r="5320" spans="2:3" x14ac:dyDescent="0.25">
      <c r="B5320" s="45"/>
      <c r="C5320" s="45"/>
    </row>
    <row r="5321" spans="2:3" x14ac:dyDescent="0.25">
      <c r="B5321" s="45"/>
      <c r="C5321" s="45"/>
    </row>
    <row r="5322" spans="2:3" x14ac:dyDescent="0.25">
      <c r="B5322" s="45"/>
      <c r="C5322" s="45"/>
    </row>
    <row r="5323" spans="2:3" x14ac:dyDescent="0.25">
      <c r="B5323" s="45"/>
      <c r="C5323" s="45"/>
    </row>
    <row r="5324" spans="2:3" x14ac:dyDescent="0.25">
      <c r="B5324" s="45"/>
      <c r="C5324" s="45"/>
    </row>
    <row r="5325" spans="2:3" x14ac:dyDescent="0.25">
      <c r="B5325" s="45"/>
      <c r="C5325" s="45"/>
    </row>
    <row r="5326" spans="2:3" x14ac:dyDescent="0.25">
      <c r="B5326" s="45"/>
      <c r="C5326" s="45"/>
    </row>
    <row r="5327" spans="2:3" x14ac:dyDescent="0.25">
      <c r="B5327" s="45"/>
      <c r="C5327" s="45"/>
    </row>
    <row r="5328" spans="2:3" x14ac:dyDescent="0.25">
      <c r="B5328" s="45"/>
      <c r="C5328" s="45"/>
    </row>
    <row r="5329" spans="2:3" x14ac:dyDescent="0.25">
      <c r="B5329" s="45"/>
      <c r="C5329" s="45"/>
    </row>
    <row r="5330" spans="2:3" x14ac:dyDescent="0.25">
      <c r="B5330" s="45"/>
      <c r="C5330" s="45"/>
    </row>
    <row r="5331" spans="2:3" x14ac:dyDescent="0.25">
      <c r="B5331" s="45"/>
      <c r="C5331" s="45"/>
    </row>
    <row r="5332" spans="2:3" x14ac:dyDescent="0.25">
      <c r="B5332" s="45"/>
      <c r="C5332" s="45"/>
    </row>
    <row r="5333" spans="2:3" x14ac:dyDescent="0.25">
      <c r="B5333" s="45"/>
      <c r="C5333" s="45"/>
    </row>
    <row r="5334" spans="2:3" x14ac:dyDescent="0.25">
      <c r="B5334" s="45"/>
      <c r="C5334" s="45"/>
    </row>
    <row r="5335" spans="2:3" x14ac:dyDescent="0.25">
      <c r="B5335" s="45"/>
      <c r="C5335" s="45"/>
    </row>
    <row r="5336" spans="2:3" x14ac:dyDescent="0.25">
      <c r="B5336" s="45"/>
      <c r="C5336" s="45"/>
    </row>
    <row r="5337" spans="2:3" x14ac:dyDescent="0.25">
      <c r="B5337" s="45"/>
      <c r="C5337" s="45"/>
    </row>
    <row r="5338" spans="2:3" x14ac:dyDescent="0.25">
      <c r="B5338" s="45"/>
      <c r="C5338" s="45"/>
    </row>
    <row r="5339" spans="2:3" x14ac:dyDescent="0.25">
      <c r="B5339" s="45"/>
      <c r="C5339" s="45"/>
    </row>
    <row r="5340" spans="2:3" x14ac:dyDescent="0.25">
      <c r="B5340" s="45"/>
      <c r="C5340" s="45"/>
    </row>
    <row r="5341" spans="2:3" x14ac:dyDescent="0.25">
      <c r="B5341" s="45"/>
      <c r="C5341" s="45"/>
    </row>
    <row r="5342" spans="2:3" x14ac:dyDescent="0.25">
      <c r="B5342" s="45"/>
      <c r="C5342" s="45"/>
    </row>
    <row r="5343" spans="2:3" x14ac:dyDescent="0.25">
      <c r="B5343" s="45"/>
      <c r="C5343" s="45"/>
    </row>
    <row r="5344" spans="2:3" x14ac:dyDescent="0.25">
      <c r="B5344" s="45"/>
      <c r="C5344" s="45"/>
    </row>
    <row r="5345" spans="2:3" x14ac:dyDescent="0.25">
      <c r="B5345" s="45"/>
      <c r="C5345" s="45"/>
    </row>
    <row r="5346" spans="2:3" x14ac:dyDescent="0.25">
      <c r="B5346" s="45"/>
      <c r="C5346" s="45"/>
    </row>
    <row r="5347" spans="2:3" x14ac:dyDescent="0.25">
      <c r="B5347" s="45"/>
      <c r="C5347" s="45"/>
    </row>
    <row r="5348" spans="2:3" x14ac:dyDescent="0.25">
      <c r="B5348" s="45"/>
      <c r="C5348" s="45"/>
    </row>
    <row r="5349" spans="2:3" x14ac:dyDescent="0.25">
      <c r="B5349" s="45"/>
      <c r="C5349" s="45"/>
    </row>
    <row r="5350" spans="2:3" x14ac:dyDescent="0.25">
      <c r="B5350" s="45"/>
      <c r="C5350" s="45"/>
    </row>
    <row r="5351" spans="2:3" x14ac:dyDescent="0.25">
      <c r="B5351" s="45"/>
      <c r="C5351" s="45"/>
    </row>
    <row r="5352" spans="2:3" x14ac:dyDescent="0.25">
      <c r="B5352" s="45"/>
      <c r="C5352" s="45"/>
    </row>
    <row r="5353" spans="2:3" x14ac:dyDescent="0.25">
      <c r="B5353" s="45"/>
      <c r="C5353" s="45"/>
    </row>
    <row r="5354" spans="2:3" x14ac:dyDescent="0.25">
      <c r="B5354" s="45"/>
      <c r="C5354" s="45"/>
    </row>
    <row r="5355" spans="2:3" x14ac:dyDescent="0.25">
      <c r="B5355" s="45"/>
      <c r="C5355" s="45"/>
    </row>
    <row r="5356" spans="2:3" x14ac:dyDescent="0.25">
      <c r="B5356" s="45"/>
      <c r="C5356" s="45"/>
    </row>
    <row r="5357" spans="2:3" x14ac:dyDescent="0.25">
      <c r="B5357" s="45"/>
      <c r="C5357" s="45"/>
    </row>
    <row r="5358" spans="2:3" x14ac:dyDescent="0.25">
      <c r="B5358" s="45"/>
      <c r="C5358" s="45"/>
    </row>
    <row r="5359" spans="2:3" x14ac:dyDescent="0.25">
      <c r="B5359" s="45"/>
      <c r="C5359" s="45"/>
    </row>
    <row r="5360" spans="2:3" x14ac:dyDescent="0.25">
      <c r="B5360" s="45"/>
      <c r="C5360" s="45"/>
    </row>
    <row r="5361" spans="2:3" x14ac:dyDescent="0.25">
      <c r="B5361" s="45"/>
      <c r="C5361" s="45"/>
    </row>
    <row r="5362" spans="2:3" x14ac:dyDescent="0.25">
      <c r="B5362" s="45"/>
      <c r="C5362" s="45"/>
    </row>
    <row r="5363" spans="2:3" x14ac:dyDescent="0.25">
      <c r="B5363" s="45"/>
      <c r="C5363" s="45"/>
    </row>
    <row r="5364" spans="2:3" x14ac:dyDescent="0.25">
      <c r="B5364" s="45"/>
      <c r="C5364" s="45"/>
    </row>
    <row r="5365" spans="2:3" x14ac:dyDescent="0.25">
      <c r="B5365" s="45"/>
      <c r="C5365" s="45"/>
    </row>
    <row r="5366" spans="2:3" x14ac:dyDescent="0.25">
      <c r="B5366" s="45"/>
      <c r="C5366" s="45"/>
    </row>
    <row r="5367" spans="2:3" x14ac:dyDescent="0.25">
      <c r="B5367" s="45"/>
      <c r="C5367" s="45"/>
    </row>
    <row r="5368" spans="2:3" x14ac:dyDescent="0.25">
      <c r="B5368" s="45"/>
      <c r="C5368" s="45"/>
    </row>
    <row r="5369" spans="2:3" x14ac:dyDescent="0.25">
      <c r="B5369" s="45"/>
      <c r="C5369" s="45"/>
    </row>
    <row r="5370" spans="2:3" x14ac:dyDescent="0.25">
      <c r="B5370" s="45"/>
      <c r="C5370" s="45"/>
    </row>
    <row r="5371" spans="2:3" x14ac:dyDescent="0.25">
      <c r="B5371" s="45"/>
      <c r="C5371" s="45"/>
    </row>
    <row r="5372" spans="2:3" x14ac:dyDescent="0.25">
      <c r="B5372" s="45"/>
      <c r="C5372" s="45"/>
    </row>
    <row r="5373" spans="2:3" x14ac:dyDescent="0.25">
      <c r="B5373" s="45"/>
      <c r="C5373" s="45"/>
    </row>
    <row r="5374" spans="2:3" x14ac:dyDescent="0.25">
      <c r="B5374" s="45"/>
      <c r="C5374" s="45"/>
    </row>
    <row r="5375" spans="2:3" x14ac:dyDescent="0.25">
      <c r="B5375" s="45"/>
      <c r="C5375" s="45"/>
    </row>
    <row r="5376" spans="2:3" x14ac:dyDescent="0.25">
      <c r="B5376" s="45"/>
      <c r="C5376" s="45"/>
    </row>
    <row r="5377" spans="2:3" x14ac:dyDescent="0.25">
      <c r="B5377" s="45"/>
      <c r="C5377" s="45"/>
    </row>
    <row r="5378" spans="2:3" x14ac:dyDescent="0.25">
      <c r="B5378" s="45"/>
      <c r="C5378" s="45"/>
    </row>
    <row r="5379" spans="2:3" x14ac:dyDescent="0.25">
      <c r="B5379" s="45"/>
      <c r="C5379" s="45"/>
    </row>
    <row r="5380" spans="2:3" x14ac:dyDescent="0.25">
      <c r="B5380" s="45"/>
      <c r="C5380" s="45"/>
    </row>
    <row r="5381" spans="2:3" x14ac:dyDescent="0.25">
      <c r="B5381" s="45"/>
      <c r="C5381" s="45"/>
    </row>
    <row r="5382" spans="2:3" x14ac:dyDescent="0.25">
      <c r="B5382" s="45"/>
      <c r="C5382" s="45"/>
    </row>
    <row r="5383" spans="2:3" x14ac:dyDescent="0.25">
      <c r="B5383" s="45"/>
      <c r="C5383" s="45"/>
    </row>
    <row r="5384" spans="2:3" x14ac:dyDescent="0.25">
      <c r="B5384" s="45"/>
      <c r="C5384" s="45"/>
    </row>
    <row r="5385" spans="2:3" x14ac:dyDescent="0.25">
      <c r="B5385" s="45"/>
      <c r="C5385" s="45"/>
    </row>
    <row r="5386" spans="2:3" x14ac:dyDescent="0.25">
      <c r="B5386" s="45"/>
      <c r="C5386" s="45"/>
    </row>
    <row r="5387" spans="2:3" x14ac:dyDescent="0.25">
      <c r="B5387" s="45"/>
      <c r="C5387" s="45"/>
    </row>
    <row r="5388" spans="2:3" x14ac:dyDescent="0.25">
      <c r="B5388" s="45"/>
      <c r="C5388" s="45"/>
    </row>
    <row r="5389" spans="2:3" x14ac:dyDescent="0.25">
      <c r="B5389" s="45"/>
      <c r="C5389" s="45"/>
    </row>
    <row r="5390" spans="2:3" x14ac:dyDescent="0.25">
      <c r="B5390" s="45"/>
      <c r="C5390" s="45"/>
    </row>
    <row r="5391" spans="2:3" x14ac:dyDescent="0.25">
      <c r="B5391" s="45"/>
      <c r="C5391" s="45"/>
    </row>
    <row r="5392" spans="2:3" x14ac:dyDescent="0.25">
      <c r="B5392" s="45"/>
      <c r="C5392" s="45"/>
    </row>
    <row r="5393" spans="2:3" x14ac:dyDescent="0.25">
      <c r="B5393" s="45"/>
      <c r="C5393" s="45"/>
    </row>
    <row r="5394" spans="2:3" x14ac:dyDescent="0.25">
      <c r="B5394" s="45"/>
      <c r="C5394" s="45"/>
    </row>
    <row r="5395" spans="2:3" x14ac:dyDescent="0.25">
      <c r="B5395" s="45"/>
      <c r="C5395" s="45"/>
    </row>
    <row r="5396" spans="2:3" x14ac:dyDescent="0.25">
      <c r="B5396" s="45"/>
      <c r="C5396" s="45"/>
    </row>
    <row r="5397" spans="2:3" x14ac:dyDescent="0.25">
      <c r="B5397" s="45"/>
      <c r="C5397" s="45"/>
    </row>
    <row r="5398" spans="2:3" x14ac:dyDescent="0.25">
      <c r="B5398" s="45"/>
      <c r="C5398" s="45"/>
    </row>
    <row r="5399" spans="2:3" x14ac:dyDescent="0.25">
      <c r="B5399" s="45"/>
      <c r="C5399" s="45"/>
    </row>
    <row r="5400" spans="2:3" x14ac:dyDescent="0.25">
      <c r="B5400" s="45"/>
      <c r="C5400" s="45"/>
    </row>
    <row r="5401" spans="2:3" x14ac:dyDescent="0.25">
      <c r="B5401" s="45"/>
      <c r="C5401" s="45"/>
    </row>
    <row r="5402" spans="2:3" x14ac:dyDescent="0.25">
      <c r="B5402" s="45"/>
      <c r="C5402" s="45"/>
    </row>
    <row r="5403" spans="2:3" x14ac:dyDescent="0.25">
      <c r="B5403" s="45"/>
      <c r="C5403" s="45"/>
    </row>
    <row r="5404" spans="2:3" x14ac:dyDescent="0.25">
      <c r="B5404" s="45"/>
      <c r="C5404" s="45"/>
    </row>
    <row r="5405" spans="2:3" x14ac:dyDescent="0.25">
      <c r="B5405" s="45"/>
      <c r="C5405" s="45"/>
    </row>
    <row r="5406" spans="2:3" x14ac:dyDescent="0.25">
      <c r="B5406" s="45"/>
      <c r="C5406" s="45"/>
    </row>
    <row r="5407" spans="2:3" x14ac:dyDescent="0.25">
      <c r="B5407" s="45"/>
      <c r="C5407" s="45"/>
    </row>
    <row r="5408" spans="2:3" x14ac:dyDescent="0.25">
      <c r="B5408" s="45"/>
      <c r="C5408" s="45"/>
    </row>
    <row r="5409" spans="2:3" x14ac:dyDescent="0.25">
      <c r="B5409" s="45"/>
      <c r="C5409" s="45"/>
    </row>
    <row r="5410" spans="2:3" x14ac:dyDescent="0.25">
      <c r="B5410" s="45"/>
      <c r="C5410" s="45"/>
    </row>
    <row r="5411" spans="2:3" x14ac:dyDescent="0.25">
      <c r="B5411" s="45"/>
      <c r="C5411" s="45"/>
    </row>
    <row r="5412" spans="2:3" x14ac:dyDescent="0.25">
      <c r="B5412" s="45"/>
      <c r="C5412" s="45"/>
    </row>
    <row r="5413" spans="2:3" x14ac:dyDescent="0.25">
      <c r="B5413" s="45"/>
      <c r="C5413" s="45"/>
    </row>
    <row r="5414" spans="2:3" x14ac:dyDescent="0.25">
      <c r="B5414" s="45"/>
      <c r="C5414" s="45"/>
    </row>
    <row r="5415" spans="2:3" x14ac:dyDescent="0.25">
      <c r="B5415" s="45"/>
      <c r="C5415" s="45"/>
    </row>
    <row r="5416" spans="2:3" x14ac:dyDescent="0.25">
      <c r="B5416" s="45"/>
      <c r="C5416" s="45"/>
    </row>
    <row r="5417" spans="2:3" x14ac:dyDescent="0.25">
      <c r="B5417" s="45"/>
      <c r="C5417" s="45"/>
    </row>
    <row r="5418" spans="2:3" x14ac:dyDescent="0.25">
      <c r="B5418" s="45"/>
      <c r="C5418" s="45"/>
    </row>
    <row r="5419" spans="2:3" x14ac:dyDescent="0.25">
      <c r="B5419" s="45"/>
      <c r="C5419" s="45"/>
    </row>
    <row r="5420" spans="2:3" x14ac:dyDescent="0.25">
      <c r="B5420" s="45"/>
      <c r="C5420" s="45"/>
    </row>
    <row r="5421" spans="2:3" x14ac:dyDescent="0.25">
      <c r="B5421" s="45"/>
      <c r="C5421" s="45"/>
    </row>
    <row r="5422" spans="2:3" x14ac:dyDescent="0.25">
      <c r="B5422" s="45"/>
      <c r="C5422" s="45"/>
    </row>
    <row r="5423" spans="2:3" x14ac:dyDescent="0.25">
      <c r="B5423" s="45"/>
      <c r="C5423" s="45"/>
    </row>
    <row r="5424" spans="2:3" x14ac:dyDescent="0.25">
      <c r="B5424" s="45"/>
      <c r="C5424" s="45"/>
    </row>
    <row r="5425" spans="2:3" x14ac:dyDescent="0.25">
      <c r="B5425" s="45"/>
      <c r="C5425" s="45"/>
    </row>
    <row r="5426" spans="2:3" x14ac:dyDescent="0.25">
      <c r="B5426" s="45"/>
      <c r="C5426" s="45"/>
    </row>
    <row r="5427" spans="2:3" x14ac:dyDescent="0.25">
      <c r="B5427" s="45"/>
      <c r="C5427" s="45"/>
    </row>
    <row r="5428" spans="2:3" x14ac:dyDescent="0.25">
      <c r="B5428" s="45"/>
      <c r="C5428" s="45"/>
    </row>
    <row r="5429" spans="2:3" x14ac:dyDescent="0.25">
      <c r="B5429" s="45"/>
      <c r="C5429" s="45"/>
    </row>
    <row r="5430" spans="2:3" x14ac:dyDescent="0.25">
      <c r="B5430" s="45"/>
      <c r="C5430" s="45"/>
    </row>
    <row r="5431" spans="2:3" x14ac:dyDescent="0.25">
      <c r="B5431" s="45"/>
      <c r="C5431" s="45"/>
    </row>
    <row r="5432" spans="2:3" x14ac:dyDescent="0.25">
      <c r="B5432" s="45"/>
      <c r="C5432" s="45"/>
    </row>
    <row r="5433" spans="2:3" x14ac:dyDescent="0.25">
      <c r="B5433" s="45"/>
      <c r="C5433" s="45"/>
    </row>
    <row r="5434" spans="2:3" x14ac:dyDescent="0.25">
      <c r="B5434" s="45"/>
      <c r="C5434" s="45"/>
    </row>
    <row r="5435" spans="2:3" x14ac:dyDescent="0.25">
      <c r="B5435" s="45"/>
      <c r="C5435" s="45"/>
    </row>
    <row r="5436" spans="2:3" x14ac:dyDescent="0.25">
      <c r="B5436" s="45"/>
      <c r="C5436" s="45"/>
    </row>
    <row r="5437" spans="2:3" x14ac:dyDescent="0.25">
      <c r="B5437" s="45"/>
      <c r="C5437" s="45"/>
    </row>
    <row r="5438" spans="2:3" x14ac:dyDescent="0.25">
      <c r="B5438" s="45"/>
      <c r="C5438" s="45"/>
    </row>
    <row r="5439" spans="2:3" x14ac:dyDescent="0.25">
      <c r="B5439" s="45"/>
      <c r="C5439" s="45"/>
    </row>
    <row r="5440" spans="2:3" x14ac:dyDescent="0.25">
      <c r="B5440" s="45"/>
      <c r="C5440" s="45"/>
    </row>
    <row r="5441" spans="2:3" x14ac:dyDescent="0.25">
      <c r="B5441" s="45"/>
      <c r="C5441" s="45"/>
    </row>
    <row r="5442" spans="2:3" x14ac:dyDescent="0.25">
      <c r="B5442" s="45"/>
      <c r="C5442" s="45"/>
    </row>
    <row r="5443" spans="2:3" x14ac:dyDescent="0.25">
      <c r="B5443" s="45"/>
      <c r="C5443" s="45"/>
    </row>
    <row r="5444" spans="2:3" x14ac:dyDescent="0.25">
      <c r="B5444" s="45"/>
      <c r="C5444" s="45"/>
    </row>
    <row r="5445" spans="2:3" x14ac:dyDescent="0.25">
      <c r="B5445" s="45"/>
      <c r="C5445" s="45"/>
    </row>
    <row r="5446" spans="2:3" x14ac:dyDescent="0.25">
      <c r="B5446" s="45"/>
      <c r="C5446" s="45"/>
    </row>
    <row r="5447" spans="2:3" x14ac:dyDescent="0.25">
      <c r="B5447" s="45"/>
      <c r="C5447" s="45"/>
    </row>
    <row r="5448" spans="2:3" x14ac:dyDescent="0.25">
      <c r="B5448" s="45"/>
      <c r="C5448" s="45"/>
    </row>
    <row r="5449" spans="2:3" x14ac:dyDescent="0.25">
      <c r="B5449" s="45"/>
      <c r="C5449" s="45"/>
    </row>
    <row r="5450" spans="2:3" x14ac:dyDescent="0.25">
      <c r="B5450" s="45"/>
      <c r="C5450" s="45"/>
    </row>
    <row r="5451" spans="2:3" x14ac:dyDescent="0.25">
      <c r="B5451" s="45"/>
      <c r="C5451" s="45"/>
    </row>
    <row r="5452" spans="2:3" x14ac:dyDescent="0.25">
      <c r="B5452" s="45"/>
      <c r="C5452" s="45"/>
    </row>
    <row r="5453" spans="2:3" x14ac:dyDescent="0.25">
      <c r="B5453" s="45"/>
      <c r="C5453" s="45"/>
    </row>
    <row r="5454" spans="2:3" x14ac:dyDescent="0.25">
      <c r="B5454" s="45"/>
      <c r="C5454" s="45"/>
    </row>
    <row r="5455" spans="2:3" x14ac:dyDescent="0.25">
      <c r="B5455" s="45"/>
      <c r="C5455" s="45"/>
    </row>
    <row r="5456" spans="2:3" x14ac:dyDescent="0.25">
      <c r="B5456" s="45"/>
      <c r="C5456" s="45"/>
    </row>
    <row r="5457" spans="2:3" x14ac:dyDescent="0.25">
      <c r="B5457" s="45"/>
      <c r="C5457" s="45"/>
    </row>
    <row r="5458" spans="2:3" x14ac:dyDescent="0.25">
      <c r="B5458" s="45"/>
      <c r="C5458" s="45"/>
    </row>
    <row r="5459" spans="2:3" x14ac:dyDescent="0.25">
      <c r="B5459" s="45"/>
      <c r="C5459" s="45"/>
    </row>
    <row r="5460" spans="2:3" x14ac:dyDescent="0.25">
      <c r="B5460" s="45"/>
      <c r="C5460" s="45"/>
    </row>
    <row r="5461" spans="2:3" x14ac:dyDescent="0.25">
      <c r="B5461" s="45"/>
      <c r="C5461" s="45"/>
    </row>
    <row r="5462" spans="2:3" x14ac:dyDescent="0.25">
      <c r="B5462" s="45"/>
      <c r="C5462" s="45"/>
    </row>
    <row r="5463" spans="2:3" x14ac:dyDescent="0.25">
      <c r="B5463" s="45"/>
      <c r="C5463" s="45"/>
    </row>
    <row r="5464" spans="2:3" x14ac:dyDescent="0.25">
      <c r="B5464" s="45"/>
      <c r="C5464" s="45"/>
    </row>
    <row r="5465" spans="2:3" x14ac:dyDescent="0.25">
      <c r="B5465" s="45"/>
      <c r="C5465" s="45"/>
    </row>
    <row r="5466" spans="2:3" x14ac:dyDescent="0.25">
      <c r="B5466" s="45"/>
      <c r="C5466" s="45"/>
    </row>
    <row r="5467" spans="2:3" x14ac:dyDescent="0.25">
      <c r="B5467" s="45"/>
      <c r="C5467" s="45"/>
    </row>
    <row r="5468" spans="2:3" x14ac:dyDescent="0.25">
      <c r="B5468" s="45"/>
      <c r="C5468" s="45"/>
    </row>
    <row r="5469" spans="2:3" x14ac:dyDescent="0.25">
      <c r="B5469" s="45"/>
      <c r="C5469" s="45"/>
    </row>
    <row r="5470" spans="2:3" x14ac:dyDescent="0.25">
      <c r="B5470" s="45"/>
      <c r="C5470" s="45"/>
    </row>
    <row r="5471" spans="2:3" x14ac:dyDescent="0.25">
      <c r="B5471" s="45"/>
      <c r="C5471" s="45"/>
    </row>
    <row r="5472" spans="2:3" x14ac:dyDescent="0.25">
      <c r="B5472" s="45"/>
      <c r="C5472" s="45"/>
    </row>
    <row r="5473" spans="2:3" x14ac:dyDescent="0.25">
      <c r="B5473" s="45"/>
      <c r="C5473" s="45"/>
    </row>
    <row r="5474" spans="2:3" x14ac:dyDescent="0.25">
      <c r="B5474" s="45"/>
      <c r="C5474" s="45"/>
    </row>
    <row r="5475" spans="2:3" x14ac:dyDescent="0.25">
      <c r="B5475" s="45"/>
      <c r="C5475" s="45"/>
    </row>
    <row r="5476" spans="2:3" x14ac:dyDescent="0.25">
      <c r="B5476" s="45"/>
      <c r="C5476" s="45"/>
    </row>
    <row r="5477" spans="2:3" x14ac:dyDescent="0.25">
      <c r="B5477" s="45"/>
      <c r="C5477" s="45"/>
    </row>
    <row r="5478" spans="2:3" x14ac:dyDescent="0.25">
      <c r="B5478" s="45"/>
      <c r="C5478" s="45"/>
    </row>
    <row r="5479" spans="2:3" x14ac:dyDescent="0.25">
      <c r="B5479" s="45"/>
      <c r="C5479" s="45"/>
    </row>
    <row r="5480" spans="2:3" x14ac:dyDescent="0.25">
      <c r="B5480" s="45"/>
      <c r="C5480" s="45"/>
    </row>
    <row r="5481" spans="2:3" x14ac:dyDescent="0.25">
      <c r="B5481" s="45"/>
      <c r="C5481" s="45"/>
    </row>
    <row r="5482" spans="2:3" x14ac:dyDescent="0.25">
      <c r="B5482" s="45"/>
      <c r="C5482" s="45"/>
    </row>
    <row r="5483" spans="2:3" x14ac:dyDescent="0.25">
      <c r="B5483" s="45"/>
      <c r="C5483" s="45"/>
    </row>
    <row r="5484" spans="2:3" x14ac:dyDescent="0.25">
      <c r="B5484" s="45"/>
      <c r="C5484" s="45"/>
    </row>
    <row r="5485" spans="2:3" x14ac:dyDescent="0.25">
      <c r="B5485" s="45"/>
      <c r="C5485" s="45"/>
    </row>
    <row r="5486" spans="2:3" x14ac:dyDescent="0.25">
      <c r="B5486" s="45"/>
      <c r="C5486" s="45"/>
    </row>
    <row r="5487" spans="2:3" x14ac:dyDescent="0.25">
      <c r="B5487" s="45"/>
      <c r="C5487" s="45"/>
    </row>
    <row r="5488" spans="2:3" x14ac:dyDescent="0.25">
      <c r="B5488" s="45"/>
      <c r="C5488" s="45"/>
    </row>
    <row r="5489" spans="2:3" x14ac:dyDescent="0.25">
      <c r="B5489" s="45"/>
      <c r="C5489" s="45"/>
    </row>
    <row r="5490" spans="2:3" x14ac:dyDescent="0.25">
      <c r="B5490" s="45"/>
      <c r="C5490" s="45"/>
    </row>
    <row r="5491" spans="2:3" x14ac:dyDescent="0.25">
      <c r="B5491" s="45"/>
      <c r="C5491" s="45"/>
    </row>
    <row r="5492" spans="2:3" x14ac:dyDescent="0.25">
      <c r="B5492" s="45"/>
      <c r="C5492" s="45"/>
    </row>
    <row r="5493" spans="2:3" x14ac:dyDescent="0.25">
      <c r="B5493" s="45"/>
      <c r="C5493" s="45"/>
    </row>
    <row r="5494" spans="2:3" x14ac:dyDescent="0.25">
      <c r="B5494" s="45"/>
      <c r="C5494" s="45"/>
    </row>
    <row r="5495" spans="2:3" x14ac:dyDescent="0.25">
      <c r="B5495" s="45"/>
      <c r="C5495" s="45"/>
    </row>
    <row r="5496" spans="2:3" x14ac:dyDescent="0.25">
      <c r="B5496" s="45"/>
      <c r="C5496" s="45"/>
    </row>
    <row r="5497" spans="2:3" x14ac:dyDescent="0.25">
      <c r="B5497" s="45"/>
      <c r="C5497" s="45"/>
    </row>
    <row r="5498" spans="2:3" x14ac:dyDescent="0.25">
      <c r="B5498" s="45"/>
      <c r="C5498" s="45"/>
    </row>
    <row r="5499" spans="2:3" x14ac:dyDescent="0.25">
      <c r="B5499" s="45"/>
      <c r="C5499" s="45"/>
    </row>
    <row r="5500" spans="2:3" x14ac:dyDescent="0.25">
      <c r="B5500" s="45"/>
      <c r="C5500" s="45"/>
    </row>
    <row r="5501" spans="2:3" x14ac:dyDescent="0.25">
      <c r="B5501" s="45"/>
      <c r="C5501" s="45"/>
    </row>
    <row r="5502" spans="2:3" x14ac:dyDescent="0.25">
      <c r="B5502" s="45"/>
      <c r="C5502" s="45"/>
    </row>
    <row r="5503" spans="2:3" x14ac:dyDescent="0.25">
      <c r="B5503" s="45"/>
      <c r="C5503" s="45"/>
    </row>
    <row r="5504" spans="2:3" x14ac:dyDescent="0.25">
      <c r="B5504" s="45"/>
      <c r="C5504" s="45"/>
    </row>
    <row r="5505" spans="2:3" x14ac:dyDescent="0.25">
      <c r="B5505" s="45"/>
      <c r="C5505" s="45"/>
    </row>
    <row r="5506" spans="2:3" x14ac:dyDescent="0.25">
      <c r="B5506" s="45"/>
      <c r="C5506" s="45"/>
    </row>
    <row r="5507" spans="2:3" x14ac:dyDescent="0.25">
      <c r="B5507" s="45"/>
      <c r="C5507" s="45"/>
    </row>
    <row r="5508" spans="2:3" x14ac:dyDescent="0.25">
      <c r="B5508" s="45"/>
      <c r="C5508" s="45"/>
    </row>
    <row r="5509" spans="2:3" x14ac:dyDescent="0.25">
      <c r="B5509" s="45"/>
      <c r="C5509" s="45"/>
    </row>
    <row r="5510" spans="2:3" x14ac:dyDescent="0.25">
      <c r="B5510" s="45"/>
      <c r="C5510" s="45"/>
    </row>
    <row r="5511" spans="2:3" x14ac:dyDescent="0.25">
      <c r="B5511" s="45"/>
      <c r="C5511" s="45"/>
    </row>
    <row r="5512" spans="2:3" x14ac:dyDescent="0.25">
      <c r="B5512" s="45"/>
      <c r="C5512" s="45"/>
    </row>
    <row r="5513" spans="2:3" x14ac:dyDescent="0.25">
      <c r="B5513" s="45"/>
      <c r="C5513" s="45"/>
    </row>
    <row r="5514" spans="2:3" x14ac:dyDescent="0.25">
      <c r="B5514" s="45"/>
      <c r="C5514" s="45"/>
    </row>
    <row r="5515" spans="2:3" x14ac:dyDescent="0.25">
      <c r="B5515" s="45"/>
      <c r="C5515" s="45"/>
    </row>
    <row r="5516" spans="2:3" x14ac:dyDescent="0.25">
      <c r="B5516" s="45"/>
      <c r="C5516" s="45"/>
    </row>
    <row r="5517" spans="2:3" x14ac:dyDescent="0.25">
      <c r="B5517" s="45"/>
      <c r="C5517" s="45"/>
    </row>
    <row r="5518" spans="2:3" x14ac:dyDescent="0.25">
      <c r="B5518" s="45"/>
      <c r="C5518" s="45"/>
    </row>
    <row r="5519" spans="2:3" x14ac:dyDescent="0.25">
      <c r="B5519" s="45"/>
      <c r="C5519" s="45"/>
    </row>
    <row r="5520" spans="2:3" x14ac:dyDescent="0.25">
      <c r="B5520" s="45"/>
      <c r="C5520" s="45"/>
    </row>
    <row r="5521" spans="2:3" x14ac:dyDescent="0.25">
      <c r="B5521" s="45"/>
      <c r="C5521" s="45"/>
    </row>
    <row r="5522" spans="2:3" x14ac:dyDescent="0.25">
      <c r="B5522" s="45"/>
      <c r="C5522" s="45"/>
    </row>
    <row r="5523" spans="2:3" x14ac:dyDescent="0.25">
      <c r="B5523" s="45"/>
      <c r="C5523" s="45"/>
    </row>
    <row r="5524" spans="2:3" x14ac:dyDescent="0.25">
      <c r="B5524" s="45"/>
      <c r="C5524" s="45"/>
    </row>
    <row r="5525" spans="2:3" x14ac:dyDescent="0.25">
      <c r="B5525" s="45"/>
      <c r="C5525" s="45"/>
    </row>
    <row r="5526" spans="2:3" x14ac:dyDescent="0.25">
      <c r="B5526" s="45"/>
      <c r="C5526" s="45"/>
    </row>
    <row r="5527" spans="2:3" x14ac:dyDescent="0.25">
      <c r="B5527" s="45"/>
      <c r="C5527" s="45"/>
    </row>
    <row r="5528" spans="2:3" x14ac:dyDescent="0.25">
      <c r="B5528" s="45"/>
      <c r="C5528" s="45"/>
    </row>
    <row r="5529" spans="2:3" x14ac:dyDescent="0.25">
      <c r="B5529" s="45"/>
      <c r="C5529" s="45"/>
    </row>
    <row r="5530" spans="2:3" x14ac:dyDescent="0.25">
      <c r="B5530" s="45"/>
      <c r="C5530" s="45"/>
    </row>
    <row r="5531" spans="2:3" x14ac:dyDescent="0.25">
      <c r="B5531" s="45"/>
      <c r="C5531" s="45"/>
    </row>
    <row r="5532" spans="2:3" x14ac:dyDescent="0.25">
      <c r="B5532" s="45"/>
      <c r="C5532" s="45"/>
    </row>
    <row r="5533" spans="2:3" x14ac:dyDescent="0.25">
      <c r="B5533" s="45"/>
      <c r="C5533" s="45"/>
    </row>
    <row r="5534" spans="2:3" x14ac:dyDescent="0.25">
      <c r="B5534" s="45"/>
      <c r="C5534" s="45"/>
    </row>
    <row r="5535" spans="2:3" x14ac:dyDescent="0.25">
      <c r="B5535" s="45"/>
      <c r="C5535" s="45"/>
    </row>
    <row r="5536" spans="2:3" x14ac:dyDescent="0.25">
      <c r="B5536" s="45"/>
      <c r="C5536" s="45"/>
    </row>
    <row r="5537" spans="2:3" x14ac:dyDescent="0.25">
      <c r="B5537" s="45"/>
      <c r="C5537" s="45"/>
    </row>
    <row r="5538" spans="2:3" x14ac:dyDescent="0.25">
      <c r="B5538" s="45"/>
      <c r="C5538" s="45"/>
    </row>
    <row r="5539" spans="2:3" x14ac:dyDescent="0.25">
      <c r="B5539" s="45"/>
      <c r="C5539" s="45"/>
    </row>
    <row r="5540" spans="2:3" x14ac:dyDescent="0.25">
      <c r="B5540" s="45"/>
      <c r="C5540" s="45"/>
    </row>
    <row r="5541" spans="2:3" x14ac:dyDescent="0.25">
      <c r="B5541" s="45"/>
      <c r="C5541" s="45"/>
    </row>
    <row r="5542" spans="2:3" x14ac:dyDescent="0.25">
      <c r="B5542" s="45"/>
      <c r="C5542" s="45"/>
    </row>
    <row r="5543" spans="2:3" x14ac:dyDescent="0.25">
      <c r="B5543" s="45"/>
      <c r="C5543" s="45"/>
    </row>
    <row r="5544" spans="2:3" x14ac:dyDescent="0.25">
      <c r="B5544" s="45"/>
      <c r="C5544" s="45"/>
    </row>
    <row r="5545" spans="2:3" x14ac:dyDescent="0.25">
      <c r="B5545" s="45"/>
      <c r="C5545" s="45"/>
    </row>
    <row r="5546" spans="2:3" x14ac:dyDescent="0.25">
      <c r="B5546" s="45"/>
      <c r="C5546" s="45"/>
    </row>
    <row r="5547" spans="2:3" x14ac:dyDescent="0.25">
      <c r="B5547" s="45"/>
      <c r="C5547" s="45"/>
    </row>
    <row r="5548" spans="2:3" x14ac:dyDescent="0.25">
      <c r="B5548" s="45"/>
      <c r="C5548" s="45"/>
    </row>
    <row r="5549" spans="2:3" x14ac:dyDescent="0.25">
      <c r="B5549" s="45"/>
      <c r="C5549" s="45"/>
    </row>
    <row r="5550" spans="2:3" x14ac:dyDescent="0.25">
      <c r="B5550" s="45"/>
      <c r="C5550" s="45"/>
    </row>
    <row r="5551" spans="2:3" x14ac:dyDescent="0.25">
      <c r="B5551" s="45"/>
      <c r="C5551" s="45"/>
    </row>
    <row r="5552" spans="2:3" x14ac:dyDescent="0.25">
      <c r="B5552" s="45"/>
      <c r="C5552" s="45"/>
    </row>
    <row r="5553" spans="2:3" x14ac:dyDescent="0.25">
      <c r="B5553" s="45"/>
      <c r="C5553" s="45"/>
    </row>
    <row r="5554" spans="2:3" x14ac:dyDescent="0.25">
      <c r="B5554" s="45"/>
      <c r="C5554" s="45"/>
    </row>
    <row r="5555" spans="2:3" x14ac:dyDescent="0.25">
      <c r="B5555" s="45"/>
      <c r="C5555" s="45"/>
    </row>
    <row r="5556" spans="2:3" x14ac:dyDescent="0.25">
      <c r="B5556" s="45"/>
      <c r="C5556" s="45"/>
    </row>
    <row r="5557" spans="2:3" x14ac:dyDescent="0.25">
      <c r="B5557" s="45"/>
      <c r="C5557" s="45"/>
    </row>
    <row r="5558" spans="2:3" x14ac:dyDescent="0.25">
      <c r="B5558" s="45"/>
      <c r="C5558" s="45"/>
    </row>
    <row r="5559" spans="2:3" x14ac:dyDescent="0.25">
      <c r="B5559" s="45"/>
      <c r="C5559" s="45"/>
    </row>
    <row r="5560" spans="2:3" x14ac:dyDescent="0.25">
      <c r="B5560" s="45"/>
      <c r="C5560" s="45"/>
    </row>
    <row r="5561" spans="2:3" x14ac:dyDescent="0.25">
      <c r="B5561" s="45"/>
      <c r="C5561" s="45"/>
    </row>
    <row r="5562" spans="2:3" x14ac:dyDescent="0.25">
      <c r="B5562" s="45"/>
      <c r="C5562" s="45"/>
    </row>
    <row r="5563" spans="2:3" x14ac:dyDescent="0.25">
      <c r="B5563" s="45"/>
      <c r="C5563" s="45"/>
    </row>
    <row r="5564" spans="2:3" x14ac:dyDescent="0.25">
      <c r="B5564" s="45"/>
      <c r="C5564" s="45"/>
    </row>
    <row r="5565" spans="2:3" x14ac:dyDescent="0.25">
      <c r="B5565" s="45"/>
      <c r="C5565" s="45"/>
    </row>
    <row r="5566" spans="2:3" x14ac:dyDescent="0.25">
      <c r="B5566" s="45"/>
      <c r="C5566" s="45"/>
    </row>
    <row r="5567" spans="2:3" x14ac:dyDescent="0.25">
      <c r="B5567" s="45"/>
      <c r="C5567" s="45"/>
    </row>
    <row r="5568" spans="2:3" x14ac:dyDescent="0.25">
      <c r="B5568" s="45"/>
      <c r="C5568" s="45"/>
    </row>
    <row r="5569" spans="2:3" x14ac:dyDescent="0.25">
      <c r="B5569" s="45"/>
      <c r="C5569" s="45"/>
    </row>
    <row r="5570" spans="2:3" x14ac:dyDescent="0.25">
      <c r="B5570" s="45"/>
      <c r="C5570" s="45"/>
    </row>
    <row r="5571" spans="2:3" x14ac:dyDescent="0.25">
      <c r="B5571" s="45"/>
      <c r="C5571" s="45"/>
    </row>
    <row r="5572" spans="2:3" x14ac:dyDescent="0.25">
      <c r="B5572" s="45"/>
      <c r="C5572" s="45"/>
    </row>
    <row r="5573" spans="2:3" x14ac:dyDescent="0.25">
      <c r="B5573" s="45"/>
      <c r="C5573" s="45"/>
    </row>
    <row r="5574" spans="2:3" x14ac:dyDescent="0.25">
      <c r="B5574" s="45"/>
      <c r="C5574" s="45"/>
    </row>
    <row r="5575" spans="2:3" x14ac:dyDescent="0.25">
      <c r="B5575" s="45"/>
      <c r="C5575" s="45"/>
    </row>
    <row r="5576" spans="2:3" x14ac:dyDescent="0.25">
      <c r="B5576" s="45"/>
      <c r="C5576" s="45"/>
    </row>
    <row r="5577" spans="2:3" x14ac:dyDescent="0.25">
      <c r="B5577" s="45"/>
      <c r="C5577" s="45"/>
    </row>
    <row r="5578" spans="2:3" x14ac:dyDescent="0.25">
      <c r="B5578" s="45"/>
      <c r="C5578" s="45"/>
    </row>
    <row r="5579" spans="2:3" x14ac:dyDescent="0.25">
      <c r="B5579" s="45"/>
      <c r="C5579" s="45"/>
    </row>
    <row r="5580" spans="2:3" x14ac:dyDescent="0.25">
      <c r="B5580" s="45"/>
      <c r="C5580" s="45"/>
    </row>
    <row r="5581" spans="2:3" x14ac:dyDescent="0.25">
      <c r="B5581" s="45"/>
      <c r="C5581" s="45"/>
    </row>
    <row r="5582" spans="2:3" x14ac:dyDescent="0.25">
      <c r="B5582" s="45"/>
      <c r="C5582" s="45"/>
    </row>
    <row r="5583" spans="2:3" x14ac:dyDescent="0.25">
      <c r="B5583" s="45"/>
      <c r="C5583" s="45"/>
    </row>
    <row r="5584" spans="2:3" x14ac:dyDescent="0.25">
      <c r="B5584" s="45"/>
      <c r="C5584" s="45"/>
    </row>
    <row r="5585" spans="2:3" x14ac:dyDescent="0.25">
      <c r="B5585" s="45"/>
      <c r="C5585" s="45"/>
    </row>
    <row r="5586" spans="2:3" x14ac:dyDescent="0.25">
      <c r="B5586" s="45"/>
      <c r="C5586" s="45"/>
    </row>
    <row r="5587" spans="2:3" x14ac:dyDescent="0.25">
      <c r="B5587" s="45"/>
      <c r="C5587" s="45"/>
    </row>
    <row r="5588" spans="2:3" x14ac:dyDescent="0.25">
      <c r="B5588" s="45"/>
      <c r="C5588" s="45"/>
    </row>
    <row r="5589" spans="2:3" x14ac:dyDescent="0.25">
      <c r="B5589" s="45"/>
      <c r="C5589" s="45"/>
    </row>
    <row r="5590" spans="2:3" x14ac:dyDescent="0.25">
      <c r="B5590" s="45"/>
      <c r="C5590" s="45"/>
    </row>
    <row r="5591" spans="2:3" x14ac:dyDescent="0.25">
      <c r="B5591" s="45"/>
      <c r="C5591" s="45"/>
    </row>
    <row r="5592" spans="2:3" x14ac:dyDescent="0.25">
      <c r="B5592" s="45"/>
      <c r="C5592" s="45"/>
    </row>
    <row r="5593" spans="2:3" x14ac:dyDescent="0.25">
      <c r="B5593" s="45"/>
      <c r="C5593" s="45"/>
    </row>
    <row r="5594" spans="2:3" x14ac:dyDescent="0.25">
      <c r="B5594" s="45"/>
      <c r="C5594" s="45"/>
    </row>
    <row r="5595" spans="2:3" x14ac:dyDescent="0.25">
      <c r="B5595" s="45"/>
      <c r="C5595" s="45"/>
    </row>
    <row r="5596" spans="2:3" x14ac:dyDescent="0.25">
      <c r="B5596" s="45"/>
      <c r="C5596" s="45"/>
    </row>
    <row r="5597" spans="2:3" x14ac:dyDescent="0.25">
      <c r="B5597" s="45"/>
      <c r="C5597" s="45"/>
    </row>
    <row r="5598" spans="2:3" x14ac:dyDescent="0.25">
      <c r="B5598" s="45"/>
      <c r="C5598" s="45"/>
    </row>
    <row r="5599" spans="2:3" x14ac:dyDescent="0.25">
      <c r="B5599" s="45"/>
      <c r="C5599" s="45"/>
    </row>
    <row r="5600" spans="2:3" x14ac:dyDescent="0.25">
      <c r="B5600" s="45"/>
      <c r="C5600" s="45"/>
    </row>
    <row r="5601" spans="2:3" x14ac:dyDescent="0.25">
      <c r="B5601" s="45"/>
      <c r="C5601" s="45"/>
    </row>
    <row r="5602" spans="2:3" x14ac:dyDescent="0.25">
      <c r="B5602" s="45"/>
      <c r="C5602" s="45"/>
    </row>
    <row r="5603" spans="2:3" x14ac:dyDescent="0.25">
      <c r="B5603" s="45"/>
      <c r="C5603" s="45"/>
    </row>
    <row r="5604" spans="2:3" x14ac:dyDescent="0.25">
      <c r="B5604" s="45"/>
      <c r="C5604" s="45"/>
    </row>
    <row r="5605" spans="2:3" x14ac:dyDescent="0.25">
      <c r="B5605" s="45"/>
      <c r="C5605" s="45"/>
    </row>
    <row r="5606" spans="2:3" x14ac:dyDescent="0.25">
      <c r="B5606" s="45"/>
      <c r="C5606" s="45"/>
    </row>
    <row r="5607" spans="2:3" x14ac:dyDescent="0.25">
      <c r="B5607" s="45"/>
      <c r="C5607" s="45"/>
    </row>
    <row r="5608" spans="2:3" x14ac:dyDescent="0.25">
      <c r="B5608" s="45"/>
      <c r="C5608" s="45"/>
    </row>
    <row r="5609" spans="2:3" x14ac:dyDescent="0.25">
      <c r="B5609" s="45"/>
      <c r="C5609" s="45"/>
    </row>
    <row r="5610" spans="2:3" x14ac:dyDescent="0.25">
      <c r="B5610" s="45"/>
      <c r="C5610" s="45"/>
    </row>
    <row r="5611" spans="2:3" x14ac:dyDescent="0.25">
      <c r="B5611" s="45"/>
      <c r="C5611" s="45"/>
    </row>
    <row r="5612" spans="2:3" x14ac:dyDescent="0.25">
      <c r="B5612" s="45"/>
      <c r="C5612" s="45"/>
    </row>
    <row r="5613" spans="2:3" x14ac:dyDescent="0.25">
      <c r="B5613" s="45"/>
      <c r="C5613" s="45"/>
    </row>
    <row r="5614" spans="2:3" x14ac:dyDescent="0.25">
      <c r="B5614" s="45"/>
      <c r="C5614" s="45"/>
    </row>
    <row r="5615" spans="2:3" x14ac:dyDescent="0.25">
      <c r="B5615" s="45"/>
      <c r="C5615" s="45"/>
    </row>
    <row r="5616" spans="2:3" x14ac:dyDescent="0.25">
      <c r="B5616" s="45"/>
      <c r="C5616" s="45"/>
    </row>
    <row r="5617" spans="2:3" x14ac:dyDescent="0.25">
      <c r="B5617" s="45"/>
      <c r="C5617" s="45"/>
    </row>
    <row r="5618" spans="2:3" x14ac:dyDescent="0.25">
      <c r="B5618" s="45"/>
      <c r="C5618" s="45"/>
    </row>
    <row r="5619" spans="2:3" x14ac:dyDescent="0.25">
      <c r="B5619" s="45"/>
      <c r="C5619" s="45"/>
    </row>
    <row r="5620" spans="2:3" x14ac:dyDescent="0.25">
      <c r="B5620" s="45"/>
      <c r="C5620" s="45"/>
    </row>
    <row r="5621" spans="2:3" x14ac:dyDescent="0.25">
      <c r="B5621" s="45"/>
      <c r="C5621" s="45"/>
    </row>
    <row r="5622" spans="2:3" x14ac:dyDescent="0.25">
      <c r="B5622" s="45"/>
      <c r="C5622" s="45"/>
    </row>
    <row r="5623" spans="2:3" x14ac:dyDescent="0.25">
      <c r="B5623" s="45"/>
      <c r="C5623" s="45"/>
    </row>
    <row r="5624" spans="2:3" x14ac:dyDescent="0.25">
      <c r="B5624" s="45"/>
      <c r="C5624" s="45"/>
    </row>
    <row r="5625" spans="2:3" x14ac:dyDescent="0.25">
      <c r="B5625" s="45"/>
      <c r="C5625" s="45"/>
    </row>
    <row r="5626" spans="2:3" x14ac:dyDescent="0.25">
      <c r="B5626" s="45"/>
      <c r="C5626" s="45"/>
    </row>
    <row r="5627" spans="2:3" x14ac:dyDescent="0.25">
      <c r="B5627" s="45"/>
      <c r="C5627" s="45"/>
    </row>
    <row r="5628" spans="2:3" x14ac:dyDescent="0.25">
      <c r="B5628" s="45"/>
      <c r="C5628" s="45"/>
    </row>
    <row r="5629" spans="2:3" x14ac:dyDescent="0.25">
      <c r="B5629" s="45"/>
      <c r="C5629" s="45"/>
    </row>
    <row r="5630" spans="2:3" x14ac:dyDescent="0.25">
      <c r="B5630" s="45"/>
      <c r="C5630" s="45"/>
    </row>
    <row r="5631" spans="2:3" x14ac:dyDescent="0.25">
      <c r="B5631" s="45"/>
      <c r="C5631" s="45"/>
    </row>
    <row r="5632" spans="2:3" x14ac:dyDescent="0.25">
      <c r="B5632" s="45"/>
      <c r="C5632" s="45"/>
    </row>
    <row r="5633" spans="2:3" x14ac:dyDescent="0.25">
      <c r="B5633" s="45"/>
      <c r="C5633" s="45"/>
    </row>
    <row r="5634" spans="2:3" x14ac:dyDescent="0.25">
      <c r="B5634" s="45"/>
      <c r="C5634" s="45"/>
    </row>
    <row r="5635" spans="2:3" x14ac:dyDescent="0.25">
      <c r="B5635" s="45"/>
      <c r="C5635" s="45"/>
    </row>
    <row r="5636" spans="2:3" x14ac:dyDescent="0.25">
      <c r="B5636" s="45"/>
      <c r="C5636" s="45"/>
    </row>
    <row r="5637" spans="2:3" x14ac:dyDescent="0.25">
      <c r="B5637" s="45"/>
      <c r="C5637" s="45"/>
    </row>
    <row r="5638" spans="2:3" x14ac:dyDescent="0.25">
      <c r="B5638" s="45"/>
      <c r="C5638" s="45"/>
    </row>
    <row r="5639" spans="2:3" x14ac:dyDescent="0.25">
      <c r="B5639" s="45"/>
      <c r="C5639" s="45"/>
    </row>
    <row r="5640" spans="2:3" x14ac:dyDescent="0.25">
      <c r="B5640" s="45"/>
      <c r="C5640" s="45"/>
    </row>
    <row r="5641" spans="2:3" x14ac:dyDescent="0.25">
      <c r="B5641" s="45"/>
      <c r="C5641" s="45"/>
    </row>
    <row r="5642" spans="2:3" x14ac:dyDescent="0.25">
      <c r="B5642" s="45"/>
      <c r="C5642" s="45"/>
    </row>
    <row r="5643" spans="2:3" x14ac:dyDescent="0.25">
      <c r="B5643" s="45"/>
      <c r="C5643" s="45"/>
    </row>
    <row r="5644" spans="2:3" x14ac:dyDescent="0.25">
      <c r="B5644" s="45"/>
      <c r="C5644" s="45"/>
    </row>
    <row r="5645" spans="2:3" x14ac:dyDescent="0.25">
      <c r="B5645" s="45"/>
      <c r="C5645" s="45"/>
    </row>
    <row r="5646" spans="2:3" x14ac:dyDescent="0.25">
      <c r="B5646" s="45"/>
      <c r="C5646" s="45"/>
    </row>
    <row r="5647" spans="2:3" x14ac:dyDescent="0.25">
      <c r="B5647" s="45"/>
      <c r="C5647" s="45"/>
    </row>
    <row r="5648" spans="2:3" x14ac:dyDescent="0.25">
      <c r="B5648" s="45"/>
      <c r="C5648" s="45"/>
    </row>
    <row r="5649" spans="2:3" x14ac:dyDescent="0.25">
      <c r="B5649" s="45"/>
      <c r="C5649" s="45"/>
    </row>
    <row r="5650" spans="2:3" x14ac:dyDescent="0.25">
      <c r="B5650" s="45"/>
      <c r="C5650" s="45"/>
    </row>
    <row r="5651" spans="2:3" x14ac:dyDescent="0.25">
      <c r="B5651" s="45"/>
      <c r="C5651" s="45"/>
    </row>
    <row r="5652" spans="2:3" x14ac:dyDescent="0.25">
      <c r="B5652" s="45"/>
      <c r="C5652" s="45"/>
    </row>
    <row r="5653" spans="2:3" x14ac:dyDescent="0.25">
      <c r="B5653" s="45"/>
      <c r="C5653" s="45"/>
    </row>
    <row r="5654" spans="2:3" x14ac:dyDescent="0.25">
      <c r="B5654" s="45"/>
      <c r="C5654" s="45"/>
    </row>
    <row r="5655" spans="2:3" x14ac:dyDescent="0.25">
      <c r="B5655" s="45"/>
      <c r="C5655" s="45"/>
    </row>
    <row r="5656" spans="2:3" x14ac:dyDescent="0.25">
      <c r="B5656" s="45"/>
      <c r="C5656" s="45"/>
    </row>
    <row r="5657" spans="2:3" x14ac:dyDescent="0.25">
      <c r="B5657" s="45"/>
      <c r="C5657" s="45"/>
    </row>
    <row r="5658" spans="2:3" x14ac:dyDescent="0.25">
      <c r="B5658" s="45"/>
      <c r="C5658" s="45"/>
    </row>
    <row r="5659" spans="2:3" x14ac:dyDescent="0.25">
      <c r="B5659" s="45"/>
      <c r="C5659" s="45"/>
    </row>
    <row r="5660" spans="2:3" x14ac:dyDescent="0.25">
      <c r="B5660" s="45"/>
      <c r="C5660" s="45"/>
    </row>
    <row r="5661" spans="2:3" x14ac:dyDescent="0.25">
      <c r="B5661" s="45"/>
      <c r="C5661" s="45"/>
    </row>
    <row r="5662" spans="2:3" x14ac:dyDescent="0.25">
      <c r="B5662" s="45"/>
      <c r="C5662" s="45"/>
    </row>
    <row r="5663" spans="2:3" x14ac:dyDescent="0.25">
      <c r="B5663" s="45"/>
      <c r="C5663" s="45"/>
    </row>
    <row r="5664" spans="2:3" x14ac:dyDescent="0.25">
      <c r="B5664" s="45"/>
      <c r="C5664" s="45"/>
    </row>
    <row r="5665" spans="2:3" x14ac:dyDescent="0.25">
      <c r="B5665" s="45"/>
      <c r="C5665" s="45"/>
    </row>
    <row r="5666" spans="2:3" x14ac:dyDescent="0.25">
      <c r="B5666" s="45"/>
      <c r="C5666" s="45"/>
    </row>
    <row r="5667" spans="2:3" x14ac:dyDescent="0.25">
      <c r="B5667" s="45"/>
      <c r="C5667" s="45"/>
    </row>
    <row r="5668" spans="2:3" x14ac:dyDescent="0.25">
      <c r="B5668" s="45"/>
      <c r="C5668" s="45"/>
    </row>
    <row r="5669" spans="2:3" x14ac:dyDescent="0.25">
      <c r="B5669" s="45"/>
      <c r="C5669" s="45"/>
    </row>
    <row r="5670" spans="2:3" x14ac:dyDescent="0.25">
      <c r="B5670" s="45"/>
      <c r="C5670" s="45"/>
    </row>
    <row r="5671" spans="2:3" x14ac:dyDescent="0.25">
      <c r="B5671" s="45"/>
      <c r="C5671" s="45"/>
    </row>
    <row r="5672" spans="2:3" x14ac:dyDescent="0.25">
      <c r="B5672" s="45"/>
      <c r="C5672" s="45"/>
    </row>
    <row r="5673" spans="2:3" x14ac:dyDescent="0.25">
      <c r="B5673" s="45"/>
      <c r="C5673" s="45"/>
    </row>
    <row r="5674" spans="2:3" x14ac:dyDescent="0.25">
      <c r="B5674" s="45"/>
      <c r="C5674" s="45"/>
    </row>
    <row r="5675" spans="2:3" x14ac:dyDescent="0.25">
      <c r="B5675" s="45"/>
      <c r="C5675" s="45"/>
    </row>
    <row r="5676" spans="2:3" x14ac:dyDescent="0.25">
      <c r="B5676" s="45"/>
      <c r="C5676" s="45"/>
    </row>
    <row r="5677" spans="2:3" x14ac:dyDescent="0.25">
      <c r="B5677" s="45"/>
      <c r="C5677" s="45"/>
    </row>
    <row r="5678" spans="2:3" x14ac:dyDescent="0.25">
      <c r="B5678" s="45"/>
      <c r="C5678" s="45"/>
    </row>
    <row r="5679" spans="2:3" x14ac:dyDescent="0.25">
      <c r="B5679" s="45"/>
      <c r="C5679" s="45"/>
    </row>
    <row r="5680" spans="2:3" x14ac:dyDescent="0.25">
      <c r="B5680" s="45"/>
      <c r="C5680" s="45"/>
    </row>
    <row r="5681" spans="2:3" x14ac:dyDescent="0.25">
      <c r="B5681" s="45"/>
      <c r="C5681" s="45"/>
    </row>
    <row r="5682" spans="2:3" x14ac:dyDescent="0.25">
      <c r="B5682" s="45"/>
      <c r="C5682" s="45"/>
    </row>
    <row r="5683" spans="2:3" x14ac:dyDescent="0.25">
      <c r="B5683" s="45"/>
      <c r="C5683" s="45"/>
    </row>
    <row r="5684" spans="2:3" x14ac:dyDescent="0.25">
      <c r="B5684" s="45"/>
      <c r="C5684" s="45"/>
    </row>
    <row r="5685" spans="2:3" x14ac:dyDescent="0.25">
      <c r="B5685" s="45"/>
      <c r="C5685" s="45"/>
    </row>
    <row r="5686" spans="2:3" x14ac:dyDescent="0.25">
      <c r="B5686" s="45"/>
      <c r="C5686" s="45"/>
    </row>
    <row r="5687" spans="2:3" x14ac:dyDescent="0.25">
      <c r="B5687" s="45"/>
      <c r="C5687" s="45"/>
    </row>
    <row r="5688" spans="2:3" x14ac:dyDescent="0.25">
      <c r="B5688" s="45"/>
      <c r="C5688" s="45"/>
    </row>
    <row r="5689" spans="2:3" x14ac:dyDescent="0.25">
      <c r="B5689" s="45"/>
      <c r="C5689" s="45"/>
    </row>
    <row r="5690" spans="2:3" x14ac:dyDescent="0.25">
      <c r="B5690" s="45"/>
      <c r="C5690" s="45"/>
    </row>
    <row r="5691" spans="2:3" x14ac:dyDescent="0.25">
      <c r="B5691" s="45"/>
      <c r="C5691" s="45"/>
    </row>
    <row r="5692" spans="2:3" x14ac:dyDescent="0.25">
      <c r="B5692" s="45"/>
      <c r="C5692" s="45"/>
    </row>
    <row r="5693" spans="2:3" x14ac:dyDescent="0.25">
      <c r="B5693" s="45"/>
      <c r="C5693" s="45"/>
    </row>
    <row r="5694" spans="2:3" x14ac:dyDescent="0.25">
      <c r="B5694" s="45"/>
      <c r="C5694" s="45"/>
    </row>
    <row r="5695" spans="2:3" x14ac:dyDescent="0.25">
      <c r="B5695" s="45"/>
      <c r="C5695" s="45"/>
    </row>
    <row r="5696" spans="2:3" x14ac:dyDescent="0.25">
      <c r="B5696" s="45"/>
      <c r="C5696" s="45"/>
    </row>
    <row r="5697" spans="2:3" x14ac:dyDescent="0.25">
      <c r="B5697" s="45"/>
      <c r="C5697" s="45"/>
    </row>
    <row r="5698" spans="2:3" x14ac:dyDescent="0.25">
      <c r="B5698" s="45"/>
      <c r="C5698" s="45"/>
    </row>
    <row r="5699" spans="2:3" x14ac:dyDescent="0.25">
      <c r="B5699" s="45"/>
      <c r="C5699" s="45"/>
    </row>
    <row r="5700" spans="2:3" x14ac:dyDescent="0.25">
      <c r="B5700" s="45"/>
      <c r="C5700" s="45"/>
    </row>
    <row r="5701" spans="2:3" x14ac:dyDescent="0.25">
      <c r="B5701" s="45"/>
      <c r="C5701" s="45"/>
    </row>
    <row r="5702" spans="2:3" x14ac:dyDescent="0.25">
      <c r="B5702" s="45"/>
      <c r="C5702" s="45"/>
    </row>
    <row r="5703" spans="2:3" x14ac:dyDescent="0.25">
      <c r="B5703" s="45"/>
      <c r="C5703" s="45"/>
    </row>
    <row r="5704" spans="2:3" x14ac:dyDescent="0.25">
      <c r="B5704" s="45"/>
      <c r="C5704" s="45"/>
    </row>
    <row r="5705" spans="2:3" x14ac:dyDescent="0.25">
      <c r="B5705" s="45"/>
      <c r="C5705" s="45"/>
    </row>
    <row r="5706" spans="2:3" x14ac:dyDescent="0.25">
      <c r="B5706" s="45"/>
      <c r="C5706" s="45"/>
    </row>
    <row r="5707" spans="2:3" x14ac:dyDescent="0.25">
      <c r="B5707" s="45"/>
      <c r="C5707" s="45"/>
    </row>
    <row r="5708" spans="2:3" x14ac:dyDescent="0.25">
      <c r="B5708" s="45"/>
      <c r="C5708" s="45"/>
    </row>
    <row r="5709" spans="2:3" x14ac:dyDescent="0.25">
      <c r="B5709" s="45"/>
      <c r="C5709" s="45"/>
    </row>
    <row r="5710" spans="2:3" x14ac:dyDescent="0.25">
      <c r="B5710" s="45"/>
      <c r="C5710" s="45"/>
    </row>
    <row r="5711" spans="2:3" x14ac:dyDescent="0.25">
      <c r="B5711" s="45"/>
      <c r="C5711" s="45"/>
    </row>
    <row r="5712" spans="2:3" x14ac:dyDescent="0.25">
      <c r="B5712" s="45"/>
      <c r="C5712" s="45"/>
    </row>
    <row r="5713" spans="2:3" x14ac:dyDescent="0.25">
      <c r="B5713" s="45"/>
      <c r="C5713" s="45"/>
    </row>
    <row r="5714" spans="2:3" x14ac:dyDescent="0.25">
      <c r="B5714" s="45"/>
      <c r="C5714" s="45"/>
    </row>
    <row r="5715" spans="2:3" x14ac:dyDescent="0.25">
      <c r="B5715" s="45"/>
      <c r="C5715" s="45"/>
    </row>
    <row r="5716" spans="2:3" x14ac:dyDescent="0.25">
      <c r="B5716" s="45"/>
      <c r="C5716" s="45"/>
    </row>
    <row r="5717" spans="2:3" x14ac:dyDescent="0.25">
      <c r="B5717" s="45"/>
      <c r="C5717" s="45"/>
    </row>
    <row r="5718" spans="2:3" x14ac:dyDescent="0.25">
      <c r="B5718" s="45"/>
      <c r="C5718" s="45"/>
    </row>
    <row r="5719" spans="2:3" x14ac:dyDescent="0.25">
      <c r="B5719" s="45"/>
      <c r="C5719" s="45"/>
    </row>
    <row r="5720" spans="2:3" x14ac:dyDescent="0.25">
      <c r="B5720" s="45"/>
      <c r="C5720" s="45"/>
    </row>
    <row r="5721" spans="2:3" x14ac:dyDescent="0.25">
      <c r="B5721" s="45"/>
      <c r="C5721" s="45"/>
    </row>
    <row r="5722" spans="2:3" x14ac:dyDescent="0.25">
      <c r="B5722" s="45"/>
      <c r="C5722" s="45"/>
    </row>
    <row r="5723" spans="2:3" x14ac:dyDescent="0.25">
      <c r="B5723" s="45"/>
      <c r="C5723" s="45"/>
    </row>
    <row r="5724" spans="2:3" x14ac:dyDescent="0.25">
      <c r="B5724" s="45"/>
      <c r="C5724" s="45"/>
    </row>
    <row r="5725" spans="2:3" x14ac:dyDescent="0.25">
      <c r="B5725" s="45"/>
      <c r="C5725" s="45"/>
    </row>
    <row r="5726" spans="2:3" x14ac:dyDescent="0.25">
      <c r="B5726" s="45"/>
      <c r="C5726" s="45"/>
    </row>
    <row r="5727" spans="2:3" x14ac:dyDescent="0.25">
      <c r="B5727" s="45"/>
      <c r="C5727" s="45"/>
    </row>
    <row r="5728" spans="2:3" x14ac:dyDescent="0.25">
      <c r="B5728" s="45"/>
      <c r="C5728" s="45"/>
    </row>
    <row r="5729" spans="2:3" x14ac:dyDescent="0.25">
      <c r="B5729" s="45"/>
      <c r="C5729" s="45"/>
    </row>
    <row r="5730" spans="2:3" x14ac:dyDescent="0.25">
      <c r="B5730" s="45"/>
      <c r="C5730" s="45"/>
    </row>
    <row r="5731" spans="2:3" x14ac:dyDescent="0.25">
      <c r="B5731" s="45"/>
      <c r="C5731" s="45"/>
    </row>
    <row r="5732" spans="2:3" x14ac:dyDescent="0.25">
      <c r="B5732" s="45"/>
      <c r="C5732" s="45"/>
    </row>
    <row r="5733" spans="2:3" x14ac:dyDescent="0.25">
      <c r="B5733" s="45"/>
      <c r="C5733" s="45"/>
    </row>
    <row r="5734" spans="2:3" x14ac:dyDescent="0.25">
      <c r="B5734" s="45"/>
      <c r="C5734" s="45"/>
    </row>
    <row r="5735" spans="2:3" x14ac:dyDescent="0.25">
      <c r="B5735" s="45"/>
      <c r="C5735" s="45"/>
    </row>
    <row r="5736" spans="2:3" x14ac:dyDescent="0.25">
      <c r="B5736" s="45"/>
      <c r="C5736" s="45"/>
    </row>
    <row r="5737" spans="2:3" x14ac:dyDescent="0.25">
      <c r="B5737" s="45"/>
      <c r="C5737" s="45"/>
    </row>
    <row r="5738" spans="2:3" x14ac:dyDescent="0.25">
      <c r="B5738" s="45"/>
      <c r="C5738" s="45"/>
    </row>
    <row r="5739" spans="2:3" x14ac:dyDescent="0.25">
      <c r="B5739" s="45"/>
      <c r="C5739" s="45"/>
    </row>
    <row r="5740" spans="2:3" x14ac:dyDescent="0.25">
      <c r="B5740" s="45"/>
      <c r="C5740" s="45"/>
    </row>
    <row r="5741" spans="2:3" x14ac:dyDescent="0.25">
      <c r="B5741" s="45"/>
      <c r="C5741" s="45"/>
    </row>
    <row r="5742" spans="2:3" x14ac:dyDescent="0.25">
      <c r="B5742" s="45"/>
      <c r="C5742" s="45"/>
    </row>
    <row r="5743" spans="2:3" x14ac:dyDescent="0.25">
      <c r="B5743" s="45"/>
      <c r="C5743" s="45"/>
    </row>
    <row r="5744" spans="2:3" x14ac:dyDescent="0.25">
      <c r="B5744" s="45"/>
      <c r="C5744" s="45"/>
    </row>
    <row r="5745" spans="2:3" x14ac:dyDescent="0.25">
      <c r="B5745" s="45"/>
      <c r="C5745" s="45"/>
    </row>
    <row r="5746" spans="2:3" x14ac:dyDescent="0.25">
      <c r="B5746" s="45"/>
      <c r="C5746" s="45"/>
    </row>
    <row r="5747" spans="2:3" x14ac:dyDescent="0.25">
      <c r="B5747" s="45"/>
      <c r="C5747" s="45"/>
    </row>
    <row r="5748" spans="2:3" x14ac:dyDescent="0.25">
      <c r="B5748" s="45"/>
      <c r="C5748" s="45"/>
    </row>
    <row r="5749" spans="2:3" x14ac:dyDescent="0.25">
      <c r="B5749" s="45"/>
      <c r="C5749" s="45"/>
    </row>
    <row r="5750" spans="2:3" x14ac:dyDescent="0.25">
      <c r="B5750" s="45"/>
      <c r="C5750" s="45"/>
    </row>
    <row r="5751" spans="2:3" x14ac:dyDescent="0.25">
      <c r="B5751" s="45"/>
      <c r="C5751" s="45"/>
    </row>
    <row r="5752" spans="2:3" x14ac:dyDescent="0.25">
      <c r="B5752" s="45"/>
      <c r="C5752" s="45"/>
    </row>
    <row r="5753" spans="2:3" x14ac:dyDescent="0.25">
      <c r="B5753" s="45"/>
      <c r="C5753" s="45"/>
    </row>
    <row r="5754" spans="2:3" x14ac:dyDescent="0.25">
      <c r="B5754" s="45"/>
      <c r="C5754" s="45"/>
    </row>
    <row r="5755" spans="2:3" x14ac:dyDescent="0.25">
      <c r="B5755" s="45"/>
      <c r="C5755" s="45"/>
    </row>
    <row r="5756" spans="2:3" x14ac:dyDescent="0.25">
      <c r="B5756" s="45"/>
      <c r="C5756" s="45"/>
    </row>
    <row r="5757" spans="2:3" x14ac:dyDescent="0.25">
      <c r="B5757" s="45"/>
      <c r="C5757" s="45"/>
    </row>
    <row r="5758" spans="2:3" x14ac:dyDescent="0.25">
      <c r="B5758" s="45"/>
      <c r="C5758" s="45"/>
    </row>
    <row r="5759" spans="2:3" x14ac:dyDescent="0.25">
      <c r="B5759" s="45"/>
      <c r="C5759" s="45"/>
    </row>
    <row r="5760" spans="2:3" x14ac:dyDescent="0.25">
      <c r="B5760" s="45"/>
      <c r="C5760" s="45"/>
    </row>
    <row r="5761" spans="2:3" x14ac:dyDescent="0.25">
      <c r="B5761" s="45"/>
      <c r="C5761" s="45"/>
    </row>
    <row r="5762" spans="2:3" x14ac:dyDescent="0.25">
      <c r="B5762" s="45"/>
      <c r="C5762" s="45"/>
    </row>
    <row r="5763" spans="2:3" x14ac:dyDescent="0.25">
      <c r="B5763" s="45"/>
      <c r="C5763" s="45"/>
    </row>
    <row r="5764" spans="2:3" x14ac:dyDescent="0.25">
      <c r="B5764" s="45"/>
      <c r="C5764" s="45"/>
    </row>
    <row r="5765" spans="2:3" x14ac:dyDescent="0.25">
      <c r="B5765" s="45"/>
      <c r="C5765" s="45"/>
    </row>
    <row r="5766" spans="2:3" x14ac:dyDescent="0.25">
      <c r="B5766" s="45"/>
      <c r="C5766" s="45"/>
    </row>
    <row r="5767" spans="2:3" x14ac:dyDescent="0.25">
      <c r="B5767" s="45"/>
      <c r="C5767" s="45"/>
    </row>
    <row r="5768" spans="2:3" x14ac:dyDescent="0.25">
      <c r="B5768" s="45"/>
      <c r="C5768" s="45"/>
    </row>
    <row r="5769" spans="2:3" x14ac:dyDescent="0.25">
      <c r="B5769" s="45"/>
      <c r="C5769" s="45"/>
    </row>
    <row r="5770" spans="2:3" x14ac:dyDescent="0.25">
      <c r="B5770" s="45"/>
      <c r="C5770" s="45"/>
    </row>
    <row r="5771" spans="2:3" x14ac:dyDescent="0.25">
      <c r="B5771" s="45"/>
      <c r="C5771" s="45"/>
    </row>
    <row r="5772" spans="2:3" x14ac:dyDescent="0.25">
      <c r="B5772" s="45"/>
      <c r="C5772" s="45"/>
    </row>
    <row r="5773" spans="2:3" x14ac:dyDescent="0.25">
      <c r="B5773" s="45"/>
      <c r="C5773" s="45"/>
    </row>
    <row r="5774" spans="2:3" x14ac:dyDescent="0.25">
      <c r="B5774" s="45"/>
      <c r="C5774" s="45"/>
    </row>
    <row r="5775" spans="2:3" x14ac:dyDescent="0.25">
      <c r="B5775" s="45"/>
      <c r="C5775" s="45"/>
    </row>
    <row r="5776" spans="2:3" x14ac:dyDescent="0.25">
      <c r="B5776" s="45"/>
      <c r="C5776" s="45"/>
    </row>
    <row r="5777" spans="2:3" x14ac:dyDescent="0.25">
      <c r="B5777" s="45"/>
      <c r="C5777" s="45"/>
    </row>
    <row r="5778" spans="2:3" x14ac:dyDescent="0.25">
      <c r="B5778" s="45"/>
      <c r="C5778" s="45"/>
    </row>
    <row r="5779" spans="2:3" x14ac:dyDescent="0.25">
      <c r="B5779" s="45"/>
      <c r="C5779" s="45"/>
    </row>
    <row r="5780" spans="2:3" x14ac:dyDescent="0.25">
      <c r="B5780" s="45"/>
      <c r="C5780" s="45"/>
    </row>
    <row r="5781" spans="2:3" x14ac:dyDescent="0.25">
      <c r="B5781" s="45"/>
      <c r="C5781" s="45"/>
    </row>
    <row r="5782" spans="2:3" x14ac:dyDescent="0.25">
      <c r="B5782" s="45"/>
      <c r="C5782" s="45"/>
    </row>
    <row r="5783" spans="2:3" x14ac:dyDescent="0.25">
      <c r="B5783" s="45"/>
      <c r="C5783" s="45"/>
    </row>
    <row r="5784" spans="2:3" x14ac:dyDescent="0.25">
      <c r="B5784" s="45"/>
      <c r="C5784" s="45"/>
    </row>
    <row r="5785" spans="2:3" x14ac:dyDescent="0.25">
      <c r="B5785" s="45"/>
      <c r="C5785" s="45"/>
    </row>
    <row r="5786" spans="2:3" x14ac:dyDescent="0.25">
      <c r="B5786" s="45"/>
      <c r="C5786" s="45"/>
    </row>
    <row r="5787" spans="2:3" x14ac:dyDescent="0.25">
      <c r="B5787" s="45"/>
      <c r="C5787" s="45"/>
    </row>
    <row r="5788" spans="2:3" x14ac:dyDescent="0.25">
      <c r="B5788" s="45"/>
      <c r="C5788" s="45"/>
    </row>
    <row r="5789" spans="2:3" x14ac:dyDescent="0.25">
      <c r="B5789" s="45"/>
      <c r="C5789" s="45"/>
    </row>
    <row r="5790" spans="2:3" x14ac:dyDescent="0.25">
      <c r="B5790" s="45"/>
      <c r="C5790" s="45"/>
    </row>
    <row r="5791" spans="2:3" x14ac:dyDescent="0.25">
      <c r="B5791" s="45"/>
      <c r="C5791" s="45"/>
    </row>
    <row r="5792" spans="2:3" x14ac:dyDescent="0.25">
      <c r="B5792" s="45"/>
      <c r="C5792" s="45"/>
    </row>
    <row r="5793" spans="2:3" x14ac:dyDescent="0.25">
      <c r="B5793" s="45"/>
      <c r="C5793" s="45"/>
    </row>
    <row r="5794" spans="2:3" x14ac:dyDescent="0.25">
      <c r="B5794" s="45"/>
      <c r="C5794" s="45"/>
    </row>
    <row r="5795" spans="2:3" x14ac:dyDescent="0.25">
      <c r="B5795" s="45"/>
      <c r="C5795" s="45"/>
    </row>
    <row r="5796" spans="2:3" x14ac:dyDescent="0.25">
      <c r="B5796" s="45"/>
      <c r="C5796" s="45"/>
    </row>
    <row r="5797" spans="2:3" x14ac:dyDescent="0.25">
      <c r="B5797" s="45"/>
      <c r="C5797" s="45"/>
    </row>
    <row r="5798" spans="2:3" x14ac:dyDescent="0.25">
      <c r="B5798" s="45"/>
      <c r="C5798" s="45"/>
    </row>
    <row r="5799" spans="2:3" x14ac:dyDescent="0.25">
      <c r="B5799" s="45"/>
      <c r="C5799" s="45"/>
    </row>
    <row r="5800" spans="2:3" x14ac:dyDescent="0.25">
      <c r="B5800" s="45"/>
      <c r="C5800" s="45"/>
    </row>
    <row r="5801" spans="2:3" x14ac:dyDescent="0.25">
      <c r="B5801" s="45"/>
      <c r="C5801" s="45"/>
    </row>
    <row r="5802" spans="2:3" x14ac:dyDescent="0.25">
      <c r="B5802" s="45"/>
      <c r="C5802" s="45"/>
    </row>
    <row r="5803" spans="2:3" x14ac:dyDescent="0.25">
      <c r="B5803" s="45"/>
      <c r="C5803" s="45"/>
    </row>
    <row r="5804" spans="2:3" x14ac:dyDescent="0.25">
      <c r="B5804" s="45"/>
      <c r="C5804" s="45"/>
    </row>
    <row r="5805" spans="2:3" x14ac:dyDescent="0.25">
      <c r="B5805" s="45"/>
      <c r="C5805" s="45"/>
    </row>
    <row r="5806" spans="2:3" x14ac:dyDescent="0.25">
      <c r="B5806" s="45"/>
      <c r="C5806" s="45"/>
    </row>
    <row r="5807" spans="2:3" x14ac:dyDescent="0.25">
      <c r="B5807" s="45"/>
      <c r="C5807" s="45"/>
    </row>
    <row r="5808" spans="2:3" x14ac:dyDescent="0.25">
      <c r="B5808" s="45"/>
      <c r="C5808" s="45"/>
    </row>
    <row r="5809" spans="2:3" x14ac:dyDescent="0.25">
      <c r="B5809" s="45"/>
      <c r="C5809" s="45"/>
    </row>
    <row r="5810" spans="2:3" x14ac:dyDescent="0.25">
      <c r="B5810" s="45"/>
      <c r="C5810" s="45"/>
    </row>
    <row r="5811" spans="2:3" x14ac:dyDescent="0.25">
      <c r="B5811" s="45"/>
      <c r="C5811" s="45"/>
    </row>
    <row r="5812" spans="2:3" x14ac:dyDescent="0.25">
      <c r="B5812" s="45"/>
      <c r="C5812" s="45"/>
    </row>
    <row r="5813" spans="2:3" x14ac:dyDescent="0.25">
      <c r="B5813" s="45"/>
      <c r="C5813" s="45"/>
    </row>
    <row r="5814" spans="2:3" x14ac:dyDescent="0.25">
      <c r="B5814" s="45"/>
      <c r="C5814" s="45"/>
    </row>
    <row r="5815" spans="2:3" x14ac:dyDescent="0.25">
      <c r="B5815" s="45"/>
      <c r="C5815" s="45"/>
    </row>
    <row r="5816" spans="2:3" x14ac:dyDescent="0.25">
      <c r="B5816" s="45"/>
      <c r="C5816" s="45"/>
    </row>
    <row r="5817" spans="2:3" x14ac:dyDescent="0.25">
      <c r="B5817" s="45"/>
      <c r="C5817" s="45"/>
    </row>
    <row r="5818" spans="2:3" x14ac:dyDescent="0.25">
      <c r="B5818" s="45"/>
      <c r="C5818" s="45"/>
    </row>
    <row r="5819" spans="2:3" x14ac:dyDescent="0.25">
      <c r="B5819" s="45"/>
      <c r="C5819" s="45"/>
    </row>
    <row r="5820" spans="2:3" x14ac:dyDescent="0.25">
      <c r="B5820" s="45"/>
      <c r="C5820" s="45"/>
    </row>
    <row r="5821" spans="2:3" x14ac:dyDescent="0.25">
      <c r="B5821" s="45"/>
      <c r="C5821" s="45"/>
    </row>
    <row r="5822" spans="2:3" x14ac:dyDescent="0.25">
      <c r="B5822" s="45"/>
      <c r="C5822" s="45"/>
    </row>
    <row r="5823" spans="2:3" x14ac:dyDescent="0.25">
      <c r="B5823" s="45"/>
      <c r="C5823" s="45"/>
    </row>
    <row r="5824" spans="2:3" x14ac:dyDescent="0.25">
      <c r="B5824" s="45"/>
      <c r="C5824" s="45"/>
    </row>
    <row r="5825" spans="2:3" x14ac:dyDescent="0.25">
      <c r="B5825" s="45"/>
      <c r="C5825" s="45"/>
    </row>
    <row r="5826" spans="2:3" x14ac:dyDescent="0.25">
      <c r="B5826" s="45"/>
      <c r="C5826" s="45"/>
    </row>
    <row r="5827" spans="2:3" x14ac:dyDescent="0.25">
      <c r="B5827" s="45"/>
      <c r="C5827" s="45"/>
    </row>
    <row r="5828" spans="2:3" x14ac:dyDescent="0.25">
      <c r="B5828" s="45"/>
      <c r="C5828" s="45"/>
    </row>
    <row r="5829" spans="2:3" x14ac:dyDescent="0.25">
      <c r="B5829" s="45"/>
      <c r="C5829" s="45"/>
    </row>
    <row r="5830" spans="2:3" x14ac:dyDescent="0.25">
      <c r="B5830" s="45"/>
      <c r="C5830" s="45"/>
    </row>
    <row r="5831" spans="2:3" x14ac:dyDescent="0.25">
      <c r="B5831" s="45"/>
      <c r="C5831" s="45"/>
    </row>
    <row r="5832" spans="2:3" x14ac:dyDescent="0.25">
      <c r="B5832" s="45"/>
      <c r="C5832" s="45"/>
    </row>
    <row r="5833" spans="2:3" x14ac:dyDescent="0.25">
      <c r="B5833" s="45"/>
      <c r="C5833" s="45"/>
    </row>
    <row r="5834" spans="2:3" x14ac:dyDescent="0.25">
      <c r="B5834" s="45"/>
      <c r="C5834" s="45"/>
    </row>
    <row r="5835" spans="2:3" x14ac:dyDescent="0.25">
      <c r="B5835" s="45"/>
      <c r="C5835" s="45"/>
    </row>
    <row r="5836" spans="2:3" x14ac:dyDescent="0.25">
      <c r="B5836" s="45"/>
      <c r="C5836" s="45"/>
    </row>
    <row r="5837" spans="2:3" x14ac:dyDescent="0.25">
      <c r="B5837" s="45"/>
      <c r="C5837" s="45"/>
    </row>
    <row r="5838" spans="2:3" x14ac:dyDescent="0.25">
      <c r="B5838" s="45"/>
      <c r="C5838" s="45"/>
    </row>
    <row r="5839" spans="2:3" x14ac:dyDescent="0.25">
      <c r="B5839" s="45"/>
      <c r="C5839" s="45"/>
    </row>
    <row r="5840" spans="2:3" x14ac:dyDescent="0.25">
      <c r="B5840" s="45"/>
      <c r="C5840" s="45"/>
    </row>
    <row r="5841" spans="2:3" x14ac:dyDescent="0.25">
      <c r="B5841" s="45"/>
      <c r="C5841" s="45"/>
    </row>
    <row r="5842" spans="2:3" x14ac:dyDescent="0.25">
      <c r="B5842" s="45"/>
      <c r="C5842" s="45"/>
    </row>
    <row r="5843" spans="2:3" x14ac:dyDescent="0.25">
      <c r="B5843" s="45"/>
      <c r="C5843" s="45"/>
    </row>
    <row r="5844" spans="2:3" x14ac:dyDescent="0.25">
      <c r="B5844" s="45"/>
      <c r="C5844" s="45"/>
    </row>
    <row r="5845" spans="2:3" x14ac:dyDescent="0.25">
      <c r="B5845" s="45"/>
      <c r="C5845" s="45"/>
    </row>
    <row r="5846" spans="2:3" x14ac:dyDescent="0.25">
      <c r="B5846" s="45"/>
      <c r="C5846" s="45"/>
    </row>
    <row r="5847" spans="2:3" x14ac:dyDescent="0.25">
      <c r="B5847" s="45"/>
      <c r="C5847" s="45"/>
    </row>
    <row r="5848" spans="2:3" x14ac:dyDescent="0.25">
      <c r="B5848" s="45"/>
      <c r="C5848" s="45"/>
    </row>
    <row r="5849" spans="2:3" x14ac:dyDescent="0.25">
      <c r="B5849" s="45"/>
      <c r="C5849" s="45"/>
    </row>
    <row r="5850" spans="2:3" x14ac:dyDescent="0.25">
      <c r="B5850" s="45"/>
      <c r="C5850" s="45"/>
    </row>
    <row r="5851" spans="2:3" x14ac:dyDescent="0.25">
      <c r="B5851" s="45"/>
      <c r="C5851" s="45"/>
    </row>
    <row r="5852" spans="2:3" x14ac:dyDescent="0.25">
      <c r="B5852" s="45"/>
      <c r="C5852" s="45"/>
    </row>
    <row r="5853" spans="2:3" x14ac:dyDescent="0.25">
      <c r="B5853" s="45"/>
      <c r="C5853" s="45"/>
    </row>
    <row r="5854" spans="2:3" x14ac:dyDescent="0.25">
      <c r="B5854" s="45"/>
      <c r="C5854" s="45"/>
    </row>
    <row r="5855" spans="2:3" x14ac:dyDescent="0.25">
      <c r="B5855" s="45"/>
      <c r="C5855" s="45"/>
    </row>
    <row r="5856" spans="2:3" x14ac:dyDescent="0.25">
      <c r="B5856" s="45"/>
      <c r="C5856" s="45"/>
    </row>
    <row r="5857" spans="2:3" x14ac:dyDescent="0.25">
      <c r="B5857" s="45"/>
      <c r="C5857" s="45"/>
    </row>
    <row r="5858" spans="2:3" x14ac:dyDescent="0.25">
      <c r="B5858" s="45"/>
      <c r="C5858" s="45"/>
    </row>
    <row r="5859" spans="2:3" x14ac:dyDescent="0.25">
      <c r="B5859" s="45"/>
      <c r="C5859" s="45"/>
    </row>
    <row r="5860" spans="2:3" x14ac:dyDescent="0.25">
      <c r="B5860" s="45"/>
      <c r="C5860" s="45"/>
    </row>
    <row r="5861" spans="2:3" x14ac:dyDescent="0.25">
      <c r="B5861" s="45"/>
      <c r="C5861" s="45"/>
    </row>
    <row r="5862" spans="2:3" x14ac:dyDescent="0.25">
      <c r="B5862" s="45"/>
      <c r="C5862" s="45"/>
    </row>
    <row r="5863" spans="2:3" x14ac:dyDescent="0.25">
      <c r="B5863" s="45"/>
      <c r="C5863" s="45"/>
    </row>
    <row r="5864" spans="2:3" x14ac:dyDescent="0.25">
      <c r="B5864" s="45"/>
      <c r="C5864" s="45"/>
    </row>
    <row r="5865" spans="2:3" x14ac:dyDescent="0.25">
      <c r="B5865" s="45"/>
      <c r="C5865" s="45"/>
    </row>
    <row r="5866" spans="2:3" x14ac:dyDescent="0.25">
      <c r="B5866" s="45"/>
      <c r="C5866" s="45"/>
    </row>
    <row r="5867" spans="2:3" x14ac:dyDescent="0.25">
      <c r="B5867" s="45"/>
      <c r="C5867" s="45"/>
    </row>
    <row r="5868" spans="2:3" x14ac:dyDescent="0.25">
      <c r="B5868" s="45"/>
      <c r="C5868" s="45"/>
    </row>
    <row r="5869" spans="2:3" x14ac:dyDescent="0.25">
      <c r="B5869" s="45"/>
      <c r="C5869" s="45"/>
    </row>
    <row r="5870" spans="2:3" x14ac:dyDescent="0.25">
      <c r="B5870" s="45"/>
      <c r="C5870" s="45"/>
    </row>
    <row r="5871" spans="2:3" x14ac:dyDescent="0.25">
      <c r="B5871" s="45"/>
      <c r="C5871" s="45"/>
    </row>
    <row r="5872" spans="2:3" x14ac:dyDescent="0.25">
      <c r="B5872" s="45"/>
      <c r="C5872" s="45"/>
    </row>
    <row r="5873" spans="2:3" x14ac:dyDescent="0.25">
      <c r="B5873" s="45"/>
      <c r="C5873" s="45"/>
    </row>
    <row r="5874" spans="2:3" x14ac:dyDescent="0.25">
      <c r="B5874" s="45"/>
      <c r="C5874" s="45"/>
    </row>
    <row r="5875" spans="2:3" x14ac:dyDescent="0.25">
      <c r="B5875" s="45"/>
      <c r="C5875" s="45"/>
    </row>
    <row r="5876" spans="2:3" x14ac:dyDescent="0.25">
      <c r="B5876" s="45"/>
      <c r="C5876" s="45"/>
    </row>
    <row r="5877" spans="2:3" x14ac:dyDescent="0.25">
      <c r="B5877" s="45"/>
      <c r="C5877" s="45"/>
    </row>
    <row r="5878" spans="2:3" x14ac:dyDescent="0.25">
      <c r="B5878" s="45"/>
      <c r="C5878" s="45"/>
    </row>
    <row r="5879" spans="2:3" x14ac:dyDescent="0.25">
      <c r="B5879" s="45"/>
      <c r="C5879" s="45"/>
    </row>
    <row r="5880" spans="2:3" x14ac:dyDescent="0.25">
      <c r="B5880" s="45"/>
      <c r="C5880" s="45"/>
    </row>
    <row r="5881" spans="2:3" x14ac:dyDescent="0.25">
      <c r="B5881" s="45"/>
      <c r="C5881" s="45"/>
    </row>
    <row r="5882" spans="2:3" x14ac:dyDescent="0.25">
      <c r="B5882" s="45"/>
      <c r="C5882" s="45"/>
    </row>
    <row r="5883" spans="2:3" x14ac:dyDescent="0.25">
      <c r="B5883" s="45"/>
      <c r="C5883" s="45"/>
    </row>
    <row r="5884" spans="2:3" x14ac:dyDescent="0.25">
      <c r="B5884" s="45"/>
      <c r="C5884" s="45"/>
    </row>
    <row r="5885" spans="2:3" x14ac:dyDescent="0.25">
      <c r="B5885" s="45"/>
      <c r="C5885" s="45"/>
    </row>
    <row r="5886" spans="2:3" x14ac:dyDescent="0.25">
      <c r="B5886" s="45"/>
      <c r="C5886" s="45"/>
    </row>
    <row r="5887" spans="2:3" x14ac:dyDescent="0.25">
      <c r="B5887" s="45"/>
      <c r="C5887" s="45"/>
    </row>
    <row r="5888" spans="2:3" x14ac:dyDescent="0.25">
      <c r="B5888" s="45"/>
      <c r="C5888" s="45"/>
    </row>
    <row r="5889" spans="2:3" x14ac:dyDescent="0.25">
      <c r="B5889" s="45"/>
      <c r="C5889" s="45"/>
    </row>
    <row r="5890" spans="2:3" x14ac:dyDescent="0.25">
      <c r="B5890" s="45"/>
      <c r="C5890" s="45"/>
    </row>
    <row r="5891" spans="2:3" x14ac:dyDescent="0.25">
      <c r="B5891" s="45"/>
      <c r="C5891" s="45"/>
    </row>
    <row r="5892" spans="2:3" x14ac:dyDescent="0.25">
      <c r="B5892" s="45"/>
      <c r="C5892" s="45"/>
    </row>
    <row r="5893" spans="2:3" x14ac:dyDescent="0.25">
      <c r="B5893" s="45"/>
      <c r="C5893" s="45"/>
    </row>
    <row r="5894" spans="2:3" x14ac:dyDescent="0.25">
      <c r="B5894" s="45"/>
      <c r="C5894" s="45"/>
    </row>
    <row r="5895" spans="2:3" x14ac:dyDescent="0.25">
      <c r="B5895" s="45"/>
      <c r="C5895" s="45"/>
    </row>
    <row r="5896" spans="2:3" x14ac:dyDescent="0.25">
      <c r="B5896" s="45"/>
      <c r="C5896" s="45"/>
    </row>
    <row r="5897" spans="2:3" x14ac:dyDescent="0.25">
      <c r="B5897" s="45"/>
      <c r="C5897" s="45"/>
    </row>
    <row r="5898" spans="2:3" x14ac:dyDescent="0.25">
      <c r="B5898" s="45"/>
      <c r="C5898" s="45"/>
    </row>
    <row r="5899" spans="2:3" x14ac:dyDescent="0.25">
      <c r="B5899" s="45"/>
      <c r="C5899" s="45"/>
    </row>
    <row r="5900" spans="2:3" x14ac:dyDescent="0.25">
      <c r="B5900" s="45"/>
      <c r="C5900" s="45"/>
    </row>
    <row r="5901" spans="2:3" x14ac:dyDescent="0.25">
      <c r="B5901" s="45"/>
      <c r="C5901" s="45"/>
    </row>
    <row r="5902" spans="2:3" x14ac:dyDescent="0.25">
      <c r="B5902" s="45"/>
      <c r="C5902" s="45"/>
    </row>
    <row r="5903" spans="2:3" x14ac:dyDescent="0.25">
      <c r="B5903" s="45"/>
      <c r="C5903" s="45"/>
    </row>
    <row r="5904" spans="2:3" x14ac:dyDescent="0.25">
      <c r="B5904" s="45"/>
      <c r="C5904" s="45"/>
    </row>
    <row r="5905" spans="2:3" x14ac:dyDescent="0.25">
      <c r="B5905" s="45"/>
      <c r="C5905" s="45"/>
    </row>
    <row r="5906" spans="2:3" x14ac:dyDescent="0.25">
      <c r="B5906" s="45"/>
      <c r="C5906" s="45"/>
    </row>
    <row r="5907" spans="2:3" x14ac:dyDescent="0.25">
      <c r="B5907" s="45"/>
      <c r="C5907" s="45"/>
    </row>
    <row r="5908" spans="2:3" x14ac:dyDescent="0.25">
      <c r="B5908" s="45"/>
      <c r="C5908" s="45"/>
    </row>
    <row r="5909" spans="2:3" x14ac:dyDescent="0.25">
      <c r="B5909" s="45"/>
      <c r="C5909" s="45"/>
    </row>
    <row r="5910" spans="2:3" x14ac:dyDescent="0.25">
      <c r="B5910" s="45"/>
      <c r="C5910" s="45"/>
    </row>
    <row r="5911" spans="2:3" x14ac:dyDescent="0.25">
      <c r="B5911" s="45"/>
      <c r="C5911" s="45"/>
    </row>
    <row r="5912" spans="2:3" x14ac:dyDescent="0.25">
      <c r="B5912" s="45"/>
      <c r="C5912" s="45"/>
    </row>
    <row r="5913" spans="2:3" x14ac:dyDescent="0.25">
      <c r="B5913" s="45"/>
      <c r="C5913" s="45"/>
    </row>
    <row r="5914" spans="2:3" x14ac:dyDescent="0.25">
      <c r="B5914" s="45"/>
      <c r="C5914" s="45"/>
    </row>
    <row r="5915" spans="2:3" x14ac:dyDescent="0.25">
      <c r="B5915" s="45"/>
      <c r="C5915" s="45"/>
    </row>
    <row r="5916" spans="2:3" x14ac:dyDescent="0.25">
      <c r="B5916" s="45"/>
      <c r="C5916" s="45"/>
    </row>
    <row r="5917" spans="2:3" x14ac:dyDescent="0.25">
      <c r="B5917" s="45"/>
      <c r="C5917" s="45"/>
    </row>
    <row r="5918" spans="2:3" x14ac:dyDescent="0.25">
      <c r="B5918" s="45"/>
      <c r="C5918" s="45"/>
    </row>
    <row r="5919" spans="2:3" x14ac:dyDescent="0.25">
      <c r="B5919" s="45"/>
      <c r="C5919" s="45"/>
    </row>
    <row r="5920" spans="2:3" x14ac:dyDescent="0.25">
      <c r="B5920" s="45"/>
      <c r="C5920" s="45"/>
    </row>
    <row r="5921" spans="2:3" x14ac:dyDescent="0.25">
      <c r="B5921" s="45"/>
      <c r="C5921" s="45"/>
    </row>
    <row r="5922" spans="2:3" x14ac:dyDescent="0.25">
      <c r="B5922" s="45"/>
      <c r="C5922" s="45"/>
    </row>
    <row r="5923" spans="2:3" x14ac:dyDescent="0.25">
      <c r="B5923" s="45"/>
      <c r="C5923" s="45"/>
    </row>
    <row r="5924" spans="2:3" x14ac:dyDescent="0.25">
      <c r="B5924" s="45"/>
      <c r="C5924" s="45"/>
    </row>
    <row r="5925" spans="2:3" x14ac:dyDescent="0.25">
      <c r="B5925" s="45"/>
      <c r="C5925" s="45"/>
    </row>
    <row r="5926" spans="2:3" x14ac:dyDescent="0.25">
      <c r="B5926" s="45"/>
      <c r="C5926" s="45"/>
    </row>
    <row r="5927" spans="2:3" x14ac:dyDescent="0.25">
      <c r="B5927" s="45"/>
      <c r="C5927" s="45"/>
    </row>
    <row r="5928" spans="2:3" x14ac:dyDescent="0.25">
      <c r="B5928" s="45"/>
      <c r="C5928" s="45"/>
    </row>
    <row r="5929" spans="2:3" x14ac:dyDescent="0.25">
      <c r="B5929" s="45"/>
      <c r="C5929" s="45"/>
    </row>
    <row r="5930" spans="2:3" x14ac:dyDescent="0.25">
      <c r="B5930" s="45"/>
      <c r="C5930" s="45"/>
    </row>
    <row r="5931" spans="2:3" x14ac:dyDescent="0.25">
      <c r="B5931" s="45"/>
      <c r="C5931" s="45"/>
    </row>
    <row r="5932" spans="2:3" x14ac:dyDescent="0.25">
      <c r="B5932" s="45"/>
      <c r="C5932" s="45"/>
    </row>
    <row r="5933" spans="2:3" x14ac:dyDescent="0.25">
      <c r="B5933" s="45"/>
      <c r="C5933" s="45"/>
    </row>
    <row r="5934" spans="2:3" x14ac:dyDescent="0.25">
      <c r="B5934" s="45"/>
      <c r="C5934" s="45"/>
    </row>
    <row r="5935" spans="2:3" x14ac:dyDescent="0.25">
      <c r="B5935" s="45"/>
      <c r="C5935" s="45"/>
    </row>
    <row r="5936" spans="2:3" x14ac:dyDescent="0.25">
      <c r="B5936" s="45"/>
      <c r="C5936" s="45"/>
    </row>
    <row r="5937" spans="2:3" x14ac:dyDescent="0.25">
      <c r="B5937" s="45"/>
      <c r="C5937" s="45"/>
    </row>
    <row r="5938" spans="2:3" x14ac:dyDescent="0.25">
      <c r="B5938" s="45"/>
      <c r="C5938" s="45"/>
    </row>
    <row r="5939" spans="2:3" x14ac:dyDescent="0.25">
      <c r="B5939" s="45"/>
      <c r="C5939" s="45"/>
    </row>
    <row r="5940" spans="2:3" x14ac:dyDescent="0.25">
      <c r="B5940" s="45"/>
      <c r="C5940" s="45"/>
    </row>
    <row r="5941" spans="2:3" x14ac:dyDescent="0.25">
      <c r="B5941" s="45"/>
      <c r="C5941" s="45"/>
    </row>
    <row r="5942" spans="2:3" x14ac:dyDescent="0.25">
      <c r="B5942" s="45"/>
      <c r="C5942" s="45"/>
    </row>
    <row r="5943" spans="2:3" x14ac:dyDescent="0.25">
      <c r="B5943" s="45"/>
      <c r="C5943" s="45"/>
    </row>
    <row r="5944" spans="2:3" x14ac:dyDescent="0.25">
      <c r="B5944" s="45"/>
      <c r="C5944" s="45"/>
    </row>
    <row r="5945" spans="2:3" x14ac:dyDescent="0.25">
      <c r="B5945" s="45"/>
      <c r="C5945" s="45"/>
    </row>
    <row r="5946" spans="2:3" x14ac:dyDescent="0.25">
      <c r="B5946" s="45"/>
      <c r="C5946" s="45"/>
    </row>
    <row r="5947" spans="2:3" x14ac:dyDescent="0.25">
      <c r="B5947" s="45"/>
      <c r="C5947" s="45"/>
    </row>
    <row r="5948" spans="2:3" x14ac:dyDescent="0.25">
      <c r="B5948" s="45"/>
      <c r="C5948" s="45"/>
    </row>
    <row r="5949" spans="2:3" x14ac:dyDescent="0.25">
      <c r="B5949" s="45"/>
      <c r="C5949" s="45"/>
    </row>
    <row r="5950" spans="2:3" x14ac:dyDescent="0.25">
      <c r="B5950" s="45"/>
      <c r="C5950" s="45"/>
    </row>
    <row r="5951" spans="2:3" x14ac:dyDescent="0.25">
      <c r="B5951" s="45"/>
      <c r="C5951" s="45"/>
    </row>
    <row r="5952" spans="2:3" x14ac:dyDescent="0.25">
      <c r="B5952" s="45"/>
      <c r="C5952" s="45"/>
    </row>
    <row r="5953" spans="2:3" x14ac:dyDescent="0.25">
      <c r="B5953" s="45"/>
      <c r="C5953" s="45"/>
    </row>
    <row r="5954" spans="2:3" x14ac:dyDescent="0.25">
      <c r="B5954" s="45"/>
      <c r="C5954" s="45"/>
    </row>
    <row r="5955" spans="2:3" x14ac:dyDescent="0.25">
      <c r="B5955" s="45"/>
      <c r="C5955" s="45"/>
    </row>
    <row r="5956" spans="2:3" x14ac:dyDescent="0.25">
      <c r="B5956" s="45"/>
      <c r="C5956" s="45"/>
    </row>
    <row r="5957" spans="2:3" x14ac:dyDescent="0.25">
      <c r="B5957" s="45"/>
      <c r="C5957" s="45"/>
    </row>
    <row r="5958" spans="2:3" x14ac:dyDescent="0.25">
      <c r="B5958" s="45"/>
      <c r="C5958" s="45"/>
    </row>
    <row r="5959" spans="2:3" x14ac:dyDescent="0.25">
      <c r="B5959" s="45"/>
      <c r="C5959" s="45"/>
    </row>
    <row r="5960" spans="2:3" x14ac:dyDescent="0.25">
      <c r="B5960" s="45"/>
      <c r="C5960" s="45"/>
    </row>
    <row r="5961" spans="2:3" x14ac:dyDescent="0.25">
      <c r="B5961" s="45"/>
      <c r="C5961" s="45"/>
    </row>
    <row r="5962" spans="2:3" x14ac:dyDescent="0.25">
      <c r="B5962" s="45"/>
      <c r="C5962" s="45"/>
    </row>
    <row r="5963" spans="2:3" x14ac:dyDescent="0.25">
      <c r="B5963" s="45"/>
      <c r="C5963" s="45"/>
    </row>
    <row r="5964" spans="2:3" x14ac:dyDescent="0.25">
      <c r="B5964" s="45"/>
      <c r="C5964" s="45"/>
    </row>
    <row r="5965" spans="2:3" x14ac:dyDescent="0.25">
      <c r="B5965" s="45"/>
      <c r="C5965" s="45"/>
    </row>
    <row r="5966" spans="2:3" x14ac:dyDescent="0.25">
      <c r="B5966" s="45"/>
      <c r="C5966" s="45"/>
    </row>
    <row r="5967" spans="2:3" x14ac:dyDescent="0.25">
      <c r="B5967" s="45"/>
      <c r="C5967" s="45"/>
    </row>
    <row r="5968" spans="2:3" x14ac:dyDescent="0.25">
      <c r="B5968" s="45"/>
      <c r="C5968" s="45"/>
    </row>
    <row r="5969" spans="2:3" x14ac:dyDescent="0.25">
      <c r="B5969" s="45"/>
      <c r="C5969" s="45"/>
    </row>
    <row r="5970" spans="2:3" x14ac:dyDescent="0.25">
      <c r="B5970" s="45"/>
      <c r="C5970" s="45"/>
    </row>
    <row r="5971" spans="2:3" x14ac:dyDescent="0.25">
      <c r="B5971" s="45"/>
      <c r="C5971" s="45"/>
    </row>
    <row r="5972" spans="2:3" x14ac:dyDescent="0.25">
      <c r="B5972" s="45"/>
      <c r="C5972" s="45"/>
    </row>
    <row r="5973" spans="2:3" x14ac:dyDescent="0.25">
      <c r="B5973" s="45"/>
      <c r="C5973" s="45"/>
    </row>
    <row r="5974" spans="2:3" x14ac:dyDescent="0.25">
      <c r="B5974" s="45"/>
      <c r="C5974" s="45"/>
    </row>
    <row r="5975" spans="2:3" x14ac:dyDescent="0.25">
      <c r="B5975" s="45"/>
      <c r="C5975" s="45"/>
    </row>
    <row r="5976" spans="2:3" x14ac:dyDescent="0.25">
      <c r="B5976" s="45"/>
      <c r="C5976" s="45"/>
    </row>
    <row r="5977" spans="2:3" x14ac:dyDescent="0.25">
      <c r="B5977" s="45"/>
      <c r="C5977" s="45"/>
    </row>
    <row r="5978" spans="2:3" x14ac:dyDescent="0.25">
      <c r="B5978" s="45"/>
      <c r="C5978" s="45"/>
    </row>
    <row r="5979" spans="2:3" x14ac:dyDescent="0.25">
      <c r="B5979" s="45"/>
      <c r="C5979" s="45"/>
    </row>
    <row r="5980" spans="2:3" x14ac:dyDescent="0.25">
      <c r="B5980" s="45"/>
      <c r="C5980" s="45"/>
    </row>
    <row r="5981" spans="2:3" x14ac:dyDescent="0.25">
      <c r="B5981" s="45"/>
      <c r="C5981" s="45"/>
    </row>
    <row r="5982" spans="2:3" x14ac:dyDescent="0.25">
      <c r="B5982" s="45"/>
      <c r="C5982" s="45"/>
    </row>
    <row r="5983" spans="2:3" x14ac:dyDescent="0.25">
      <c r="B5983" s="45"/>
      <c r="C5983" s="45"/>
    </row>
    <row r="5984" spans="2:3" x14ac:dyDescent="0.25">
      <c r="B5984" s="45"/>
      <c r="C5984" s="45"/>
    </row>
    <row r="5985" spans="2:3" x14ac:dyDescent="0.25">
      <c r="B5985" s="45"/>
      <c r="C5985" s="45"/>
    </row>
    <row r="5986" spans="2:3" x14ac:dyDescent="0.25">
      <c r="B5986" s="45"/>
      <c r="C5986" s="45"/>
    </row>
    <row r="5987" spans="2:3" x14ac:dyDescent="0.25">
      <c r="B5987" s="45"/>
      <c r="C5987" s="45"/>
    </row>
    <row r="5988" spans="2:3" x14ac:dyDescent="0.25">
      <c r="B5988" s="45"/>
      <c r="C5988" s="45"/>
    </row>
    <row r="5989" spans="2:3" x14ac:dyDescent="0.25">
      <c r="B5989" s="45"/>
      <c r="C5989" s="45"/>
    </row>
    <row r="5990" spans="2:3" x14ac:dyDescent="0.25">
      <c r="B5990" s="45"/>
      <c r="C5990" s="45"/>
    </row>
    <row r="5991" spans="2:3" x14ac:dyDescent="0.25">
      <c r="B5991" s="45"/>
      <c r="C5991" s="45"/>
    </row>
    <row r="5992" spans="2:3" x14ac:dyDescent="0.25">
      <c r="B5992" s="45"/>
      <c r="C5992" s="45"/>
    </row>
    <row r="5993" spans="2:3" x14ac:dyDescent="0.25">
      <c r="B5993" s="45"/>
      <c r="C5993" s="45"/>
    </row>
    <row r="5994" spans="2:3" x14ac:dyDescent="0.25">
      <c r="B5994" s="45"/>
      <c r="C5994" s="45"/>
    </row>
    <row r="5995" spans="2:3" x14ac:dyDescent="0.25">
      <c r="B5995" s="45"/>
      <c r="C5995" s="45"/>
    </row>
    <row r="5996" spans="2:3" x14ac:dyDescent="0.25">
      <c r="B5996" s="45"/>
      <c r="C5996" s="45"/>
    </row>
    <row r="5997" spans="2:3" x14ac:dyDescent="0.25">
      <c r="B5997" s="45"/>
      <c r="C5997" s="45"/>
    </row>
    <row r="5998" spans="2:3" x14ac:dyDescent="0.25">
      <c r="B5998" s="45"/>
      <c r="C5998" s="45"/>
    </row>
    <row r="5999" spans="2:3" x14ac:dyDescent="0.25">
      <c r="B5999" s="45"/>
      <c r="C5999" s="45"/>
    </row>
    <row r="6000" spans="2:3" x14ac:dyDescent="0.25">
      <c r="B6000" s="45"/>
      <c r="C6000" s="45"/>
    </row>
    <row r="6001" spans="2:3" x14ac:dyDescent="0.25">
      <c r="B6001" s="45"/>
      <c r="C6001" s="45"/>
    </row>
    <row r="6002" spans="2:3" x14ac:dyDescent="0.25">
      <c r="B6002" s="45"/>
      <c r="C6002" s="45"/>
    </row>
    <row r="6003" spans="2:3" x14ac:dyDescent="0.25">
      <c r="B6003" s="45"/>
      <c r="C6003" s="45"/>
    </row>
    <row r="6004" spans="2:3" x14ac:dyDescent="0.25">
      <c r="B6004" s="45"/>
      <c r="C6004" s="45"/>
    </row>
    <row r="6005" spans="2:3" x14ac:dyDescent="0.25">
      <c r="B6005" s="45"/>
      <c r="C6005" s="45"/>
    </row>
    <row r="6006" spans="2:3" x14ac:dyDescent="0.25">
      <c r="B6006" s="45"/>
      <c r="C6006" s="45"/>
    </row>
    <row r="6007" spans="2:3" x14ac:dyDescent="0.25">
      <c r="B6007" s="45"/>
      <c r="C6007" s="45"/>
    </row>
    <row r="6008" spans="2:3" x14ac:dyDescent="0.25">
      <c r="B6008" s="45"/>
      <c r="C6008" s="45"/>
    </row>
    <row r="6009" spans="2:3" x14ac:dyDescent="0.25">
      <c r="B6009" s="45"/>
      <c r="C6009" s="45"/>
    </row>
    <row r="6010" spans="2:3" x14ac:dyDescent="0.25">
      <c r="B6010" s="45"/>
      <c r="C6010" s="45"/>
    </row>
    <row r="6011" spans="2:3" x14ac:dyDescent="0.25">
      <c r="B6011" s="45"/>
      <c r="C6011" s="45"/>
    </row>
    <row r="6012" spans="2:3" x14ac:dyDescent="0.25">
      <c r="B6012" s="45"/>
      <c r="C6012" s="45"/>
    </row>
    <row r="6013" spans="2:3" x14ac:dyDescent="0.25">
      <c r="B6013" s="45"/>
      <c r="C6013" s="45"/>
    </row>
    <row r="6014" spans="2:3" x14ac:dyDescent="0.25">
      <c r="B6014" s="45"/>
      <c r="C6014" s="45"/>
    </row>
    <row r="6015" spans="2:3" x14ac:dyDescent="0.25">
      <c r="B6015" s="45"/>
      <c r="C6015" s="45"/>
    </row>
    <row r="6016" spans="2:3" x14ac:dyDescent="0.25">
      <c r="B6016" s="45"/>
      <c r="C6016" s="45"/>
    </row>
    <row r="6017" spans="2:3" x14ac:dyDescent="0.25">
      <c r="B6017" s="45"/>
      <c r="C6017" s="45"/>
    </row>
    <row r="6018" spans="2:3" x14ac:dyDescent="0.25">
      <c r="B6018" s="45"/>
      <c r="C6018" s="45"/>
    </row>
    <row r="6019" spans="2:3" x14ac:dyDescent="0.25">
      <c r="B6019" s="45"/>
      <c r="C6019" s="45"/>
    </row>
    <row r="6020" spans="2:3" x14ac:dyDescent="0.25">
      <c r="B6020" s="45"/>
      <c r="C6020" s="45"/>
    </row>
    <row r="6021" spans="2:3" x14ac:dyDescent="0.25">
      <c r="B6021" s="45"/>
      <c r="C6021" s="45"/>
    </row>
    <row r="6022" spans="2:3" x14ac:dyDescent="0.25">
      <c r="B6022" s="45"/>
      <c r="C6022" s="45"/>
    </row>
    <row r="6023" spans="2:3" x14ac:dyDescent="0.25">
      <c r="B6023" s="45"/>
      <c r="C6023" s="45"/>
    </row>
    <row r="6024" spans="2:3" x14ac:dyDescent="0.25">
      <c r="B6024" s="45"/>
      <c r="C6024" s="45"/>
    </row>
    <row r="6025" spans="2:3" x14ac:dyDescent="0.25">
      <c r="B6025" s="45"/>
      <c r="C6025" s="45"/>
    </row>
    <row r="6026" spans="2:3" x14ac:dyDescent="0.25">
      <c r="B6026" s="45"/>
      <c r="C6026" s="45"/>
    </row>
    <row r="6027" spans="2:3" x14ac:dyDescent="0.25">
      <c r="B6027" s="45"/>
      <c r="C6027" s="45"/>
    </row>
    <row r="6028" spans="2:3" x14ac:dyDescent="0.25">
      <c r="B6028" s="45"/>
      <c r="C6028" s="45"/>
    </row>
    <row r="6029" spans="2:3" x14ac:dyDescent="0.25">
      <c r="B6029" s="45"/>
      <c r="C6029" s="45"/>
    </row>
    <row r="6030" spans="2:3" x14ac:dyDescent="0.25">
      <c r="B6030" s="45"/>
      <c r="C6030" s="45"/>
    </row>
    <row r="6031" spans="2:3" x14ac:dyDescent="0.25">
      <c r="B6031" s="45"/>
      <c r="C6031" s="45"/>
    </row>
    <row r="6032" spans="2:3" x14ac:dyDescent="0.25">
      <c r="B6032" s="45"/>
      <c r="C6032" s="45"/>
    </row>
    <row r="6033" spans="2:3" x14ac:dyDescent="0.25">
      <c r="B6033" s="45"/>
      <c r="C6033" s="45"/>
    </row>
    <row r="6034" spans="2:3" x14ac:dyDescent="0.25">
      <c r="B6034" s="45"/>
      <c r="C6034" s="45"/>
    </row>
    <row r="6035" spans="2:3" x14ac:dyDescent="0.25">
      <c r="B6035" s="45"/>
      <c r="C6035" s="45"/>
    </row>
    <row r="6036" spans="2:3" x14ac:dyDescent="0.25">
      <c r="B6036" s="45"/>
      <c r="C6036" s="45"/>
    </row>
    <row r="6037" spans="2:3" x14ac:dyDescent="0.25">
      <c r="B6037" s="45"/>
      <c r="C6037" s="45"/>
    </row>
    <row r="6038" spans="2:3" x14ac:dyDescent="0.25">
      <c r="B6038" s="45"/>
      <c r="C6038" s="45"/>
    </row>
    <row r="6039" spans="2:3" x14ac:dyDescent="0.25">
      <c r="B6039" s="45"/>
      <c r="C6039" s="45"/>
    </row>
    <row r="6040" spans="2:3" x14ac:dyDescent="0.25">
      <c r="B6040" s="45"/>
      <c r="C6040" s="45"/>
    </row>
    <row r="6041" spans="2:3" x14ac:dyDescent="0.25">
      <c r="B6041" s="45"/>
      <c r="C6041" s="45"/>
    </row>
    <row r="6042" spans="2:3" x14ac:dyDescent="0.25">
      <c r="B6042" s="45"/>
      <c r="C6042" s="45"/>
    </row>
    <row r="6043" spans="2:3" x14ac:dyDescent="0.25">
      <c r="B6043" s="45"/>
      <c r="C6043" s="45"/>
    </row>
    <row r="6044" spans="2:3" x14ac:dyDescent="0.25">
      <c r="B6044" s="45"/>
      <c r="C6044" s="45"/>
    </row>
    <row r="6045" spans="2:3" x14ac:dyDescent="0.25">
      <c r="B6045" s="45"/>
      <c r="C6045" s="45"/>
    </row>
    <row r="6046" spans="2:3" x14ac:dyDescent="0.25">
      <c r="B6046" s="45"/>
      <c r="C6046" s="45"/>
    </row>
    <row r="6047" spans="2:3" x14ac:dyDescent="0.25">
      <c r="B6047" s="45"/>
      <c r="C6047" s="45"/>
    </row>
    <row r="6048" spans="2:3" x14ac:dyDescent="0.25">
      <c r="B6048" s="45"/>
      <c r="C6048" s="45"/>
    </row>
    <row r="6049" spans="2:3" x14ac:dyDescent="0.25">
      <c r="B6049" s="45"/>
      <c r="C6049" s="45"/>
    </row>
    <row r="6050" spans="2:3" x14ac:dyDescent="0.25">
      <c r="B6050" s="45"/>
      <c r="C6050" s="45"/>
    </row>
    <row r="6051" spans="2:3" x14ac:dyDescent="0.25">
      <c r="B6051" s="45"/>
      <c r="C6051" s="45"/>
    </row>
    <row r="6052" spans="2:3" x14ac:dyDescent="0.25">
      <c r="B6052" s="45"/>
      <c r="C6052" s="45"/>
    </row>
    <row r="6053" spans="2:3" x14ac:dyDescent="0.25">
      <c r="B6053" s="45"/>
      <c r="C6053" s="45"/>
    </row>
    <row r="6054" spans="2:3" x14ac:dyDescent="0.25">
      <c r="B6054" s="45"/>
      <c r="C6054" s="45"/>
    </row>
    <row r="6055" spans="2:3" x14ac:dyDescent="0.25">
      <c r="B6055" s="45"/>
      <c r="C6055" s="45"/>
    </row>
    <row r="6056" spans="2:3" x14ac:dyDescent="0.25">
      <c r="B6056" s="45"/>
      <c r="C6056" s="45"/>
    </row>
    <row r="6057" spans="2:3" x14ac:dyDescent="0.25">
      <c r="B6057" s="45"/>
      <c r="C6057" s="45"/>
    </row>
    <row r="6058" spans="2:3" x14ac:dyDescent="0.25">
      <c r="B6058" s="45"/>
      <c r="C6058" s="45"/>
    </row>
    <row r="6059" spans="2:3" x14ac:dyDescent="0.25">
      <c r="B6059" s="45"/>
      <c r="C6059" s="45"/>
    </row>
    <row r="6060" spans="2:3" x14ac:dyDescent="0.25">
      <c r="B6060" s="45"/>
      <c r="C6060" s="45"/>
    </row>
    <row r="6061" spans="2:3" x14ac:dyDescent="0.25">
      <c r="B6061" s="45"/>
      <c r="C6061" s="45"/>
    </row>
    <row r="6062" spans="2:3" x14ac:dyDescent="0.25">
      <c r="B6062" s="45"/>
      <c r="C6062" s="45"/>
    </row>
    <row r="6063" spans="2:3" x14ac:dyDescent="0.25">
      <c r="B6063" s="45"/>
      <c r="C6063" s="45"/>
    </row>
    <row r="6064" spans="2:3" x14ac:dyDescent="0.25">
      <c r="B6064" s="45"/>
      <c r="C6064" s="45"/>
    </row>
    <row r="6065" spans="2:3" x14ac:dyDescent="0.25">
      <c r="B6065" s="45"/>
      <c r="C6065" s="45"/>
    </row>
    <row r="6066" spans="2:3" x14ac:dyDescent="0.25">
      <c r="B6066" s="45"/>
      <c r="C6066" s="45"/>
    </row>
    <row r="6067" spans="2:3" x14ac:dyDescent="0.25">
      <c r="B6067" s="45"/>
      <c r="C6067" s="45"/>
    </row>
    <row r="6068" spans="2:3" x14ac:dyDescent="0.25">
      <c r="B6068" s="45"/>
      <c r="C6068" s="45"/>
    </row>
    <row r="6069" spans="2:3" x14ac:dyDescent="0.25">
      <c r="B6069" s="45"/>
      <c r="C6069" s="45"/>
    </row>
    <row r="6070" spans="2:3" x14ac:dyDescent="0.25">
      <c r="B6070" s="45"/>
      <c r="C6070" s="45"/>
    </row>
    <row r="6071" spans="2:3" x14ac:dyDescent="0.25">
      <c r="B6071" s="45"/>
      <c r="C6071" s="45"/>
    </row>
    <row r="6072" spans="2:3" x14ac:dyDescent="0.25">
      <c r="B6072" s="45"/>
      <c r="C6072" s="45"/>
    </row>
    <row r="6073" spans="2:3" x14ac:dyDescent="0.25">
      <c r="B6073" s="45"/>
      <c r="C6073" s="45"/>
    </row>
    <row r="6074" spans="2:3" x14ac:dyDescent="0.25">
      <c r="B6074" s="45"/>
      <c r="C6074" s="45"/>
    </row>
    <row r="6075" spans="2:3" x14ac:dyDescent="0.25">
      <c r="B6075" s="45"/>
      <c r="C6075" s="45"/>
    </row>
    <row r="6076" spans="2:3" x14ac:dyDescent="0.25">
      <c r="B6076" s="45"/>
      <c r="C6076" s="45"/>
    </row>
    <row r="6077" spans="2:3" x14ac:dyDescent="0.25">
      <c r="B6077" s="45"/>
      <c r="C6077" s="45"/>
    </row>
    <row r="6078" spans="2:3" x14ac:dyDescent="0.25">
      <c r="B6078" s="45"/>
      <c r="C6078" s="45"/>
    </row>
    <row r="6079" spans="2:3" x14ac:dyDescent="0.25">
      <c r="B6079" s="45"/>
      <c r="C6079" s="45"/>
    </row>
    <row r="6080" spans="2:3" x14ac:dyDescent="0.25">
      <c r="B6080" s="45"/>
      <c r="C6080" s="45"/>
    </row>
    <row r="6081" spans="2:3" x14ac:dyDescent="0.25">
      <c r="B6081" s="45"/>
      <c r="C6081" s="45"/>
    </row>
    <row r="6082" spans="2:3" x14ac:dyDescent="0.25">
      <c r="B6082" s="45"/>
      <c r="C6082" s="45"/>
    </row>
    <row r="6083" spans="2:3" x14ac:dyDescent="0.25">
      <c r="B6083" s="45"/>
      <c r="C6083" s="45"/>
    </row>
    <row r="6084" spans="2:3" x14ac:dyDescent="0.25">
      <c r="B6084" s="45"/>
      <c r="C6084" s="45"/>
    </row>
    <row r="6085" spans="2:3" x14ac:dyDescent="0.25">
      <c r="B6085" s="45"/>
      <c r="C6085" s="45"/>
    </row>
    <row r="6086" spans="2:3" x14ac:dyDescent="0.25">
      <c r="B6086" s="45"/>
      <c r="C6086" s="45"/>
    </row>
    <row r="6087" spans="2:3" x14ac:dyDescent="0.25">
      <c r="B6087" s="45"/>
      <c r="C6087" s="45"/>
    </row>
    <row r="6088" spans="2:3" x14ac:dyDescent="0.25">
      <c r="B6088" s="45"/>
      <c r="C6088" s="45"/>
    </row>
    <row r="6089" spans="2:3" x14ac:dyDescent="0.25">
      <c r="B6089" s="45"/>
      <c r="C6089" s="45"/>
    </row>
    <row r="6090" spans="2:3" x14ac:dyDescent="0.25">
      <c r="B6090" s="45"/>
      <c r="C6090" s="45"/>
    </row>
    <row r="6091" spans="2:3" x14ac:dyDescent="0.25">
      <c r="B6091" s="45"/>
      <c r="C6091" s="45"/>
    </row>
    <row r="6092" spans="2:3" x14ac:dyDescent="0.25">
      <c r="B6092" s="45"/>
      <c r="C6092" s="45"/>
    </row>
    <row r="6093" spans="2:3" x14ac:dyDescent="0.25">
      <c r="B6093" s="45"/>
      <c r="C6093" s="45"/>
    </row>
    <row r="6094" spans="2:3" x14ac:dyDescent="0.25">
      <c r="B6094" s="45"/>
      <c r="C6094" s="45"/>
    </row>
    <row r="6095" spans="2:3" x14ac:dyDescent="0.25">
      <c r="B6095" s="45"/>
      <c r="C6095" s="45"/>
    </row>
    <row r="6096" spans="2:3" x14ac:dyDescent="0.25">
      <c r="B6096" s="45"/>
      <c r="C6096" s="45"/>
    </row>
    <row r="6097" spans="2:3" x14ac:dyDescent="0.25">
      <c r="B6097" s="45"/>
      <c r="C6097" s="45"/>
    </row>
    <row r="6098" spans="2:3" x14ac:dyDescent="0.25">
      <c r="B6098" s="45"/>
      <c r="C6098" s="45"/>
    </row>
    <row r="6099" spans="2:3" x14ac:dyDescent="0.25">
      <c r="B6099" s="45"/>
      <c r="C6099" s="45"/>
    </row>
    <row r="6100" spans="2:3" x14ac:dyDescent="0.25">
      <c r="B6100" s="45"/>
      <c r="C6100" s="45"/>
    </row>
    <row r="6101" spans="2:3" x14ac:dyDescent="0.25">
      <c r="B6101" s="45"/>
      <c r="C6101" s="45"/>
    </row>
    <row r="6102" spans="2:3" x14ac:dyDescent="0.25">
      <c r="B6102" s="45"/>
      <c r="C6102" s="45"/>
    </row>
    <row r="6103" spans="2:3" x14ac:dyDescent="0.25">
      <c r="B6103" s="45"/>
      <c r="C6103" s="45"/>
    </row>
    <row r="6104" spans="2:3" x14ac:dyDescent="0.25">
      <c r="B6104" s="45"/>
      <c r="C6104" s="45"/>
    </row>
    <row r="6105" spans="2:3" x14ac:dyDescent="0.25">
      <c r="B6105" s="45"/>
      <c r="C6105" s="45"/>
    </row>
    <row r="6106" spans="2:3" x14ac:dyDescent="0.25">
      <c r="B6106" s="45"/>
      <c r="C6106" s="45"/>
    </row>
    <row r="6107" spans="2:3" x14ac:dyDescent="0.25">
      <c r="B6107" s="45"/>
      <c r="C6107" s="45"/>
    </row>
    <row r="6108" spans="2:3" x14ac:dyDescent="0.25">
      <c r="B6108" s="45"/>
      <c r="C6108" s="45"/>
    </row>
    <row r="6109" spans="2:3" x14ac:dyDescent="0.25">
      <c r="B6109" s="45"/>
      <c r="C6109" s="45"/>
    </row>
    <row r="6110" spans="2:3" x14ac:dyDescent="0.25">
      <c r="B6110" s="45"/>
      <c r="C6110" s="45"/>
    </row>
    <row r="6111" spans="2:3" x14ac:dyDescent="0.25">
      <c r="B6111" s="45"/>
      <c r="C6111" s="45"/>
    </row>
    <row r="6112" spans="2:3" x14ac:dyDescent="0.25">
      <c r="B6112" s="45"/>
      <c r="C6112" s="45"/>
    </row>
    <row r="6113" spans="2:3" x14ac:dyDescent="0.25">
      <c r="B6113" s="45"/>
      <c r="C6113" s="45"/>
    </row>
    <row r="6114" spans="2:3" x14ac:dyDescent="0.25">
      <c r="B6114" s="45"/>
      <c r="C6114" s="45"/>
    </row>
    <row r="6115" spans="2:3" x14ac:dyDescent="0.25">
      <c r="B6115" s="45"/>
      <c r="C6115" s="45"/>
    </row>
    <row r="6116" spans="2:3" x14ac:dyDescent="0.25">
      <c r="B6116" s="45"/>
      <c r="C6116" s="45"/>
    </row>
    <row r="6117" spans="2:3" x14ac:dyDescent="0.25">
      <c r="B6117" s="45"/>
      <c r="C6117" s="45"/>
    </row>
    <row r="6118" spans="2:3" x14ac:dyDescent="0.25">
      <c r="B6118" s="45"/>
      <c r="C6118" s="45"/>
    </row>
    <row r="6119" spans="2:3" x14ac:dyDescent="0.25">
      <c r="B6119" s="45"/>
      <c r="C6119" s="45"/>
    </row>
    <row r="6120" spans="2:3" x14ac:dyDescent="0.25">
      <c r="B6120" s="45"/>
      <c r="C6120" s="45"/>
    </row>
    <row r="6121" spans="2:3" x14ac:dyDescent="0.25">
      <c r="B6121" s="45"/>
      <c r="C6121" s="45"/>
    </row>
    <row r="6122" spans="2:3" x14ac:dyDescent="0.25">
      <c r="B6122" s="45"/>
      <c r="C6122" s="45"/>
    </row>
    <row r="6123" spans="2:3" x14ac:dyDescent="0.25">
      <c r="B6123" s="45"/>
      <c r="C6123" s="45"/>
    </row>
    <row r="6124" spans="2:3" x14ac:dyDescent="0.25">
      <c r="B6124" s="45"/>
      <c r="C6124" s="45"/>
    </row>
    <row r="6125" spans="2:3" x14ac:dyDescent="0.25">
      <c r="B6125" s="45"/>
      <c r="C6125" s="45"/>
    </row>
    <row r="6126" spans="2:3" x14ac:dyDescent="0.25">
      <c r="B6126" s="45"/>
      <c r="C6126" s="45"/>
    </row>
    <row r="6127" spans="2:3" x14ac:dyDescent="0.25">
      <c r="B6127" s="45"/>
      <c r="C6127" s="45"/>
    </row>
    <row r="6128" spans="2:3" x14ac:dyDescent="0.25">
      <c r="B6128" s="45"/>
      <c r="C6128" s="45"/>
    </row>
    <row r="6129" spans="2:3" x14ac:dyDescent="0.25">
      <c r="B6129" s="45"/>
      <c r="C6129" s="45"/>
    </row>
    <row r="6130" spans="2:3" x14ac:dyDescent="0.25">
      <c r="B6130" s="45"/>
      <c r="C6130" s="45"/>
    </row>
    <row r="6131" spans="2:3" x14ac:dyDescent="0.25">
      <c r="B6131" s="45"/>
      <c r="C6131" s="45"/>
    </row>
    <row r="6132" spans="2:3" x14ac:dyDescent="0.25">
      <c r="B6132" s="45"/>
      <c r="C6132" s="45"/>
    </row>
    <row r="6133" spans="2:3" x14ac:dyDescent="0.25">
      <c r="B6133" s="45"/>
      <c r="C6133" s="45"/>
    </row>
    <row r="6134" spans="2:3" x14ac:dyDescent="0.25">
      <c r="B6134" s="45"/>
      <c r="C6134" s="45"/>
    </row>
    <row r="6135" spans="2:3" x14ac:dyDescent="0.25">
      <c r="B6135" s="45"/>
      <c r="C6135" s="45"/>
    </row>
    <row r="6136" spans="2:3" x14ac:dyDescent="0.25">
      <c r="B6136" s="45"/>
      <c r="C6136" s="45"/>
    </row>
    <row r="6137" spans="2:3" x14ac:dyDescent="0.25">
      <c r="B6137" s="45"/>
      <c r="C6137" s="45"/>
    </row>
    <row r="6138" spans="2:3" x14ac:dyDescent="0.25">
      <c r="B6138" s="45"/>
      <c r="C6138" s="45"/>
    </row>
    <row r="6139" spans="2:3" x14ac:dyDescent="0.25">
      <c r="B6139" s="45"/>
      <c r="C6139" s="45"/>
    </row>
    <row r="6140" spans="2:3" x14ac:dyDescent="0.25">
      <c r="B6140" s="45"/>
      <c r="C6140" s="45"/>
    </row>
    <row r="6141" spans="2:3" x14ac:dyDescent="0.25">
      <c r="B6141" s="45"/>
      <c r="C6141" s="45"/>
    </row>
    <row r="6142" spans="2:3" x14ac:dyDescent="0.25">
      <c r="B6142" s="45"/>
      <c r="C6142" s="45"/>
    </row>
    <row r="6143" spans="2:3" x14ac:dyDescent="0.25">
      <c r="B6143" s="45"/>
      <c r="C6143" s="45"/>
    </row>
    <row r="6144" spans="2:3" x14ac:dyDescent="0.25">
      <c r="B6144" s="45"/>
      <c r="C6144" s="45"/>
    </row>
    <row r="6145" spans="2:3" x14ac:dyDescent="0.25">
      <c r="B6145" s="45"/>
      <c r="C6145" s="45"/>
    </row>
    <row r="6146" spans="2:3" x14ac:dyDescent="0.25">
      <c r="B6146" s="45"/>
      <c r="C6146" s="45"/>
    </row>
    <row r="6147" spans="2:3" x14ac:dyDescent="0.25">
      <c r="B6147" s="45"/>
      <c r="C6147" s="45"/>
    </row>
    <row r="6148" spans="2:3" x14ac:dyDescent="0.25">
      <c r="B6148" s="45"/>
      <c r="C6148" s="45"/>
    </row>
    <row r="6149" spans="2:3" x14ac:dyDescent="0.25">
      <c r="B6149" s="45"/>
      <c r="C6149" s="45"/>
    </row>
    <row r="6150" spans="2:3" x14ac:dyDescent="0.25">
      <c r="B6150" s="45"/>
      <c r="C6150" s="45"/>
    </row>
    <row r="6151" spans="2:3" x14ac:dyDescent="0.25">
      <c r="B6151" s="45"/>
      <c r="C6151" s="45"/>
    </row>
    <row r="6152" spans="2:3" x14ac:dyDescent="0.25">
      <c r="B6152" s="45"/>
      <c r="C6152" s="45"/>
    </row>
    <row r="6153" spans="2:3" x14ac:dyDescent="0.25">
      <c r="B6153" s="45"/>
      <c r="C6153" s="45"/>
    </row>
    <row r="6154" spans="2:3" x14ac:dyDescent="0.25">
      <c r="B6154" s="45"/>
      <c r="C6154" s="45"/>
    </row>
    <row r="6155" spans="2:3" x14ac:dyDescent="0.25">
      <c r="B6155" s="45"/>
      <c r="C6155" s="45"/>
    </row>
    <row r="6156" spans="2:3" x14ac:dyDescent="0.25">
      <c r="B6156" s="45"/>
      <c r="C6156" s="45"/>
    </row>
    <row r="6157" spans="2:3" x14ac:dyDescent="0.25">
      <c r="B6157" s="45"/>
      <c r="C6157" s="45"/>
    </row>
    <row r="6158" spans="2:3" x14ac:dyDescent="0.25">
      <c r="B6158" s="45"/>
      <c r="C6158" s="45"/>
    </row>
    <row r="6159" spans="2:3" x14ac:dyDescent="0.25">
      <c r="B6159" s="45"/>
      <c r="C6159" s="45"/>
    </row>
    <row r="6160" spans="2:3" x14ac:dyDescent="0.25">
      <c r="B6160" s="45"/>
      <c r="C6160" s="45"/>
    </row>
    <row r="6161" spans="2:3" x14ac:dyDescent="0.25">
      <c r="B6161" s="45"/>
      <c r="C6161" s="45"/>
    </row>
    <row r="6162" spans="2:3" x14ac:dyDescent="0.25">
      <c r="B6162" s="45"/>
      <c r="C6162" s="45"/>
    </row>
    <row r="6163" spans="2:3" x14ac:dyDescent="0.25">
      <c r="B6163" s="45"/>
      <c r="C6163" s="45"/>
    </row>
    <row r="6164" spans="2:3" x14ac:dyDescent="0.25">
      <c r="B6164" s="45"/>
      <c r="C6164" s="45"/>
    </row>
    <row r="6165" spans="2:3" x14ac:dyDescent="0.25">
      <c r="B6165" s="45"/>
      <c r="C6165" s="45"/>
    </row>
    <row r="6166" spans="2:3" x14ac:dyDescent="0.25">
      <c r="B6166" s="45"/>
      <c r="C6166" s="45"/>
    </row>
    <row r="6167" spans="2:3" x14ac:dyDescent="0.25">
      <c r="B6167" s="45"/>
      <c r="C6167" s="45"/>
    </row>
    <row r="6168" spans="2:3" x14ac:dyDescent="0.25">
      <c r="B6168" s="45"/>
      <c r="C6168" s="45"/>
    </row>
    <row r="6169" spans="2:3" x14ac:dyDescent="0.25">
      <c r="B6169" s="45"/>
      <c r="C6169" s="45"/>
    </row>
    <row r="6170" spans="2:3" x14ac:dyDescent="0.25">
      <c r="B6170" s="45"/>
      <c r="C6170" s="45"/>
    </row>
    <row r="6171" spans="2:3" x14ac:dyDescent="0.25">
      <c r="B6171" s="45"/>
      <c r="C6171" s="45"/>
    </row>
    <row r="6172" spans="2:3" x14ac:dyDescent="0.25">
      <c r="B6172" s="45"/>
      <c r="C6172" s="45"/>
    </row>
    <row r="6173" spans="2:3" x14ac:dyDescent="0.25">
      <c r="B6173" s="45"/>
      <c r="C6173" s="45"/>
    </row>
    <row r="6174" spans="2:3" x14ac:dyDescent="0.25">
      <c r="B6174" s="45"/>
      <c r="C6174" s="45"/>
    </row>
    <row r="6175" spans="2:3" x14ac:dyDescent="0.25">
      <c r="B6175" s="45"/>
      <c r="C6175" s="45"/>
    </row>
    <row r="6176" spans="2:3" x14ac:dyDescent="0.25">
      <c r="B6176" s="45"/>
      <c r="C6176" s="45"/>
    </row>
    <row r="6177" spans="2:3" x14ac:dyDescent="0.25">
      <c r="B6177" s="45"/>
      <c r="C6177" s="45"/>
    </row>
    <row r="6178" spans="2:3" x14ac:dyDescent="0.25">
      <c r="B6178" s="45"/>
      <c r="C6178" s="45"/>
    </row>
    <row r="6179" spans="2:3" x14ac:dyDescent="0.25">
      <c r="B6179" s="45"/>
      <c r="C6179" s="45"/>
    </row>
    <row r="6180" spans="2:3" x14ac:dyDescent="0.25">
      <c r="B6180" s="45"/>
      <c r="C6180" s="45"/>
    </row>
    <row r="6181" spans="2:3" x14ac:dyDescent="0.25">
      <c r="B6181" s="45"/>
      <c r="C6181" s="45"/>
    </row>
    <row r="6182" spans="2:3" x14ac:dyDescent="0.25">
      <c r="B6182" s="45"/>
      <c r="C6182" s="45"/>
    </row>
    <row r="6183" spans="2:3" x14ac:dyDescent="0.25">
      <c r="B6183" s="45"/>
      <c r="C6183" s="45"/>
    </row>
    <row r="6184" spans="2:3" x14ac:dyDescent="0.25">
      <c r="B6184" s="45"/>
      <c r="C6184" s="45"/>
    </row>
    <row r="6185" spans="2:3" x14ac:dyDescent="0.25">
      <c r="B6185" s="45"/>
      <c r="C6185" s="45"/>
    </row>
    <row r="6186" spans="2:3" x14ac:dyDescent="0.25">
      <c r="B6186" s="45"/>
      <c r="C6186" s="45"/>
    </row>
    <row r="6187" spans="2:3" x14ac:dyDescent="0.25">
      <c r="B6187" s="45"/>
      <c r="C6187" s="45"/>
    </row>
    <row r="6188" spans="2:3" x14ac:dyDescent="0.25">
      <c r="B6188" s="45"/>
      <c r="C6188" s="45"/>
    </row>
    <row r="6189" spans="2:3" x14ac:dyDescent="0.25">
      <c r="B6189" s="45"/>
      <c r="C6189" s="45"/>
    </row>
    <row r="6190" spans="2:3" x14ac:dyDescent="0.25">
      <c r="B6190" s="45"/>
      <c r="C6190" s="45"/>
    </row>
    <row r="6191" spans="2:3" x14ac:dyDescent="0.25">
      <c r="B6191" s="45"/>
      <c r="C6191" s="45"/>
    </row>
    <row r="6192" spans="2:3" x14ac:dyDescent="0.25">
      <c r="B6192" s="45"/>
      <c r="C6192" s="45"/>
    </row>
    <row r="6193" spans="2:3" x14ac:dyDescent="0.25">
      <c r="B6193" s="45"/>
      <c r="C6193" s="45"/>
    </row>
    <row r="6194" spans="2:3" x14ac:dyDescent="0.25">
      <c r="B6194" s="45"/>
      <c r="C6194" s="45"/>
    </row>
    <row r="6195" spans="2:3" x14ac:dyDescent="0.25">
      <c r="B6195" s="45"/>
      <c r="C6195" s="45"/>
    </row>
    <row r="6196" spans="2:3" x14ac:dyDescent="0.25">
      <c r="B6196" s="45"/>
      <c r="C6196" s="45"/>
    </row>
    <row r="6197" spans="2:3" x14ac:dyDescent="0.25">
      <c r="B6197" s="45"/>
      <c r="C6197" s="45"/>
    </row>
    <row r="6198" spans="2:3" x14ac:dyDescent="0.25">
      <c r="B6198" s="45"/>
      <c r="C6198" s="45"/>
    </row>
    <row r="6199" spans="2:3" x14ac:dyDescent="0.25">
      <c r="B6199" s="45"/>
      <c r="C6199" s="45"/>
    </row>
    <row r="6200" spans="2:3" x14ac:dyDescent="0.25">
      <c r="B6200" s="45"/>
      <c r="C6200" s="45"/>
    </row>
    <row r="6201" spans="2:3" x14ac:dyDescent="0.25">
      <c r="B6201" s="45"/>
      <c r="C6201" s="45"/>
    </row>
    <row r="6202" spans="2:3" x14ac:dyDescent="0.25">
      <c r="B6202" s="45"/>
      <c r="C6202" s="45"/>
    </row>
    <row r="6203" spans="2:3" x14ac:dyDescent="0.25">
      <c r="B6203" s="45"/>
      <c r="C6203" s="45"/>
    </row>
    <row r="6204" spans="2:3" x14ac:dyDescent="0.25">
      <c r="B6204" s="45"/>
      <c r="C6204" s="45"/>
    </row>
    <row r="6205" spans="2:3" x14ac:dyDescent="0.25">
      <c r="B6205" s="45"/>
      <c r="C6205" s="45"/>
    </row>
    <row r="6206" spans="2:3" x14ac:dyDescent="0.25">
      <c r="B6206" s="45"/>
      <c r="C6206" s="45"/>
    </row>
    <row r="6207" spans="2:3" x14ac:dyDescent="0.25">
      <c r="B6207" s="45"/>
      <c r="C6207" s="45"/>
    </row>
    <row r="6208" spans="2:3" x14ac:dyDescent="0.25">
      <c r="B6208" s="45"/>
      <c r="C6208" s="45"/>
    </row>
    <row r="6209" spans="2:3" x14ac:dyDescent="0.25">
      <c r="B6209" s="45"/>
      <c r="C6209" s="45"/>
    </row>
    <row r="6210" spans="2:3" x14ac:dyDescent="0.25">
      <c r="B6210" s="45"/>
      <c r="C6210" s="45"/>
    </row>
    <row r="6211" spans="2:3" x14ac:dyDescent="0.25">
      <c r="B6211" s="45"/>
      <c r="C6211" s="45"/>
    </row>
    <row r="6212" spans="2:3" x14ac:dyDescent="0.25">
      <c r="B6212" s="45"/>
      <c r="C6212" s="45"/>
    </row>
    <row r="6213" spans="2:3" x14ac:dyDescent="0.25">
      <c r="B6213" s="45"/>
      <c r="C6213" s="45"/>
    </row>
    <row r="6214" spans="2:3" x14ac:dyDescent="0.25">
      <c r="B6214" s="45"/>
      <c r="C6214" s="45"/>
    </row>
    <row r="6215" spans="2:3" x14ac:dyDescent="0.25">
      <c r="B6215" s="45"/>
      <c r="C6215" s="45"/>
    </row>
    <row r="6216" spans="2:3" x14ac:dyDescent="0.25">
      <c r="B6216" s="45"/>
      <c r="C6216" s="45"/>
    </row>
    <row r="6217" spans="2:3" x14ac:dyDescent="0.25">
      <c r="B6217" s="45"/>
      <c r="C6217" s="45"/>
    </row>
    <row r="6218" spans="2:3" x14ac:dyDescent="0.25">
      <c r="B6218" s="45"/>
      <c r="C6218" s="45"/>
    </row>
    <row r="6219" spans="2:3" x14ac:dyDescent="0.25">
      <c r="B6219" s="45"/>
      <c r="C6219" s="45"/>
    </row>
    <row r="6220" spans="2:3" x14ac:dyDescent="0.25">
      <c r="B6220" s="45"/>
      <c r="C6220" s="45"/>
    </row>
    <row r="6221" spans="2:3" x14ac:dyDescent="0.25">
      <c r="B6221" s="45"/>
      <c r="C6221" s="45"/>
    </row>
    <row r="6222" spans="2:3" x14ac:dyDescent="0.25">
      <c r="B6222" s="45"/>
      <c r="C6222" s="45"/>
    </row>
    <row r="6223" spans="2:3" x14ac:dyDescent="0.25">
      <c r="B6223" s="45"/>
      <c r="C6223" s="45"/>
    </row>
    <row r="6224" spans="2:3" x14ac:dyDescent="0.25">
      <c r="B6224" s="45"/>
      <c r="C6224" s="45"/>
    </row>
    <row r="6225" spans="2:3" x14ac:dyDescent="0.25">
      <c r="B6225" s="45"/>
      <c r="C6225" s="45"/>
    </row>
    <row r="6226" spans="2:3" x14ac:dyDescent="0.25">
      <c r="B6226" s="45"/>
      <c r="C6226" s="45"/>
    </row>
    <row r="6227" spans="2:3" x14ac:dyDescent="0.25">
      <c r="B6227" s="45"/>
      <c r="C6227" s="45"/>
    </row>
    <row r="6228" spans="2:3" x14ac:dyDescent="0.25">
      <c r="B6228" s="45"/>
      <c r="C6228" s="45"/>
    </row>
    <row r="6229" spans="2:3" x14ac:dyDescent="0.25">
      <c r="B6229" s="45"/>
      <c r="C6229" s="45"/>
    </row>
    <row r="6230" spans="2:3" x14ac:dyDescent="0.25">
      <c r="B6230" s="45"/>
      <c r="C6230" s="45"/>
    </row>
    <row r="6231" spans="2:3" x14ac:dyDescent="0.25">
      <c r="B6231" s="45"/>
      <c r="C6231" s="45"/>
    </row>
    <row r="6232" spans="2:3" x14ac:dyDescent="0.25">
      <c r="B6232" s="45"/>
      <c r="C6232" s="45"/>
    </row>
    <row r="6233" spans="2:3" x14ac:dyDescent="0.25">
      <c r="B6233" s="45"/>
      <c r="C6233" s="45"/>
    </row>
    <row r="6234" spans="2:3" x14ac:dyDescent="0.25">
      <c r="B6234" s="45"/>
      <c r="C6234" s="45"/>
    </row>
    <row r="6235" spans="2:3" x14ac:dyDescent="0.25">
      <c r="B6235" s="45"/>
      <c r="C6235" s="45"/>
    </row>
    <row r="6236" spans="2:3" x14ac:dyDescent="0.25">
      <c r="B6236" s="45"/>
      <c r="C6236" s="45"/>
    </row>
    <row r="6237" spans="2:3" x14ac:dyDescent="0.25">
      <c r="B6237" s="45"/>
      <c r="C6237" s="45"/>
    </row>
    <row r="6238" spans="2:3" x14ac:dyDescent="0.25">
      <c r="B6238" s="45"/>
      <c r="C6238" s="45"/>
    </row>
    <row r="6239" spans="2:3" x14ac:dyDescent="0.25">
      <c r="B6239" s="45"/>
      <c r="C6239" s="45"/>
    </row>
    <row r="6240" spans="2:3" x14ac:dyDescent="0.25">
      <c r="B6240" s="45"/>
      <c r="C6240" s="45"/>
    </row>
    <row r="6241" spans="2:3" x14ac:dyDescent="0.25">
      <c r="B6241" s="45"/>
      <c r="C6241" s="45"/>
    </row>
    <row r="6242" spans="2:3" x14ac:dyDescent="0.25">
      <c r="B6242" s="45"/>
      <c r="C6242" s="45"/>
    </row>
    <row r="6243" spans="2:3" x14ac:dyDescent="0.25">
      <c r="B6243" s="45"/>
      <c r="C6243" s="45"/>
    </row>
    <row r="6244" spans="2:3" x14ac:dyDescent="0.25">
      <c r="B6244" s="45"/>
      <c r="C6244" s="45"/>
    </row>
    <row r="6245" spans="2:3" x14ac:dyDescent="0.25">
      <c r="B6245" s="45"/>
      <c r="C6245" s="45"/>
    </row>
    <row r="6246" spans="2:3" x14ac:dyDescent="0.25">
      <c r="B6246" s="45"/>
      <c r="C6246" s="45"/>
    </row>
    <row r="6247" spans="2:3" x14ac:dyDescent="0.25">
      <c r="B6247" s="45"/>
      <c r="C6247" s="45"/>
    </row>
    <row r="6248" spans="2:3" x14ac:dyDescent="0.25">
      <c r="B6248" s="45"/>
      <c r="C6248" s="45"/>
    </row>
    <row r="6249" spans="2:3" x14ac:dyDescent="0.25">
      <c r="B6249" s="45"/>
      <c r="C6249" s="45"/>
    </row>
    <row r="6250" spans="2:3" x14ac:dyDescent="0.25">
      <c r="B6250" s="45"/>
      <c r="C6250" s="45"/>
    </row>
    <row r="6251" spans="2:3" x14ac:dyDescent="0.25">
      <c r="B6251" s="45"/>
      <c r="C6251" s="45"/>
    </row>
    <row r="6252" spans="2:3" x14ac:dyDescent="0.25">
      <c r="B6252" s="45"/>
      <c r="C6252" s="45"/>
    </row>
    <row r="6253" spans="2:3" x14ac:dyDescent="0.25">
      <c r="B6253" s="45"/>
      <c r="C6253" s="45"/>
    </row>
    <row r="6254" spans="2:3" x14ac:dyDescent="0.25">
      <c r="B6254" s="45"/>
      <c r="C6254" s="45"/>
    </row>
    <row r="6255" spans="2:3" x14ac:dyDescent="0.25">
      <c r="B6255" s="45"/>
      <c r="C6255" s="45"/>
    </row>
    <row r="6256" spans="2:3" x14ac:dyDescent="0.25">
      <c r="B6256" s="45"/>
      <c r="C6256" s="45"/>
    </row>
    <row r="6257" spans="2:3" x14ac:dyDescent="0.25">
      <c r="B6257" s="45"/>
      <c r="C6257" s="45"/>
    </row>
    <row r="6258" spans="2:3" x14ac:dyDescent="0.25">
      <c r="B6258" s="45"/>
      <c r="C6258" s="45"/>
    </row>
    <row r="6259" spans="2:3" x14ac:dyDescent="0.25">
      <c r="B6259" s="45"/>
      <c r="C6259" s="45"/>
    </row>
    <row r="6260" spans="2:3" x14ac:dyDescent="0.25">
      <c r="B6260" s="45"/>
      <c r="C6260" s="45"/>
    </row>
    <row r="6261" spans="2:3" x14ac:dyDescent="0.25">
      <c r="B6261" s="45"/>
      <c r="C6261" s="45"/>
    </row>
    <row r="6262" spans="2:3" x14ac:dyDescent="0.25">
      <c r="B6262" s="45"/>
      <c r="C6262" s="45"/>
    </row>
    <row r="6263" spans="2:3" x14ac:dyDescent="0.25">
      <c r="B6263" s="45"/>
      <c r="C6263" s="45"/>
    </row>
    <row r="6264" spans="2:3" x14ac:dyDescent="0.25">
      <c r="B6264" s="45"/>
      <c r="C6264" s="45"/>
    </row>
    <row r="6265" spans="2:3" x14ac:dyDescent="0.25">
      <c r="B6265" s="45"/>
      <c r="C6265" s="45"/>
    </row>
    <row r="6266" spans="2:3" x14ac:dyDescent="0.25">
      <c r="B6266" s="45"/>
      <c r="C6266" s="45"/>
    </row>
    <row r="6267" spans="2:3" x14ac:dyDescent="0.25">
      <c r="B6267" s="45"/>
      <c r="C6267" s="45"/>
    </row>
    <row r="6268" spans="2:3" x14ac:dyDescent="0.25">
      <c r="B6268" s="45"/>
      <c r="C6268" s="45"/>
    </row>
    <row r="6269" spans="2:3" x14ac:dyDescent="0.25">
      <c r="B6269" s="45"/>
      <c r="C6269" s="45"/>
    </row>
    <row r="6270" spans="2:3" x14ac:dyDescent="0.25">
      <c r="B6270" s="45"/>
      <c r="C6270" s="45"/>
    </row>
    <row r="6271" spans="2:3" x14ac:dyDescent="0.25">
      <c r="B6271" s="45"/>
      <c r="C6271" s="45"/>
    </row>
    <row r="6272" spans="2:3" x14ac:dyDescent="0.25">
      <c r="B6272" s="45"/>
      <c r="C6272" s="45"/>
    </row>
    <row r="6273" spans="2:3" x14ac:dyDescent="0.25">
      <c r="B6273" s="45"/>
      <c r="C6273" s="45"/>
    </row>
    <row r="6274" spans="2:3" x14ac:dyDescent="0.25">
      <c r="B6274" s="45"/>
      <c r="C6274" s="45"/>
    </row>
    <row r="6275" spans="2:3" x14ac:dyDescent="0.25">
      <c r="B6275" s="45"/>
      <c r="C6275" s="45"/>
    </row>
    <row r="6276" spans="2:3" x14ac:dyDescent="0.25">
      <c r="B6276" s="45"/>
      <c r="C6276" s="45"/>
    </row>
    <row r="6277" spans="2:3" x14ac:dyDescent="0.25">
      <c r="B6277" s="45"/>
      <c r="C6277" s="45"/>
    </row>
    <row r="6278" spans="2:3" x14ac:dyDescent="0.25">
      <c r="B6278" s="45"/>
      <c r="C6278" s="45"/>
    </row>
    <row r="6279" spans="2:3" x14ac:dyDescent="0.25">
      <c r="B6279" s="45"/>
      <c r="C6279" s="45"/>
    </row>
    <row r="6280" spans="2:3" x14ac:dyDescent="0.25">
      <c r="B6280" s="45"/>
      <c r="C6280" s="45"/>
    </row>
    <row r="6281" spans="2:3" x14ac:dyDescent="0.25">
      <c r="B6281" s="45"/>
      <c r="C6281" s="45"/>
    </row>
    <row r="6282" spans="2:3" x14ac:dyDescent="0.25">
      <c r="B6282" s="45"/>
      <c r="C6282" s="45"/>
    </row>
    <row r="6283" spans="2:3" x14ac:dyDescent="0.25">
      <c r="B6283" s="45"/>
      <c r="C6283" s="45"/>
    </row>
    <row r="6284" spans="2:3" x14ac:dyDescent="0.25">
      <c r="B6284" s="45"/>
      <c r="C6284" s="45"/>
    </row>
    <row r="6285" spans="2:3" x14ac:dyDescent="0.25">
      <c r="B6285" s="45"/>
      <c r="C6285" s="45"/>
    </row>
    <row r="6286" spans="2:3" x14ac:dyDescent="0.25">
      <c r="B6286" s="45"/>
      <c r="C6286" s="45"/>
    </row>
    <row r="6287" spans="2:3" x14ac:dyDescent="0.25">
      <c r="B6287" s="45"/>
      <c r="C6287" s="45"/>
    </row>
    <row r="6288" spans="2:3" x14ac:dyDescent="0.25">
      <c r="B6288" s="45"/>
      <c r="C6288" s="45"/>
    </row>
    <row r="6289" spans="2:3" x14ac:dyDescent="0.25">
      <c r="B6289" s="45"/>
      <c r="C6289" s="45"/>
    </row>
    <row r="6290" spans="2:3" x14ac:dyDescent="0.25">
      <c r="B6290" s="45"/>
      <c r="C6290" s="45"/>
    </row>
    <row r="6291" spans="2:3" x14ac:dyDescent="0.25">
      <c r="B6291" s="45"/>
      <c r="C6291" s="45"/>
    </row>
    <row r="6292" spans="2:3" x14ac:dyDescent="0.25">
      <c r="B6292" s="45"/>
      <c r="C6292" s="45"/>
    </row>
    <row r="6293" spans="2:3" x14ac:dyDescent="0.25">
      <c r="B6293" s="45"/>
      <c r="C6293" s="45"/>
    </row>
    <row r="6294" spans="2:3" x14ac:dyDescent="0.25">
      <c r="B6294" s="45"/>
      <c r="C6294" s="45"/>
    </row>
    <row r="6295" spans="2:3" x14ac:dyDescent="0.25">
      <c r="B6295" s="45"/>
      <c r="C6295" s="45"/>
    </row>
    <row r="6296" spans="2:3" x14ac:dyDescent="0.25">
      <c r="B6296" s="45"/>
      <c r="C6296" s="45"/>
    </row>
    <row r="6297" spans="2:3" x14ac:dyDescent="0.25">
      <c r="B6297" s="45"/>
      <c r="C6297" s="45"/>
    </row>
    <row r="6298" spans="2:3" x14ac:dyDescent="0.25">
      <c r="B6298" s="45"/>
      <c r="C6298" s="45"/>
    </row>
    <row r="6299" spans="2:3" x14ac:dyDescent="0.25">
      <c r="B6299" s="45"/>
      <c r="C6299" s="45"/>
    </row>
    <row r="6300" spans="2:3" x14ac:dyDescent="0.25">
      <c r="B6300" s="45"/>
      <c r="C6300" s="45"/>
    </row>
    <row r="6301" spans="2:3" x14ac:dyDescent="0.25">
      <c r="B6301" s="45"/>
      <c r="C6301" s="45"/>
    </row>
    <row r="6302" spans="2:3" x14ac:dyDescent="0.25">
      <c r="B6302" s="45"/>
      <c r="C6302" s="45"/>
    </row>
    <row r="6303" spans="2:3" x14ac:dyDescent="0.25">
      <c r="B6303" s="45"/>
      <c r="C6303" s="45"/>
    </row>
    <row r="6304" spans="2:3" x14ac:dyDescent="0.25">
      <c r="B6304" s="45"/>
      <c r="C6304" s="45"/>
    </row>
    <row r="6305" spans="2:3" x14ac:dyDescent="0.25">
      <c r="B6305" s="45"/>
      <c r="C6305" s="45"/>
    </row>
    <row r="6306" spans="2:3" x14ac:dyDescent="0.25">
      <c r="B6306" s="45"/>
      <c r="C6306" s="45"/>
    </row>
    <row r="6307" spans="2:3" x14ac:dyDescent="0.25">
      <c r="B6307" s="45"/>
      <c r="C6307" s="45"/>
    </row>
    <row r="6308" spans="2:3" x14ac:dyDescent="0.25">
      <c r="B6308" s="45"/>
      <c r="C6308" s="45"/>
    </row>
    <row r="6309" spans="2:3" x14ac:dyDescent="0.25">
      <c r="B6309" s="45"/>
      <c r="C6309" s="45"/>
    </row>
    <row r="6310" spans="2:3" x14ac:dyDescent="0.25">
      <c r="B6310" s="45"/>
      <c r="C6310" s="45"/>
    </row>
    <row r="6311" spans="2:3" x14ac:dyDescent="0.25">
      <c r="B6311" s="45"/>
      <c r="C6311" s="45"/>
    </row>
    <row r="6312" spans="2:3" x14ac:dyDescent="0.25">
      <c r="B6312" s="45"/>
      <c r="C6312" s="45"/>
    </row>
    <row r="6313" spans="2:3" x14ac:dyDescent="0.25">
      <c r="B6313" s="45"/>
      <c r="C6313" s="45"/>
    </row>
    <row r="6314" spans="2:3" x14ac:dyDescent="0.25">
      <c r="B6314" s="45"/>
      <c r="C6314" s="45"/>
    </row>
    <row r="6315" spans="2:3" x14ac:dyDescent="0.25">
      <c r="B6315" s="45"/>
      <c r="C6315" s="45"/>
    </row>
    <row r="6316" spans="2:3" x14ac:dyDescent="0.25">
      <c r="B6316" s="45"/>
      <c r="C6316" s="45"/>
    </row>
    <row r="6317" spans="2:3" x14ac:dyDescent="0.25">
      <c r="B6317" s="45"/>
      <c r="C6317" s="45"/>
    </row>
    <row r="6318" spans="2:3" x14ac:dyDescent="0.25">
      <c r="B6318" s="45"/>
      <c r="C6318" s="45"/>
    </row>
    <row r="6319" spans="2:3" x14ac:dyDescent="0.25">
      <c r="B6319" s="45"/>
      <c r="C6319" s="45"/>
    </row>
    <row r="6320" spans="2:3" x14ac:dyDescent="0.25">
      <c r="B6320" s="45"/>
      <c r="C6320" s="45"/>
    </row>
    <row r="6321" spans="2:3" x14ac:dyDescent="0.25">
      <c r="B6321" s="45"/>
      <c r="C6321" s="45"/>
    </row>
    <row r="6322" spans="2:3" x14ac:dyDescent="0.25">
      <c r="B6322" s="45"/>
      <c r="C6322" s="45"/>
    </row>
    <row r="6323" spans="2:3" x14ac:dyDescent="0.25">
      <c r="B6323" s="45"/>
      <c r="C6323" s="45"/>
    </row>
    <row r="6324" spans="2:3" x14ac:dyDescent="0.25">
      <c r="B6324" s="45"/>
      <c r="C6324" s="45"/>
    </row>
    <row r="6325" spans="2:3" x14ac:dyDescent="0.25">
      <c r="B6325" s="45"/>
      <c r="C6325" s="45"/>
    </row>
    <row r="6326" spans="2:3" x14ac:dyDescent="0.25">
      <c r="B6326" s="45"/>
      <c r="C6326" s="45"/>
    </row>
    <row r="6327" spans="2:3" x14ac:dyDescent="0.25">
      <c r="B6327" s="45"/>
      <c r="C6327" s="45"/>
    </row>
    <row r="6328" spans="2:3" x14ac:dyDescent="0.25">
      <c r="B6328" s="45"/>
      <c r="C6328" s="45"/>
    </row>
    <row r="6329" spans="2:3" x14ac:dyDescent="0.25">
      <c r="B6329" s="45"/>
      <c r="C6329" s="45"/>
    </row>
    <row r="6330" spans="2:3" x14ac:dyDescent="0.25">
      <c r="B6330" s="45"/>
      <c r="C6330" s="45"/>
    </row>
    <row r="6331" spans="2:3" x14ac:dyDescent="0.25">
      <c r="B6331" s="45"/>
      <c r="C6331" s="45"/>
    </row>
    <row r="6332" spans="2:3" x14ac:dyDescent="0.25">
      <c r="B6332" s="45"/>
      <c r="C6332" s="45"/>
    </row>
    <row r="6333" spans="2:3" x14ac:dyDescent="0.25">
      <c r="B6333" s="45"/>
      <c r="C6333" s="45"/>
    </row>
    <row r="6334" spans="2:3" x14ac:dyDescent="0.25">
      <c r="B6334" s="45"/>
      <c r="C6334" s="45"/>
    </row>
    <row r="6335" spans="2:3" x14ac:dyDescent="0.25">
      <c r="B6335" s="45"/>
      <c r="C6335" s="45"/>
    </row>
    <row r="6336" spans="2:3" x14ac:dyDescent="0.25">
      <c r="B6336" s="45"/>
      <c r="C6336" s="45"/>
    </row>
    <row r="6337" spans="2:3" x14ac:dyDescent="0.25">
      <c r="B6337" s="45"/>
      <c r="C6337" s="45"/>
    </row>
    <row r="6338" spans="2:3" x14ac:dyDescent="0.25">
      <c r="B6338" s="45"/>
      <c r="C6338" s="45"/>
    </row>
    <row r="6339" spans="2:3" x14ac:dyDescent="0.25">
      <c r="B6339" s="45"/>
      <c r="C6339" s="45"/>
    </row>
    <row r="6340" spans="2:3" x14ac:dyDescent="0.25">
      <c r="B6340" s="45"/>
      <c r="C6340" s="45"/>
    </row>
    <row r="6341" spans="2:3" x14ac:dyDescent="0.25">
      <c r="B6341" s="45"/>
      <c r="C6341" s="45"/>
    </row>
    <row r="6342" spans="2:3" x14ac:dyDescent="0.25">
      <c r="B6342" s="45"/>
      <c r="C6342" s="45"/>
    </row>
    <row r="6343" spans="2:3" x14ac:dyDescent="0.25">
      <c r="B6343" s="45"/>
      <c r="C6343" s="45"/>
    </row>
    <row r="6344" spans="2:3" x14ac:dyDescent="0.25">
      <c r="B6344" s="45"/>
      <c r="C6344" s="45"/>
    </row>
    <row r="6345" spans="2:3" x14ac:dyDescent="0.25">
      <c r="B6345" s="45"/>
      <c r="C6345" s="45"/>
    </row>
    <row r="6346" spans="2:3" x14ac:dyDescent="0.25">
      <c r="B6346" s="45"/>
      <c r="C6346" s="45"/>
    </row>
    <row r="6347" spans="2:3" x14ac:dyDescent="0.25">
      <c r="B6347" s="45"/>
      <c r="C6347" s="45"/>
    </row>
    <row r="6348" spans="2:3" x14ac:dyDescent="0.25">
      <c r="B6348" s="45"/>
      <c r="C6348" s="45"/>
    </row>
    <row r="6349" spans="2:3" x14ac:dyDescent="0.25">
      <c r="B6349" s="45"/>
      <c r="C6349" s="45"/>
    </row>
    <row r="6350" spans="2:3" x14ac:dyDescent="0.25">
      <c r="B6350" s="45"/>
      <c r="C6350" s="45"/>
    </row>
    <row r="6351" spans="2:3" x14ac:dyDescent="0.25">
      <c r="B6351" s="45"/>
      <c r="C6351" s="45"/>
    </row>
    <row r="6352" spans="2:3" x14ac:dyDescent="0.25">
      <c r="B6352" s="45"/>
      <c r="C6352" s="45"/>
    </row>
    <row r="6353" spans="2:3" x14ac:dyDescent="0.25">
      <c r="B6353" s="45"/>
      <c r="C6353" s="45"/>
    </row>
    <row r="6354" spans="2:3" x14ac:dyDescent="0.25">
      <c r="B6354" s="45"/>
      <c r="C6354" s="45"/>
    </row>
    <row r="6355" spans="2:3" x14ac:dyDescent="0.25">
      <c r="B6355" s="45"/>
      <c r="C6355" s="45"/>
    </row>
    <row r="6356" spans="2:3" x14ac:dyDescent="0.25">
      <c r="B6356" s="45"/>
      <c r="C6356" s="45"/>
    </row>
    <row r="6357" spans="2:3" x14ac:dyDescent="0.25">
      <c r="B6357" s="45"/>
      <c r="C6357" s="45"/>
    </row>
    <row r="6358" spans="2:3" x14ac:dyDescent="0.25">
      <c r="B6358" s="45"/>
      <c r="C6358" s="45"/>
    </row>
    <row r="6359" spans="2:3" x14ac:dyDescent="0.25">
      <c r="B6359" s="45"/>
      <c r="C6359" s="45"/>
    </row>
    <row r="6360" spans="2:3" x14ac:dyDescent="0.25">
      <c r="B6360" s="45"/>
      <c r="C6360" s="45"/>
    </row>
    <row r="6361" spans="2:3" x14ac:dyDescent="0.25">
      <c r="B6361" s="45"/>
      <c r="C6361" s="45"/>
    </row>
    <row r="6362" spans="2:3" x14ac:dyDescent="0.25">
      <c r="B6362" s="45"/>
      <c r="C6362" s="45"/>
    </row>
    <row r="6363" spans="2:3" x14ac:dyDescent="0.25">
      <c r="B6363" s="45"/>
      <c r="C6363" s="45"/>
    </row>
    <row r="6364" spans="2:3" x14ac:dyDescent="0.25">
      <c r="B6364" s="45"/>
      <c r="C6364" s="45"/>
    </row>
    <row r="6365" spans="2:3" x14ac:dyDescent="0.25">
      <c r="B6365" s="45"/>
      <c r="C6365" s="45"/>
    </row>
    <row r="6366" spans="2:3" x14ac:dyDescent="0.25">
      <c r="B6366" s="45"/>
      <c r="C6366" s="45"/>
    </row>
    <row r="6367" spans="2:3" x14ac:dyDescent="0.25">
      <c r="B6367" s="45"/>
      <c r="C6367" s="45"/>
    </row>
    <row r="6368" spans="2:3" x14ac:dyDescent="0.25">
      <c r="B6368" s="45"/>
      <c r="C6368" s="45"/>
    </row>
    <row r="6369" spans="2:3" x14ac:dyDescent="0.25">
      <c r="B6369" s="45"/>
      <c r="C6369" s="45"/>
    </row>
    <row r="6370" spans="2:3" x14ac:dyDescent="0.25">
      <c r="B6370" s="45"/>
      <c r="C6370" s="45"/>
    </row>
    <row r="6371" spans="2:3" x14ac:dyDescent="0.25">
      <c r="B6371" s="45"/>
      <c r="C6371" s="45"/>
    </row>
    <row r="6372" spans="2:3" x14ac:dyDescent="0.25">
      <c r="B6372" s="45"/>
      <c r="C6372" s="45"/>
    </row>
    <row r="6373" spans="2:3" x14ac:dyDescent="0.25">
      <c r="B6373" s="45"/>
      <c r="C6373" s="45"/>
    </row>
    <row r="6374" spans="2:3" x14ac:dyDescent="0.25">
      <c r="B6374" s="45"/>
      <c r="C6374" s="45"/>
    </row>
    <row r="6375" spans="2:3" x14ac:dyDescent="0.25">
      <c r="B6375" s="45"/>
      <c r="C6375" s="45"/>
    </row>
    <row r="6376" spans="2:3" x14ac:dyDescent="0.25">
      <c r="B6376" s="45"/>
      <c r="C6376" s="45"/>
    </row>
    <row r="6377" spans="2:3" x14ac:dyDescent="0.25">
      <c r="B6377" s="45"/>
      <c r="C6377" s="45"/>
    </row>
    <row r="6378" spans="2:3" x14ac:dyDescent="0.25">
      <c r="B6378" s="45"/>
      <c r="C6378" s="45"/>
    </row>
    <row r="6379" spans="2:3" x14ac:dyDescent="0.25">
      <c r="B6379" s="45"/>
      <c r="C6379" s="45"/>
    </row>
    <row r="6380" spans="2:3" x14ac:dyDescent="0.25">
      <c r="B6380" s="45"/>
      <c r="C6380" s="45"/>
    </row>
    <row r="6381" spans="2:3" x14ac:dyDescent="0.25">
      <c r="B6381" s="45"/>
      <c r="C6381" s="45"/>
    </row>
    <row r="6382" spans="2:3" x14ac:dyDescent="0.25">
      <c r="B6382" s="45"/>
      <c r="C6382" s="45"/>
    </row>
    <row r="6383" spans="2:3" x14ac:dyDescent="0.25">
      <c r="B6383" s="45"/>
      <c r="C6383" s="45"/>
    </row>
    <row r="6384" spans="2:3" x14ac:dyDescent="0.25">
      <c r="B6384" s="45"/>
      <c r="C6384" s="45"/>
    </row>
    <row r="6385" spans="2:3" x14ac:dyDescent="0.25">
      <c r="B6385" s="45"/>
      <c r="C6385" s="45"/>
    </row>
    <row r="6386" spans="2:3" x14ac:dyDescent="0.25">
      <c r="B6386" s="45"/>
      <c r="C6386" s="45"/>
    </row>
    <row r="6387" spans="2:3" x14ac:dyDescent="0.25">
      <c r="B6387" s="45"/>
      <c r="C6387" s="45"/>
    </row>
    <row r="6388" spans="2:3" x14ac:dyDescent="0.25">
      <c r="B6388" s="45"/>
      <c r="C6388" s="45"/>
    </row>
    <row r="6389" spans="2:3" x14ac:dyDescent="0.25">
      <c r="B6389" s="45"/>
      <c r="C6389" s="45"/>
    </row>
    <row r="6390" spans="2:3" x14ac:dyDescent="0.25">
      <c r="B6390" s="45"/>
      <c r="C6390" s="45"/>
    </row>
    <row r="6391" spans="2:3" x14ac:dyDescent="0.25">
      <c r="B6391" s="45"/>
      <c r="C6391" s="45"/>
    </row>
    <row r="6392" spans="2:3" x14ac:dyDescent="0.25">
      <c r="B6392" s="45"/>
      <c r="C6392" s="45"/>
    </row>
    <row r="6393" spans="2:3" x14ac:dyDescent="0.25">
      <c r="B6393" s="45"/>
      <c r="C6393" s="45"/>
    </row>
    <row r="6394" spans="2:3" x14ac:dyDescent="0.25">
      <c r="B6394" s="45"/>
      <c r="C6394" s="45"/>
    </row>
    <row r="6395" spans="2:3" x14ac:dyDescent="0.25">
      <c r="B6395" s="45"/>
      <c r="C6395" s="45"/>
    </row>
    <row r="6396" spans="2:3" x14ac:dyDescent="0.25">
      <c r="B6396" s="45"/>
      <c r="C6396" s="45"/>
    </row>
    <row r="6397" spans="2:3" x14ac:dyDescent="0.25">
      <c r="B6397" s="45"/>
      <c r="C6397" s="45"/>
    </row>
    <row r="6398" spans="2:3" x14ac:dyDescent="0.25">
      <c r="B6398" s="45"/>
      <c r="C6398" s="45"/>
    </row>
    <row r="6399" spans="2:3" x14ac:dyDescent="0.25">
      <c r="B6399" s="45"/>
      <c r="C6399" s="45"/>
    </row>
    <row r="6400" spans="2:3" x14ac:dyDescent="0.25">
      <c r="B6400" s="45"/>
      <c r="C6400" s="45"/>
    </row>
    <row r="6401" spans="2:3" x14ac:dyDescent="0.25">
      <c r="B6401" s="45"/>
      <c r="C6401" s="45"/>
    </row>
    <row r="6402" spans="2:3" x14ac:dyDescent="0.25">
      <c r="B6402" s="45"/>
      <c r="C6402" s="45"/>
    </row>
    <row r="6403" spans="2:3" x14ac:dyDescent="0.25">
      <c r="B6403" s="45"/>
      <c r="C6403" s="45"/>
    </row>
    <row r="6404" spans="2:3" x14ac:dyDescent="0.25">
      <c r="B6404" s="45"/>
      <c r="C6404" s="45"/>
    </row>
    <row r="6405" spans="2:3" x14ac:dyDescent="0.25">
      <c r="B6405" s="45"/>
      <c r="C6405" s="45"/>
    </row>
    <row r="6406" spans="2:3" x14ac:dyDescent="0.25">
      <c r="B6406" s="45"/>
      <c r="C6406" s="45"/>
    </row>
    <row r="6407" spans="2:3" x14ac:dyDescent="0.25">
      <c r="B6407" s="45"/>
      <c r="C6407" s="45"/>
    </row>
    <row r="6408" spans="2:3" x14ac:dyDescent="0.25">
      <c r="B6408" s="45"/>
      <c r="C6408" s="45"/>
    </row>
    <row r="6409" spans="2:3" x14ac:dyDescent="0.25">
      <c r="B6409" s="45"/>
      <c r="C6409" s="45"/>
    </row>
    <row r="6410" spans="2:3" x14ac:dyDescent="0.25">
      <c r="B6410" s="45"/>
      <c r="C6410" s="45"/>
    </row>
    <row r="6411" spans="2:3" x14ac:dyDescent="0.25">
      <c r="B6411" s="45"/>
      <c r="C6411" s="45"/>
    </row>
    <row r="6412" spans="2:3" x14ac:dyDescent="0.25">
      <c r="B6412" s="45"/>
      <c r="C6412" s="45"/>
    </row>
    <row r="6413" spans="2:3" x14ac:dyDescent="0.25">
      <c r="B6413" s="45"/>
      <c r="C6413" s="45"/>
    </row>
    <row r="6414" spans="2:3" x14ac:dyDescent="0.25">
      <c r="B6414" s="45"/>
      <c r="C6414" s="45"/>
    </row>
    <row r="6415" spans="2:3" x14ac:dyDescent="0.25">
      <c r="B6415" s="45"/>
      <c r="C6415" s="45"/>
    </row>
    <row r="6416" spans="2:3" x14ac:dyDescent="0.25">
      <c r="B6416" s="45"/>
      <c r="C6416" s="45"/>
    </row>
    <row r="6417" spans="2:3" x14ac:dyDescent="0.25">
      <c r="B6417" s="45"/>
      <c r="C6417" s="45"/>
    </row>
    <row r="6418" spans="2:3" x14ac:dyDescent="0.25">
      <c r="B6418" s="45"/>
      <c r="C6418" s="45"/>
    </row>
    <row r="6419" spans="2:3" x14ac:dyDescent="0.25">
      <c r="B6419" s="45"/>
      <c r="C6419" s="45"/>
    </row>
    <row r="6420" spans="2:3" x14ac:dyDescent="0.25">
      <c r="B6420" s="45"/>
      <c r="C6420" s="45"/>
    </row>
    <row r="6421" spans="2:3" x14ac:dyDescent="0.25">
      <c r="B6421" s="45"/>
      <c r="C6421" s="45"/>
    </row>
    <row r="6422" spans="2:3" x14ac:dyDescent="0.25">
      <c r="B6422" s="45"/>
      <c r="C6422" s="45"/>
    </row>
    <row r="6423" spans="2:3" x14ac:dyDescent="0.25">
      <c r="B6423" s="45"/>
      <c r="C6423" s="45"/>
    </row>
    <row r="6424" spans="2:3" x14ac:dyDescent="0.25">
      <c r="B6424" s="45"/>
      <c r="C6424" s="45"/>
    </row>
    <row r="6425" spans="2:3" x14ac:dyDescent="0.25">
      <c r="B6425" s="45"/>
      <c r="C6425" s="45"/>
    </row>
    <row r="6426" spans="2:3" x14ac:dyDescent="0.25">
      <c r="B6426" s="45"/>
      <c r="C6426" s="45"/>
    </row>
    <row r="6427" spans="2:3" x14ac:dyDescent="0.25">
      <c r="B6427" s="45"/>
      <c r="C6427" s="45"/>
    </row>
    <row r="6428" spans="2:3" x14ac:dyDescent="0.25">
      <c r="B6428" s="45"/>
      <c r="C6428" s="45"/>
    </row>
    <row r="6429" spans="2:3" x14ac:dyDescent="0.25">
      <c r="B6429" s="45"/>
      <c r="C6429" s="45"/>
    </row>
    <row r="6430" spans="2:3" x14ac:dyDescent="0.25">
      <c r="B6430" s="45"/>
      <c r="C6430" s="45"/>
    </row>
    <row r="6431" spans="2:3" x14ac:dyDescent="0.25">
      <c r="B6431" s="45"/>
      <c r="C6431" s="45"/>
    </row>
    <row r="6432" spans="2:3" x14ac:dyDescent="0.25">
      <c r="B6432" s="45"/>
      <c r="C6432" s="45"/>
    </row>
    <row r="6433" spans="2:3" x14ac:dyDescent="0.25">
      <c r="B6433" s="45"/>
      <c r="C6433" s="45"/>
    </row>
    <row r="6434" spans="2:3" x14ac:dyDescent="0.25">
      <c r="B6434" s="45"/>
      <c r="C6434" s="45"/>
    </row>
    <row r="6435" spans="2:3" x14ac:dyDescent="0.25">
      <c r="B6435" s="45"/>
      <c r="C6435" s="45"/>
    </row>
    <row r="6436" spans="2:3" x14ac:dyDescent="0.25">
      <c r="B6436" s="45"/>
      <c r="C6436" s="45"/>
    </row>
    <row r="6437" spans="2:3" x14ac:dyDescent="0.25">
      <c r="B6437" s="45"/>
      <c r="C6437" s="45"/>
    </row>
    <row r="6438" spans="2:3" x14ac:dyDescent="0.25">
      <c r="B6438" s="45"/>
      <c r="C6438" s="45"/>
    </row>
    <row r="6439" spans="2:3" x14ac:dyDescent="0.25">
      <c r="B6439" s="45"/>
      <c r="C6439" s="45"/>
    </row>
    <row r="6440" spans="2:3" x14ac:dyDescent="0.25">
      <c r="B6440" s="45"/>
      <c r="C6440" s="45"/>
    </row>
    <row r="6441" spans="2:3" x14ac:dyDescent="0.25">
      <c r="B6441" s="45"/>
      <c r="C6441" s="45"/>
    </row>
    <row r="6442" spans="2:3" x14ac:dyDescent="0.25">
      <c r="B6442" s="45"/>
      <c r="C6442" s="45"/>
    </row>
    <row r="6443" spans="2:3" x14ac:dyDescent="0.25">
      <c r="B6443" s="45"/>
      <c r="C6443" s="45"/>
    </row>
    <row r="6444" spans="2:3" x14ac:dyDescent="0.25">
      <c r="B6444" s="45"/>
      <c r="C6444" s="45"/>
    </row>
    <row r="6445" spans="2:3" x14ac:dyDescent="0.25">
      <c r="B6445" s="45"/>
      <c r="C6445" s="45"/>
    </row>
    <row r="6446" spans="2:3" x14ac:dyDescent="0.25">
      <c r="B6446" s="45"/>
      <c r="C6446" s="45"/>
    </row>
    <row r="6447" spans="2:3" x14ac:dyDescent="0.25">
      <c r="B6447" s="45"/>
      <c r="C6447" s="45"/>
    </row>
    <row r="6448" spans="2:3" x14ac:dyDescent="0.25">
      <c r="B6448" s="45"/>
      <c r="C6448" s="45"/>
    </row>
    <row r="6449" spans="2:3" x14ac:dyDescent="0.25">
      <c r="B6449" s="45"/>
      <c r="C6449" s="45"/>
    </row>
    <row r="6450" spans="2:3" x14ac:dyDescent="0.25">
      <c r="B6450" s="45"/>
      <c r="C6450" s="45"/>
    </row>
    <row r="6451" spans="2:3" x14ac:dyDescent="0.25">
      <c r="B6451" s="45"/>
      <c r="C6451" s="45"/>
    </row>
    <row r="6452" spans="2:3" x14ac:dyDescent="0.25">
      <c r="B6452" s="45"/>
      <c r="C6452" s="45"/>
    </row>
    <row r="6453" spans="2:3" x14ac:dyDescent="0.25">
      <c r="B6453" s="45"/>
      <c r="C6453" s="45"/>
    </row>
    <row r="6454" spans="2:3" x14ac:dyDescent="0.25">
      <c r="B6454" s="45"/>
      <c r="C6454" s="45"/>
    </row>
    <row r="6455" spans="2:3" x14ac:dyDescent="0.25">
      <c r="B6455" s="45"/>
      <c r="C6455" s="45"/>
    </row>
    <row r="6456" spans="2:3" x14ac:dyDescent="0.25">
      <c r="B6456" s="45"/>
      <c r="C6456" s="45"/>
    </row>
    <row r="6457" spans="2:3" x14ac:dyDescent="0.25">
      <c r="B6457" s="45"/>
      <c r="C6457" s="45"/>
    </row>
    <row r="6458" spans="2:3" x14ac:dyDescent="0.25">
      <c r="B6458" s="45"/>
      <c r="C6458" s="45"/>
    </row>
    <row r="6459" spans="2:3" x14ac:dyDescent="0.25">
      <c r="B6459" s="45"/>
      <c r="C6459" s="45"/>
    </row>
    <row r="6460" spans="2:3" x14ac:dyDescent="0.25">
      <c r="B6460" s="45"/>
      <c r="C6460" s="45"/>
    </row>
    <row r="6461" spans="2:3" x14ac:dyDescent="0.25">
      <c r="B6461" s="45"/>
      <c r="C6461" s="45"/>
    </row>
    <row r="6462" spans="2:3" x14ac:dyDescent="0.25">
      <c r="B6462" s="45"/>
      <c r="C6462" s="45"/>
    </row>
    <row r="6463" spans="2:3" x14ac:dyDescent="0.25">
      <c r="B6463" s="45"/>
      <c r="C6463" s="45"/>
    </row>
    <row r="6464" spans="2:3" x14ac:dyDescent="0.25">
      <c r="B6464" s="45"/>
      <c r="C6464" s="45"/>
    </row>
    <row r="6465" spans="2:3" x14ac:dyDescent="0.25">
      <c r="B6465" s="45"/>
      <c r="C6465" s="45"/>
    </row>
    <row r="6466" spans="2:3" x14ac:dyDescent="0.25">
      <c r="B6466" s="45"/>
      <c r="C6466" s="45"/>
    </row>
    <row r="6467" spans="2:3" x14ac:dyDescent="0.25">
      <c r="B6467" s="45"/>
      <c r="C6467" s="45"/>
    </row>
    <row r="6468" spans="2:3" x14ac:dyDescent="0.25">
      <c r="B6468" s="45"/>
      <c r="C6468" s="45"/>
    </row>
    <row r="6469" spans="2:3" x14ac:dyDescent="0.25">
      <c r="B6469" s="45"/>
      <c r="C6469" s="45"/>
    </row>
    <row r="6470" spans="2:3" x14ac:dyDescent="0.25">
      <c r="B6470" s="45"/>
      <c r="C6470" s="45"/>
    </row>
    <row r="6471" spans="2:3" x14ac:dyDescent="0.25">
      <c r="B6471" s="45"/>
      <c r="C6471" s="45"/>
    </row>
    <row r="6472" spans="2:3" x14ac:dyDescent="0.25">
      <c r="B6472" s="45"/>
      <c r="C6472" s="45"/>
    </row>
    <row r="6473" spans="2:3" x14ac:dyDescent="0.25">
      <c r="B6473" s="45"/>
      <c r="C6473" s="45"/>
    </row>
    <row r="6474" spans="2:3" x14ac:dyDescent="0.25">
      <c r="B6474" s="45"/>
      <c r="C6474" s="45"/>
    </row>
    <row r="6475" spans="2:3" x14ac:dyDescent="0.25">
      <c r="B6475" s="45"/>
      <c r="C6475" s="45"/>
    </row>
    <row r="6476" spans="2:3" x14ac:dyDescent="0.25">
      <c r="B6476" s="45"/>
      <c r="C6476" s="45"/>
    </row>
    <row r="6477" spans="2:3" x14ac:dyDescent="0.25">
      <c r="B6477" s="45"/>
      <c r="C6477" s="45"/>
    </row>
    <row r="6478" spans="2:3" x14ac:dyDescent="0.25">
      <c r="B6478" s="45"/>
      <c r="C6478" s="45"/>
    </row>
    <row r="6479" spans="2:3" x14ac:dyDescent="0.25">
      <c r="B6479" s="45"/>
      <c r="C6479" s="45"/>
    </row>
    <row r="6480" spans="2:3" x14ac:dyDescent="0.25">
      <c r="B6480" s="45"/>
      <c r="C6480" s="45"/>
    </row>
    <row r="6481" spans="2:3" x14ac:dyDescent="0.25">
      <c r="B6481" s="45"/>
      <c r="C6481" s="45"/>
    </row>
    <row r="6482" spans="2:3" x14ac:dyDescent="0.25">
      <c r="B6482" s="45"/>
      <c r="C6482" s="45"/>
    </row>
    <row r="6483" spans="2:3" x14ac:dyDescent="0.25">
      <c r="B6483" s="45"/>
      <c r="C6483" s="45"/>
    </row>
    <row r="6484" spans="2:3" x14ac:dyDescent="0.25">
      <c r="B6484" s="45"/>
      <c r="C6484" s="45"/>
    </row>
    <row r="6485" spans="2:3" x14ac:dyDescent="0.25">
      <c r="B6485" s="45"/>
      <c r="C6485" s="45"/>
    </row>
    <row r="6486" spans="2:3" x14ac:dyDescent="0.25">
      <c r="B6486" s="45"/>
      <c r="C6486" s="45"/>
    </row>
    <row r="6487" spans="2:3" x14ac:dyDescent="0.25">
      <c r="B6487" s="45"/>
      <c r="C6487" s="45"/>
    </row>
    <row r="6488" spans="2:3" x14ac:dyDescent="0.25">
      <c r="B6488" s="45"/>
      <c r="C6488" s="45"/>
    </row>
    <row r="6489" spans="2:3" x14ac:dyDescent="0.25">
      <c r="B6489" s="45"/>
      <c r="C6489" s="45"/>
    </row>
    <row r="6490" spans="2:3" x14ac:dyDescent="0.25">
      <c r="B6490" s="45"/>
      <c r="C6490" s="45"/>
    </row>
    <row r="6491" spans="2:3" x14ac:dyDescent="0.25">
      <c r="B6491" s="45"/>
      <c r="C6491" s="45"/>
    </row>
    <row r="6492" spans="2:3" x14ac:dyDescent="0.25">
      <c r="B6492" s="45"/>
      <c r="C6492" s="45"/>
    </row>
    <row r="6493" spans="2:3" x14ac:dyDescent="0.25">
      <c r="B6493" s="45"/>
      <c r="C6493" s="45"/>
    </row>
    <row r="6494" spans="2:3" x14ac:dyDescent="0.25">
      <c r="B6494" s="45"/>
      <c r="C6494" s="45"/>
    </row>
    <row r="6495" spans="2:3" x14ac:dyDescent="0.25">
      <c r="B6495" s="45"/>
      <c r="C6495" s="45"/>
    </row>
    <row r="6496" spans="2:3" x14ac:dyDescent="0.25">
      <c r="B6496" s="45"/>
      <c r="C6496" s="45"/>
    </row>
    <row r="6497" spans="2:3" x14ac:dyDescent="0.25">
      <c r="B6497" s="45"/>
      <c r="C6497" s="45"/>
    </row>
    <row r="6498" spans="2:3" x14ac:dyDescent="0.25">
      <c r="B6498" s="45"/>
      <c r="C6498" s="45"/>
    </row>
    <row r="6499" spans="2:3" x14ac:dyDescent="0.25">
      <c r="B6499" s="45"/>
      <c r="C6499" s="45"/>
    </row>
    <row r="6500" spans="2:3" x14ac:dyDescent="0.25">
      <c r="B6500" s="45"/>
      <c r="C6500" s="45"/>
    </row>
    <row r="6501" spans="2:3" x14ac:dyDescent="0.25">
      <c r="B6501" s="45"/>
      <c r="C6501" s="45"/>
    </row>
    <row r="6502" spans="2:3" x14ac:dyDescent="0.25">
      <c r="B6502" s="45"/>
      <c r="C6502" s="45"/>
    </row>
    <row r="6503" spans="2:3" x14ac:dyDescent="0.25">
      <c r="B6503" s="45"/>
      <c r="C6503" s="45"/>
    </row>
    <row r="6504" spans="2:3" x14ac:dyDescent="0.25">
      <c r="B6504" s="45"/>
      <c r="C6504" s="45"/>
    </row>
    <row r="6505" spans="2:3" x14ac:dyDescent="0.25">
      <c r="B6505" s="45"/>
      <c r="C6505" s="45"/>
    </row>
    <row r="6506" spans="2:3" x14ac:dyDescent="0.25">
      <c r="B6506" s="45"/>
      <c r="C6506" s="45"/>
    </row>
    <row r="6507" spans="2:3" x14ac:dyDescent="0.25">
      <c r="B6507" s="45"/>
      <c r="C6507" s="45"/>
    </row>
    <row r="6508" spans="2:3" x14ac:dyDescent="0.25">
      <c r="B6508" s="45"/>
      <c r="C6508" s="45"/>
    </row>
    <row r="6509" spans="2:3" x14ac:dyDescent="0.25">
      <c r="B6509" s="45"/>
      <c r="C6509" s="45"/>
    </row>
    <row r="6510" spans="2:3" x14ac:dyDescent="0.25">
      <c r="B6510" s="45"/>
      <c r="C6510" s="45"/>
    </row>
    <row r="6511" spans="2:3" x14ac:dyDescent="0.25">
      <c r="B6511" s="45"/>
      <c r="C6511" s="45"/>
    </row>
    <row r="6512" spans="2:3" x14ac:dyDescent="0.25">
      <c r="B6512" s="45"/>
      <c r="C6512" s="45"/>
    </row>
    <row r="6513" spans="2:3" x14ac:dyDescent="0.25">
      <c r="B6513" s="45"/>
      <c r="C6513" s="45"/>
    </row>
    <row r="6514" spans="2:3" x14ac:dyDescent="0.25">
      <c r="B6514" s="45"/>
      <c r="C6514" s="45"/>
    </row>
    <row r="6515" spans="2:3" x14ac:dyDescent="0.25">
      <c r="B6515" s="45"/>
      <c r="C6515" s="45"/>
    </row>
    <row r="6516" spans="2:3" x14ac:dyDescent="0.25">
      <c r="B6516" s="45"/>
      <c r="C6516" s="45"/>
    </row>
    <row r="6517" spans="2:3" x14ac:dyDescent="0.25">
      <c r="B6517" s="45"/>
      <c r="C6517" s="45"/>
    </row>
    <row r="6518" spans="2:3" x14ac:dyDescent="0.25">
      <c r="B6518" s="45"/>
      <c r="C6518" s="45"/>
    </row>
    <row r="6519" spans="2:3" x14ac:dyDescent="0.25">
      <c r="B6519" s="45"/>
      <c r="C6519" s="45"/>
    </row>
    <row r="6520" spans="2:3" x14ac:dyDescent="0.25">
      <c r="B6520" s="45"/>
      <c r="C6520" s="45"/>
    </row>
    <row r="6521" spans="2:3" x14ac:dyDescent="0.25">
      <c r="B6521" s="45"/>
      <c r="C6521" s="45"/>
    </row>
    <row r="6522" spans="2:3" x14ac:dyDescent="0.25">
      <c r="B6522" s="45"/>
      <c r="C6522" s="45"/>
    </row>
    <row r="6523" spans="2:3" x14ac:dyDescent="0.25">
      <c r="B6523" s="45"/>
      <c r="C6523" s="45"/>
    </row>
    <row r="6524" spans="2:3" x14ac:dyDescent="0.25">
      <c r="B6524" s="45"/>
      <c r="C6524" s="45"/>
    </row>
    <row r="6525" spans="2:3" x14ac:dyDescent="0.25">
      <c r="B6525" s="45"/>
      <c r="C6525" s="45"/>
    </row>
    <row r="6526" spans="2:3" x14ac:dyDescent="0.25">
      <c r="B6526" s="45"/>
      <c r="C6526" s="45"/>
    </row>
    <row r="6527" spans="2:3" x14ac:dyDescent="0.25">
      <c r="B6527" s="45"/>
      <c r="C6527" s="45"/>
    </row>
    <row r="6528" spans="2:3" x14ac:dyDescent="0.25">
      <c r="B6528" s="45"/>
      <c r="C6528" s="45"/>
    </row>
    <row r="6529" spans="2:3" x14ac:dyDescent="0.25">
      <c r="B6529" s="45"/>
      <c r="C6529" s="45"/>
    </row>
    <row r="6530" spans="2:3" x14ac:dyDescent="0.25">
      <c r="B6530" s="45"/>
      <c r="C6530" s="45"/>
    </row>
    <row r="6531" spans="2:3" x14ac:dyDescent="0.25">
      <c r="B6531" s="45"/>
      <c r="C6531" s="45"/>
    </row>
    <row r="6532" spans="2:3" x14ac:dyDescent="0.25">
      <c r="B6532" s="45"/>
      <c r="C6532" s="45"/>
    </row>
    <row r="6533" spans="2:3" x14ac:dyDescent="0.25">
      <c r="B6533" s="45"/>
      <c r="C6533" s="45"/>
    </row>
    <row r="6534" spans="2:3" x14ac:dyDescent="0.25">
      <c r="B6534" s="45"/>
      <c r="C6534" s="45"/>
    </row>
    <row r="6535" spans="2:3" x14ac:dyDescent="0.25">
      <c r="B6535" s="45"/>
      <c r="C6535" s="45"/>
    </row>
    <row r="6536" spans="2:3" x14ac:dyDescent="0.25">
      <c r="B6536" s="45"/>
      <c r="C6536" s="45"/>
    </row>
    <row r="6537" spans="2:3" x14ac:dyDescent="0.25">
      <c r="B6537" s="45"/>
      <c r="C6537" s="45"/>
    </row>
    <row r="6538" spans="2:3" x14ac:dyDescent="0.25">
      <c r="B6538" s="45"/>
      <c r="C6538" s="45"/>
    </row>
    <row r="6539" spans="2:3" x14ac:dyDescent="0.25">
      <c r="B6539" s="45"/>
      <c r="C6539" s="45"/>
    </row>
    <row r="6540" spans="2:3" x14ac:dyDescent="0.25">
      <c r="B6540" s="45"/>
      <c r="C6540" s="45"/>
    </row>
    <row r="6541" spans="2:3" x14ac:dyDescent="0.25">
      <c r="B6541" s="45"/>
      <c r="C6541" s="45"/>
    </row>
    <row r="6542" spans="2:3" x14ac:dyDescent="0.25">
      <c r="B6542" s="45"/>
      <c r="C6542" s="45"/>
    </row>
    <row r="6543" spans="2:3" x14ac:dyDescent="0.25">
      <c r="B6543" s="45"/>
      <c r="C6543" s="45"/>
    </row>
    <row r="6544" spans="2:3" x14ac:dyDescent="0.25">
      <c r="B6544" s="45"/>
      <c r="C6544" s="45"/>
    </row>
    <row r="6545" spans="2:3" x14ac:dyDescent="0.25">
      <c r="B6545" s="45"/>
      <c r="C6545" s="45"/>
    </row>
    <row r="6546" spans="2:3" x14ac:dyDescent="0.25">
      <c r="B6546" s="45"/>
      <c r="C6546" s="45"/>
    </row>
    <row r="6547" spans="2:3" x14ac:dyDescent="0.25">
      <c r="B6547" s="45"/>
      <c r="C6547" s="45"/>
    </row>
    <row r="6548" spans="2:3" x14ac:dyDescent="0.25">
      <c r="B6548" s="45"/>
      <c r="C6548" s="45"/>
    </row>
    <row r="6549" spans="2:3" x14ac:dyDescent="0.25">
      <c r="B6549" s="45"/>
      <c r="C6549" s="45"/>
    </row>
    <row r="6550" spans="2:3" x14ac:dyDescent="0.25">
      <c r="B6550" s="45"/>
      <c r="C6550" s="45"/>
    </row>
    <row r="6551" spans="2:3" x14ac:dyDescent="0.25">
      <c r="B6551" s="45"/>
      <c r="C6551" s="45"/>
    </row>
    <row r="6552" spans="2:3" x14ac:dyDescent="0.25">
      <c r="B6552" s="45"/>
      <c r="C6552" s="45"/>
    </row>
    <row r="6553" spans="2:3" x14ac:dyDescent="0.25">
      <c r="B6553" s="45"/>
      <c r="C6553" s="45"/>
    </row>
    <row r="6554" spans="2:3" x14ac:dyDescent="0.25">
      <c r="B6554" s="45"/>
      <c r="C6554" s="45"/>
    </row>
    <row r="6555" spans="2:3" x14ac:dyDescent="0.25">
      <c r="B6555" s="45"/>
      <c r="C6555" s="45"/>
    </row>
    <row r="6556" spans="2:3" x14ac:dyDescent="0.25">
      <c r="B6556" s="45"/>
      <c r="C6556" s="45"/>
    </row>
    <row r="6557" spans="2:3" x14ac:dyDescent="0.25">
      <c r="B6557" s="45"/>
      <c r="C6557" s="45"/>
    </row>
    <row r="6558" spans="2:3" x14ac:dyDescent="0.25">
      <c r="B6558" s="45"/>
      <c r="C6558" s="45"/>
    </row>
    <row r="6559" spans="2:3" x14ac:dyDescent="0.25">
      <c r="B6559" s="45"/>
      <c r="C6559" s="45"/>
    </row>
    <row r="6560" spans="2:3" x14ac:dyDescent="0.25">
      <c r="B6560" s="45"/>
      <c r="C6560" s="45"/>
    </row>
    <row r="6561" spans="2:3" x14ac:dyDescent="0.25">
      <c r="B6561" s="45"/>
      <c r="C6561" s="45"/>
    </row>
    <row r="6562" spans="2:3" x14ac:dyDescent="0.25">
      <c r="B6562" s="45"/>
      <c r="C6562" s="45"/>
    </row>
    <row r="6563" spans="2:3" x14ac:dyDescent="0.25">
      <c r="B6563" s="45"/>
      <c r="C6563" s="45"/>
    </row>
    <row r="6564" spans="2:3" x14ac:dyDescent="0.25">
      <c r="B6564" s="45"/>
      <c r="C6564" s="45"/>
    </row>
    <row r="6565" spans="2:3" x14ac:dyDescent="0.25">
      <c r="B6565" s="45"/>
      <c r="C6565" s="45"/>
    </row>
    <row r="6566" spans="2:3" x14ac:dyDescent="0.25">
      <c r="B6566" s="45"/>
      <c r="C6566" s="45"/>
    </row>
    <row r="6567" spans="2:3" x14ac:dyDescent="0.25">
      <c r="B6567" s="45"/>
      <c r="C6567" s="45"/>
    </row>
    <row r="6568" spans="2:3" x14ac:dyDescent="0.25">
      <c r="B6568" s="45"/>
      <c r="C6568" s="45"/>
    </row>
    <row r="6569" spans="2:3" x14ac:dyDescent="0.25">
      <c r="B6569" s="45"/>
      <c r="C6569" s="45"/>
    </row>
    <row r="6570" spans="2:3" x14ac:dyDescent="0.25">
      <c r="B6570" s="45"/>
      <c r="C6570" s="45"/>
    </row>
    <row r="6571" spans="2:3" x14ac:dyDescent="0.25">
      <c r="B6571" s="45"/>
      <c r="C6571" s="45"/>
    </row>
    <row r="6572" spans="2:3" x14ac:dyDescent="0.25">
      <c r="B6572" s="45"/>
      <c r="C6572" s="45"/>
    </row>
    <row r="6573" spans="2:3" x14ac:dyDescent="0.25">
      <c r="B6573" s="45"/>
      <c r="C6573" s="45"/>
    </row>
    <row r="6574" spans="2:3" x14ac:dyDescent="0.25">
      <c r="B6574" s="45"/>
      <c r="C6574" s="45"/>
    </row>
    <row r="6575" spans="2:3" x14ac:dyDescent="0.25">
      <c r="B6575" s="45"/>
      <c r="C6575" s="45"/>
    </row>
    <row r="6576" spans="2:3" x14ac:dyDescent="0.25">
      <c r="B6576" s="45"/>
      <c r="C6576" s="45"/>
    </row>
    <row r="6577" spans="2:3" x14ac:dyDescent="0.25">
      <c r="B6577" s="45"/>
      <c r="C6577" s="45"/>
    </row>
    <row r="6578" spans="2:3" x14ac:dyDescent="0.25">
      <c r="B6578" s="45"/>
      <c r="C6578" s="45"/>
    </row>
    <row r="6579" spans="2:3" x14ac:dyDescent="0.25">
      <c r="B6579" s="45"/>
      <c r="C6579" s="45"/>
    </row>
    <row r="6580" spans="2:3" x14ac:dyDescent="0.25">
      <c r="B6580" s="45"/>
      <c r="C6580" s="45"/>
    </row>
    <row r="6581" spans="2:3" x14ac:dyDescent="0.25">
      <c r="B6581" s="45"/>
      <c r="C6581" s="45"/>
    </row>
    <row r="6582" spans="2:3" x14ac:dyDescent="0.25">
      <c r="B6582" s="45"/>
      <c r="C6582" s="45"/>
    </row>
    <row r="6583" spans="2:3" x14ac:dyDescent="0.25">
      <c r="B6583" s="45"/>
      <c r="C6583" s="45"/>
    </row>
    <row r="6584" spans="2:3" x14ac:dyDescent="0.25">
      <c r="B6584" s="45"/>
      <c r="C6584" s="45"/>
    </row>
    <row r="6585" spans="2:3" x14ac:dyDescent="0.25">
      <c r="B6585" s="45"/>
      <c r="C6585" s="45"/>
    </row>
    <row r="6586" spans="2:3" x14ac:dyDescent="0.25">
      <c r="B6586" s="45"/>
      <c r="C6586" s="45"/>
    </row>
    <row r="6587" spans="2:3" x14ac:dyDescent="0.25">
      <c r="B6587" s="45"/>
      <c r="C6587" s="45"/>
    </row>
    <row r="6588" spans="2:3" x14ac:dyDescent="0.25">
      <c r="B6588" s="45"/>
      <c r="C6588" s="45"/>
    </row>
    <row r="6589" spans="2:3" x14ac:dyDescent="0.25">
      <c r="B6589" s="45"/>
      <c r="C6589" s="45"/>
    </row>
    <row r="6590" spans="2:3" x14ac:dyDescent="0.25">
      <c r="B6590" s="45"/>
      <c r="C6590" s="45"/>
    </row>
    <row r="6591" spans="2:3" x14ac:dyDescent="0.25">
      <c r="B6591" s="45"/>
      <c r="C6591" s="45"/>
    </row>
    <row r="6592" spans="2:3" x14ac:dyDescent="0.25">
      <c r="B6592" s="45"/>
      <c r="C6592" s="45"/>
    </row>
    <row r="6593" spans="2:3" x14ac:dyDescent="0.25">
      <c r="B6593" s="45"/>
      <c r="C6593" s="45"/>
    </row>
    <row r="6594" spans="2:3" x14ac:dyDescent="0.25">
      <c r="B6594" s="45"/>
      <c r="C6594" s="45"/>
    </row>
    <row r="6595" spans="2:3" x14ac:dyDescent="0.25">
      <c r="B6595" s="45"/>
      <c r="C6595" s="45"/>
    </row>
    <row r="6596" spans="2:3" x14ac:dyDescent="0.25">
      <c r="B6596" s="45"/>
      <c r="C6596" s="45"/>
    </row>
    <row r="6597" spans="2:3" x14ac:dyDescent="0.25">
      <c r="B6597" s="45"/>
      <c r="C6597" s="45"/>
    </row>
    <row r="6598" spans="2:3" x14ac:dyDescent="0.25">
      <c r="B6598" s="45"/>
      <c r="C6598" s="45"/>
    </row>
    <row r="6599" spans="2:3" x14ac:dyDescent="0.25">
      <c r="B6599" s="45"/>
      <c r="C6599" s="45"/>
    </row>
    <row r="6600" spans="2:3" x14ac:dyDescent="0.25">
      <c r="B6600" s="45"/>
      <c r="C6600" s="45"/>
    </row>
    <row r="6601" spans="2:3" x14ac:dyDescent="0.25">
      <c r="B6601" s="45"/>
      <c r="C6601" s="45"/>
    </row>
    <row r="6602" spans="2:3" x14ac:dyDescent="0.25">
      <c r="B6602" s="45"/>
      <c r="C6602" s="45"/>
    </row>
    <row r="6603" spans="2:3" x14ac:dyDescent="0.25">
      <c r="B6603" s="45"/>
      <c r="C6603" s="45"/>
    </row>
    <row r="6604" spans="2:3" x14ac:dyDescent="0.25">
      <c r="B6604" s="45"/>
      <c r="C6604" s="45"/>
    </row>
    <row r="6605" spans="2:3" x14ac:dyDescent="0.25">
      <c r="B6605" s="45"/>
      <c r="C6605" s="45"/>
    </row>
    <row r="6606" spans="2:3" x14ac:dyDescent="0.25">
      <c r="B6606" s="45"/>
      <c r="C6606" s="45"/>
    </row>
    <row r="6607" spans="2:3" x14ac:dyDescent="0.25">
      <c r="B6607" s="45"/>
      <c r="C6607" s="45"/>
    </row>
    <row r="6608" spans="2:3" x14ac:dyDescent="0.25">
      <c r="B6608" s="45"/>
      <c r="C6608" s="45"/>
    </row>
    <row r="6609" spans="2:3" x14ac:dyDescent="0.25">
      <c r="B6609" s="45"/>
      <c r="C6609" s="45"/>
    </row>
    <row r="6610" spans="2:3" x14ac:dyDescent="0.25">
      <c r="B6610" s="45"/>
      <c r="C6610" s="45"/>
    </row>
    <row r="6611" spans="2:3" x14ac:dyDescent="0.25">
      <c r="B6611" s="45"/>
      <c r="C6611" s="45"/>
    </row>
    <row r="6612" spans="2:3" x14ac:dyDescent="0.25">
      <c r="B6612" s="45"/>
      <c r="C6612" s="45"/>
    </row>
    <row r="6613" spans="2:3" x14ac:dyDescent="0.25">
      <c r="B6613" s="45"/>
      <c r="C6613" s="45"/>
    </row>
    <row r="6614" spans="2:3" x14ac:dyDescent="0.25">
      <c r="B6614" s="45"/>
      <c r="C6614" s="45"/>
    </row>
    <row r="6615" spans="2:3" x14ac:dyDescent="0.25">
      <c r="B6615" s="45"/>
      <c r="C6615" s="45"/>
    </row>
    <row r="6616" spans="2:3" x14ac:dyDescent="0.25">
      <c r="B6616" s="45"/>
      <c r="C6616" s="45"/>
    </row>
    <row r="6617" spans="2:3" x14ac:dyDescent="0.25">
      <c r="B6617" s="45"/>
      <c r="C6617" s="45"/>
    </row>
    <row r="6618" spans="2:3" x14ac:dyDescent="0.25">
      <c r="B6618" s="45"/>
      <c r="C6618" s="45"/>
    </row>
    <row r="6619" spans="2:3" x14ac:dyDescent="0.25">
      <c r="B6619" s="45"/>
      <c r="C6619" s="45"/>
    </row>
    <row r="6620" spans="2:3" x14ac:dyDescent="0.25">
      <c r="B6620" s="45"/>
      <c r="C6620" s="45"/>
    </row>
    <row r="6621" spans="2:3" x14ac:dyDescent="0.25">
      <c r="B6621" s="45"/>
      <c r="C6621" s="45"/>
    </row>
    <row r="6622" spans="2:3" x14ac:dyDescent="0.25">
      <c r="B6622" s="45"/>
      <c r="C6622" s="45"/>
    </row>
    <row r="6623" spans="2:3" x14ac:dyDescent="0.25">
      <c r="B6623" s="45"/>
      <c r="C6623" s="45"/>
    </row>
    <row r="6624" spans="2:3" x14ac:dyDescent="0.25">
      <c r="B6624" s="45"/>
      <c r="C6624" s="45"/>
    </row>
    <row r="6625" spans="2:3" x14ac:dyDescent="0.25">
      <c r="B6625" s="45"/>
      <c r="C6625" s="45"/>
    </row>
    <row r="6626" spans="2:3" x14ac:dyDescent="0.25">
      <c r="B6626" s="45"/>
      <c r="C6626" s="45"/>
    </row>
    <row r="6627" spans="2:3" x14ac:dyDescent="0.25">
      <c r="B6627" s="45"/>
      <c r="C6627" s="45"/>
    </row>
    <row r="6628" spans="2:3" x14ac:dyDescent="0.25">
      <c r="B6628" s="45"/>
      <c r="C6628" s="45"/>
    </row>
    <row r="6629" spans="2:3" x14ac:dyDescent="0.25">
      <c r="B6629" s="45"/>
      <c r="C6629" s="45"/>
    </row>
    <row r="6630" spans="2:3" x14ac:dyDescent="0.25">
      <c r="B6630" s="45"/>
      <c r="C6630" s="45"/>
    </row>
    <row r="6631" spans="2:3" x14ac:dyDescent="0.25">
      <c r="B6631" s="45"/>
      <c r="C6631" s="45"/>
    </row>
    <row r="6632" spans="2:3" x14ac:dyDescent="0.25">
      <c r="B6632" s="45"/>
      <c r="C6632" s="45"/>
    </row>
    <row r="6633" spans="2:3" x14ac:dyDescent="0.25">
      <c r="B6633" s="45"/>
      <c r="C6633" s="45"/>
    </row>
    <row r="6634" spans="2:3" x14ac:dyDescent="0.25">
      <c r="B6634" s="45"/>
      <c r="C6634" s="45"/>
    </row>
    <row r="6635" spans="2:3" x14ac:dyDescent="0.25">
      <c r="B6635" s="45"/>
      <c r="C6635" s="45"/>
    </row>
    <row r="6636" spans="2:3" x14ac:dyDescent="0.25">
      <c r="B6636" s="45"/>
      <c r="C6636" s="45"/>
    </row>
    <row r="6637" spans="2:3" x14ac:dyDescent="0.25">
      <c r="B6637" s="45"/>
      <c r="C6637" s="45"/>
    </row>
    <row r="6638" spans="2:3" x14ac:dyDescent="0.25">
      <c r="B6638" s="45"/>
      <c r="C6638" s="45"/>
    </row>
    <row r="6639" spans="2:3" x14ac:dyDescent="0.25">
      <c r="B6639" s="45"/>
      <c r="C6639" s="45"/>
    </row>
    <row r="6640" spans="2:3" x14ac:dyDescent="0.25">
      <c r="B6640" s="45"/>
      <c r="C6640" s="45"/>
    </row>
    <row r="6641" spans="2:3" x14ac:dyDescent="0.25">
      <c r="B6641" s="45"/>
      <c r="C6641" s="45"/>
    </row>
    <row r="6642" spans="2:3" x14ac:dyDescent="0.25">
      <c r="B6642" s="45"/>
      <c r="C6642" s="45"/>
    </row>
    <row r="6643" spans="2:3" x14ac:dyDescent="0.25">
      <c r="B6643" s="45"/>
      <c r="C6643" s="45"/>
    </row>
    <row r="6644" spans="2:3" x14ac:dyDescent="0.25">
      <c r="B6644" s="45"/>
      <c r="C6644" s="45"/>
    </row>
    <row r="6645" spans="2:3" x14ac:dyDescent="0.25">
      <c r="B6645" s="45"/>
      <c r="C6645" s="45"/>
    </row>
    <row r="6646" spans="2:3" x14ac:dyDescent="0.25">
      <c r="B6646" s="45"/>
      <c r="C6646" s="45"/>
    </row>
    <row r="6647" spans="2:3" x14ac:dyDescent="0.25">
      <c r="B6647" s="45"/>
      <c r="C6647" s="45"/>
    </row>
    <row r="6648" spans="2:3" x14ac:dyDescent="0.25">
      <c r="B6648" s="45"/>
      <c r="C6648" s="45"/>
    </row>
    <row r="6649" spans="2:3" x14ac:dyDescent="0.25">
      <c r="B6649" s="45"/>
      <c r="C6649" s="45"/>
    </row>
    <row r="6650" spans="2:3" x14ac:dyDescent="0.25">
      <c r="B6650" s="45"/>
      <c r="C6650" s="45"/>
    </row>
    <row r="6651" spans="2:3" x14ac:dyDescent="0.25">
      <c r="B6651" s="45"/>
      <c r="C6651" s="45"/>
    </row>
    <row r="6652" spans="2:3" x14ac:dyDescent="0.25">
      <c r="B6652" s="45"/>
      <c r="C6652" s="45"/>
    </row>
    <row r="6653" spans="2:3" x14ac:dyDescent="0.25">
      <c r="B6653" s="45"/>
      <c r="C6653" s="45"/>
    </row>
    <row r="6654" spans="2:3" x14ac:dyDescent="0.25">
      <c r="B6654" s="45"/>
      <c r="C6654" s="45"/>
    </row>
    <row r="6655" spans="2:3" x14ac:dyDescent="0.25">
      <c r="B6655" s="45"/>
      <c r="C6655" s="45"/>
    </row>
    <row r="6656" spans="2:3" x14ac:dyDescent="0.25">
      <c r="B6656" s="45"/>
      <c r="C6656" s="45"/>
    </row>
    <row r="6657" spans="2:3" x14ac:dyDescent="0.25">
      <c r="B6657" s="45"/>
      <c r="C6657" s="45"/>
    </row>
    <row r="6658" spans="2:3" x14ac:dyDescent="0.25">
      <c r="B6658" s="45"/>
      <c r="C6658" s="45"/>
    </row>
    <row r="6659" spans="2:3" x14ac:dyDescent="0.25">
      <c r="B6659" s="45"/>
      <c r="C6659" s="45"/>
    </row>
    <row r="6660" spans="2:3" x14ac:dyDescent="0.25">
      <c r="B6660" s="45"/>
      <c r="C6660" s="45"/>
    </row>
    <row r="6661" spans="2:3" x14ac:dyDescent="0.25">
      <c r="B6661" s="45"/>
      <c r="C6661" s="45"/>
    </row>
    <row r="6662" spans="2:3" x14ac:dyDescent="0.25">
      <c r="B6662" s="45"/>
      <c r="C6662" s="45"/>
    </row>
    <row r="6663" spans="2:3" x14ac:dyDescent="0.25">
      <c r="B6663" s="45"/>
      <c r="C6663" s="45"/>
    </row>
    <row r="6664" spans="2:3" x14ac:dyDescent="0.25">
      <c r="B6664" s="45"/>
      <c r="C6664" s="45"/>
    </row>
    <row r="6665" spans="2:3" x14ac:dyDescent="0.25">
      <c r="B6665" s="45"/>
      <c r="C6665" s="45"/>
    </row>
    <row r="6666" spans="2:3" x14ac:dyDescent="0.25">
      <c r="B6666" s="45"/>
      <c r="C6666" s="45"/>
    </row>
    <row r="6667" spans="2:3" x14ac:dyDescent="0.25">
      <c r="B6667" s="45"/>
      <c r="C6667" s="45"/>
    </row>
    <row r="6668" spans="2:3" x14ac:dyDescent="0.25">
      <c r="B6668" s="45"/>
      <c r="C6668" s="45"/>
    </row>
    <row r="6669" spans="2:3" x14ac:dyDescent="0.25">
      <c r="B6669" s="45"/>
      <c r="C6669" s="45"/>
    </row>
    <row r="6670" spans="2:3" x14ac:dyDescent="0.25">
      <c r="B6670" s="45"/>
      <c r="C6670" s="45"/>
    </row>
    <row r="6671" spans="2:3" x14ac:dyDescent="0.25">
      <c r="B6671" s="45"/>
      <c r="C6671" s="45"/>
    </row>
    <row r="6672" spans="2:3" x14ac:dyDescent="0.25">
      <c r="B6672" s="45"/>
      <c r="C6672" s="45"/>
    </row>
    <row r="6673" spans="2:3" x14ac:dyDescent="0.25">
      <c r="B6673" s="45"/>
      <c r="C6673" s="45"/>
    </row>
    <row r="6674" spans="2:3" x14ac:dyDescent="0.25">
      <c r="B6674" s="45"/>
      <c r="C6674" s="45"/>
    </row>
    <row r="6675" spans="2:3" x14ac:dyDescent="0.25">
      <c r="B6675" s="45"/>
      <c r="C6675" s="45"/>
    </row>
    <row r="6676" spans="2:3" x14ac:dyDescent="0.25">
      <c r="B6676" s="45"/>
      <c r="C6676" s="45"/>
    </row>
    <row r="6677" spans="2:3" x14ac:dyDescent="0.25">
      <c r="B6677" s="45"/>
      <c r="C6677" s="45"/>
    </row>
    <row r="6678" spans="2:3" x14ac:dyDescent="0.25">
      <c r="B6678" s="45"/>
      <c r="C6678" s="45"/>
    </row>
    <row r="6679" spans="2:3" x14ac:dyDescent="0.25">
      <c r="B6679" s="45"/>
      <c r="C6679" s="45"/>
    </row>
    <row r="6680" spans="2:3" x14ac:dyDescent="0.25">
      <c r="B6680" s="45"/>
      <c r="C6680" s="45"/>
    </row>
    <row r="6681" spans="2:3" x14ac:dyDescent="0.25">
      <c r="B6681" s="45"/>
      <c r="C6681" s="45"/>
    </row>
    <row r="6682" spans="2:3" x14ac:dyDescent="0.25">
      <c r="B6682" s="15"/>
      <c r="C6682" s="45"/>
    </row>
    <row r="6683" spans="2:3" x14ac:dyDescent="0.25">
      <c r="B6683" s="15"/>
      <c r="C6683" s="45"/>
    </row>
    <row r="6684" spans="2:3" x14ac:dyDescent="0.25">
      <c r="B6684" s="15"/>
      <c r="C6684" s="45"/>
    </row>
    <row r="6685" spans="2:3" x14ac:dyDescent="0.25">
      <c r="B6685" s="15"/>
      <c r="C6685" s="45"/>
    </row>
    <row r="6686" spans="2:3" x14ac:dyDescent="0.25">
      <c r="B6686" s="15"/>
      <c r="C6686" s="45"/>
    </row>
    <row r="6687" spans="2:3" x14ac:dyDescent="0.25">
      <c r="B6687" s="15"/>
      <c r="C6687" s="45"/>
    </row>
    <row r="6688" spans="2:3" x14ac:dyDescent="0.25">
      <c r="B6688" s="15"/>
      <c r="C6688" s="45"/>
    </row>
    <row r="6689" spans="2:3" x14ac:dyDescent="0.25">
      <c r="B6689" s="15"/>
      <c r="C6689" s="45"/>
    </row>
    <row r="6690" spans="2:3" x14ac:dyDescent="0.25">
      <c r="B6690" s="15"/>
      <c r="C6690" s="45"/>
    </row>
    <row r="6691" spans="2:3" x14ac:dyDescent="0.25">
      <c r="B6691" s="15"/>
      <c r="C6691" s="45"/>
    </row>
    <row r="6692" spans="2:3" x14ac:dyDescent="0.25">
      <c r="B6692" s="15"/>
      <c r="C6692" s="45"/>
    </row>
    <row r="6693" spans="2:3" x14ac:dyDescent="0.25">
      <c r="B6693" s="15"/>
      <c r="C6693" s="45"/>
    </row>
    <row r="6694" spans="2:3" x14ac:dyDescent="0.25">
      <c r="B6694" s="15"/>
      <c r="C6694" s="45"/>
    </row>
    <row r="6695" spans="2:3" x14ac:dyDescent="0.25">
      <c r="B6695" s="15"/>
      <c r="C6695" s="45"/>
    </row>
    <row r="6696" spans="2:3" x14ac:dyDescent="0.25">
      <c r="B6696" s="15"/>
      <c r="C6696" s="45"/>
    </row>
    <row r="6697" spans="2:3" x14ac:dyDescent="0.25">
      <c r="B6697" s="15"/>
      <c r="C6697" s="45"/>
    </row>
    <row r="6698" spans="2:3" x14ac:dyDescent="0.25">
      <c r="B6698" s="15"/>
      <c r="C6698" s="45"/>
    </row>
    <row r="6699" spans="2:3" x14ac:dyDescent="0.25">
      <c r="B6699" s="15"/>
      <c r="C6699" s="45"/>
    </row>
    <row r="6700" spans="2:3" x14ac:dyDescent="0.25">
      <c r="B6700" s="15"/>
      <c r="C6700" s="45"/>
    </row>
    <row r="6701" spans="2:3" x14ac:dyDescent="0.25">
      <c r="B6701" s="15"/>
      <c r="C6701" s="45"/>
    </row>
    <row r="6702" spans="2:3" x14ac:dyDescent="0.25">
      <c r="B6702" s="15"/>
      <c r="C6702" s="45"/>
    </row>
    <row r="6703" spans="2:3" x14ac:dyDescent="0.25">
      <c r="B6703" s="15"/>
      <c r="C6703" s="45"/>
    </row>
    <row r="6704" spans="2:3" x14ac:dyDescent="0.25">
      <c r="B6704" s="15"/>
      <c r="C6704" s="45"/>
    </row>
    <row r="6705" spans="2:3" x14ac:dyDescent="0.25">
      <c r="B6705" s="15"/>
      <c r="C6705" s="45"/>
    </row>
    <row r="6706" spans="2:3" x14ac:dyDescent="0.25">
      <c r="B6706" s="15"/>
      <c r="C6706" s="45"/>
    </row>
    <row r="6707" spans="2:3" x14ac:dyDescent="0.25">
      <c r="B6707" s="15"/>
      <c r="C6707" s="45"/>
    </row>
    <row r="6708" spans="2:3" x14ac:dyDescent="0.25">
      <c r="B6708" s="15"/>
      <c r="C6708" s="45"/>
    </row>
    <row r="6709" spans="2:3" x14ac:dyDescent="0.25">
      <c r="B6709" s="15"/>
      <c r="C6709" s="45"/>
    </row>
    <row r="6710" spans="2:3" x14ac:dyDescent="0.25">
      <c r="B6710" s="15"/>
      <c r="C6710" s="45"/>
    </row>
    <row r="6711" spans="2:3" x14ac:dyDescent="0.25">
      <c r="B6711" s="15"/>
      <c r="C6711" s="45"/>
    </row>
    <row r="6712" spans="2:3" x14ac:dyDescent="0.25">
      <c r="B6712" s="15"/>
      <c r="C6712" s="45"/>
    </row>
    <row r="6713" spans="2:3" x14ac:dyDescent="0.25">
      <c r="B6713" s="15"/>
      <c r="C6713" s="45"/>
    </row>
    <row r="6714" spans="2:3" x14ac:dyDescent="0.25">
      <c r="B6714" s="15"/>
      <c r="C6714" s="45"/>
    </row>
    <row r="6715" spans="2:3" x14ac:dyDescent="0.25">
      <c r="B6715" s="15"/>
      <c r="C6715" s="45"/>
    </row>
    <row r="6716" spans="2:3" x14ac:dyDescent="0.25">
      <c r="B6716" s="15"/>
      <c r="C6716" s="45"/>
    </row>
    <row r="6717" spans="2:3" x14ac:dyDescent="0.25">
      <c r="B6717" s="15"/>
      <c r="C6717" s="45"/>
    </row>
    <row r="6718" spans="2:3" x14ac:dyDescent="0.25">
      <c r="B6718" s="15"/>
      <c r="C6718" s="45"/>
    </row>
    <row r="6719" spans="2:3" x14ac:dyDescent="0.25">
      <c r="B6719" s="15"/>
      <c r="C6719" s="45"/>
    </row>
    <row r="6720" spans="2:3" x14ac:dyDescent="0.25">
      <c r="B6720" s="15"/>
      <c r="C6720" s="45"/>
    </row>
    <row r="6721" spans="2:3" x14ac:dyDescent="0.25">
      <c r="B6721" s="15"/>
      <c r="C6721" s="45"/>
    </row>
    <row r="6722" spans="2:3" x14ac:dyDescent="0.25">
      <c r="B6722" s="15"/>
      <c r="C6722" s="45"/>
    </row>
    <row r="6723" spans="2:3" x14ac:dyDescent="0.25">
      <c r="B6723" s="15"/>
      <c r="C6723" s="45"/>
    </row>
    <row r="6724" spans="2:3" x14ac:dyDescent="0.25">
      <c r="B6724" s="15"/>
      <c r="C6724" s="45"/>
    </row>
    <row r="6725" spans="2:3" x14ac:dyDescent="0.25">
      <c r="B6725" s="15"/>
      <c r="C6725" s="45"/>
    </row>
    <row r="6726" spans="2:3" x14ac:dyDescent="0.25">
      <c r="B6726" s="15"/>
      <c r="C6726" s="45"/>
    </row>
    <row r="6727" spans="2:3" x14ac:dyDescent="0.25">
      <c r="B6727" s="15"/>
      <c r="C6727" s="45"/>
    </row>
    <row r="6728" spans="2:3" x14ac:dyDescent="0.25">
      <c r="B6728" s="15"/>
      <c r="C6728" s="45"/>
    </row>
    <row r="6729" spans="2:3" x14ac:dyDescent="0.25">
      <c r="B6729" s="15"/>
      <c r="C6729" s="45"/>
    </row>
    <row r="6730" spans="2:3" x14ac:dyDescent="0.25">
      <c r="B6730" s="15"/>
      <c r="C6730" s="45"/>
    </row>
    <row r="6731" spans="2:3" x14ac:dyDescent="0.25">
      <c r="B6731" s="15"/>
      <c r="C6731" s="45"/>
    </row>
    <row r="6732" spans="2:3" x14ac:dyDescent="0.25">
      <c r="B6732" s="15"/>
      <c r="C6732" s="45"/>
    </row>
    <row r="6733" spans="2:3" x14ac:dyDescent="0.25">
      <c r="B6733" s="15"/>
      <c r="C6733" s="45"/>
    </row>
    <row r="6734" spans="2:3" x14ac:dyDescent="0.25">
      <c r="B6734" s="15"/>
      <c r="C6734" s="45"/>
    </row>
    <row r="6735" spans="2:3" x14ac:dyDescent="0.25">
      <c r="B6735" s="15"/>
      <c r="C6735" s="45"/>
    </row>
    <row r="6736" spans="2:3" x14ac:dyDescent="0.25">
      <c r="B6736" s="15"/>
      <c r="C6736" s="45"/>
    </row>
    <row r="6737" spans="2:3" x14ac:dyDescent="0.25">
      <c r="B6737" s="15"/>
      <c r="C6737" s="45"/>
    </row>
    <row r="6738" spans="2:3" x14ac:dyDescent="0.25">
      <c r="B6738" s="15"/>
      <c r="C6738" s="45"/>
    </row>
    <row r="6739" spans="2:3" x14ac:dyDescent="0.25">
      <c r="B6739" s="15"/>
      <c r="C6739" s="45"/>
    </row>
    <row r="6740" spans="2:3" x14ac:dyDescent="0.25">
      <c r="B6740" s="15"/>
      <c r="C6740" s="45"/>
    </row>
    <row r="6741" spans="2:3" x14ac:dyDescent="0.25">
      <c r="B6741" s="15"/>
      <c r="C6741" s="45"/>
    </row>
    <row r="6742" spans="2:3" x14ac:dyDescent="0.25">
      <c r="B6742" s="15"/>
      <c r="C6742" s="45"/>
    </row>
    <row r="6743" spans="2:3" x14ac:dyDescent="0.25">
      <c r="B6743" s="15"/>
      <c r="C6743" s="45"/>
    </row>
    <row r="6744" spans="2:3" x14ac:dyDescent="0.25">
      <c r="B6744" s="15"/>
      <c r="C6744" s="45"/>
    </row>
    <row r="6745" spans="2:3" x14ac:dyDescent="0.25">
      <c r="B6745" s="15"/>
      <c r="C6745" s="45"/>
    </row>
    <row r="6746" spans="2:3" x14ac:dyDescent="0.25">
      <c r="B6746" s="15"/>
      <c r="C6746" s="45"/>
    </row>
    <row r="6747" spans="2:3" x14ac:dyDescent="0.25">
      <c r="B6747" s="15"/>
      <c r="C6747" s="45"/>
    </row>
    <row r="6748" spans="2:3" x14ac:dyDescent="0.25">
      <c r="B6748" s="15"/>
      <c r="C6748" s="45"/>
    </row>
    <row r="6749" spans="2:3" x14ac:dyDescent="0.25">
      <c r="B6749" s="15"/>
      <c r="C6749" s="45"/>
    </row>
    <row r="6750" spans="2:3" x14ac:dyDescent="0.25">
      <c r="B6750" s="15"/>
      <c r="C6750" s="45"/>
    </row>
    <row r="6751" spans="2:3" x14ac:dyDescent="0.25">
      <c r="B6751" s="15"/>
      <c r="C6751" s="45"/>
    </row>
    <row r="6752" spans="2:3" x14ac:dyDescent="0.25">
      <c r="B6752" s="15"/>
      <c r="C6752" s="45"/>
    </row>
    <row r="6753" spans="2:3" x14ac:dyDescent="0.25">
      <c r="B6753" s="15"/>
      <c r="C6753" s="45"/>
    </row>
    <row r="6754" spans="2:3" x14ac:dyDescent="0.25">
      <c r="B6754" s="15"/>
      <c r="C6754" s="45"/>
    </row>
    <row r="6755" spans="2:3" x14ac:dyDescent="0.25">
      <c r="B6755" s="15"/>
      <c r="C6755" s="45"/>
    </row>
    <row r="6756" spans="2:3" x14ac:dyDescent="0.25">
      <c r="B6756" s="15"/>
      <c r="C6756" s="45"/>
    </row>
    <row r="6757" spans="2:3" x14ac:dyDescent="0.25">
      <c r="B6757" s="15"/>
      <c r="C6757" s="45"/>
    </row>
    <row r="6758" spans="2:3" x14ac:dyDescent="0.25">
      <c r="B6758" s="15"/>
      <c r="C6758" s="45"/>
    </row>
    <row r="6759" spans="2:3" x14ac:dyDescent="0.25">
      <c r="B6759" s="15"/>
      <c r="C6759" s="45"/>
    </row>
    <row r="6760" spans="2:3" x14ac:dyDescent="0.25">
      <c r="B6760" s="15"/>
      <c r="C6760" s="45"/>
    </row>
    <row r="6761" spans="2:3" x14ac:dyDescent="0.25">
      <c r="B6761" s="15"/>
      <c r="C6761" s="45"/>
    </row>
    <row r="6762" spans="2:3" x14ac:dyDescent="0.25">
      <c r="B6762" s="15"/>
      <c r="C6762" s="45"/>
    </row>
    <row r="6763" spans="2:3" x14ac:dyDescent="0.25">
      <c r="B6763" s="15"/>
      <c r="C6763" s="45"/>
    </row>
    <row r="6764" spans="2:3" x14ac:dyDescent="0.25">
      <c r="B6764" s="15"/>
      <c r="C6764" s="45"/>
    </row>
    <row r="6765" spans="2:3" x14ac:dyDescent="0.25">
      <c r="B6765" s="15"/>
      <c r="C6765" s="45"/>
    </row>
    <row r="6766" spans="2:3" x14ac:dyDescent="0.25">
      <c r="B6766" s="15"/>
      <c r="C6766" s="45"/>
    </row>
    <row r="6767" spans="2:3" x14ac:dyDescent="0.25">
      <c r="B6767" s="15"/>
      <c r="C6767" s="45"/>
    </row>
    <row r="6768" spans="2:3" x14ac:dyDescent="0.25">
      <c r="B6768" s="15"/>
      <c r="C6768" s="45"/>
    </row>
    <row r="6769" spans="2:3" x14ac:dyDescent="0.25">
      <c r="B6769" s="15"/>
      <c r="C6769" s="45"/>
    </row>
    <row r="6770" spans="2:3" x14ac:dyDescent="0.25">
      <c r="B6770" s="15"/>
      <c r="C6770" s="45"/>
    </row>
    <row r="6771" spans="2:3" x14ac:dyDescent="0.25">
      <c r="B6771" s="15"/>
      <c r="C6771" s="45"/>
    </row>
    <row r="6772" spans="2:3" x14ac:dyDescent="0.25">
      <c r="B6772" s="15"/>
      <c r="C6772" s="45"/>
    </row>
    <row r="6773" spans="2:3" x14ac:dyDescent="0.25">
      <c r="B6773" s="15"/>
      <c r="C6773" s="45"/>
    </row>
    <row r="6774" spans="2:3" x14ac:dyDescent="0.25">
      <c r="B6774" s="15"/>
      <c r="C6774" s="45"/>
    </row>
    <row r="6775" spans="2:3" x14ac:dyDescent="0.25">
      <c r="B6775" s="15"/>
      <c r="C6775" s="45"/>
    </row>
    <row r="6776" spans="2:3" x14ac:dyDescent="0.25">
      <c r="B6776" s="15"/>
      <c r="C6776" s="45"/>
    </row>
    <row r="6777" spans="2:3" x14ac:dyDescent="0.25">
      <c r="B6777" s="15"/>
      <c r="C6777" s="45"/>
    </row>
    <row r="6778" spans="2:3" x14ac:dyDescent="0.25">
      <c r="B6778" s="15"/>
      <c r="C6778" s="45"/>
    </row>
    <row r="6779" spans="2:3" x14ac:dyDescent="0.25">
      <c r="B6779" s="15"/>
      <c r="C6779" s="45"/>
    </row>
    <row r="6780" spans="2:3" x14ac:dyDescent="0.25">
      <c r="B6780" s="15"/>
      <c r="C6780" s="45"/>
    </row>
    <row r="6781" spans="2:3" x14ac:dyDescent="0.25">
      <c r="B6781" s="15"/>
      <c r="C6781" s="45"/>
    </row>
    <row r="6782" spans="2:3" x14ac:dyDescent="0.25">
      <c r="B6782" s="15"/>
      <c r="C6782" s="45"/>
    </row>
    <row r="6783" spans="2:3" x14ac:dyDescent="0.25">
      <c r="B6783" s="15"/>
      <c r="C6783" s="45"/>
    </row>
    <row r="6784" spans="2:3" x14ac:dyDescent="0.25">
      <c r="B6784" s="15"/>
      <c r="C6784" s="45"/>
    </row>
    <row r="6785" spans="2:3" x14ac:dyDescent="0.25">
      <c r="B6785" s="15"/>
      <c r="C6785" s="45"/>
    </row>
    <row r="6786" spans="2:3" x14ac:dyDescent="0.25">
      <c r="B6786" s="15"/>
      <c r="C6786" s="45"/>
    </row>
    <row r="6787" spans="2:3" x14ac:dyDescent="0.25">
      <c r="B6787" s="15"/>
      <c r="C6787" s="45"/>
    </row>
    <row r="6788" spans="2:3" x14ac:dyDescent="0.25">
      <c r="B6788" s="15"/>
      <c r="C6788" s="45"/>
    </row>
    <row r="6789" spans="2:3" x14ac:dyDescent="0.25">
      <c r="B6789" s="15"/>
      <c r="C6789" s="45"/>
    </row>
    <row r="6790" spans="2:3" x14ac:dyDescent="0.25">
      <c r="B6790" s="15"/>
      <c r="C6790" s="45"/>
    </row>
    <row r="6791" spans="2:3" x14ac:dyDescent="0.25">
      <c r="B6791" s="15"/>
      <c r="C6791" s="45"/>
    </row>
    <row r="6792" spans="2:3" x14ac:dyDescent="0.25">
      <c r="B6792" s="15"/>
      <c r="C6792" s="45"/>
    </row>
    <row r="6793" spans="2:3" x14ac:dyDescent="0.25">
      <c r="B6793" s="15"/>
      <c r="C6793" s="45"/>
    </row>
    <row r="6794" spans="2:3" x14ac:dyDescent="0.25">
      <c r="B6794" s="15"/>
      <c r="C6794" s="45"/>
    </row>
    <row r="6795" spans="2:3" x14ac:dyDescent="0.25">
      <c r="B6795" s="15"/>
      <c r="C6795" s="45"/>
    </row>
    <row r="6796" spans="2:3" x14ac:dyDescent="0.25">
      <c r="B6796" s="15"/>
      <c r="C6796" s="45"/>
    </row>
    <row r="6797" spans="2:3" x14ac:dyDescent="0.25">
      <c r="B6797" s="15"/>
      <c r="C6797" s="45"/>
    </row>
    <row r="6798" spans="2:3" x14ac:dyDescent="0.25">
      <c r="B6798" s="15"/>
      <c r="C6798" s="45"/>
    </row>
    <row r="6799" spans="2:3" x14ac:dyDescent="0.25">
      <c r="B6799" s="15"/>
      <c r="C6799" s="45"/>
    </row>
    <row r="6800" spans="2:3" x14ac:dyDescent="0.25">
      <c r="B6800" s="15"/>
      <c r="C6800" s="45"/>
    </row>
    <row r="6801" spans="2:3" x14ac:dyDescent="0.25">
      <c r="B6801" s="15"/>
      <c r="C6801" s="45"/>
    </row>
    <row r="6802" spans="2:3" x14ac:dyDescent="0.25">
      <c r="B6802" s="15"/>
      <c r="C6802" s="45"/>
    </row>
    <row r="6803" spans="2:3" x14ac:dyDescent="0.25">
      <c r="B6803" s="15"/>
      <c r="C6803" s="45"/>
    </row>
    <row r="6804" spans="2:3" x14ac:dyDescent="0.25">
      <c r="B6804" s="15"/>
      <c r="C6804" s="45"/>
    </row>
    <row r="6805" spans="2:3" x14ac:dyDescent="0.25">
      <c r="B6805" s="15"/>
      <c r="C6805" s="45"/>
    </row>
    <row r="6806" spans="2:3" x14ac:dyDescent="0.25">
      <c r="B6806" s="15"/>
      <c r="C6806" s="45"/>
    </row>
    <row r="6807" spans="2:3" x14ac:dyDescent="0.25">
      <c r="B6807" s="15"/>
      <c r="C6807" s="45"/>
    </row>
    <row r="6808" spans="2:3" x14ac:dyDescent="0.25">
      <c r="B6808" s="15"/>
      <c r="C6808" s="45"/>
    </row>
    <row r="6809" spans="2:3" x14ac:dyDescent="0.25">
      <c r="B6809" s="15"/>
      <c r="C6809" s="45"/>
    </row>
    <row r="6810" spans="2:3" x14ac:dyDescent="0.25">
      <c r="B6810" s="15"/>
      <c r="C6810" s="45"/>
    </row>
    <row r="6811" spans="2:3" x14ac:dyDescent="0.25">
      <c r="B6811" s="15"/>
      <c r="C6811" s="45"/>
    </row>
    <row r="6812" spans="2:3" x14ac:dyDescent="0.25">
      <c r="B6812" s="15"/>
      <c r="C6812" s="45"/>
    </row>
    <row r="6813" spans="2:3" x14ac:dyDescent="0.25">
      <c r="B6813" s="15"/>
      <c r="C6813" s="45"/>
    </row>
    <row r="6814" spans="2:3" x14ac:dyDescent="0.25">
      <c r="B6814" s="15"/>
      <c r="C6814" s="45"/>
    </row>
    <row r="6815" spans="2:3" x14ac:dyDescent="0.25">
      <c r="B6815" s="15"/>
      <c r="C6815" s="45"/>
    </row>
    <row r="6816" spans="2:3" x14ac:dyDescent="0.25">
      <c r="B6816" s="15"/>
      <c r="C6816" s="45"/>
    </row>
    <row r="6817" spans="2:3" x14ac:dyDescent="0.25">
      <c r="B6817" s="15"/>
      <c r="C6817" s="45"/>
    </row>
    <row r="6818" spans="2:3" x14ac:dyDescent="0.25">
      <c r="B6818" s="15"/>
      <c r="C6818" s="45"/>
    </row>
    <row r="6819" spans="2:3" x14ac:dyDescent="0.25">
      <c r="B6819" s="15"/>
      <c r="C6819" s="45"/>
    </row>
    <row r="6820" spans="2:3" x14ac:dyDescent="0.25">
      <c r="B6820" s="15"/>
      <c r="C6820" s="45"/>
    </row>
    <row r="6821" spans="2:3" x14ac:dyDescent="0.25">
      <c r="B6821" s="15"/>
      <c r="C6821" s="45"/>
    </row>
    <row r="6822" spans="2:3" x14ac:dyDescent="0.25">
      <c r="B6822" s="15"/>
      <c r="C6822" s="45"/>
    </row>
    <row r="6823" spans="2:3" x14ac:dyDescent="0.25">
      <c r="B6823" s="15"/>
      <c r="C6823" s="45"/>
    </row>
    <row r="6824" spans="2:3" x14ac:dyDescent="0.25">
      <c r="B6824" s="15"/>
      <c r="C6824" s="45"/>
    </row>
    <row r="6825" spans="2:3" x14ac:dyDescent="0.25">
      <c r="B6825" s="15"/>
      <c r="C6825" s="45"/>
    </row>
    <row r="6826" spans="2:3" x14ac:dyDescent="0.25">
      <c r="B6826" s="15"/>
      <c r="C6826" s="45"/>
    </row>
    <row r="6827" spans="2:3" x14ac:dyDescent="0.25">
      <c r="B6827" s="15"/>
      <c r="C6827" s="45"/>
    </row>
    <row r="6828" spans="2:3" x14ac:dyDescent="0.25">
      <c r="B6828" s="15"/>
      <c r="C6828" s="45"/>
    </row>
    <row r="6829" spans="2:3" x14ac:dyDescent="0.25">
      <c r="B6829" s="15"/>
      <c r="C6829" s="45"/>
    </row>
    <row r="6830" spans="2:3" x14ac:dyDescent="0.25">
      <c r="B6830" s="15"/>
      <c r="C6830" s="45"/>
    </row>
    <row r="6831" spans="2:3" x14ac:dyDescent="0.25">
      <c r="B6831" s="15"/>
      <c r="C6831" s="45"/>
    </row>
    <row r="6832" spans="2:3" x14ac:dyDescent="0.25">
      <c r="B6832" s="15"/>
      <c r="C6832" s="45"/>
    </row>
    <row r="6833" spans="2:3" x14ac:dyDescent="0.25">
      <c r="B6833" s="15"/>
      <c r="C6833" s="45"/>
    </row>
    <row r="6834" spans="2:3" x14ac:dyDescent="0.25">
      <c r="B6834" s="15"/>
      <c r="C6834" s="45"/>
    </row>
    <row r="6835" spans="2:3" x14ac:dyDescent="0.25">
      <c r="B6835" s="15"/>
      <c r="C6835" s="45"/>
    </row>
    <row r="6836" spans="2:3" x14ac:dyDescent="0.25">
      <c r="B6836" s="15"/>
      <c r="C6836" s="45"/>
    </row>
    <row r="6837" spans="2:3" x14ac:dyDescent="0.25">
      <c r="B6837" s="15"/>
      <c r="C6837" s="45"/>
    </row>
    <row r="6838" spans="2:3" x14ac:dyDescent="0.25">
      <c r="B6838" s="15"/>
      <c r="C6838" s="45"/>
    </row>
    <row r="6839" spans="2:3" x14ac:dyDescent="0.25">
      <c r="B6839" s="15"/>
      <c r="C6839" s="45"/>
    </row>
    <row r="6840" spans="2:3" x14ac:dyDescent="0.25">
      <c r="B6840" s="15"/>
      <c r="C6840" s="45"/>
    </row>
    <row r="6841" spans="2:3" x14ac:dyDescent="0.25">
      <c r="B6841" s="15"/>
      <c r="C6841" s="45"/>
    </row>
    <row r="6842" spans="2:3" x14ac:dyDescent="0.25">
      <c r="B6842" s="15"/>
      <c r="C6842" s="45"/>
    </row>
    <row r="6843" spans="2:3" x14ac:dyDescent="0.25">
      <c r="B6843" s="15"/>
      <c r="C6843" s="45"/>
    </row>
    <row r="6844" spans="2:3" x14ac:dyDescent="0.25">
      <c r="B6844" s="15"/>
      <c r="C6844" s="45"/>
    </row>
    <row r="6845" spans="2:3" x14ac:dyDescent="0.25">
      <c r="B6845" s="15"/>
      <c r="C6845" s="45"/>
    </row>
    <row r="6846" spans="2:3" x14ac:dyDescent="0.25">
      <c r="B6846" s="15"/>
      <c r="C6846" s="45"/>
    </row>
    <row r="6847" spans="2:3" x14ac:dyDescent="0.25">
      <c r="B6847" s="15"/>
      <c r="C6847" s="45"/>
    </row>
    <row r="6848" spans="2:3" x14ac:dyDescent="0.25">
      <c r="B6848" s="15"/>
      <c r="C6848" s="45"/>
    </row>
    <row r="6849" spans="2:3" x14ac:dyDescent="0.25">
      <c r="B6849" s="15"/>
      <c r="C6849" s="45"/>
    </row>
    <row r="6850" spans="2:3" x14ac:dyDescent="0.25">
      <c r="B6850" s="15"/>
      <c r="C6850" s="45"/>
    </row>
    <row r="6851" spans="2:3" x14ac:dyDescent="0.25">
      <c r="B6851" s="15"/>
      <c r="C6851" s="45"/>
    </row>
    <row r="6852" spans="2:3" x14ac:dyDescent="0.25">
      <c r="B6852" s="15"/>
      <c r="C6852" s="45"/>
    </row>
    <row r="6853" spans="2:3" x14ac:dyDescent="0.25">
      <c r="B6853" s="15"/>
      <c r="C6853" s="45"/>
    </row>
    <row r="6854" spans="2:3" x14ac:dyDescent="0.25">
      <c r="B6854" s="15"/>
      <c r="C6854" s="45"/>
    </row>
    <row r="6855" spans="2:3" x14ac:dyDescent="0.25">
      <c r="B6855" s="15"/>
      <c r="C6855" s="45"/>
    </row>
    <row r="6856" spans="2:3" x14ac:dyDescent="0.25">
      <c r="B6856" s="15"/>
      <c r="C6856" s="45"/>
    </row>
    <row r="6857" spans="2:3" x14ac:dyDescent="0.25">
      <c r="B6857" s="15"/>
      <c r="C6857" s="45"/>
    </row>
    <row r="6858" spans="2:3" x14ac:dyDescent="0.25">
      <c r="B6858" s="15"/>
      <c r="C6858" s="45"/>
    </row>
    <row r="6859" spans="2:3" x14ac:dyDescent="0.25">
      <c r="B6859" s="15"/>
      <c r="C6859" s="45"/>
    </row>
    <row r="6860" spans="2:3" x14ac:dyDescent="0.25">
      <c r="B6860" s="15"/>
      <c r="C6860" s="45"/>
    </row>
    <row r="6861" spans="2:3" x14ac:dyDescent="0.25">
      <c r="B6861" s="15"/>
      <c r="C6861" s="45"/>
    </row>
    <row r="6862" spans="2:3" x14ac:dyDescent="0.25">
      <c r="B6862" s="15"/>
      <c r="C6862" s="45"/>
    </row>
    <row r="6863" spans="2:3" x14ac:dyDescent="0.25">
      <c r="B6863" s="15"/>
      <c r="C6863" s="45"/>
    </row>
    <row r="6864" spans="2:3" x14ac:dyDescent="0.25">
      <c r="B6864" s="15"/>
      <c r="C6864" s="45"/>
    </row>
    <row r="6865" spans="2:3" x14ac:dyDescent="0.25">
      <c r="B6865" s="15"/>
      <c r="C6865" s="45"/>
    </row>
    <row r="6866" spans="2:3" x14ac:dyDescent="0.25">
      <c r="B6866" s="15"/>
      <c r="C6866" s="45"/>
    </row>
    <row r="6867" spans="2:3" x14ac:dyDescent="0.25">
      <c r="B6867" s="15"/>
      <c r="C6867" s="45"/>
    </row>
    <row r="6868" spans="2:3" x14ac:dyDescent="0.25">
      <c r="B6868" s="15"/>
      <c r="C6868" s="45"/>
    </row>
    <row r="6869" spans="2:3" x14ac:dyDescent="0.25">
      <c r="B6869" s="15"/>
      <c r="C6869" s="45"/>
    </row>
    <row r="6870" spans="2:3" x14ac:dyDescent="0.25">
      <c r="B6870" s="15"/>
      <c r="C6870" s="45"/>
    </row>
    <row r="6871" spans="2:3" x14ac:dyDescent="0.25">
      <c r="B6871" s="15"/>
      <c r="C6871" s="45"/>
    </row>
    <row r="6872" spans="2:3" x14ac:dyDescent="0.25">
      <c r="B6872" s="15"/>
      <c r="C6872" s="45"/>
    </row>
    <row r="6873" spans="2:3" x14ac:dyDescent="0.25">
      <c r="B6873" s="15"/>
      <c r="C6873" s="45"/>
    </row>
    <row r="6874" spans="2:3" x14ac:dyDescent="0.25">
      <c r="B6874" s="15"/>
      <c r="C6874" s="45"/>
    </row>
    <row r="6875" spans="2:3" x14ac:dyDescent="0.25">
      <c r="B6875" s="15"/>
      <c r="C6875" s="45"/>
    </row>
    <row r="6876" spans="2:3" x14ac:dyDescent="0.25">
      <c r="B6876" s="15"/>
      <c r="C6876" s="45"/>
    </row>
    <row r="6877" spans="2:3" x14ac:dyDescent="0.25">
      <c r="B6877" s="15"/>
      <c r="C6877" s="45"/>
    </row>
    <row r="6878" spans="2:3" x14ac:dyDescent="0.25">
      <c r="B6878" s="15"/>
      <c r="C6878" s="45"/>
    </row>
    <row r="6879" spans="2:3" x14ac:dyDescent="0.25">
      <c r="B6879" s="15"/>
      <c r="C6879" s="45"/>
    </row>
    <row r="6880" spans="2:3" x14ac:dyDescent="0.25">
      <c r="B6880" s="15"/>
      <c r="C6880" s="45"/>
    </row>
    <row r="6881" spans="2:3" x14ac:dyDescent="0.25">
      <c r="B6881" s="15"/>
      <c r="C6881" s="45"/>
    </row>
    <row r="6882" spans="2:3" x14ac:dyDescent="0.25">
      <c r="B6882" s="15"/>
      <c r="C6882" s="45"/>
    </row>
    <row r="6883" spans="2:3" x14ac:dyDescent="0.25">
      <c r="B6883" s="15"/>
      <c r="C6883" s="45"/>
    </row>
    <row r="6884" spans="2:3" x14ac:dyDescent="0.25">
      <c r="B6884" s="15"/>
      <c r="C6884" s="45"/>
    </row>
    <row r="6885" spans="2:3" x14ac:dyDescent="0.25">
      <c r="B6885" s="15"/>
      <c r="C6885" s="45"/>
    </row>
    <row r="6886" spans="2:3" x14ac:dyDescent="0.25">
      <c r="B6886" s="15"/>
      <c r="C6886" s="45"/>
    </row>
    <row r="6887" spans="2:3" x14ac:dyDescent="0.25">
      <c r="B6887" s="15"/>
      <c r="C6887" s="45"/>
    </row>
    <row r="6888" spans="2:3" x14ac:dyDescent="0.25">
      <c r="B6888" s="15"/>
      <c r="C6888" s="45"/>
    </row>
    <row r="6889" spans="2:3" x14ac:dyDescent="0.25">
      <c r="B6889" s="15"/>
      <c r="C6889" s="45"/>
    </row>
    <row r="6890" spans="2:3" x14ac:dyDescent="0.25">
      <c r="B6890" s="15"/>
      <c r="C6890" s="45"/>
    </row>
    <row r="6891" spans="2:3" x14ac:dyDescent="0.25">
      <c r="B6891" s="15"/>
      <c r="C6891" s="45"/>
    </row>
    <row r="6892" spans="2:3" x14ac:dyDescent="0.25">
      <c r="B6892" s="15"/>
      <c r="C6892" s="45"/>
    </row>
    <row r="6893" spans="2:3" x14ac:dyDescent="0.25">
      <c r="B6893" s="15"/>
      <c r="C6893" s="45"/>
    </row>
    <row r="6894" spans="2:3" x14ac:dyDescent="0.25">
      <c r="B6894" s="15"/>
      <c r="C6894" s="45"/>
    </row>
    <row r="6895" spans="2:3" x14ac:dyDescent="0.25">
      <c r="B6895" s="15"/>
      <c r="C6895" s="45"/>
    </row>
    <row r="6896" spans="2:3" x14ac:dyDescent="0.25">
      <c r="B6896" s="15"/>
      <c r="C6896" s="45"/>
    </row>
    <row r="6897" spans="2:3" x14ac:dyDescent="0.25">
      <c r="B6897" s="15"/>
      <c r="C6897" s="45"/>
    </row>
    <row r="6898" spans="2:3" x14ac:dyDescent="0.25">
      <c r="B6898" s="15"/>
      <c r="C6898" s="45"/>
    </row>
    <row r="6899" spans="2:3" x14ac:dyDescent="0.25">
      <c r="B6899" s="15"/>
      <c r="C6899" s="45"/>
    </row>
    <row r="6900" spans="2:3" x14ac:dyDescent="0.25">
      <c r="B6900" s="15"/>
      <c r="C6900" s="45"/>
    </row>
    <row r="6901" spans="2:3" x14ac:dyDescent="0.25">
      <c r="B6901" s="15"/>
      <c r="C6901" s="45"/>
    </row>
    <row r="6902" spans="2:3" x14ac:dyDescent="0.25">
      <c r="B6902" s="15"/>
      <c r="C6902" s="45"/>
    </row>
    <row r="6903" spans="2:3" x14ac:dyDescent="0.25">
      <c r="B6903" s="15"/>
      <c r="C6903" s="45"/>
    </row>
    <row r="6904" spans="2:3" x14ac:dyDescent="0.25">
      <c r="B6904" s="15"/>
      <c r="C6904" s="45"/>
    </row>
    <row r="6905" spans="2:3" x14ac:dyDescent="0.25">
      <c r="B6905" s="15"/>
      <c r="C6905" s="45"/>
    </row>
    <row r="6906" spans="2:3" x14ac:dyDescent="0.25">
      <c r="B6906" s="15"/>
      <c r="C6906" s="45"/>
    </row>
    <row r="6907" spans="2:3" x14ac:dyDescent="0.25">
      <c r="B6907" s="15"/>
      <c r="C6907" s="45"/>
    </row>
    <row r="6908" spans="2:3" x14ac:dyDescent="0.25">
      <c r="B6908" s="15"/>
      <c r="C6908" s="45"/>
    </row>
    <row r="6909" spans="2:3" x14ac:dyDescent="0.25">
      <c r="B6909" s="15"/>
      <c r="C6909" s="45"/>
    </row>
    <row r="6910" spans="2:3" x14ac:dyDescent="0.25">
      <c r="B6910" s="15"/>
      <c r="C6910" s="45"/>
    </row>
    <row r="6911" spans="2:3" x14ac:dyDescent="0.25">
      <c r="B6911" s="15"/>
      <c r="C6911" s="45"/>
    </row>
    <row r="6912" spans="2:3" x14ac:dyDescent="0.25">
      <c r="B6912" s="15"/>
      <c r="C6912" s="45"/>
    </row>
    <row r="6913" spans="2:3" x14ac:dyDescent="0.25">
      <c r="B6913" s="15"/>
      <c r="C6913" s="45"/>
    </row>
    <row r="6914" spans="2:3" x14ac:dyDescent="0.25">
      <c r="B6914" s="15"/>
      <c r="C6914" s="45"/>
    </row>
    <row r="6915" spans="2:3" x14ac:dyDescent="0.25">
      <c r="B6915" s="15"/>
      <c r="C6915" s="45"/>
    </row>
    <row r="6916" spans="2:3" x14ac:dyDescent="0.25">
      <c r="B6916" s="15"/>
      <c r="C6916" s="45"/>
    </row>
    <row r="6917" spans="2:3" x14ac:dyDescent="0.25">
      <c r="B6917" s="15"/>
      <c r="C6917" s="45"/>
    </row>
    <row r="6918" spans="2:3" x14ac:dyDescent="0.25">
      <c r="B6918" s="15"/>
      <c r="C6918" s="45"/>
    </row>
    <row r="6919" spans="2:3" x14ac:dyDescent="0.25">
      <c r="B6919" s="15"/>
      <c r="C6919" s="45"/>
    </row>
    <row r="6920" spans="2:3" x14ac:dyDescent="0.25">
      <c r="B6920" s="15"/>
      <c r="C6920" s="45"/>
    </row>
    <row r="6921" spans="2:3" x14ac:dyDescent="0.25">
      <c r="B6921" s="15"/>
      <c r="C6921" s="45"/>
    </row>
    <row r="6922" spans="2:3" x14ac:dyDescent="0.25">
      <c r="B6922" s="15"/>
      <c r="C6922" s="45"/>
    </row>
    <row r="6923" spans="2:3" x14ac:dyDescent="0.25">
      <c r="B6923" s="15"/>
      <c r="C6923" s="45"/>
    </row>
    <row r="6924" spans="2:3" x14ac:dyDescent="0.25">
      <c r="B6924" s="15"/>
      <c r="C6924" s="45"/>
    </row>
    <row r="6925" spans="2:3" x14ac:dyDescent="0.25">
      <c r="B6925" s="15"/>
      <c r="C6925" s="45"/>
    </row>
    <row r="6926" spans="2:3" x14ac:dyDescent="0.25">
      <c r="B6926" s="15"/>
      <c r="C6926" s="45"/>
    </row>
    <row r="6927" spans="2:3" x14ac:dyDescent="0.25">
      <c r="B6927" s="15"/>
      <c r="C6927" s="45"/>
    </row>
    <row r="6928" spans="2:3" x14ac:dyDescent="0.25">
      <c r="B6928" s="15"/>
      <c r="C6928" s="45"/>
    </row>
    <row r="6929" spans="2:3" x14ac:dyDescent="0.25">
      <c r="B6929" s="15"/>
      <c r="C6929" s="45"/>
    </row>
    <row r="6930" spans="2:3" x14ac:dyDescent="0.25">
      <c r="B6930" s="15"/>
      <c r="C6930" s="45"/>
    </row>
    <row r="6931" spans="2:3" x14ac:dyDescent="0.25">
      <c r="B6931" s="15"/>
      <c r="C6931" s="45"/>
    </row>
    <row r="6932" spans="2:3" x14ac:dyDescent="0.25">
      <c r="B6932" s="15"/>
      <c r="C6932" s="45"/>
    </row>
    <row r="6933" spans="2:3" x14ac:dyDescent="0.25">
      <c r="B6933" s="15"/>
      <c r="C6933" s="45"/>
    </row>
    <row r="6934" spans="2:3" x14ac:dyDescent="0.25">
      <c r="B6934" s="15"/>
      <c r="C6934" s="45"/>
    </row>
    <row r="6935" spans="2:3" x14ac:dyDescent="0.25">
      <c r="B6935" s="15"/>
      <c r="C6935" s="45"/>
    </row>
    <row r="6936" spans="2:3" x14ac:dyDescent="0.25">
      <c r="B6936" s="15"/>
      <c r="C6936" s="45"/>
    </row>
    <row r="6937" spans="2:3" x14ac:dyDescent="0.25">
      <c r="B6937" s="15"/>
      <c r="C6937" s="45"/>
    </row>
    <row r="6938" spans="2:3" x14ac:dyDescent="0.25">
      <c r="B6938" s="15"/>
      <c r="C6938" s="45"/>
    </row>
    <row r="6939" spans="2:3" x14ac:dyDescent="0.25">
      <c r="B6939" s="15"/>
      <c r="C6939" s="45"/>
    </row>
    <row r="6940" spans="2:3" x14ac:dyDescent="0.25">
      <c r="B6940" s="15"/>
      <c r="C6940" s="45"/>
    </row>
    <row r="6941" spans="2:3" x14ac:dyDescent="0.25">
      <c r="B6941" s="15"/>
      <c r="C6941" s="45"/>
    </row>
    <row r="6942" spans="2:3" x14ac:dyDescent="0.25">
      <c r="B6942" s="15"/>
      <c r="C6942" s="45"/>
    </row>
    <row r="6943" spans="2:3" x14ac:dyDescent="0.25">
      <c r="B6943" s="15"/>
      <c r="C6943" s="45"/>
    </row>
    <row r="6944" spans="2:3" x14ac:dyDescent="0.25">
      <c r="B6944" s="15"/>
      <c r="C6944" s="45"/>
    </row>
    <row r="6945" spans="2:3" x14ac:dyDescent="0.25">
      <c r="B6945" s="15"/>
      <c r="C6945" s="45"/>
    </row>
    <row r="6946" spans="2:3" x14ac:dyDescent="0.25">
      <c r="B6946" s="15"/>
      <c r="C6946" s="45"/>
    </row>
    <row r="6947" spans="2:3" x14ac:dyDescent="0.25">
      <c r="B6947" s="15"/>
      <c r="C6947" s="45"/>
    </row>
    <row r="6948" spans="2:3" x14ac:dyDescent="0.25">
      <c r="B6948" s="15"/>
      <c r="C6948" s="45"/>
    </row>
    <row r="6949" spans="2:3" x14ac:dyDescent="0.25">
      <c r="B6949" s="15"/>
      <c r="C6949" s="45"/>
    </row>
    <row r="6950" spans="2:3" x14ac:dyDescent="0.25">
      <c r="B6950" s="15"/>
      <c r="C6950" s="45"/>
    </row>
    <row r="6951" spans="2:3" x14ac:dyDescent="0.25">
      <c r="B6951" s="15"/>
      <c r="C6951" s="45"/>
    </row>
    <row r="6952" spans="2:3" x14ac:dyDescent="0.25">
      <c r="B6952" s="15"/>
      <c r="C6952" s="45"/>
    </row>
    <row r="6953" spans="2:3" x14ac:dyDescent="0.25">
      <c r="B6953" s="15"/>
      <c r="C6953" s="45"/>
    </row>
    <row r="6954" spans="2:3" x14ac:dyDescent="0.25">
      <c r="B6954" s="15"/>
      <c r="C6954" s="45"/>
    </row>
    <row r="6955" spans="2:3" x14ac:dyDescent="0.25">
      <c r="B6955" s="15"/>
      <c r="C6955" s="45"/>
    </row>
    <row r="6956" spans="2:3" x14ac:dyDescent="0.25">
      <c r="B6956" s="15"/>
      <c r="C6956" s="45"/>
    </row>
    <row r="6957" spans="2:3" x14ac:dyDescent="0.25">
      <c r="B6957" s="15"/>
      <c r="C6957" s="45"/>
    </row>
    <row r="6958" spans="2:3" x14ac:dyDescent="0.25">
      <c r="B6958" s="15"/>
      <c r="C6958" s="45"/>
    </row>
    <row r="6959" spans="2:3" x14ac:dyDescent="0.25">
      <c r="B6959" s="15"/>
      <c r="C6959" s="45"/>
    </row>
    <row r="6960" spans="2:3" x14ac:dyDescent="0.25">
      <c r="B6960" s="15"/>
      <c r="C6960" s="45"/>
    </row>
    <row r="6961" spans="2:3" x14ac:dyDescent="0.25">
      <c r="B6961" s="15"/>
      <c r="C6961" s="45"/>
    </row>
    <row r="6962" spans="2:3" x14ac:dyDescent="0.25">
      <c r="B6962" s="15"/>
      <c r="C6962" s="45"/>
    </row>
    <row r="6963" spans="2:3" x14ac:dyDescent="0.25">
      <c r="B6963" s="15"/>
      <c r="C6963" s="45"/>
    </row>
    <row r="6964" spans="2:3" x14ac:dyDescent="0.25">
      <c r="B6964" s="15"/>
      <c r="C6964" s="45"/>
    </row>
    <row r="6965" spans="2:3" x14ac:dyDescent="0.25">
      <c r="B6965" s="15"/>
      <c r="C6965" s="45"/>
    </row>
    <row r="6966" spans="2:3" x14ac:dyDescent="0.25">
      <c r="B6966" s="15"/>
      <c r="C6966" s="45"/>
    </row>
    <row r="6967" spans="2:3" x14ac:dyDescent="0.25">
      <c r="B6967" s="15"/>
      <c r="C6967" s="45"/>
    </row>
    <row r="6968" spans="2:3" x14ac:dyDescent="0.25">
      <c r="B6968" s="15"/>
      <c r="C6968" s="45"/>
    </row>
    <row r="6969" spans="2:3" x14ac:dyDescent="0.25">
      <c r="B6969" s="15"/>
      <c r="C6969" s="45"/>
    </row>
    <row r="6970" spans="2:3" x14ac:dyDescent="0.25">
      <c r="B6970" s="15"/>
      <c r="C6970" s="45"/>
    </row>
    <row r="6971" spans="2:3" x14ac:dyDescent="0.25">
      <c r="B6971" s="15"/>
      <c r="C6971" s="45"/>
    </row>
    <row r="6972" spans="2:3" x14ac:dyDescent="0.25">
      <c r="B6972" s="15"/>
      <c r="C6972" s="45"/>
    </row>
    <row r="6973" spans="2:3" x14ac:dyDescent="0.25">
      <c r="B6973" s="15"/>
      <c r="C6973" s="45"/>
    </row>
    <row r="6974" spans="2:3" x14ac:dyDescent="0.25">
      <c r="B6974" s="15"/>
      <c r="C6974" s="45"/>
    </row>
    <row r="6975" spans="2:3" x14ac:dyDescent="0.25">
      <c r="B6975" s="15"/>
      <c r="C6975" s="45"/>
    </row>
    <row r="6976" spans="2:3" x14ac:dyDescent="0.25">
      <c r="B6976" s="15"/>
      <c r="C6976" s="45"/>
    </row>
    <row r="6977" spans="2:3" x14ac:dyDescent="0.25">
      <c r="B6977" s="15"/>
      <c r="C6977" s="45"/>
    </row>
    <row r="6978" spans="2:3" x14ac:dyDescent="0.25">
      <c r="B6978" s="15"/>
      <c r="C6978" s="45"/>
    </row>
    <row r="6979" spans="2:3" x14ac:dyDescent="0.25">
      <c r="B6979" s="15"/>
      <c r="C6979" s="45"/>
    </row>
    <row r="6980" spans="2:3" x14ac:dyDescent="0.25">
      <c r="B6980" s="15"/>
      <c r="C6980" s="45"/>
    </row>
    <row r="6981" spans="2:3" x14ac:dyDescent="0.25">
      <c r="B6981" s="15"/>
      <c r="C6981" s="45"/>
    </row>
    <row r="6982" spans="2:3" x14ac:dyDescent="0.25">
      <c r="B6982" s="15"/>
      <c r="C6982" s="45"/>
    </row>
    <row r="6983" spans="2:3" x14ac:dyDescent="0.25">
      <c r="B6983" s="15"/>
      <c r="C6983" s="45"/>
    </row>
    <row r="6984" spans="2:3" x14ac:dyDescent="0.25">
      <c r="B6984" s="15"/>
      <c r="C6984" s="45"/>
    </row>
    <row r="6985" spans="2:3" x14ac:dyDescent="0.25">
      <c r="B6985" s="15"/>
      <c r="C6985" s="45"/>
    </row>
    <row r="6986" spans="2:3" x14ac:dyDescent="0.25">
      <c r="B6986" s="15"/>
      <c r="C6986" s="45"/>
    </row>
    <row r="6987" spans="2:3" x14ac:dyDescent="0.25">
      <c r="B6987" s="15"/>
      <c r="C6987" s="45"/>
    </row>
    <row r="6988" spans="2:3" x14ac:dyDescent="0.25">
      <c r="B6988" s="15"/>
      <c r="C6988" s="45"/>
    </row>
    <row r="6989" spans="2:3" x14ac:dyDescent="0.25">
      <c r="B6989" s="15"/>
      <c r="C6989" s="45"/>
    </row>
    <row r="6990" spans="2:3" x14ac:dyDescent="0.25">
      <c r="B6990" s="15"/>
      <c r="C6990" s="45"/>
    </row>
    <row r="6991" spans="2:3" x14ac:dyDescent="0.25">
      <c r="B6991" s="15"/>
      <c r="C6991" s="45"/>
    </row>
    <row r="6992" spans="2:3" x14ac:dyDescent="0.25">
      <c r="B6992" s="15"/>
      <c r="C6992" s="45"/>
    </row>
    <row r="6993" spans="2:3" x14ac:dyDescent="0.25">
      <c r="B6993" s="15"/>
      <c r="C6993" s="45"/>
    </row>
    <row r="6994" spans="2:3" x14ac:dyDescent="0.25">
      <c r="B6994" s="15"/>
      <c r="C6994" s="45"/>
    </row>
    <row r="6995" spans="2:3" x14ac:dyDescent="0.25">
      <c r="B6995" s="15"/>
      <c r="C6995" s="45"/>
    </row>
    <row r="6996" spans="2:3" x14ac:dyDescent="0.25">
      <c r="B6996" s="15"/>
      <c r="C6996" s="45"/>
    </row>
    <row r="6997" spans="2:3" x14ac:dyDescent="0.25">
      <c r="B6997" s="15"/>
      <c r="C6997" s="45"/>
    </row>
    <row r="6998" spans="2:3" x14ac:dyDescent="0.25">
      <c r="B6998" s="15"/>
      <c r="C6998" s="45"/>
    </row>
    <row r="6999" spans="2:3" x14ac:dyDescent="0.25">
      <c r="B6999" s="15"/>
      <c r="C6999" s="45"/>
    </row>
    <row r="7000" spans="2:3" x14ac:dyDescent="0.25">
      <c r="B7000" s="15"/>
      <c r="C7000" s="45"/>
    </row>
    <row r="7001" spans="2:3" x14ac:dyDescent="0.25">
      <c r="B7001" s="15"/>
      <c r="C7001" s="45"/>
    </row>
    <row r="7002" spans="2:3" x14ac:dyDescent="0.25">
      <c r="B7002" s="15"/>
      <c r="C7002" s="45"/>
    </row>
    <row r="7003" spans="2:3" x14ac:dyDescent="0.25">
      <c r="B7003" s="15"/>
      <c r="C7003" s="45"/>
    </row>
    <row r="7004" spans="2:3" x14ac:dyDescent="0.25">
      <c r="B7004" s="15"/>
      <c r="C7004" s="45"/>
    </row>
    <row r="7005" spans="2:3" x14ac:dyDescent="0.25">
      <c r="B7005" s="15"/>
      <c r="C7005" s="45"/>
    </row>
    <row r="7006" spans="2:3" x14ac:dyDescent="0.25">
      <c r="B7006" s="15"/>
      <c r="C7006" s="45"/>
    </row>
    <row r="7007" spans="2:3" x14ac:dyDescent="0.25">
      <c r="B7007" s="15"/>
      <c r="C7007" s="45"/>
    </row>
    <row r="7008" spans="2:3" x14ac:dyDescent="0.25">
      <c r="B7008" s="15"/>
      <c r="C7008" s="45"/>
    </row>
    <row r="7009" spans="2:3" x14ac:dyDescent="0.25">
      <c r="B7009" s="15"/>
      <c r="C7009" s="45"/>
    </row>
    <row r="7010" spans="2:3" x14ac:dyDescent="0.25">
      <c r="B7010" s="15"/>
      <c r="C7010" s="45"/>
    </row>
    <row r="7011" spans="2:3" x14ac:dyDescent="0.25">
      <c r="B7011" s="15"/>
      <c r="C7011" s="45"/>
    </row>
    <row r="7012" spans="2:3" x14ac:dyDescent="0.25">
      <c r="B7012" s="15"/>
      <c r="C7012" s="45"/>
    </row>
    <row r="7013" spans="2:3" x14ac:dyDescent="0.25">
      <c r="B7013" s="15"/>
      <c r="C7013" s="45"/>
    </row>
    <row r="7014" spans="2:3" x14ac:dyDescent="0.25">
      <c r="B7014" s="15"/>
      <c r="C7014" s="45"/>
    </row>
    <row r="7015" spans="2:3" x14ac:dyDescent="0.25">
      <c r="B7015" s="15"/>
      <c r="C7015" s="45"/>
    </row>
    <row r="7016" spans="2:3" x14ac:dyDescent="0.25">
      <c r="B7016" s="15"/>
      <c r="C7016" s="45"/>
    </row>
    <row r="7017" spans="2:3" x14ac:dyDescent="0.25">
      <c r="B7017" s="15"/>
      <c r="C7017" s="45"/>
    </row>
    <row r="7018" spans="2:3" x14ac:dyDescent="0.25">
      <c r="B7018" s="15"/>
      <c r="C7018" s="45"/>
    </row>
    <row r="7019" spans="2:3" x14ac:dyDescent="0.25">
      <c r="B7019" s="15"/>
      <c r="C7019" s="45"/>
    </row>
    <row r="7020" spans="2:3" x14ac:dyDescent="0.25">
      <c r="B7020" s="15"/>
      <c r="C7020" s="45"/>
    </row>
    <row r="7021" spans="2:3" x14ac:dyDescent="0.25">
      <c r="B7021" s="15"/>
      <c r="C7021" s="45"/>
    </row>
    <row r="7022" spans="2:3" x14ac:dyDescent="0.25">
      <c r="B7022" s="15"/>
      <c r="C7022" s="45"/>
    </row>
    <row r="7023" spans="2:3" x14ac:dyDescent="0.25">
      <c r="B7023" s="15"/>
      <c r="C7023" s="45"/>
    </row>
    <row r="7024" spans="2:3" x14ac:dyDescent="0.25">
      <c r="B7024" s="15"/>
      <c r="C7024" s="45"/>
    </row>
    <row r="7025" spans="2:3" x14ac:dyDescent="0.25">
      <c r="B7025" s="15"/>
      <c r="C7025" s="45"/>
    </row>
    <row r="7026" spans="2:3" x14ac:dyDescent="0.25">
      <c r="B7026" s="15"/>
      <c r="C7026" s="45"/>
    </row>
    <row r="7027" spans="2:3" x14ac:dyDescent="0.25">
      <c r="B7027" s="15"/>
      <c r="C7027" s="45"/>
    </row>
    <row r="7028" spans="2:3" x14ac:dyDescent="0.25">
      <c r="B7028" s="15"/>
      <c r="C7028" s="45"/>
    </row>
    <row r="7029" spans="2:3" x14ac:dyDescent="0.25">
      <c r="B7029" s="15"/>
      <c r="C7029" s="45"/>
    </row>
    <row r="7030" spans="2:3" x14ac:dyDescent="0.25">
      <c r="B7030" s="15"/>
      <c r="C7030" s="45"/>
    </row>
    <row r="7031" spans="2:3" x14ac:dyDescent="0.25">
      <c r="B7031" s="15"/>
      <c r="C7031" s="45"/>
    </row>
    <row r="7032" spans="2:3" x14ac:dyDescent="0.25">
      <c r="B7032" s="15"/>
      <c r="C7032" s="45"/>
    </row>
    <row r="7033" spans="2:3" x14ac:dyDescent="0.25">
      <c r="B7033" s="15"/>
      <c r="C7033" s="45"/>
    </row>
    <row r="7034" spans="2:3" x14ac:dyDescent="0.25">
      <c r="B7034" s="15"/>
      <c r="C7034" s="45"/>
    </row>
    <row r="7035" spans="2:3" x14ac:dyDescent="0.25">
      <c r="B7035" s="15"/>
      <c r="C7035" s="45"/>
    </row>
    <row r="7036" spans="2:3" x14ac:dyDescent="0.25">
      <c r="B7036" s="15"/>
      <c r="C7036" s="45"/>
    </row>
    <row r="7037" spans="2:3" x14ac:dyDescent="0.25">
      <c r="B7037" s="15"/>
      <c r="C7037" s="45"/>
    </row>
    <row r="7038" spans="2:3" x14ac:dyDescent="0.25">
      <c r="B7038" s="15"/>
      <c r="C7038" s="45"/>
    </row>
    <row r="7039" spans="2:3" x14ac:dyDescent="0.25">
      <c r="B7039" s="15"/>
      <c r="C7039" s="45"/>
    </row>
    <row r="7040" spans="2:3" x14ac:dyDescent="0.25">
      <c r="B7040" s="15"/>
      <c r="C7040" s="45"/>
    </row>
    <row r="7041" spans="2:3" x14ac:dyDescent="0.25">
      <c r="B7041" s="15"/>
      <c r="C7041" s="45"/>
    </row>
    <row r="7042" spans="2:3" x14ac:dyDescent="0.25">
      <c r="B7042" s="15"/>
      <c r="C7042" s="45"/>
    </row>
    <row r="7043" spans="2:3" x14ac:dyDescent="0.25">
      <c r="B7043" s="15"/>
      <c r="C7043" s="45"/>
    </row>
    <row r="7044" spans="2:3" x14ac:dyDescent="0.25">
      <c r="B7044" s="15"/>
      <c r="C7044" s="45"/>
    </row>
    <row r="7045" spans="2:3" x14ac:dyDescent="0.25">
      <c r="B7045" s="15"/>
      <c r="C7045" s="45"/>
    </row>
    <row r="7046" spans="2:3" x14ac:dyDescent="0.25">
      <c r="B7046" s="15"/>
      <c r="C7046" s="45"/>
    </row>
    <row r="7047" spans="2:3" x14ac:dyDescent="0.25">
      <c r="B7047" s="15"/>
      <c r="C7047" s="45"/>
    </row>
    <row r="7048" spans="2:3" x14ac:dyDescent="0.25">
      <c r="B7048" s="15"/>
      <c r="C7048" s="45"/>
    </row>
    <row r="7049" spans="2:3" x14ac:dyDescent="0.25">
      <c r="B7049" s="15"/>
      <c r="C7049" s="45"/>
    </row>
    <row r="7050" spans="2:3" x14ac:dyDescent="0.25">
      <c r="B7050" s="15"/>
      <c r="C7050" s="45"/>
    </row>
    <row r="7051" spans="2:3" x14ac:dyDescent="0.25">
      <c r="B7051" s="15"/>
      <c r="C7051" s="45"/>
    </row>
    <row r="7052" spans="2:3" x14ac:dyDescent="0.25">
      <c r="B7052" s="15"/>
      <c r="C7052" s="45"/>
    </row>
    <row r="7053" spans="2:3" x14ac:dyDescent="0.25">
      <c r="B7053" s="15"/>
      <c r="C7053" s="45"/>
    </row>
    <row r="7054" spans="2:3" x14ac:dyDescent="0.25">
      <c r="B7054" s="15"/>
      <c r="C7054" s="45"/>
    </row>
    <row r="7055" spans="2:3" x14ac:dyDescent="0.25">
      <c r="B7055" s="15"/>
      <c r="C7055" s="45"/>
    </row>
    <row r="7056" spans="2:3" x14ac:dyDescent="0.25">
      <c r="B7056" s="15"/>
      <c r="C7056" s="45"/>
    </row>
    <row r="7057" spans="2:3" x14ac:dyDescent="0.25">
      <c r="B7057" s="15"/>
      <c r="C7057" s="45"/>
    </row>
    <row r="7058" spans="2:3" x14ac:dyDescent="0.25">
      <c r="B7058" s="15"/>
      <c r="C7058" s="45"/>
    </row>
    <row r="7059" spans="2:3" x14ac:dyDescent="0.25">
      <c r="B7059" s="15"/>
      <c r="C7059" s="45"/>
    </row>
    <row r="7060" spans="2:3" x14ac:dyDescent="0.25">
      <c r="B7060" s="15"/>
      <c r="C7060" s="45"/>
    </row>
    <row r="7061" spans="2:3" x14ac:dyDescent="0.25">
      <c r="B7061" s="15"/>
      <c r="C7061" s="45"/>
    </row>
    <row r="7062" spans="2:3" x14ac:dyDescent="0.25">
      <c r="B7062" s="15"/>
      <c r="C7062" s="45"/>
    </row>
    <row r="7063" spans="2:3" x14ac:dyDescent="0.25">
      <c r="B7063" s="15"/>
      <c r="C7063" s="45"/>
    </row>
    <row r="7064" spans="2:3" x14ac:dyDescent="0.25">
      <c r="B7064" s="15"/>
      <c r="C7064" s="45"/>
    </row>
    <row r="7065" spans="2:3" x14ac:dyDescent="0.25">
      <c r="B7065" s="15"/>
      <c r="C7065" s="45"/>
    </row>
    <row r="7066" spans="2:3" x14ac:dyDescent="0.25">
      <c r="B7066" s="15"/>
      <c r="C7066" s="45"/>
    </row>
    <row r="7067" spans="2:3" x14ac:dyDescent="0.25">
      <c r="B7067" s="15"/>
      <c r="C7067" s="45"/>
    </row>
    <row r="7068" spans="2:3" x14ac:dyDescent="0.25">
      <c r="B7068" s="15"/>
      <c r="C7068" s="45"/>
    </row>
    <row r="7069" spans="2:3" x14ac:dyDescent="0.25">
      <c r="B7069" s="15"/>
      <c r="C7069" s="45"/>
    </row>
    <row r="7070" spans="2:3" x14ac:dyDescent="0.25">
      <c r="B7070" s="15"/>
      <c r="C7070" s="45"/>
    </row>
    <row r="7071" spans="2:3" x14ac:dyDescent="0.25">
      <c r="B7071" s="15"/>
      <c r="C7071" s="45"/>
    </row>
    <row r="7072" spans="2:3" x14ac:dyDescent="0.25">
      <c r="B7072" s="15"/>
      <c r="C7072" s="45"/>
    </row>
    <row r="7073" spans="2:3" x14ac:dyDescent="0.25">
      <c r="B7073" s="15"/>
      <c r="C7073" s="45"/>
    </row>
    <row r="7074" spans="2:3" x14ac:dyDescent="0.25">
      <c r="B7074" s="15"/>
      <c r="C7074" s="45"/>
    </row>
    <row r="7075" spans="2:3" x14ac:dyDescent="0.25">
      <c r="B7075" s="15"/>
      <c r="C7075" s="45"/>
    </row>
    <row r="7076" spans="2:3" x14ac:dyDescent="0.25">
      <c r="B7076" s="15"/>
      <c r="C7076" s="45"/>
    </row>
    <row r="7077" spans="2:3" x14ac:dyDescent="0.25">
      <c r="B7077" s="15"/>
      <c r="C7077" s="45"/>
    </row>
    <row r="7078" spans="2:3" x14ac:dyDescent="0.25">
      <c r="B7078" s="15"/>
      <c r="C7078" s="45"/>
    </row>
    <row r="7079" spans="2:3" x14ac:dyDescent="0.25">
      <c r="B7079" s="15"/>
      <c r="C7079" s="45"/>
    </row>
    <row r="7080" spans="2:3" x14ac:dyDescent="0.25">
      <c r="B7080" s="15"/>
      <c r="C7080" s="45"/>
    </row>
    <row r="7081" spans="2:3" x14ac:dyDescent="0.25">
      <c r="B7081" s="15"/>
      <c r="C7081" s="45"/>
    </row>
    <row r="7082" spans="2:3" x14ac:dyDescent="0.25">
      <c r="B7082" s="15"/>
      <c r="C7082" s="45"/>
    </row>
    <row r="7083" spans="2:3" x14ac:dyDescent="0.25">
      <c r="B7083" s="15"/>
      <c r="C7083" s="45"/>
    </row>
    <row r="7084" spans="2:3" x14ac:dyDescent="0.25">
      <c r="B7084" s="15"/>
      <c r="C7084" s="45"/>
    </row>
    <row r="7085" spans="2:3" x14ac:dyDescent="0.25">
      <c r="B7085" s="15"/>
      <c r="C7085" s="45"/>
    </row>
    <row r="7086" spans="2:3" x14ac:dyDescent="0.25">
      <c r="B7086" s="15"/>
      <c r="C7086" s="45"/>
    </row>
    <row r="7087" spans="2:3" x14ac:dyDescent="0.25">
      <c r="B7087" s="15"/>
      <c r="C7087" s="45"/>
    </row>
    <row r="7088" spans="2:3" x14ac:dyDescent="0.25">
      <c r="B7088" s="15"/>
      <c r="C7088" s="45"/>
    </row>
    <row r="7089" spans="2:3" x14ac:dyDescent="0.25">
      <c r="B7089" s="15"/>
      <c r="C7089" s="45"/>
    </row>
    <row r="7090" spans="2:3" x14ac:dyDescent="0.25">
      <c r="B7090" s="15"/>
      <c r="C7090" s="45"/>
    </row>
    <row r="7091" spans="2:3" x14ac:dyDescent="0.25">
      <c r="B7091" s="15"/>
      <c r="C7091" s="45"/>
    </row>
    <row r="7092" spans="2:3" x14ac:dyDescent="0.25">
      <c r="B7092" s="15"/>
      <c r="C7092" s="45"/>
    </row>
    <row r="7093" spans="2:3" x14ac:dyDescent="0.25">
      <c r="B7093" s="15"/>
      <c r="C7093" s="45"/>
    </row>
    <row r="7094" spans="2:3" x14ac:dyDescent="0.25">
      <c r="B7094" s="15"/>
      <c r="C7094" s="45"/>
    </row>
    <row r="7095" spans="2:3" x14ac:dyDescent="0.25">
      <c r="B7095" s="15"/>
      <c r="C7095" s="45"/>
    </row>
    <row r="7096" spans="2:3" x14ac:dyDescent="0.25">
      <c r="B7096" s="15"/>
      <c r="C7096" s="45"/>
    </row>
    <row r="7097" spans="2:3" x14ac:dyDescent="0.25">
      <c r="B7097" s="15"/>
      <c r="C7097" s="45"/>
    </row>
    <row r="7098" spans="2:3" x14ac:dyDescent="0.25">
      <c r="B7098" s="15"/>
      <c r="C7098" s="45"/>
    </row>
    <row r="7099" spans="2:3" x14ac:dyDescent="0.25">
      <c r="B7099" s="15"/>
      <c r="C7099" s="45"/>
    </row>
    <row r="7100" spans="2:3" x14ac:dyDescent="0.25">
      <c r="B7100" s="15"/>
      <c r="C7100" s="45"/>
    </row>
    <row r="7101" spans="2:3" x14ac:dyDescent="0.25">
      <c r="B7101" s="15"/>
      <c r="C7101" s="45"/>
    </row>
    <row r="7102" spans="2:3" x14ac:dyDescent="0.25">
      <c r="B7102" s="15"/>
      <c r="C7102" s="45"/>
    </row>
    <row r="7103" spans="2:3" x14ac:dyDescent="0.25">
      <c r="B7103" s="15"/>
      <c r="C7103" s="45"/>
    </row>
    <row r="7104" spans="2:3" x14ac:dyDescent="0.25">
      <c r="B7104" s="15"/>
      <c r="C7104" s="45"/>
    </row>
    <row r="7105" spans="2:3" x14ac:dyDescent="0.25">
      <c r="B7105" s="15"/>
      <c r="C7105" s="45"/>
    </row>
    <row r="7106" spans="2:3" x14ac:dyDescent="0.25">
      <c r="B7106" s="15"/>
      <c r="C7106" s="45"/>
    </row>
    <row r="7107" spans="2:3" x14ac:dyDescent="0.25">
      <c r="B7107" s="15"/>
      <c r="C7107" s="45"/>
    </row>
    <row r="7108" spans="2:3" x14ac:dyDescent="0.25">
      <c r="B7108" s="15"/>
      <c r="C7108" s="45"/>
    </row>
    <row r="7109" spans="2:3" x14ac:dyDescent="0.25">
      <c r="B7109" s="15"/>
      <c r="C7109" s="45"/>
    </row>
    <row r="7110" spans="2:3" x14ac:dyDescent="0.25">
      <c r="B7110" s="15"/>
      <c r="C7110" s="45"/>
    </row>
    <row r="7111" spans="2:3" x14ac:dyDescent="0.25">
      <c r="B7111" s="15"/>
      <c r="C7111" s="45"/>
    </row>
    <row r="7112" spans="2:3" x14ac:dyDescent="0.25">
      <c r="B7112" s="15"/>
      <c r="C7112" s="45"/>
    </row>
    <row r="7113" spans="2:3" x14ac:dyDescent="0.25">
      <c r="B7113" s="15"/>
      <c r="C7113" s="45"/>
    </row>
    <row r="7114" spans="2:3" x14ac:dyDescent="0.25">
      <c r="B7114" s="15"/>
      <c r="C7114" s="45"/>
    </row>
    <row r="7115" spans="2:3" x14ac:dyDescent="0.25">
      <c r="B7115" s="15"/>
      <c r="C7115" s="45"/>
    </row>
    <row r="7116" spans="2:3" x14ac:dyDescent="0.25">
      <c r="B7116" s="15"/>
      <c r="C7116" s="45"/>
    </row>
    <row r="7117" spans="2:3" x14ac:dyDescent="0.25">
      <c r="B7117" s="15"/>
      <c r="C7117" s="45"/>
    </row>
    <row r="7118" spans="2:3" x14ac:dyDescent="0.25">
      <c r="B7118" s="15"/>
      <c r="C7118" s="45"/>
    </row>
    <row r="7119" spans="2:3" x14ac:dyDescent="0.25">
      <c r="B7119" s="15"/>
      <c r="C7119" s="45"/>
    </row>
    <row r="7120" spans="2:3" x14ac:dyDescent="0.25">
      <c r="B7120" s="15"/>
      <c r="C7120" s="45"/>
    </row>
    <row r="7121" spans="2:3" x14ac:dyDescent="0.25">
      <c r="B7121" s="15"/>
      <c r="C7121" s="45"/>
    </row>
    <row r="7122" spans="2:3" x14ac:dyDescent="0.25">
      <c r="B7122" s="15"/>
      <c r="C7122" s="45"/>
    </row>
    <row r="7123" spans="2:3" x14ac:dyDescent="0.25">
      <c r="B7123" s="15"/>
      <c r="C7123" s="45"/>
    </row>
    <row r="7124" spans="2:3" x14ac:dyDescent="0.25">
      <c r="B7124" s="15"/>
      <c r="C7124" s="45"/>
    </row>
    <row r="7125" spans="2:3" x14ac:dyDescent="0.25">
      <c r="B7125" s="15"/>
      <c r="C7125" s="45"/>
    </row>
    <row r="7126" spans="2:3" x14ac:dyDescent="0.25">
      <c r="B7126" s="15"/>
      <c r="C7126" s="45"/>
    </row>
    <row r="7127" spans="2:3" x14ac:dyDescent="0.25">
      <c r="B7127" s="15"/>
      <c r="C7127" s="45"/>
    </row>
    <row r="7128" spans="2:3" x14ac:dyDescent="0.25">
      <c r="B7128" s="15"/>
      <c r="C7128" s="45"/>
    </row>
    <row r="7129" spans="2:3" x14ac:dyDescent="0.25">
      <c r="B7129" s="15"/>
      <c r="C7129" s="45"/>
    </row>
    <row r="7130" spans="2:3" x14ac:dyDescent="0.25">
      <c r="B7130" s="15"/>
      <c r="C7130" s="45"/>
    </row>
    <row r="7131" spans="2:3" x14ac:dyDescent="0.25">
      <c r="B7131" s="15"/>
      <c r="C7131" s="45"/>
    </row>
    <row r="7132" spans="2:3" x14ac:dyDescent="0.25">
      <c r="B7132" s="15"/>
      <c r="C7132" s="45"/>
    </row>
    <row r="7133" spans="2:3" x14ac:dyDescent="0.25">
      <c r="B7133" s="15"/>
      <c r="C7133" s="45"/>
    </row>
    <row r="7134" spans="2:3" x14ac:dyDescent="0.25">
      <c r="B7134" s="15"/>
      <c r="C7134" s="45"/>
    </row>
    <row r="7135" spans="2:3" x14ac:dyDescent="0.25">
      <c r="B7135" s="15"/>
      <c r="C7135" s="45"/>
    </row>
    <row r="7136" spans="2:3" x14ac:dyDescent="0.25">
      <c r="B7136" s="15"/>
      <c r="C7136" s="45"/>
    </row>
    <row r="7137" spans="2:3" x14ac:dyDescent="0.25">
      <c r="B7137" s="15"/>
      <c r="C7137" s="45"/>
    </row>
    <row r="7138" spans="2:3" x14ac:dyDescent="0.25">
      <c r="B7138" s="15"/>
      <c r="C7138" s="45"/>
    </row>
    <row r="7139" spans="2:3" x14ac:dyDescent="0.25">
      <c r="B7139" s="15"/>
      <c r="C7139" s="45"/>
    </row>
    <row r="7140" spans="2:3" x14ac:dyDescent="0.25">
      <c r="B7140" s="15"/>
      <c r="C7140" s="45"/>
    </row>
    <row r="7141" spans="2:3" x14ac:dyDescent="0.25">
      <c r="B7141" s="15"/>
      <c r="C7141" s="45"/>
    </row>
    <row r="7142" spans="2:3" x14ac:dyDescent="0.25">
      <c r="B7142" s="15"/>
      <c r="C7142" s="45"/>
    </row>
    <row r="7143" spans="2:3" x14ac:dyDescent="0.25">
      <c r="B7143" s="15"/>
      <c r="C7143" s="45"/>
    </row>
    <row r="7144" spans="2:3" x14ac:dyDescent="0.25">
      <c r="B7144" s="15"/>
      <c r="C7144" s="45"/>
    </row>
    <row r="7145" spans="2:3" x14ac:dyDescent="0.25">
      <c r="B7145" s="15"/>
      <c r="C7145" s="45"/>
    </row>
    <row r="7146" spans="2:3" x14ac:dyDescent="0.25">
      <c r="B7146" s="15"/>
      <c r="C7146" s="45"/>
    </row>
    <row r="7147" spans="2:3" x14ac:dyDescent="0.25">
      <c r="B7147" s="15"/>
      <c r="C7147" s="45"/>
    </row>
    <row r="7148" spans="2:3" x14ac:dyDescent="0.25">
      <c r="B7148" s="15"/>
      <c r="C7148" s="45"/>
    </row>
    <row r="7149" spans="2:3" x14ac:dyDescent="0.25">
      <c r="B7149" s="15"/>
      <c r="C7149" s="45"/>
    </row>
    <row r="7150" spans="2:3" x14ac:dyDescent="0.25">
      <c r="B7150" s="15"/>
      <c r="C7150" s="45"/>
    </row>
    <row r="7151" spans="2:3" x14ac:dyDescent="0.25">
      <c r="B7151" s="15"/>
      <c r="C7151" s="45"/>
    </row>
    <row r="7152" spans="2:3" x14ac:dyDescent="0.25">
      <c r="B7152" s="15"/>
      <c r="C7152" s="45"/>
    </row>
    <row r="7153" spans="2:3" x14ac:dyDescent="0.25">
      <c r="B7153" s="15"/>
      <c r="C7153" s="45"/>
    </row>
    <row r="7154" spans="2:3" x14ac:dyDescent="0.25">
      <c r="B7154" s="15"/>
      <c r="C7154" s="45"/>
    </row>
    <row r="7155" spans="2:3" x14ac:dyDescent="0.25">
      <c r="B7155" s="15"/>
      <c r="C7155" s="45"/>
    </row>
    <row r="7156" spans="2:3" x14ac:dyDescent="0.25">
      <c r="B7156" s="15"/>
      <c r="C7156" s="45"/>
    </row>
    <row r="7157" spans="2:3" x14ac:dyDescent="0.25">
      <c r="B7157" s="15"/>
      <c r="C7157" s="45"/>
    </row>
    <row r="7158" spans="2:3" x14ac:dyDescent="0.25">
      <c r="B7158" s="15"/>
      <c r="C7158" s="45"/>
    </row>
    <row r="7159" spans="2:3" x14ac:dyDescent="0.25">
      <c r="B7159" s="15"/>
      <c r="C7159" s="45"/>
    </row>
    <row r="7160" spans="2:3" x14ac:dyDescent="0.25">
      <c r="B7160" s="15"/>
      <c r="C7160" s="45"/>
    </row>
    <row r="7161" spans="2:3" x14ac:dyDescent="0.25">
      <c r="B7161" s="15"/>
      <c r="C7161" s="45"/>
    </row>
    <row r="7162" spans="2:3" x14ac:dyDescent="0.25">
      <c r="B7162" s="15"/>
      <c r="C7162" s="45"/>
    </row>
    <row r="7163" spans="2:3" x14ac:dyDescent="0.25">
      <c r="B7163" s="15"/>
      <c r="C7163" s="45"/>
    </row>
    <row r="7164" spans="2:3" x14ac:dyDescent="0.25">
      <c r="B7164" s="15"/>
      <c r="C7164" s="45"/>
    </row>
    <row r="7165" spans="2:3" x14ac:dyDescent="0.25">
      <c r="B7165" s="15"/>
      <c r="C7165" s="45"/>
    </row>
    <row r="7166" spans="2:3" x14ac:dyDescent="0.25">
      <c r="B7166" s="15"/>
      <c r="C7166" s="45"/>
    </row>
    <row r="7167" spans="2:3" x14ac:dyDescent="0.25">
      <c r="B7167" s="15"/>
      <c r="C7167" s="45"/>
    </row>
    <row r="7168" spans="2:3" x14ac:dyDescent="0.25">
      <c r="B7168" s="15"/>
      <c r="C7168" s="45"/>
    </row>
    <row r="7169" spans="2:3" x14ac:dyDescent="0.25">
      <c r="B7169" s="15"/>
      <c r="C7169" s="45"/>
    </row>
    <row r="7170" spans="2:3" x14ac:dyDescent="0.25">
      <c r="B7170" s="15"/>
      <c r="C7170" s="45"/>
    </row>
    <row r="7171" spans="2:3" x14ac:dyDescent="0.25">
      <c r="B7171" s="15"/>
      <c r="C7171" s="45"/>
    </row>
    <row r="7172" spans="2:3" x14ac:dyDescent="0.25">
      <c r="B7172" s="15"/>
      <c r="C7172" s="45"/>
    </row>
    <row r="7173" spans="2:3" x14ac:dyDescent="0.25">
      <c r="B7173" s="15"/>
      <c r="C7173" s="45"/>
    </row>
    <row r="7174" spans="2:3" x14ac:dyDescent="0.25">
      <c r="B7174" s="15"/>
      <c r="C7174" s="45"/>
    </row>
    <row r="7175" spans="2:3" x14ac:dyDescent="0.25">
      <c r="B7175" s="15"/>
      <c r="C7175" s="45"/>
    </row>
    <row r="7176" spans="2:3" x14ac:dyDescent="0.25">
      <c r="B7176" s="15"/>
      <c r="C7176" s="45"/>
    </row>
    <row r="7177" spans="2:3" x14ac:dyDescent="0.25">
      <c r="B7177" s="15"/>
      <c r="C7177" s="45"/>
    </row>
    <row r="7178" spans="2:3" x14ac:dyDescent="0.25">
      <c r="B7178" s="15"/>
      <c r="C7178" s="45"/>
    </row>
    <row r="7179" spans="2:3" x14ac:dyDescent="0.25">
      <c r="B7179" s="15"/>
      <c r="C7179" s="45"/>
    </row>
    <row r="7180" spans="2:3" x14ac:dyDescent="0.25">
      <c r="B7180" s="15"/>
      <c r="C7180" s="45"/>
    </row>
    <row r="7181" spans="2:3" x14ac:dyDescent="0.25">
      <c r="B7181" s="15"/>
      <c r="C7181" s="45"/>
    </row>
    <row r="7182" spans="2:3" x14ac:dyDescent="0.25">
      <c r="B7182" s="15"/>
      <c r="C7182" s="45"/>
    </row>
    <row r="7183" spans="2:3" x14ac:dyDescent="0.25">
      <c r="B7183" s="15"/>
      <c r="C7183" s="45"/>
    </row>
    <row r="7184" spans="2:3" x14ac:dyDescent="0.25">
      <c r="B7184" s="15"/>
      <c r="C7184" s="45"/>
    </row>
    <row r="7185" spans="2:3" x14ac:dyDescent="0.25">
      <c r="B7185" s="15"/>
      <c r="C7185" s="45"/>
    </row>
    <row r="7186" spans="2:3" x14ac:dyDescent="0.25">
      <c r="B7186" s="15"/>
      <c r="C7186" s="45"/>
    </row>
    <row r="7187" spans="2:3" x14ac:dyDescent="0.25">
      <c r="B7187" s="15"/>
      <c r="C7187" s="45"/>
    </row>
    <row r="7188" spans="2:3" x14ac:dyDescent="0.25">
      <c r="B7188" s="15"/>
      <c r="C7188" s="45"/>
    </row>
    <row r="7189" spans="2:3" x14ac:dyDescent="0.25">
      <c r="B7189" s="15"/>
      <c r="C7189" s="45"/>
    </row>
    <row r="7190" spans="2:3" x14ac:dyDescent="0.25">
      <c r="B7190" s="15"/>
      <c r="C7190" s="45"/>
    </row>
    <row r="7191" spans="2:3" x14ac:dyDescent="0.25">
      <c r="B7191" s="15"/>
      <c r="C7191" s="45"/>
    </row>
    <row r="7192" spans="2:3" x14ac:dyDescent="0.25">
      <c r="B7192" s="15"/>
      <c r="C7192" s="45"/>
    </row>
    <row r="7193" spans="2:3" x14ac:dyDescent="0.25">
      <c r="B7193" s="15"/>
      <c r="C7193" s="45"/>
    </row>
    <row r="7194" spans="2:3" x14ac:dyDescent="0.25">
      <c r="B7194" s="15"/>
      <c r="C7194" s="45"/>
    </row>
    <row r="7195" spans="2:3" x14ac:dyDescent="0.25">
      <c r="B7195" s="15"/>
      <c r="C7195" s="45"/>
    </row>
    <row r="7196" spans="2:3" x14ac:dyDescent="0.25">
      <c r="B7196" s="15"/>
      <c r="C7196" s="45"/>
    </row>
    <row r="7197" spans="2:3" x14ac:dyDescent="0.25">
      <c r="B7197" s="15"/>
      <c r="C7197" s="45"/>
    </row>
    <row r="7198" spans="2:3" x14ac:dyDescent="0.25">
      <c r="B7198" s="15"/>
      <c r="C7198" s="45"/>
    </row>
    <row r="7199" spans="2:3" x14ac:dyDescent="0.25">
      <c r="B7199" s="15"/>
      <c r="C7199" s="45"/>
    </row>
    <row r="7200" spans="2:3" x14ac:dyDescent="0.25">
      <c r="B7200" s="15"/>
      <c r="C7200" s="45"/>
    </row>
    <row r="7201" spans="2:3" x14ac:dyDescent="0.25">
      <c r="B7201" s="15"/>
      <c r="C7201" s="45"/>
    </row>
    <row r="7202" spans="2:3" x14ac:dyDescent="0.25">
      <c r="B7202" s="15"/>
      <c r="C7202" s="45"/>
    </row>
    <row r="7203" spans="2:3" x14ac:dyDescent="0.25">
      <c r="B7203" s="15"/>
      <c r="C7203" s="45"/>
    </row>
    <row r="7204" spans="2:3" x14ac:dyDescent="0.25">
      <c r="B7204" s="15"/>
      <c r="C7204" s="45"/>
    </row>
    <row r="7205" spans="2:3" x14ac:dyDescent="0.25">
      <c r="B7205" s="15"/>
      <c r="C7205" s="45"/>
    </row>
    <row r="7206" spans="2:3" x14ac:dyDescent="0.25">
      <c r="B7206" s="15"/>
      <c r="C7206" s="45"/>
    </row>
    <row r="7207" spans="2:3" x14ac:dyDescent="0.25">
      <c r="B7207" s="15"/>
      <c r="C7207" s="45"/>
    </row>
    <row r="7208" spans="2:3" x14ac:dyDescent="0.25">
      <c r="B7208" s="15"/>
      <c r="C7208" s="45"/>
    </row>
    <row r="7209" spans="2:3" x14ac:dyDescent="0.25">
      <c r="B7209" s="15"/>
      <c r="C7209" s="45"/>
    </row>
    <row r="7210" spans="2:3" x14ac:dyDescent="0.25">
      <c r="B7210" s="15"/>
      <c r="C7210" s="45"/>
    </row>
    <row r="7211" spans="2:3" x14ac:dyDescent="0.25">
      <c r="B7211" s="15"/>
      <c r="C7211" s="45"/>
    </row>
    <row r="7212" spans="2:3" x14ac:dyDescent="0.25">
      <c r="B7212" s="15"/>
      <c r="C7212" s="45"/>
    </row>
    <row r="7213" spans="2:3" x14ac:dyDescent="0.25">
      <c r="B7213" s="15"/>
      <c r="C7213" s="45"/>
    </row>
    <row r="7214" spans="2:3" x14ac:dyDescent="0.25">
      <c r="B7214" s="15"/>
      <c r="C7214" s="45"/>
    </row>
    <row r="7215" spans="2:3" x14ac:dyDescent="0.25">
      <c r="B7215" s="15"/>
      <c r="C7215" s="45"/>
    </row>
    <row r="7216" spans="2:3" x14ac:dyDescent="0.25">
      <c r="B7216" s="15"/>
      <c r="C7216" s="45"/>
    </row>
    <row r="7217" spans="2:3" x14ac:dyDescent="0.25">
      <c r="B7217" s="15"/>
      <c r="C7217" s="45"/>
    </row>
    <row r="7218" spans="2:3" x14ac:dyDescent="0.25">
      <c r="B7218" s="15"/>
      <c r="C7218" s="45"/>
    </row>
    <row r="7219" spans="2:3" x14ac:dyDescent="0.25">
      <c r="B7219" s="15"/>
      <c r="C7219" s="45"/>
    </row>
    <row r="7220" spans="2:3" x14ac:dyDescent="0.25">
      <c r="B7220" s="15"/>
      <c r="C7220" s="45"/>
    </row>
    <row r="7221" spans="2:3" x14ac:dyDescent="0.25">
      <c r="B7221" s="15"/>
      <c r="C7221" s="45"/>
    </row>
    <row r="7222" spans="2:3" x14ac:dyDescent="0.25">
      <c r="B7222" s="15"/>
      <c r="C7222" s="45"/>
    </row>
    <row r="7223" spans="2:3" x14ac:dyDescent="0.25">
      <c r="B7223" s="15"/>
      <c r="C7223" s="45"/>
    </row>
    <row r="7224" spans="2:3" x14ac:dyDescent="0.25">
      <c r="B7224" s="15"/>
      <c r="C7224" s="45"/>
    </row>
    <row r="7225" spans="2:3" x14ac:dyDescent="0.25">
      <c r="B7225" s="15"/>
      <c r="C7225" s="45"/>
    </row>
    <row r="7226" spans="2:3" x14ac:dyDescent="0.25">
      <c r="B7226" s="15"/>
      <c r="C7226" s="45"/>
    </row>
    <row r="7227" spans="2:3" x14ac:dyDescent="0.25">
      <c r="B7227" s="15"/>
      <c r="C7227" s="45"/>
    </row>
    <row r="7228" spans="2:3" x14ac:dyDescent="0.25">
      <c r="B7228" s="15"/>
      <c r="C7228" s="45"/>
    </row>
    <row r="7229" spans="2:3" x14ac:dyDescent="0.25">
      <c r="B7229" s="15"/>
      <c r="C7229" s="45"/>
    </row>
    <row r="7230" spans="2:3" x14ac:dyDescent="0.25">
      <c r="B7230" s="15"/>
      <c r="C7230" s="45"/>
    </row>
    <row r="7231" spans="2:3" x14ac:dyDescent="0.25">
      <c r="B7231" s="15"/>
      <c r="C7231" s="45"/>
    </row>
    <row r="7232" spans="2:3" x14ac:dyDescent="0.25">
      <c r="B7232" s="15"/>
      <c r="C7232" s="45"/>
    </row>
    <row r="7233" spans="2:3" x14ac:dyDescent="0.25">
      <c r="B7233" s="15"/>
      <c r="C7233" s="45"/>
    </row>
    <row r="7234" spans="2:3" x14ac:dyDescent="0.25">
      <c r="B7234" s="15"/>
      <c r="C7234" s="45"/>
    </row>
    <row r="7235" spans="2:3" x14ac:dyDescent="0.25">
      <c r="B7235" s="15"/>
      <c r="C7235" s="45"/>
    </row>
    <row r="7236" spans="2:3" x14ac:dyDescent="0.25">
      <c r="B7236" s="15"/>
      <c r="C7236" s="45"/>
    </row>
    <row r="7237" spans="2:3" x14ac:dyDescent="0.25">
      <c r="B7237" s="15"/>
      <c r="C7237" s="45"/>
    </row>
    <row r="7238" spans="2:3" x14ac:dyDescent="0.25">
      <c r="B7238" s="15"/>
      <c r="C7238" s="45"/>
    </row>
    <row r="7239" spans="2:3" x14ac:dyDescent="0.25">
      <c r="B7239" s="15"/>
      <c r="C7239" s="45"/>
    </row>
    <row r="7240" spans="2:3" x14ac:dyDescent="0.25">
      <c r="B7240" s="15"/>
      <c r="C7240" s="45"/>
    </row>
    <row r="7241" spans="2:3" x14ac:dyDescent="0.25">
      <c r="B7241" s="15"/>
      <c r="C7241" s="45"/>
    </row>
    <row r="7242" spans="2:3" x14ac:dyDescent="0.25">
      <c r="B7242" s="15"/>
      <c r="C7242" s="45"/>
    </row>
    <row r="7243" spans="2:3" x14ac:dyDescent="0.25">
      <c r="B7243" s="15"/>
      <c r="C7243" s="45"/>
    </row>
    <row r="7244" spans="2:3" x14ac:dyDescent="0.25">
      <c r="B7244" s="15"/>
      <c r="C7244" s="45"/>
    </row>
    <row r="7245" spans="2:3" x14ac:dyDescent="0.25">
      <c r="B7245" s="15"/>
      <c r="C7245" s="45"/>
    </row>
    <row r="7246" spans="2:3" x14ac:dyDescent="0.25">
      <c r="B7246" s="15"/>
      <c r="C7246" s="45"/>
    </row>
    <row r="7247" spans="2:3" x14ac:dyDescent="0.25">
      <c r="B7247" s="15"/>
      <c r="C7247" s="45"/>
    </row>
    <row r="7248" spans="2:3" x14ac:dyDescent="0.25">
      <c r="B7248" s="15"/>
      <c r="C7248" s="45"/>
    </row>
    <row r="7249" spans="2:3" x14ac:dyDescent="0.25">
      <c r="B7249" s="15"/>
      <c r="C7249" s="45"/>
    </row>
    <row r="7250" spans="2:3" x14ac:dyDescent="0.25">
      <c r="B7250" s="15"/>
      <c r="C7250" s="45"/>
    </row>
    <row r="7251" spans="2:3" x14ac:dyDescent="0.25">
      <c r="B7251" s="15"/>
      <c r="C7251" s="45"/>
    </row>
    <row r="7252" spans="2:3" x14ac:dyDescent="0.25">
      <c r="B7252" s="15"/>
      <c r="C7252" s="45"/>
    </row>
    <row r="7253" spans="2:3" x14ac:dyDescent="0.25">
      <c r="B7253" s="15"/>
      <c r="C7253" s="45"/>
    </row>
    <row r="7254" spans="2:3" x14ac:dyDescent="0.25">
      <c r="B7254" s="15"/>
      <c r="C7254" s="45"/>
    </row>
    <row r="7255" spans="2:3" x14ac:dyDescent="0.25">
      <c r="B7255" s="15"/>
      <c r="C7255" s="45"/>
    </row>
    <row r="7256" spans="2:3" x14ac:dyDescent="0.25">
      <c r="B7256" s="15"/>
      <c r="C7256" s="45"/>
    </row>
    <row r="7257" spans="2:3" x14ac:dyDescent="0.25">
      <c r="B7257" s="15"/>
      <c r="C7257" s="45"/>
    </row>
    <row r="7258" spans="2:3" x14ac:dyDescent="0.25">
      <c r="B7258" s="15"/>
      <c r="C7258" s="45"/>
    </row>
    <row r="7259" spans="2:3" x14ac:dyDescent="0.25">
      <c r="B7259" s="15"/>
      <c r="C7259" s="45"/>
    </row>
    <row r="7260" spans="2:3" x14ac:dyDescent="0.25">
      <c r="B7260" s="15"/>
      <c r="C7260" s="45"/>
    </row>
    <row r="7261" spans="2:3" x14ac:dyDescent="0.25">
      <c r="B7261" s="15"/>
      <c r="C7261" s="45"/>
    </row>
    <row r="7262" spans="2:3" x14ac:dyDescent="0.25">
      <c r="B7262" s="15"/>
      <c r="C7262" s="45"/>
    </row>
    <row r="7263" spans="2:3" x14ac:dyDescent="0.25">
      <c r="B7263" s="15"/>
      <c r="C7263" s="45"/>
    </row>
    <row r="7264" spans="2:3" x14ac:dyDescent="0.25">
      <c r="B7264" s="15"/>
      <c r="C7264" s="45"/>
    </row>
    <row r="7265" spans="2:3" x14ac:dyDescent="0.25">
      <c r="B7265" s="15"/>
      <c r="C7265" s="45"/>
    </row>
    <row r="7266" spans="2:3" x14ac:dyDescent="0.25">
      <c r="B7266" s="15"/>
      <c r="C7266" s="45"/>
    </row>
    <row r="7267" spans="2:3" x14ac:dyDescent="0.25">
      <c r="B7267" s="15"/>
      <c r="C7267" s="45"/>
    </row>
    <row r="7268" spans="2:3" x14ac:dyDescent="0.25">
      <c r="B7268" s="15"/>
      <c r="C7268" s="45"/>
    </row>
    <row r="7269" spans="2:3" x14ac:dyDescent="0.25">
      <c r="B7269" s="15"/>
      <c r="C7269" s="45"/>
    </row>
    <row r="7270" spans="2:3" x14ac:dyDescent="0.25">
      <c r="B7270" s="15"/>
      <c r="C7270" s="45"/>
    </row>
    <row r="7271" spans="2:3" x14ac:dyDescent="0.25">
      <c r="B7271" s="15"/>
      <c r="C7271" s="45"/>
    </row>
    <row r="7272" spans="2:3" x14ac:dyDescent="0.25">
      <c r="B7272" s="15"/>
      <c r="C7272" s="45"/>
    </row>
    <row r="7273" spans="2:3" x14ac:dyDescent="0.25">
      <c r="B7273" s="15"/>
      <c r="C7273" s="45"/>
    </row>
    <row r="7274" spans="2:3" x14ac:dyDescent="0.25">
      <c r="B7274" s="15"/>
      <c r="C7274" s="45"/>
    </row>
    <row r="7275" spans="2:3" x14ac:dyDescent="0.25">
      <c r="B7275" s="15"/>
      <c r="C7275" s="45"/>
    </row>
    <row r="7276" spans="2:3" x14ac:dyDescent="0.25">
      <c r="B7276" s="15"/>
      <c r="C7276" s="45"/>
    </row>
    <row r="7277" spans="2:3" x14ac:dyDescent="0.25">
      <c r="B7277" s="15"/>
      <c r="C7277" s="45"/>
    </row>
    <row r="7278" spans="2:3" x14ac:dyDescent="0.25">
      <c r="B7278" s="15"/>
      <c r="C7278" s="45"/>
    </row>
    <row r="7279" spans="2:3" x14ac:dyDescent="0.25">
      <c r="B7279" s="15"/>
      <c r="C7279" s="45"/>
    </row>
    <row r="7280" spans="2:3" x14ac:dyDescent="0.25">
      <c r="B7280" s="15"/>
      <c r="C7280" s="45"/>
    </row>
    <row r="7281" spans="2:3" x14ac:dyDescent="0.25">
      <c r="B7281" s="15"/>
      <c r="C7281" s="45"/>
    </row>
    <row r="7282" spans="2:3" x14ac:dyDescent="0.25">
      <c r="B7282" s="15"/>
      <c r="C7282" s="45"/>
    </row>
    <row r="7283" spans="2:3" x14ac:dyDescent="0.25">
      <c r="B7283" s="15"/>
      <c r="C7283" s="45"/>
    </row>
    <row r="7284" spans="2:3" x14ac:dyDescent="0.25">
      <c r="B7284" s="15"/>
      <c r="C7284" s="45"/>
    </row>
    <row r="7285" spans="2:3" x14ac:dyDescent="0.25">
      <c r="B7285" s="15"/>
      <c r="C7285" s="45"/>
    </row>
    <row r="7286" spans="2:3" x14ac:dyDescent="0.25">
      <c r="B7286" s="15"/>
      <c r="C7286" s="45"/>
    </row>
    <row r="7287" spans="2:3" x14ac:dyDescent="0.25">
      <c r="B7287" s="15"/>
      <c r="C7287" s="45"/>
    </row>
    <row r="7288" spans="2:3" x14ac:dyDescent="0.25">
      <c r="B7288" s="15"/>
      <c r="C7288" s="45"/>
    </row>
    <row r="7289" spans="2:3" x14ac:dyDescent="0.25">
      <c r="B7289" s="15"/>
      <c r="C7289" s="45"/>
    </row>
    <row r="7290" spans="2:3" x14ac:dyDescent="0.25">
      <c r="B7290" s="15"/>
      <c r="C7290" s="45"/>
    </row>
    <row r="7291" spans="2:3" x14ac:dyDescent="0.25">
      <c r="B7291" s="15"/>
      <c r="C7291" s="45"/>
    </row>
    <row r="7292" spans="2:3" x14ac:dyDescent="0.25">
      <c r="B7292" s="15"/>
      <c r="C7292" s="45"/>
    </row>
    <row r="7293" spans="2:3" x14ac:dyDescent="0.25">
      <c r="B7293" s="15"/>
      <c r="C7293" s="45"/>
    </row>
    <row r="7294" spans="2:3" x14ac:dyDescent="0.25">
      <c r="B7294" s="15"/>
      <c r="C7294" s="45"/>
    </row>
    <row r="7295" spans="2:3" x14ac:dyDescent="0.25">
      <c r="B7295" s="15"/>
      <c r="C7295" s="45"/>
    </row>
    <row r="7296" spans="2:3" x14ac:dyDescent="0.25">
      <c r="B7296" s="15"/>
      <c r="C7296" s="45"/>
    </row>
    <row r="7297" spans="2:3" x14ac:dyDescent="0.25">
      <c r="B7297" s="15"/>
      <c r="C7297" s="45"/>
    </row>
    <row r="7298" spans="2:3" x14ac:dyDescent="0.25">
      <c r="B7298" s="15"/>
      <c r="C7298" s="45"/>
    </row>
    <row r="7299" spans="2:3" x14ac:dyDescent="0.25">
      <c r="B7299" s="15"/>
      <c r="C7299" s="45"/>
    </row>
    <row r="7300" spans="2:3" x14ac:dyDescent="0.25">
      <c r="B7300" s="15"/>
      <c r="C7300" s="45"/>
    </row>
    <row r="7301" spans="2:3" x14ac:dyDescent="0.25">
      <c r="B7301" s="15"/>
      <c r="C7301" s="45"/>
    </row>
    <row r="7302" spans="2:3" x14ac:dyDescent="0.25">
      <c r="B7302" s="15"/>
      <c r="C7302" s="45"/>
    </row>
    <row r="7303" spans="2:3" x14ac:dyDescent="0.25">
      <c r="B7303" s="15"/>
      <c r="C7303" s="45"/>
    </row>
    <row r="7304" spans="2:3" x14ac:dyDescent="0.25">
      <c r="B7304" s="15"/>
      <c r="C7304" s="45"/>
    </row>
    <row r="7305" spans="2:3" x14ac:dyDescent="0.25">
      <c r="B7305" s="15"/>
      <c r="C7305" s="45"/>
    </row>
    <row r="7306" spans="2:3" x14ac:dyDescent="0.25">
      <c r="B7306" s="15"/>
      <c r="C7306" s="45"/>
    </row>
    <row r="7307" spans="2:3" x14ac:dyDescent="0.25">
      <c r="B7307" s="15"/>
      <c r="C7307" s="45"/>
    </row>
    <row r="7308" spans="2:3" x14ac:dyDescent="0.25">
      <c r="B7308" s="15"/>
      <c r="C7308" s="45"/>
    </row>
    <row r="7309" spans="2:3" x14ac:dyDescent="0.25">
      <c r="B7309" s="15"/>
      <c r="C7309" s="45"/>
    </row>
    <row r="7310" spans="2:3" x14ac:dyDescent="0.25">
      <c r="B7310" s="15"/>
      <c r="C7310" s="45"/>
    </row>
    <row r="7311" spans="2:3" x14ac:dyDescent="0.25">
      <c r="B7311" s="15"/>
      <c r="C7311" s="45"/>
    </row>
    <row r="7312" spans="2:3" x14ac:dyDescent="0.25">
      <c r="B7312" s="15"/>
      <c r="C7312" s="45"/>
    </row>
    <row r="7313" spans="2:3" x14ac:dyDescent="0.25">
      <c r="B7313" s="15"/>
      <c r="C7313" s="45"/>
    </row>
    <row r="7314" spans="2:3" x14ac:dyDescent="0.25">
      <c r="B7314" s="15"/>
      <c r="C7314" s="45"/>
    </row>
    <row r="7315" spans="2:3" x14ac:dyDescent="0.25">
      <c r="B7315" s="15"/>
      <c r="C7315" s="45"/>
    </row>
    <row r="7316" spans="2:3" x14ac:dyDescent="0.25">
      <c r="B7316" s="15"/>
      <c r="C7316" s="45"/>
    </row>
    <row r="7317" spans="2:3" x14ac:dyDescent="0.25">
      <c r="B7317" s="15"/>
      <c r="C7317" s="45"/>
    </row>
    <row r="7318" spans="2:3" x14ac:dyDescent="0.25">
      <c r="B7318" s="15"/>
      <c r="C7318" s="45"/>
    </row>
    <row r="7319" spans="2:3" x14ac:dyDescent="0.25">
      <c r="B7319" s="15"/>
      <c r="C7319" s="45"/>
    </row>
    <row r="7320" spans="2:3" x14ac:dyDescent="0.25">
      <c r="B7320" s="15"/>
      <c r="C7320" s="45"/>
    </row>
    <row r="7321" spans="2:3" x14ac:dyDescent="0.25">
      <c r="B7321" s="15"/>
      <c r="C7321" s="45"/>
    </row>
    <row r="7322" spans="2:3" x14ac:dyDescent="0.25">
      <c r="B7322" s="15"/>
      <c r="C7322" s="45"/>
    </row>
    <row r="7323" spans="2:3" x14ac:dyDescent="0.25">
      <c r="B7323" s="15"/>
      <c r="C7323" s="45"/>
    </row>
    <row r="7324" spans="2:3" x14ac:dyDescent="0.25">
      <c r="B7324" s="15"/>
      <c r="C7324" s="45"/>
    </row>
    <row r="7325" spans="2:3" x14ac:dyDescent="0.25">
      <c r="B7325" s="15"/>
      <c r="C7325" s="45"/>
    </row>
    <row r="7326" spans="2:3" x14ac:dyDescent="0.25">
      <c r="B7326" s="15"/>
      <c r="C7326" s="45"/>
    </row>
    <row r="7327" spans="2:3" x14ac:dyDescent="0.25">
      <c r="B7327" s="15"/>
      <c r="C7327" s="45"/>
    </row>
    <row r="7328" spans="2:3" x14ac:dyDescent="0.25">
      <c r="B7328" s="15"/>
      <c r="C7328" s="45"/>
    </row>
    <row r="7329" spans="2:3" x14ac:dyDescent="0.25">
      <c r="B7329" s="15"/>
      <c r="C7329" s="45"/>
    </row>
    <row r="7330" spans="2:3" x14ac:dyDescent="0.25">
      <c r="B7330" s="15"/>
      <c r="C7330" s="45"/>
    </row>
    <row r="7331" spans="2:3" x14ac:dyDescent="0.25">
      <c r="B7331" s="15"/>
      <c r="C7331" s="45"/>
    </row>
    <row r="7332" spans="2:3" x14ac:dyDescent="0.25">
      <c r="B7332" s="15"/>
      <c r="C7332" s="45"/>
    </row>
    <row r="7333" spans="2:3" x14ac:dyDescent="0.25">
      <c r="B7333" s="15"/>
      <c r="C7333" s="45"/>
    </row>
    <row r="7334" spans="2:3" x14ac:dyDescent="0.25">
      <c r="B7334" s="15"/>
      <c r="C7334" s="45"/>
    </row>
    <row r="7335" spans="2:3" x14ac:dyDescent="0.25">
      <c r="B7335" s="15"/>
      <c r="C7335" s="45"/>
    </row>
    <row r="7336" spans="2:3" x14ac:dyDescent="0.25">
      <c r="B7336" s="15"/>
      <c r="C7336" s="45"/>
    </row>
    <row r="7337" spans="2:3" x14ac:dyDescent="0.25">
      <c r="B7337" s="15"/>
      <c r="C7337" s="45"/>
    </row>
    <row r="7338" spans="2:3" x14ac:dyDescent="0.25">
      <c r="B7338" s="15"/>
      <c r="C7338" s="45"/>
    </row>
    <row r="7339" spans="2:3" x14ac:dyDescent="0.25">
      <c r="B7339" s="15"/>
      <c r="C7339" s="45"/>
    </row>
    <row r="7340" spans="2:3" x14ac:dyDescent="0.25">
      <c r="B7340" s="15"/>
      <c r="C7340" s="45"/>
    </row>
    <row r="7341" spans="2:3" x14ac:dyDescent="0.25">
      <c r="B7341" s="15"/>
      <c r="C7341" s="45"/>
    </row>
    <row r="7342" spans="2:3" x14ac:dyDescent="0.25">
      <c r="B7342" s="15"/>
      <c r="C7342" s="45"/>
    </row>
    <row r="7343" spans="2:3" x14ac:dyDescent="0.25">
      <c r="B7343" s="15"/>
      <c r="C7343" s="45"/>
    </row>
    <row r="7344" spans="2:3" x14ac:dyDescent="0.25">
      <c r="B7344" s="15"/>
      <c r="C7344" s="45"/>
    </row>
    <row r="7345" spans="2:3" x14ac:dyDescent="0.25">
      <c r="B7345" s="15"/>
      <c r="C7345" s="45"/>
    </row>
    <row r="7346" spans="2:3" x14ac:dyDescent="0.25">
      <c r="B7346" s="15"/>
      <c r="C7346" s="45"/>
    </row>
    <row r="7347" spans="2:3" x14ac:dyDescent="0.25">
      <c r="B7347" s="15"/>
      <c r="C7347" s="45"/>
    </row>
    <row r="7348" spans="2:3" x14ac:dyDescent="0.25">
      <c r="B7348" s="15"/>
      <c r="C7348" s="45"/>
    </row>
    <row r="7349" spans="2:3" x14ac:dyDescent="0.25">
      <c r="B7349" s="15"/>
      <c r="C7349" s="45"/>
    </row>
    <row r="7350" spans="2:3" x14ac:dyDescent="0.25">
      <c r="B7350" s="15"/>
      <c r="C7350" s="45"/>
    </row>
    <row r="7351" spans="2:3" x14ac:dyDescent="0.25">
      <c r="B7351" s="15"/>
      <c r="C7351" s="45"/>
    </row>
    <row r="7352" spans="2:3" x14ac:dyDescent="0.25">
      <c r="B7352" s="15"/>
      <c r="C7352" s="45"/>
    </row>
    <row r="7353" spans="2:3" x14ac:dyDescent="0.25">
      <c r="B7353" s="15"/>
      <c r="C7353" s="45"/>
    </row>
    <row r="7354" spans="2:3" x14ac:dyDescent="0.25">
      <c r="B7354" s="15"/>
      <c r="C7354" s="45"/>
    </row>
    <row r="7355" spans="2:3" x14ac:dyDescent="0.25">
      <c r="B7355" s="15"/>
      <c r="C7355" s="45"/>
    </row>
    <row r="7356" spans="2:3" x14ac:dyDescent="0.25">
      <c r="B7356" s="15"/>
      <c r="C7356" s="45"/>
    </row>
    <row r="7357" spans="2:3" x14ac:dyDescent="0.25">
      <c r="B7357" s="15"/>
      <c r="C7357" s="45"/>
    </row>
    <row r="7358" spans="2:3" x14ac:dyDescent="0.25">
      <c r="B7358" s="15"/>
      <c r="C7358" s="45"/>
    </row>
    <row r="7359" spans="2:3" x14ac:dyDescent="0.25">
      <c r="B7359" s="15"/>
      <c r="C7359" s="45"/>
    </row>
    <row r="7360" spans="2:3" x14ac:dyDescent="0.25">
      <c r="B7360" s="15"/>
      <c r="C7360" s="45"/>
    </row>
    <row r="7361" spans="2:3" x14ac:dyDescent="0.25">
      <c r="B7361" s="15"/>
      <c r="C7361" s="45"/>
    </row>
    <row r="7362" spans="2:3" x14ac:dyDescent="0.25">
      <c r="B7362" s="15"/>
      <c r="C7362" s="45"/>
    </row>
    <row r="7363" spans="2:3" x14ac:dyDescent="0.25">
      <c r="B7363" s="15"/>
      <c r="C7363" s="45"/>
    </row>
    <row r="7364" spans="2:3" x14ac:dyDescent="0.25">
      <c r="B7364" s="15"/>
      <c r="C7364" s="45"/>
    </row>
    <row r="7365" spans="2:3" x14ac:dyDescent="0.25">
      <c r="B7365" s="15"/>
      <c r="C7365" s="45"/>
    </row>
    <row r="7366" spans="2:3" x14ac:dyDescent="0.25">
      <c r="B7366" s="15"/>
      <c r="C7366" s="45"/>
    </row>
    <row r="7367" spans="2:3" x14ac:dyDescent="0.25">
      <c r="B7367" s="15"/>
      <c r="C7367" s="45"/>
    </row>
    <row r="7368" spans="2:3" x14ac:dyDescent="0.25">
      <c r="B7368" s="15"/>
      <c r="C7368" s="45"/>
    </row>
    <row r="7369" spans="2:3" x14ac:dyDescent="0.25">
      <c r="B7369" s="15"/>
      <c r="C7369" s="45"/>
    </row>
    <row r="7370" spans="2:3" x14ac:dyDescent="0.25">
      <c r="B7370" s="15"/>
      <c r="C7370" s="45"/>
    </row>
    <row r="7371" spans="2:3" x14ac:dyDescent="0.25">
      <c r="B7371" s="15"/>
      <c r="C7371" s="45"/>
    </row>
    <row r="7372" spans="2:3" x14ac:dyDescent="0.25">
      <c r="B7372" s="15"/>
      <c r="C7372" s="45"/>
    </row>
    <row r="7373" spans="2:3" x14ac:dyDescent="0.25">
      <c r="B7373" s="15"/>
      <c r="C7373" s="45"/>
    </row>
    <row r="7374" spans="2:3" x14ac:dyDescent="0.25">
      <c r="B7374" s="15"/>
      <c r="C7374" s="45"/>
    </row>
    <row r="7375" spans="2:3" x14ac:dyDescent="0.25">
      <c r="B7375" s="15"/>
      <c r="C7375" s="45"/>
    </row>
    <row r="7376" spans="2:3" x14ac:dyDescent="0.25">
      <c r="B7376" s="15"/>
      <c r="C7376" s="45"/>
    </row>
    <row r="7377" spans="2:3" x14ac:dyDescent="0.25">
      <c r="B7377" s="15"/>
      <c r="C7377" s="45"/>
    </row>
    <row r="7378" spans="2:3" x14ac:dyDescent="0.25">
      <c r="B7378" s="15"/>
      <c r="C7378" s="45"/>
    </row>
    <row r="7379" spans="2:3" x14ac:dyDescent="0.25">
      <c r="B7379" s="15"/>
      <c r="C7379" s="45"/>
    </row>
    <row r="7380" spans="2:3" x14ac:dyDescent="0.25">
      <c r="B7380" s="15"/>
      <c r="C7380" s="45"/>
    </row>
    <row r="7381" spans="2:3" x14ac:dyDescent="0.25">
      <c r="B7381" s="15"/>
      <c r="C7381" s="45"/>
    </row>
    <row r="7382" spans="2:3" x14ac:dyDescent="0.25">
      <c r="B7382" s="15"/>
      <c r="C7382" s="45"/>
    </row>
    <row r="7383" spans="2:3" x14ac:dyDescent="0.25">
      <c r="B7383" s="15"/>
      <c r="C7383" s="45"/>
    </row>
    <row r="7384" spans="2:3" x14ac:dyDescent="0.25">
      <c r="B7384" s="15"/>
      <c r="C7384" s="45"/>
    </row>
    <row r="7385" spans="2:3" x14ac:dyDescent="0.25">
      <c r="B7385" s="15"/>
      <c r="C7385" s="45"/>
    </row>
    <row r="7386" spans="2:3" x14ac:dyDescent="0.25">
      <c r="B7386" s="15"/>
      <c r="C7386" s="45"/>
    </row>
    <row r="7387" spans="2:3" x14ac:dyDescent="0.25">
      <c r="B7387" s="15"/>
      <c r="C7387" s="45"/>
    </row>
    <row r="7388" spans="2:3" x14ac:dyDescent="0.25">
      <c r="B7388" s="15"/>
      <c r="C7388" s="45"/>
    </row>
    <row r="7389" spans="2:3" x14ac:dyDescent="0.25">
      <c r="B7389" s="15"/>
      <c r="C7389" s="45"/>
    </row>
    <row r="7390" spans="2:3" x14ac:dyDescent="0.25">
      <c r="B7390" s="15"/>
      <c r="C7390" s="45"/>
    </row>
    <row r="7391" spans="2:3" x14ac:dyDescent="0.25">
      <c r="B7391" s="15"/>
      <c r="C7391" s="45"/>
    </row>
    <row r="7392" spans="2:3" x14ac:dyDescent="0.25">
      <c r="B7392" s="15"/>
      <c r="C7392" s="45"/>
    </row>
    <row r="7393" spans="2:3" x14ac:dyDescent="0.25">
      <c r="B7393" s="15"/>
      <c r="C7393" s="45"/>
    </row>
    <row r="7394" spans="2:3" x14ac:dyDescent="0.25">
      <c r="B7394" s="15"/>
      <c r="C7394" s="45"/>
    </row>
    <row r="7395" spans="2:3" x14ac:dyDescent="0.25">
      <c r="B7395" s="15"/>
      <c r="C7395" s="45"/>
    </row>
    <row r="7396" spans="2:3" x14ac:dyDescent="0.25">
      <c r="B7396" s="15"/>
      <c r="C7396" s="45"/>
    </row>
    <row r="7397" spans="2:3" x14ac:dyDescent="0.25">
      <c r="B7397" s="15"/>
      <c r="C7397" s="45"/>
    </row>
    <row r="7398" spans="2:3" x14ac:dyDescent="0.25">
      <c r="B7398" s="15"/>
      <c r="C7398" s="45"/>
    </row>
    <row r="7399" spans="2:3" x14ac:dyDescent="0.25">
      <c r="B7399" s="15"/>
      <c r="C7399" s="45"/>
    </row>
    <row r="7400" spans="2:3" x14ac:dyDescent="0.25">
      <c r="B7400" s="15"/>
      <c r="C7400" s="45"/>
    </row>
    <row r="7401" spans="2:3" x14ac:dyDescent="0.25">
      <c r="B7401" s="15"/>
      <c r="C7401" s="45"/>
    </row>
    <row r="7402" spans="2:3" x14ac:dyDescent="0.25">
      <c r="B7402" s="15"/>
      <c r="C7402" s="45"/>
    </row>
    <row r="7403" spans="2:3" x14ac:dyDescent="0.25">
      <c r="B7403" s="15"/>
      <c r="C7403" s="45"/>
    </row>
    <row r="7404" spans="2:3" x14ac:dyDescent="0.25">
      <c r="B7404" s="15"/>
      <c r="C7404" s="45"/>
    </row>
    <row r="7405" spans="2:3" x14ac:dyDescent="0.25">
      <c r="B7405" s="15"/>
      <c r="C7405" s="45"/>
    </row>
    <row r="7406" spans="2:3" x14ac:dyDescent="0.25">
      <c r="B7406" s="15"/>
      <c r="C7406" s="45"/>
    </row>
    <row r="7407" spans="2:3" x14ac:dyDescent="0.25">
      <c r="B7407" s="15"/>
      <c r="C7407" s="45"/>
    </row>
    <row r="7408" spans="2:3" x14ac:dyDescent="0.25">
      <c r="B7408" s="15"/>
      <c r="C7408" s="45"/>
    </row>
    <row r="7409" spans="2:3" x14ac:dyDescent="0.25">
      <c r="B7409" s="15"/>
      <c r="C7409" s="45"/>
    </row>
    <row r="7410" spans="2:3" x14ac:dyDescent="0.25">
      <c r="B7410" s="15"/>
      <c r="C7410" s="45"/>
    </row>
    <row r="7411" spans="2:3" x14ac:dyDescent="0.25">
      <c r="B7411" s="15"/>
      <c r="C7411" s="45"/>
    </row>
    <row r="7412" spans="2:3" x14ac:dyDescent="0.25">
      <c r="B7412" s="15"/>
      <c r="C7412" s="45"/>
    </row>
    <row r="7413" spans="2:3" x14ac:dyDescent="0.25">
      <c r="B7413" s="15"/>
      <c r="C7413" s="45"/>
    </row>
    <row r="7414" spans="2:3" x14ac:dyDescent="0.25">
      <c r="B7414" s="15"/>
      <c r="C7414" s="45"/>
    </row>
    <row r="7415" spans="2:3" x14ac:dyDescent="0.25">
      <c r="B7415" s="15"/>
      <c r="C7415" s="45"/>
    </row>
    <row r="7416" spans="2:3" x14ac:dyDescent="0.25">
      <c r="B7416" s="15"/>
      <c r="C7416" s="45"/>
    </row>
    <row r="7417" spans="2:3" x14ac:dyDescent="0.25">
      <c r="B7417" s="15"/>
      <c r="C7417" s="45"/>
    </row>
    <row r="7418" spans="2:3" x14ac:dyDescent="0.25">
      <c r="B7418" s="15"/>
      <c r="C7418" s="45"/>
    </row>
    <row r="7419" spans="2:3" x14ac:dyDescent="0.25">
      <c r="B7419" s="15"/>
      <c r="C7419" s="45"/>
    </row>
    <row r="7420" spans="2:3" x14ac:dyDescent="0.25">
      <c r="B7420" s="15"/>
      <c r="C7420" s="45"/>
    </row>
    <row r="7421" spans="2:3" x14ac:dyDescent="0.25">
      <c r="B7421" s="15"/>
      <c r="C7421" s="45"/>
    </row>
    <row r="7422" spans="2:3" x14ac:dyDescent="0.25">
      <c r="B7422" s="15"/>
      <c r="C7422" s="45"/>
    </row>
    <row r="7423" spans="2:3" x14ac:dyDescent="0.25">
      <c r="B7423" s="15"/>
      <c r="C7423" s="45"/>
    </row>
    <row r="7424" spans="2:3" x14ac:dyDescent="0.25">
      <c r="B7424" s="15"/>
      <c r="C7424" s="45"/>
    </row>
    <row r="7425" spans="2:3" x14ac:dyDescent="0.25">
      <c r="B7425" s="15"/>
      <c r="C7425" s="45"/>
    </row>
    <row r="7426" spans="2:3" x14ac:dyDescent="0.25">
      <c r="B7426" s="15"/>
      <c r="C7426" s="45"/>
    </row>
    <row r="7427" spans="2:3" x14ac:dyDescent="0.25">
      <c r="B7427" s="15"/>
      <c r="C7427" s="45"/>
    </row>
    <row r="7428" spans="2:3" x14ac:dyDescent="0.25">
      <c r="B7428" s="15"/>
      <c r="C7428" s="45"/>
    </row>
    <row r="7429" spans="2:3" x14ac:dyDescent="0.25">
      <c r="B7429" s="15"/>
      <c r="C7429" s="45"/>
    </row>
    <row r="7430" spans="2:3" x14ac:dyDescent="0.25">
      <c r="B7430" s="15"/>
      <c r="C7430" s="45"/>
    </row>
    <row r="7431" spans="2:3" x14ac:dyDescent="0.25">
      <c r="B7431" s="15"/>
      <c r="C7431" s="45"/>
    </row>
    <row r="7432" spans="2:3" x14ac:dyDescent="0.25">
      <c r="B7432" s="15"/>
      <c r="C7432" s="45"/>
    </row>
    <row r="7433" spans="2:3" x14ac:dyDescent="0.25">
      <c r="B7433" s="15"/>
      <c r="C7433" s="45"/>
    </row>
    <row r="7434" spans="2:3" x14ac:dyDescent="0.25">
      <c r="B7434" s="15"/>
      <c r="C7434" s="45"/>
    </row>
    <row r="7435" spans="2:3" x14ac:dyDescent="0.25">
      <c r="B7435" s="15"/>
      <c r="C7435" s="45"/>
    </row>
    <row r="7436" spans="2:3" x14ac:dyDescent="0.25">
      <c r="B7436" s="15"/>
      <c r="C7436" s="45"/>
    </row>
    <row r="7437" spans="2:3" x14ac:dyDescent="0.25">
      <c r="B7437" s="15"/>
      <c r="C7437" s="45"/>
    </row>
    <row r="7438" spans="2:3" x14ac:dyDescent="0.25">
      <c r="B7438" s="15"/>
      <c r="C7438" s="45"/>
    </row>
    <row r="7439" spans="2:3" x14ac:dyDescent="0.25">
      <c r="B7439" s="15"/>
      <c r="C7439" s="45"/>
    </row>
    <row r="7440" spans="2:3" x14ac:dyDescent="0.25">
      <c r="B7440" s="15"/>
      <c r="C7440" s="45"/>
    </row>
    <row r="7441" spans="2:3" x14ac:dyDescent="0.25">
      <c r="B7441" s="15"/>
      <c r="C7441" s="45"/>
    </row>
    <row r="7442" spans="2:3" x14ac:dyDescent="0.25">
      <c r="B7442" s="15"/>
      <c r="C7442" s="45"/>
    </row>
    <row r="7443" spans="2:3" x14ac:dyDescent="0.25">
      <c r="B7443" s="15"/>
      <c r="C7443" s="45"/>
    </row>
    <row r="7444" spans="2:3" x14ac:dyDescent="0.25">
      <c r="B7444" s="15"/>
      <c r="C7444" s="45"/>
    </row>
    <row r="7445" spans="2:3" x14ac:dyDescent="0.25">
      <c r="B7445" s="15"/>
      <c r="C7445" s="45"/>
    </row>
    <row r="7446" spans="2:3" x14ac:dyDescent="0.25">
      <c r="B7446" s="15"/>
      <c r="C7446" s="45"/>
    </row>
    <row r="7447" spans="2:3" x14ac:dyDescent="0.25">
      <c r="B7447" s="15"/>
      <c r="C7447" s="45"/>
    </row>
    <row r="7448" spans="2:3" x14ac:dyDescent="0.25">
      <c r="B7448" s="15"/>
      <c r="C7448" s="45"/>
    </row>
    <row r="7449" spans="2:3" x14ac:dyDescent="0.25">
      <c r="B7449" s="15"/>
      <c r="C7449" s="45"/>
    </row>
    <row r="7450" spans="2:3" x14ac:dyDescent="0.25">
      <c r="B7450" s="15"/>
      <c r="C7450" s="45"/>
    </row>
    <row r="7451" spans="2:3" x14ac:dyDescent="0.25">
      <c r="B7451" s="15"/>
      <c r="C7451" s="45"/>
    </row>
    <row r="7452" spans="2:3" x14ac:dyDescent="0.25">
      <c r="B7452" s="15"/>
      <c r="C7452" s="45"/>
    </row>
    <row r="7453" spans="2:3" x14ac:dyDescent="0.25">
      <c r="B7453" s="15"/>
      <c r="C7453" s="45"/>
    </row>
    <row r="7454" spans="2:3" x14ac:dyDescent="0.25">
      <c r="B7454" s="15"/>
      <c r="C7454" s="45"/>
    </row>
    <row r="7455" spans="2:3" x14ac:dyDescent="0.25">
      <c r="B7455" s="15"/>
      <c r="C7455" s="45"/>
    </row>
    <row r="7456" spans="2:3" x14ac:dyDescent="0.25">
      <c r="B7456" s="15"/>
      <c r="C7456" s="45"/>
    </row>
    <row r="7457" spans="2:3" x14ac:dyDescent="0.25">
      <c r="B7457" s="15"/>
      <c r="C7457" s="45"/>
    </row>
    <row r="7458" spans="2:3" x14ac:dyDescent="0.25">
      <c r="B7458" s="15"/>
      <c r="C7458" s="45"/>
    </row>
    <row r="7459" spans="2:3" x14ac:dyDescent="0.25">
      <c r="B7459" s="15"/>
      <c r="C7459" s="45"/>
    </row>
    <row r="7460" spans="2:3" x14ac:dyDescent="0.25">
      <c r="B7460" s="15"/>
      <c r="C7460" s="45"/>
    </row>
    <row r="7461" spans="2:3" x14ac:dyDescent="0.25">
      <c r="B7461" s="15"/>
      <c r="C7461" s="45"/>
    </row>
    <row r="7462" spans="2:3" x14ac:dyDescent="0.25">
      <c r="B7462" s="15"/>
      <c r="C7462" s="45"/>
    </row>
    <row r="7463" spans="2:3" x14ac:dyDescent="0.25">
      <c r="B7463" s="15"/>
      <c r="C7463" s="45"/>
    </row>
    <row r="7464" spans="2:3" x14ac:dyDescent="0.25">
      <c r="B7464" s="15"/>
      <c r="C7464" s="45"/>
    </row>
    <row r="7465" spans="2:3" x14ac:dyDescent="0.25">
      <c r="B7465" s="15"/>
      <c r="C7465" s="45"/>
    </row>
    <row r="7466" spans="2:3" x14ac:dyDescent="0.25">
      <c r="B7466" s="15"/>
      <c r="C7466" s="45"/>
    </row>
    <row r="7467" spans="2:3" x14ac:dyDescent="0.25">
      <c r="B7467" s="15"/>
      <c r="C7467" s="45"/>
    </row>
    <row r="7468" spans="2:3" x14ac:dyDescent="0.25">
      <c r="B7468" s="15"/>
      <c r="C7468" s="45"/>
    </row>
    <row r="7469" spans="2:3" x14ac:dyDescent="0.25">
      <c r="B7469" s="15"/>
      <c r="C7469" s="45"/>
    </row>
    <row r="7470" spans="2:3" x14ac:dyDescent="0.25">
      <c r="B7470" s="15"/>
      <c r="C7470" s="45"/>
    </row>
    <row r="7471" spans="2:3" x14ac:dyDescent="0.25">
      <c r="B7471" s="15"/>
      <c r="C7471" s="45"/>
    </row>
    <row r="7472" spans="2:3" x14ac:dyDescent="0.25">
      <c r="B7472" s="15"/>
      <c r="C7472" s="45"/>
    </row>
    <row r="7473" spans="2:3" x14ac:dyDescent="0.25">
      <c r="B7473" s="15"/>
      <c r="C7473" s="45"/>
    </row>
    <row r="7474" spans="2:3" x14ac:dyDescent="0.25">
      <c r="B7474" s="15"/>
      <c r="C7474" s="45"/>
    </row>
    <row r="7475" spans="2:3" x14ac:dyDescent="0.25">
      <c r="B7475" s="15"/>
      <c r="C7475" s="45"/>
    </row>
    <row r="7476" spans="2:3" x14ac:dyDescent="0.25">
      <c r="B7476" s="15"/>
      <c r="C7476" s="45"/>
    </row>
    <row r="7477" spans="2:3" x14ac:dyDescent="0.25">
      <c r="B7477" s="15"/>
      <c r="C7477" s="45"/>
    </row>
    <row r="7478" spans="2:3" x14ac:dyDescent="0.25">
      <c r="B7478" s="15"/>
      <c r="C7478" s="45"/>
    </row>
    <row r="7479" spans="2:3" x14ac:dyDescent="0.25">
      <c r="B7479" s="15"/>
      <c r="C7479" s="45"/>
    </row>
    <row r="7480" spans="2:3" x14ac:dyDescent="0.25">
      <c r="B7480" s="15"/>
      <c r="C7480" s="45"/>
    </row>
    <row r="7481" spans="2:3" x14ac:dyDescent="0.25">
      <c r="B7481" s="15"/>
      <c r="C7481" s="45"/>
    </row>
    <row r="7482" spans="2:3" x14ac:dyDescent="0.25">
      <c r="B7482" s="15"/>
      <c r="C7482" s="45"/>
    </row>
    <row r="7483" spans="2:3" x14ac:dyDescent="0.25">
      <c r="B7483" s="15"/>
      <c r="C7483" s="45"/>
    </row>
    <row r="7484" spans="2:3" x14ac:dyDescent="0.25">
      <c r="B7484" s="15"/>
      <c r="C7484" s="45"/>
    </row>
    <row r="7485" spans="2:3" x14ac:dyDescent="0.25">
      <c r="B7485" s="15"/>
      <c r="C7485" s="45"/>
    </row>
    <row r="7486" spans="2:3" x14ac:dyDescent="0.25">
      <c r="B7486" s="15"/>
      <c r="C7486" s="45"/>
    </row>
    <row r="7487" spans="2:3" x14ac:dyDescent="0.25">
      <c r="B7487" s="15"/>
      <c r="C7487" s="45"/>
    </row>
    <row r="7488" spans="2:3" x14ac:dyDescent="0.25">
      <c r="B7488" s="15"/>
      <c r="C7488" s="45"/>
    </row>
    <row r="7489" spans="2:3" x14ac:dyDescent="0.25">
      <c r="B7489" s="15"/>
      <c r="C7489" s="45"/>
    </row>
    <row r="7490" spans="2:3" x14ac:dyDescent="0.25">
      <c r="B7490" s="15"/>
      <c r="C7490" s="45"/>
    </row>
    <row r="7491" spans="2:3" x14ac:dyDescent="0.25">
      <c r="B7491" s="15"/>
      <c r="C7491" s="45"/>
    </row>
    <row r="7492" spans="2:3" x14ac:dyDescent="0.25">
      <c r="B7492" s="15"/>
      <c r="C7492" s="45"/>
    </row>
    <row r="7493" spans="2:3" x14ac:dyDescent="0.25">
      <c r="B7493" s="15"/>
      <c r="C7493" s="45"/>
    </row>
    <row r="7494" spans="2:3" x14ac:dyDescent="0.25">
      <c r="B7494" s="15"/>
      <c r="C7494" s="45"/>
    </row>
    <row r="7495" spans="2:3" x14ac:dyDescent="0.25">
      <c r="B7495" s="15"/>
      <c r="C7495" s="45"/>
    </row>
    <row r="7496" spans="2:3" x14ac:dyDescent="0.25">
      <c r="B7496" s="15"/>
      <c r="C7496" s="45"/>
    </row>
    <row r="7497" spans="2:3" x14ac:dyDescent="0.25">
      <c r="B7497" s="15"/>
      <c r="C7497" s="45"/>
    </row>
    <row r="7498" spans="2:3" x14ac:dyDescent="0.25">
      <c r="B7498" s="15"/>
      <c r="C7498" s="45"/>
    </row>
    <row r="7499" spans="2:3" x14ac:dyDescent="0.25">
      <c r="B7499" s="15"/>
      <c r="C7499" s="45"/>
    </row>
    <row r="7500" spans="2:3" x14ac:dyDescent="0.25">
      <c r="B7500" s="15"/>
      <c r="C7500" s="45"/>
    </row>
    <row r="7501" spans="2:3" x14ac:dyDescent="0.25">
      <c r="B7501" s="15"/>
      <c r="C7501" s="45"/>
    </row>
    <row r="7502" spans="2:3" x14ac:dyDescent="0.25">
      <c r="B7502" s="15"/>
      <c r="C7502" s="45"/>
    </row>
    <row r="7503" spans="2:3" x14ac:dyDescent="0.25">
      <c r="B7503" s="15"/>
      <c r="C7503" s="45"/>
    </row>
    <row r="7504" spans="2:3" x14ac:dyDescent="0.25">
      <c r="B7504" s="15"/>
      <c r="C7504" s="45"/>
    </row>
    <row r="7505" spans="2:3" x14ac:dyDescent="0.25">
      <c r="B7505" s="15"/>
      <c r="C7505" s="45"/>
    </row>
    <row r="7506" spans="2:3" x14ac:dyDescent="0.25">
      <c r="B7506" s="15"/>
      <c r="C7506" s="45"/>
    </row>
    <row r="7507" spans="2:3" x14ac:dyDescent="0.25">
      <c r="B7507" s="15"/>
      <c r="C7507" s="45"/>
    </row>
    <row r="7508" spans="2:3" x14ac:dyDescent="0.25">
      <c r="B7508" s="15"/>
      <c r="C7508" s="45"/>
    </row>
    <row r="7509" spans="2:3" x14ac:dyDescent="0.25">
      <c r="B7509" s="15"/>
      <c r="C7509" s="45"/>
    </row>
    <row r="7510" spans="2:3" x14ac:dyDescent="0.25">
      <c r="B7510" s="15"/>
      <c r="C7510" s="45"/>
    </row>
    <row r="7511" spans="2:3" x14ac:dyDescent="0.25">
      <c r="B7511" s="15"/>
      <c r="C7511" s="45"/>
    </row>
    <row r="7512" spans="2:3" x14ac:dyDescent="0.25">
      <c r="B7512" s="15"/>
      <c r="C7512" s="45"/>
    </row>
    <row r="7513" spans="2:3" x14ac:dyDescent="0.25">
      <c r="B7513" s="15"/>
      <c r="C7513" s="45"/>
    </row>
    <row r="7514" spans="2:3" x14ac:dyDescent="0.25">
      <c r="B7514" s="15"/>
      <c r="C7514" s="45"/>
    </row>
    <row r="7515" spans="2:3" x14ac:dyDescent="0.25">
      <c r="B7515" s="15"/>
      <c r="C7515" s="45"/>
    </row>
    <row r="7516" spans="2:3" x14ac:dyDescent="0.25">
      <c r="B7516" s="15"/>
      <c r="C7516" s="45"/>
    </row>
    <row r="7517" spans="2:3" x14ac:dyDescent="0.25">
      <c r="B7517" s="15"/>
      <c r="C7517" s="45"/>
    </row>
    <row r="7518" spans="2:3" x14ac:dyDescent="0.25">
      <c r="B7518" s="15"/>
      <c r="C7518" s="45"/>
    </row>
    <row r="7519" spans="2:3" x14ac:dyDescent="0.25">
      <c r="B7519" s="15"/>
      <c r="C7519" s="45"/>
    </row>
    <row r="7520" spans="2:3" x14ac:dyDescent="0.25">
      <c r="B7520" s="15"/>
      <c r="C7520" s="45"/>
    </row>
    <row r="7521" spans="2:3" x14ac:dyDescent="0.25">
      <c r="B7521" s="15"/>
      <c r="C7521" s="45"/>
    </row>
    <row r="7522" spans="2:3" x14ac:dyDescent="0.25">
      <c r="B7522" s="15"/>
      <c r="C7522" s="45"/>
    </row>
    <row r="7523" spans="2:3" x14ac:dyDescent="0.25">
      <c r="B7523" s="15"/>
      <c r="C7523" s="45"/>
    </row>
    <row r="7524" spans="2:3" x14ac:dyDescent="0.25">
      <c r="B7524" s="15"/>
      <c r="C7524" s="45"/>
    </row>
    <row r="7525" spans="2:3" x14ac:dyDescent="0.25">
      <c r="B7525" s="15"/>
      <c r="C7525" s="45"/>
    </row>
    <row r="7526" spans="2:3" x14ac:dyDescent="0.25">
      <c r="B7526" s="15"/>
      <c r="C7526" s="45"/>
    </row>
    <row r="7527" spans="2:3" x14ac:dyDescent="0.25">
      <c r="B7527" s="15"/>
      <c r="C7527" s="45"/>
    </row>
    <row r="7528" spans="2:3" x14ac:dyDescent="0.25">
      <c r="B7528" s="15"/>
      <c r="C7528" s="45"/>
    </row>
    <row r="7529" spans="2:3" x14ac:dyDescent="0.25">
      <c r="B7529" s="15"/>
      <c r="C7529" s="45"/>
    </row>
    <row r="7530" spans="2:3" x14ac:dyDescent="0.25">
      <c r="B7530" s="15"/>
      <c r="C7530" s="45"/>
    </row>
    <row r="7531" spans="2:3" x14ac:dyDescent="0.25">
      <c r="B7531" s="15"/>
      <c r="C7531" s="45"/>
    </row>
    <row r="7532" spans="2:3" x14ac:dyDescent="0.25">
      <c r="B7532" s="15"/>
      <c r="C7532" s="45"/>
    </row>
    <row r="7533" spans="2:3" x14ac:dyDescent="0.25">
      <c r="B7533" s="15"/>
      <c r="C7533" s="45"/>
    </row>
    <row r="7534" spans="2:3" x14ac:dyDescent="0.25">
      <c r="B7534" s="15"/>
      <c r="C7534" s="45"/>
    </row>
    <row r="7535" spans="2:3" x14ac:dyDescent="0.25">
      <c r="B7535" s="15"/>
      <c r="C7535" s="45"/>
    </row>
    <row r="7536" spans="2:3" x14ac:dyDescent="0.25">
      <c r="B7536" s="15"/>
      <c r="C7536" s="45"/>
    </row>
    <row r="7537" spans="2:3" x14ac:dyDescent="0.25">
      <c r="B7537" s="15"/>
      <c r="C7537" s="45"/>
    </row>
    <row r="7538" spans="2:3" x14ac:dyDescent="0.25">
      <c r="B7538" s="15"/>
      <c r="C7538" s="45"/>
    </row>
    <row r="7539" spans="2:3" x14ac:dyDescent="0.25">
      <c r="B7539" s="15"/>
      <c r="C7539" s="45"/>
    </row>
    <row r="7540" spans="2:3" x14ac:dyDescent="0.25">
      <c r="B7540" s="15"/>
      <c r="C7540" s="45"/>
    </row>
    <row r="7541" spans="2:3" x14ac:dyDescent="0.25">
      <c r="B7541" s="15"/>
      <c r="C7541" s="45"/>
    </row>
    <row r="7542" spans="2:3" x14ac:dyDescent="0.25">
      <c r="B7542" s="15"/>
      <c r="C7542" s="45"/>
    </row>
    <row r="7543" spans="2:3" x14ac:dyDescent="0.25">
      <c r="B7543" s="15"/>
      <c r="C7543" s="45"/>
    </row>
    <row r="7544" spans="2:3" x14ac:dyDescent="0.25">
      <c r="B7544" s="15"/>
      <c r="C7544" s="45"/>
    </row>
    <row r="7545" spans="2:3" x14ac:dyDescent="0.25">
      <c r="B7545" s="15"/>
      <c r="C7545" s="45"/>
    </row>
    <row r="7546" spans="2:3" x14ac:dyDescent="0.25">
      <c r="B7546" s="15"/>
      <c r="C7546" s="45"/>
    </row>
    <row r="7547" spans="2:3" x14ac:dyDescent="0.25">
      <c r="B7547" s="15"/>
      <c r="C7547" s="45"/>
    </row>
    <row r="7548" spans="2:3" x14ac:dyDescent="0.25">
      <c r="B7548" s="15"/>
      <c r="C7548" s="45"/>
    </row>
    <row r="7549" spans="2:3" x14ac:dyDescent="0.25">
      <c r="B7549" s="15"/>
      <c r="C7549" s="45"/>
    </row>
    <row r="7550" spans="2:3" x14ac:dyDescent="0.25">
      <c r="B7550" s="15"/>
      <c r="C7550" s="45"/>
    </row>
    <row r="7551" spans="2:3" x14ac:dyDescent="0.25">
      <c r="B7551" s="15"/>
      <c r="C7551" s="45"/>
    </row>
    <row r="7552" spans="2:3" x14ac:dyDescent="0.25">
      <c r="B7552" s="15"/>
      <c r="C7552" s="45"/>
    </row>
    <row r="7553" spans="2:3" x14ac:dyDescent="0.25">
      <c r="B7553" s="15"/>
      <c r="C7553" s="45"/>
    </row>
    <row r="7554" spans="2:3" x14ac:dyDescent="0.25">
      <c r="B7554" s="15"/>
      <c r="C7554" s="45"/>
    </row>
    <row r="7555" spans="2:3" x14ac:dyDescent="0.25">
      <c r="B7555" s="15"/>
      <c r="C7555" s="45"/>
    </row>
    <row r="7556" spans="2:3" x14ac:dyDescent="0.25">
      <c r="B7556" s="15"/>
      <c r="C7556" s="45"/>
    </row>
    <row r="7557" spans="2:3" x14ac:dyDescent="0.25">
      <c r="B7557" s="15"/>
      <c r="C7557" s="45"/>
    </row>
    <row r="7558" spans="2:3" x14ac:dyDescent="0.25">
      <c r="B7558" s="15"/>
      <c r="C7558" s="45"/>
    </row>
    <row r="7559" spans="2:3" x14ac:dyDescent="0.25">
      <c r="B7559" s="15"/>
      <c r="C7559" s="45"/>
    </row>
    <row r="7560" spans="2:3" x14ac:dyDescent="0.25">
      <c r="B7560" s="15"/>
      <c r="C7560" s="45"/>
    </row>
    <row r="7561" spans="2:3" x14ac:dyDescent="0.25">
      <c r="B7561" s="15"/>
      <c r="C7561" s="45"/>
    </row>
    <row r="7562" spans="2:3" x14ac:dyDescent="0.25">
      <c r="B7562" s="15"/>
      <c r="C7562" s="45"/>
    </row>
    <row r="7563" spans="2:3" x14ac:dyDescent="0.25">
      <c r="B7563" s="15"/>
      <c r="C7563" s="45"/>
    </row>
    <row r="7564" spans="2:3" x14ac:dyDescent="0.25">
      <c r="B7564" s="15"/>
      <c r="C7564" s="45"/>
    </row>
    <row r="7565" spans="2:3" x14ac:dyDescent="0.25">
      <c r="B7565" s="15"/>
      <c r="C7565" s="45"/>
    </row>
    <row r="7566" spans="2:3" x14ac:dyDescent="0.25">
      <c r="B7566" s="15"/>
      <c r="C7566" s="45"/>
    </row>
    <row r="7567" spans="2:3" x14ac:dyDescent="0.25">
      <c r="B7567" s="15"/>
      <c r="C7567" s="45"/>
    </row>
    <row r="7568" spans="2:3" x14ac:dyDescent="0.25">
      <c r="B7568" s="15"/>
      <c r="C7568" s="45"/>
    </row>
    <row r="7569" spans="2:3" x14ac:dyDescent="0.25">
      <c r="B7569" s="15"/>
      <c r="C7569" s="45"/>
    </row>
    <row r="7570" spans="2:3" x14ac:dyDescent="0.25">
      <c r="B7570" s="15"/>
      <c r="C7570" s="45"/>
    </row>
    <row r="7571" spans="2:3" x14ac:dyDescent="0.25">
      <c r="B7571" s="15"/>
      <c r="C7571" s="45"/>
    </row>
    <row r="7572" spans="2:3" x14ac:dyDescent="0.25">
      <c r="B7572" s="15"/>
      <c r="C7572" s="45"/>
    </row>
    <row r="7573" spans="2:3" x14ac:dyDescent="0.25">
      <c r="B7573" s="15"/>
      <c r="C7573" s="45"/>
    </row>
    <row r="7574" spans="2:3" x14ac:dyDescent="0.25">
      <c r="B7574" s="15"/>
      <c r="C7574" s="45"/>
    </row>
    <row r="7575" spans="2:3" x14ac:dyDescent="0.25">
      <c r="B7575" s="15"/>
      <c r="C7575" s="45"/>
    </row>
    <row r="7576" spans="2:3" x14ac:dyDescent="0.25">
      <c r="B7576" s="15"/>
      <c r="C7576" s="45"/>
    </row>
    <row r="7577" spans="2:3" x14ac:dyDescent="0.25">
      <c r="B7577" s="15"/>
      <c r="C7577" s="45"/>
    </row>
    <row r="7578" spans="2:3" x14ac:dyDescent="0.25">
      <c r="B7578" s="15"/>
      <c r="C7578" s="45"/>
    </row>
    <row r="7579" spans="2:3" x14ac:dyDescent="0.25">
      <c r="B7579" s="15"/>
      <c r="C7579" s="45"/>
    </row>
    <row r="7580" spans="2:3" x14ac:dyDescent="0.25">
      <c r="B7580" s="15"/>
      <c r="C7580" s="45"/>
    </row>
    <row r="7581" spans="2:3" x14ac:dyDescent="0.25">
      <c r="B7581" s="15"/>
      <c r="C7581" s="45"/>
    </row>
    <row r="7582" spans="2:3" x14ac:dyDescent="0.25">
      <c r="B7582" s="15"/>
      <c r="C7582" s="45"/>
    </row>
    <row r="7583" spans="2:3" x14ac:dyDescent="0.25">
      <c r="B7583" s="15"/>
      <c r="C7583" s="45"/>
    </row>
    <row r="7584" spans="2:3" x14ac:dyDescent="0.25">
      <c r="B7584" s="15"/>
      <c r="C7584" s="45"/>
    </row>
    <row r="7585" spans="2:3" x14ac:dyDescent="0.25">
      <c r="B7585" s="15"/>
      <c r="C7585" s="45"/>
    </row>
    <row r="7586" spans="2:3" x14ac:dyDescent="0.25">
      <c r="B7586" s="15"/>
      <c r="C7586" s="45"/>
    </row>
    <row r="7587" spans="2:3" x14ac:dyDescent="0.25">
      <c r="B7587" s="15"/>
      <c r="C7587" s="45"/>
    </row>
    <row r="7588" spans="2:3" x14ac:dyDescent="0.25">
      <c r="B7588" s="15"/>
      <c r="C7588" s="45"/>
    </row>
    <row r="7589" spans="2:3" x14ac:dyDescent="0.25">
      <c r="B7589" s="15"/>
      <c r="C7589" s="45"/>
    </row>
    <row r="7590" spans="2:3" x14ac:dyDescent="0.25">
      <c r="B7590" s="15"/>
      <c r="C7590" s="45"/>
    </row>
    <row r="7591" spans="2:3" x14ac:dyDescent="0.25">
      <c r="B7591" s="15"/>
      <c r="C7591" s="45"/>
    </row>
    <row r="7592" spans="2:3" x14ac:dyDescent="0.25">
      <c r="B7592" s="15"/>
      <c r="C7592" s="45"/>
    </row>
    <row r="7593" spans="2:3" x14ac:dyDescent="0.25">
      <c r="B7593" s="15"/>
      <c r="C7593" s="45"/>
    </row>
    <row r="7594" spans="2:3" x14ac:dyDescent="0.25">
      <c r="B7594" s="15"/>
      <c r="C7594" s="45"/>
    </row>
    <row r="7595" spans="2:3" x14ac:dyDescent="0.25">
      <c r="B7595" s="15"/>
      <c r="C7595" s="45"/>
    </row>
    <row r="7596" spans="2:3" x14ac:dyDescent="0.25">
      <c r="B7596" s="15"/>
      <c r="C7596" s="45"/>
    </row>
    <row r="7597" spans="2:3" x14ac:dyDescent="0.25">
      <c r="B7597" s="15"/>
      <c r="C7597" s="45"/>
    </row>
    <row r="7598" spans="2:3" x14ac:dyDescent="0.25">
      <c r="B7598" s="15"/>
      <c r="C7598" s="45"/>
    </row>
    <row r="7599" spans="2:3" x14ac:dyDescent="0.25">
      <c r="B7599" s="15"/>
      <c r="C7599" s="45"/>
    </row>
    <row r="7600" spans="2:3" x14ac:dyDescent="0.25">
      <c r="B7600" s="15"/>
      <c r="C7600" s="45"/>
    </row>
    <row r="7601" spans="2:3" x14ac:dyDescent="0.25">
      <c r="B7601" s="15"/>
      <c r="C7601" s="45"/>
    </row>
    <row r="7602" spans="2:3" x14ac:dyDescent="0.25">
      <c r="B7602" s="15"/>
      <c r="C7602" s="45"/>
    </row>
    <row r="7603" spans="2:3" x14ac:dyDescent="0.25">
      <c r="B7603" s="15"/>
      <c r="C7603" s="45"/>
    </row>
    <row r="7604" spans="2:3" x14ac:dyDescent="0.25">
      <c r="B7604" s="15"/>
      <c r="C7604" s="45"/>
    </row>
    <row r="7605" spans="2:3" x14ac:dyDescent="0.25">
      <c r="B7605" s="15"/>
      <c r="C7605" s="45"/>
    </row>
    <row r="7606" spans="2:3" x14ac:dyDescent="0.25">
      <c r="B7606" s="15"/>
      <c r="C7606" s="45"/>
    </row>
    <row r="7607" spans="2:3" x14ac:dyDescent="0.25">
      <c r="B7607" s="15"/>
      <c r="C7607" s="45"/>
    </row>
    <row r="7608" spans="2:3" x14ac:dyDescent="0.25">
      <c r="B7608" s="15"/>
      <c r="C7608" s="45"/>
    </row>
    <row r="7609" spans="2:3" x14ac:dyDescent="0.25">
      <c r="B7609" s="15"/>
      <c r="C7609" s="45"/>
    </row>
    <row r="7610" spans="2:3" x14ac:dyDescent="0.25">
      <c r="B7610" s="15"/>
      <c r="C7610" s="45"/>
    </row>
    <row r="7611" spans="2:3" x14ac:dyDescent="0.25">
      <c r="B7611" s="15"/>
      <c r="C7611" s="45"/>
    </row>
    <row r="7612" spans="2:3" x14ac:dyDescent="0.25">
      <c r="B7612" s="15"/>
      <c r="C7612" s="45"/>
    </row>
    <row r="7613" spans="2:3" x14ac:dyDescent="0.25">
      <c r="B7613" s="15"/>
      <c r="C7613" s="45"/>
    </row>
    <row r="7614" spans="2:3" x14ac:dyDescent="0.25">
      <c r="B7614" s="15"/>
      <c r="C7614" s="45"/>
    </row>
    <row r="7615" spans="2:3" x14ac:dyDescent="0.25">
      <c r="B7615" s="15"/>
      <c r="C7615" s="45"/>
    </row>
    <row r="7616" spans="2:3" x14ac:dyDescent="0.25">
      <c r="B7616" s="15"/>
      <c r="C7616" s="45"/>
    </row>
    <row r="7617" spans="2:3" x14ac:dyDescent="0.25">
      <c r="B7617" s="15"/>
      <c r="C7617" s="45"/>
    </row>
    <row r="7618" spans="2:3" x14ac:dyDescent="0.25">
      <c r="B7618" s="15"/>
      <c r="C7618" s="45"/>
    </row>
    <row r="7619" spans="2:3" x14ac:dyDescent="0.25">
      <c r="B7619" s="15"/>
      <c r="C7619" s="45"/>
    </row>
    <row r="7620" spans="2:3" x14ac:dyDescent="0.25">
      <c r="B7620" s="15"/>
      <c r="C7620" s="45"/>
    </row>
    <row r="7621" spans="2:3" x14ac:dyDescent="0.25">
      <c r="B7621" s="15"/>
      <c r="C7621" s="45"/>
    </row>
    <row r="7622" spans="2:3" x14ac:dyDescent="0.25">
      <c r="B7622" s="15"/>
      <c r="C7622" s="45"/>
    </row>
    <row r="7623" spans="2:3" x14ac:dyDescent="0.25">
      <c r="B7623" s="15"/>
      <c r="C7623" s="45"/>
    </row>
    <row r="7624" spans="2:3" x14ac:dyDescent="0.25">
      <c r="B7624" s="15"/>
      <c r="C7624" s="45"/>
    </row>
    <row r="7625" spans="2:3" x14ac:dyDescent="0.25">
      <c r="B7625" s="15"/>
      <c r="C7625" s="45"/>
    </row>
    <row r="7626" spans="2:3" x14ac:dyDescent="0.25">
      <c r="B7626" s="15"/>
      <c r="C7626" s="45"/>
    </row>
    <row r="7627" spans="2:3" x14ac:dyDescent="0.25">
      <c r="B7627" s="15"/>
      <c r="C7627" s="45"/>
    </row>
    <row r="7628" spans="2:3" x14ac:dyDescent="0.25">
      <c r="B7628" s="15"/>
      <c r="C7628" s="45"/>
    </row>
    <row r="7629" spans="2:3" x14ac:dyDescent="0.25">
      <c r="B7629" s="15"/>
      <c r="C7629" s="45"/>
    </row>
    <row r="7630" spans="2:3" x14ac:dyDescent="0.25">
      <c r="B7630" s="15"/>
      <c r="C7630" s="45"/>
    </row>
    <row r="7631" spans="2:3" x14ac:dyDescent="0.25">
      <c r="B7631" s="15"/>
      <c r="C7631" s="45"/>
    </row>
    <row r="7632" spans="2:3" x14ac:dyDescent="0.25">
      <c r="B7632" s="15"/>
      <c r="C7632" s="45"/>
    </row>
    <row r="7633" spans="2:3" x14ac:dyDescent="0.25">
      <c r="B7633" s="15"/>
      <c r="C7633" s="45"/>
    </row>
    <row r="7634" spans="2:3" x14ac:dyDescent="0.25">
      <c r="B7634" s="15"/>
      <c r="C7634" s="45"/>
    </row>
    <row r="7635" spans="2:3" x14ac:dyDescent="0.25">
      <c r="B7635" s="15"/>
      <c r="C7635" s="45"/>
    </row>
    <row r="7636" spans="2:3" x14ac:dyDescent="0.25">
      <c r="B7636" s="15"/>
      <c r="C7636" s="45"/>
    </row>
    <row r="7637" spans="2:3" x14ac:dyDescent="0.25">
      <c r="B7637" s="15"/>
      <c r="C7637" s="45"/>
    </row>
    <row r="7638" spans="2:3" x14ac:dyDescent="0.25">
      <c r="B7638" s="15"/>
      <c r="C7638" s="45"/>
    </row>
    <row r="7639" spans="2:3" x14ac:dyDescent="0.25">
      <c r="B7639" s="15"/>
      <c r="C7639" s="45"/>
    </row>
    <row r="7640" spans="2:3" x14ac:dyDescent="0.25">
      <c r="B7640" s="15"/>
      <c r="C7640" s="45"/>
    </row>
    <row r="7641" spans="2:3" x14ac:dyDescent="0.25">
      <c r="B7641" s="15"/>
      <c r="C7641" s="45"/>
    </row>
    <row r="7642" spans="2:3" x14ac:dyDescent="0.25">
      <c r="B7642" s="15"/>
      <c r="C7642" s="45"/>
    </row>
    <row r="7643" spans="2:3" x14ac:dyDescent="0.25">
      <c r="B7643" s="15"/>
      <c r="C7643" s="45"/>
    </row>
    <row r="7644" spans="2:3" x14ac:dyDescent="0.25">
      <c r="B7644" s="15"/>
      <c r="C7644" s="45"/>
    </row>
    <row r="7645" spans="2:3" x14ac:dyDescent="0.25">
      <c r="B7645" s="15"/>
      <c r="C7645" s="45"/>
    </row>
    <row r="7646" spans="2:3" x14ac:dyDescent="0.25">
      <c r="B7646" s="15"/>
      <c r="C7646" s="45"/>
    </row>
    <row r="7647" spans="2:3" x14ac:dyDescent="0.25">
      <c r="B7647" s="15"/>
      <c r="C7647" s="45"/>
    </row>
    <row r="7648" spans="2:3" x14ac:dyDescent="0.25">
      <c r="B7648" s="15"/>
      <c r="C7648" s="45"/>
    </row>
    <row r="7649" spans="2:3" x14ac:dyDescent="0.25">
      <c r="B7649" s="15"/>
      <c r="C7649" s="45"/>
    </row>
    <row r="7650" spans="2:3" x14ac:dyDescent="0.25">
      <c r="B7650" s="15"/>
      <c r="C7650" s="45"/>
    </row>
    <row r="7651" spans="2:3" x14ac:dyDescent="0.25">
      <c r="B7651" s="15"/>
      <c r="C7651" s="45"/>
    </row>
    <row r="7652" spans="2:3" x14ac:dyDescent="0.25">
      <c r="B7652" s="15"/>
      <c r="C7652" s="45"/>
    </row>
    <row r="7653" spans="2:3" x14ac:dyDescent="0.25">
      <c r="B7653" s="15"/>
      <c r="C7653" s="45"/>
    </row>
    <row r="7654" spans="2:3" x14ac:dyDescent="0.25">
      <c r="B7654" s="15"/>
      <c r="C7654" s="45"/>
    </row>
    <row r="7655" spans="2:3" x14ac:dyDescent="0.25">
      <c r="B7655" s="15"/>
      <c r="C7655" s="45"/>
    </row>
    <row r="7656" spans="2:3" x14ac:dyDescent="0.25">
      <c r="B7656" s="15"/>
      <c r="C7656" s="45"/>
    </row>
    <row r="7657" spans="2:3" x14ac:dyDescent="0.25">
      <c r="B7657" s="15"/>
      <c r="C7657" s="45"/>
    </row>
    <row r="7658" spans="2:3" x14ac:dyDescent="0.25">
      <c r="B7658" s="15"/>
      <c r="C7658" s="45"/>
    </row>
    <row r="7659" spans="2:3" x14ac:dyDescent="0.25">
      <c r="B7659" s="15"/>
      <c r="C7659" s="45"/>
    </row>
    <row r="7660" spans="2:3" x14ac:dyDescent="0.25">
      <c r="B7660" s="15"/>
      <c r="C7660" s="45"/>
    </row>
    <row r="7661" spans="2:3" x14ac:dyDescent="0.25">
      <c r="B7661" s="15"/>
      <c r="C7661" s="45"/>
    </row>
    <row r="7662" spans="2:3" x14ac:dyDescent="0.25">
      <c r="B7662" s="15"/>
      <c r="C7662" s="45"/>
    </row>
    <row r="7663" spans="2:3" x14ac:dyDescent="0.25">
      <c r="B7663" s="15"/>
      <c r="C7663" s="45"/>
    </row>
    <row r="7664" spans="2:3" x14ac:dyDescent="0.25">
      <c r="B7664" s="15"/>
      <c r="C7664" s="45"/>
    </row>
    <row r="7665" spans="2:3" x14ac:dyDescent="0.25">
      <c r="B7665" s="15"/>
      <c r="C7665" s="45"/>
    </row>
    <row r="7666" spans="2:3" x14ac:dyDescent="0.25">
      <c r="B7666" s="15"/>
      <c r="C7666" s="45"/>
    </row>
    <row r="7667" spans="2:3" x14ac:dyDescent="0.25">
      <c r="B7667" s="15"/>
      <c r="C7667" s="45"/>
    </row>
    <row r="7668" spans="2:3" x14ac:dyDescent="0.25">
      <c r="B7668" s="15"/>
      <c r="C7668" s="45"/>
    </row>
    <row r="7669" spans="2:3" x14ac:dyDescent="0.25">
      <c r="B7669" s="15"/>
      <c r="C7669" s="45"/>
    </row>
    <row r="7670" spans="2:3" x14ac:dyDescent="0.25">
      <c r="B7670" s="15"/>
      <c r="C7670" s="45"/>
    </row>
    <row r="7671" spans="2:3" x14ac:dyDescent="0.25">
      <c r="B7671" s="15"/>
      <c r="C7671" s="45"/>
    </row>
    <row r="7672" spans="2:3" x14ac:dyDescent="0.25">
      <c r="B7672" s="15"/>
      <c r="C7672" s="45"/>
    </row>
    <row r="7673" spans="2:3" x14ac:dyDescent="0.25">
      <c r="B7673" s="15"/>
      <c r="C7673" s="45"/>
    </row>
    <row r="7674" spans="2:3" x14ac:dyDescent="0.25">
      <c r="B7674" s="15"/>
      <c r="C7674" s="45"/>
    </row>
    <row r="7675" spans="2:3" x14ac:dyDescent="0.25">
      <c r="B7675" s="15"/>
      <c r="C7675" s="45"/>
    </row>
    <row r="7676" spans="2:3" x14ac:dyDescent="0.25">
      <c r="B7676" s="15"/>
      <c r="C7676" s="45"/>
    </row>
    <row r="7677" spans="2:3" x14ac:dyDescent="0.25">
      <c r="B7677" s="15"/>
      <c r="C7677" s="45"/>
    </row>
    <row r="7678" spans="2:3" x14ac:dyDescent="0.25">
      <c r="B7678" s="15"/>
      <c r="C7678" s="45"/>
    </row>
    <row r="7679" spans="2:3" x14ac:dyDescent="0.25">
      <c r="B7679" s="15"/>
      <c r="C7679" s="45"/>
    </row>
    <row r="7680" spans="2:3" x14ac:dyDescent="0.25">
      <c r="B7680" s="15"/>
      <c r="C7680" s="45"/>
    </row>
    <row r="7681" spans="2:3" x14ac:dyDescent="0.25">
      <c r="B7681" s="15"/>
      <c r="C7681" s="45"/>
    </row>
    <row r="7682" spans="2:3" x14ac:dyDescent="0.25">
      <c r="B7682" s="15"/>
      <c r="C7682" s="45"/>
    </row>
    <row r="7683" spans="2:3" x14ac:dyDescent="0.25">
      <c r="B7683" s="15"/>
      <c r="C7683" s="45"/>
    </row>
    <row r="7684" spans="2:3" x14ac:dyDescent="0.25">
      <c r="B7684" s="15"/>
      <c r="C7684" s="45"/>
    </row>
    <row r="7685" spans="2:3" x14ac:dyDescent="0.25">
      <c r="B7685" s="15"/>
      <c r="C7685" s="45"/>
    </row>
    <row r="7686" spans="2:3" x14ac:dyDescent="0.25">
      <c r="B7686" s="15"/>
      <c r="C7686" s="45"/>
    </row>
    <row r="7687" spans="2:3" x14ac:dyDescent="0.25">
      <c r="B7687" s="15"/>
      <c r="C7687" s="45"/>
    </row>
    <row r="7688" spans="2:3" x14ac:dyDescent="0.25">
      <c r="B7688" s="15"/>
      <c r="C7688" s="45"/>
    </row>
    <row r="7689" spans="2:3" x14ac:dyDescent="0.25">
      <c r="B7689" s="15"/>
      <c r="C7689" s="45"/>
    </row>
    <row r="7690" spans="2:3" x14ac:dyDescent="0.25">
      <c r="B7690" s="15"/>
      <c r="C7690" s="45"/>
    </row>
    <row r="7691" spans="2:3" x14ac:dyDescent="0.25">
      <c r="B7691" s="15"/>
      <c r="C7691" s="45"/>
    </row>
    <row r="7692" spans="2:3" x14ac:dyDescent="0.25">
      <c r="B7692" s="15"/>
      <c r="C7692" s="45"/>
    </row>
    <row r="7693" spans="2:3" x14ac:dyDescent="0.25">
      <c r="B7693" s="15"/>
      <c r="C7693" s="45"/>
    </row>
    <row r="7694" spans="2:3" x14ac:dyDescent="0.25">
      <c r="B7694" s="15"/>
      <c r="C7694" s="45"/>
    </row>
    <row r="7695" spans="2:3" x14ac:dyDescent="0.25">
      <c r="B7695" s="15"/>
      <c r="C7695" s="45"/>
    </row>
    <row r="7696" spans="2:3" x14ac:dyDescent="0.25">
      <c r="B7696" s="15"/>
      <c r="C7696" s="45"/>
    </row>
    <row r="7697" spans="2:3" x14ac:dyDescent="0.25">
      <c r="B7697" s="15"/>
      <c r="C7697" s="45"/>
    </row>
    <row r="7698" spans="2:3" x14ac:dyDescent="0.25">
      <c r="B7698" s="15"/>
      <c r="C7698" s="45"/>
    </row>
    <row r="7699" spans="2:3" x14ac:dyDescent="0.25">
      <c r="B7699" s="15"/>
      <c r="C7699" s="45"/>
    </row>
    <row r="7700" spans="2:3" x14ac:dyDescent="0.25">
      <c r="B7700" s="15"/>
      <c r="C7700" s="45"/>
    </row>
    <row r="7701" spans="2:3" x14ac:dyDescent="0.25">
      <c r="B7701" s="15"/>
      <c r="C7701" s="45"/>
    </row>
    <row r="7702" spans="2:3" x14ac:dyDescent="0.25">
      <c r="B7702" s="15"/>
      <c r="C7702" s="45"/>
    </row>
    <row r="7703" spans="2:3" x14ac:dyDescent="0.25">
      <c r="B7703" s="15"/>
      <c r="C7703" s="45"/>
    </row>
    <row r="7704" spans="2:3" x14ac:dyDescent="0.25">
      <c r="B7704" s="15"/>
      <c r="C7704" s="45"/>
    </row>
    <row r="7705" spans="2:3" x14ac:dyDescent="0.25">
      <c r="B7705" s="15"/>
      <c r="C7705" s="45"/>
    </row>
    <row r="7706" spans="2:3" x14ac:dyDescent="0.25">
      <c r="B7706" s="15"/>
      <c r="C7706" s="45"/>
    </row>
    <row r="7707" spans="2:3" x14ac:dyDescent="0.25">
      <c r="B7707" s="15"/>
      <c r="C7707" s="45"/>
    </row>
    <row r="7708" spans="2:3" x14ac:dyDescent="0.25">
      <c r="B7708" s="15"/>
      <c r="C7708" s="45"/>
    </row>
    <row r="7709" spans="2:3" x14ac:dyDescent="0.25">
      <c r="B7709" s="15"/>
      <c r="C7709" s="45"/>
    </row>
    <row r="7710" spans="2:3" x14ac:dyDescent="0.25">
      <c r="B7710" s="15"/>
      <c r="C7710" s="45"/>
    </row>
    <row r="7711" spans="2:3" x14ac:dyDescent="0.25">
      <c r="B7711" s="15"/>
      <c r="C7711" s="45"/>
    </row>
    <row r="7712" spans="2:3" x14ac:dyDescent="0.25">
      <c r="B7712" s="15"/>
      <c r="C7712" s="45"/>
    </row>
    <row r="7713" spans="2:3" x14ac:dyDescent="0.25">
      <c r="B7713" s="15"/>
      <c r="C7713" s="45"/>
    </row>
    <row r="7714" spans="2:3" x14ac:dyDescent="0.25">
      <c r="B7714" s="15"/>
      <c r="C7714" s="45"/>
    </row>
    <row r="7715" spans="2:3" x14ac:dyDescent="0.25">
      <c r="B7715" s="15"/>
      <c r="C7715" s="45"/>
    </row>
    <row r="7716" spans="2:3" x14ac:dyDescent="0.25">
      <c r="B7716" s="15"/>
      <c r="C7716" s="45"/>
    </row>
    <row r="7717" spans="2:3" x14ac:dyDescent="0.25">
      <c r="B7717" s="15"/>
      <c r="C7717" s="45"/>
    </row>
    <row r="7718" spans="2:3" x14ac:dyDescent="0.25">
      <c r="B7718" s="15"/>
      <c r="C7718" s="45"/>
    </row>
    <row r="7719" spans="2:3" x14ac:dyDescent="0.25">
      <c r="B7719" s="15"/>
      <c r="C7719" s="45"/>
    </row>
    <row r="7720" spans="2:3" x14ac:dyDescent="0.25">
      <c r="B7720" s="15"/>
      <c r="C7720" s="45"/>
    </row>
    <row r="7721" spans="2:3" x14ac:dyDescent="0.25">
      <c r="B7721" s="15"/>
      <c r="C7721" s="45"/>
    </row>
    <row r="7722" spans="2:3" x14ac:dyDescent="0.25">
      <c r="B7722" s="15"/>
      <c r="C7722" s="45"/>
    </row>
    <row r="7723" spans="2:3" x14ac:dyDescent="0.25">
      <c r="B7723" s="15"/>
      <c r="C7723" s="45"/>
    </row>
    <row r="7724" spans="2:3" x14ac:dyDescent="0.25">
      <c r="B7724" s="15"/>
      <c r="C7724" s="45"/>
    </row>
    <row r="7725" spans="2:3" x14ac:dyDescent="0.25">
      <c r="B7725" s="15"/>
      <c r="C7725" s="45"/>
    </row>
    <row r="7726" spans="2:3" x14ac:dyDescent="0.25">
      <c r="B7726" s="15"/>
      <c r="C7726" s="45"/>
    </row>
    <row r="7727" spans="2:3" x14ac:dyDescent="0.25">
      <c r="B7727" s="15"/>
      <c r="C7727" s="45"/>
    </row>
    <row r="7728" spans="2:3" x14ac:dyDescent="0.25">
      <c r="B7728" s="15"/>
      <c r="C7728" s="45"/>
    </row>
    <row r="7729" spans="2:3" x14ac:dyDescent="0.25">
      <c r="B7729" s="15"/>
      <c r="C7729" s="45"/>
    </row>
    <row r="7730" spans="2:3" x14ac:dyDescent="0.25">
      <c r="B7730" s="15"/>
      <c r="C7730" s="45"/>
    </row>
    <row r="7731" spans="2:3" x14ac:dyDescent="0.25">
      <c r="B7731" s="15"/>
      <c r="C7731" s="45"/>
    </row>
    <row r="7732" spans="2:3" x14ac:dyDescent="0.25">
      <c r="B7732" s="15"/>
      <c r="C7732" s="45"/>
    </row>
    <row r="7733" spans="2:3" x14ac:dyDescent="0.25">
      <c r="B7733" s="15"/>
      <c r="C7733" s="45"/>
    </row>
    <row r="7734" spans="2:3" x14ac:dyDescent="0.25">
      <c r="B7734" s="15"/>
      <c r="C7734" s="45"/>
    </row>
    <row r="7735" spans="2:3" x14ac:dyDescent="0.25">
      <c r="B7735" s="15"/>
      <c r="C7735" s="45"/>
    </row>
    <row r="7736" spans="2:3" x14ac:dyDescent="0.25">
      <c r="B7736" s="15"/>
      <c r="C7736" s="45"/>
    </row>
    <row r="7737" spans="2:3" x14ac:dyDescent="0.25">
      <c r="B7737" s="15"/>
      <c r="C7737" s="45"/>
    </row>
    <row r="7738" spans="2:3" x14ac:dyDescent="0.25">
      <c r="B7738" s="15"/>
      <c r="C7738" s="45"/>
    </row>
    <row r="7739" spans="2:3" x14ac:dyDescent="0.25">
      <c r="B7739" s="15"/>
      <c r="C7739" s="45"/>
    </row>
    <row r="7740" spans="2:3" x14ac:dyDescent="0.25">
      <c r="B7740" s="15"/>
      <c r="C7740" s="45"/>
    </row>
    <row r="7741" spans="2:3" x14ac:dyDescent="0.25">
      <c r="B7741" s="15"/>
      <c r="C7741" s="45"/>
    </row>
    <row r="7742" spans="2:3" x14ac:dyDescent="0.25">
      <c r="B7742" s="15"/>
      <c r="C7742" s="45"/>
    </row>
    <row r="7743" spans="2:3" x14ac:dyDescent="0.25">
      <c r="B7743" s="15"/>
      <c r="C7743" s="45"/>
    </row>
    <row r="7744" spans="2:3" x14ac:dyDescent="0.25">
      <c r="B7744" s="15"/>
      <c r="C7744" s="45"/>
    </row>
    <row r="7745" spans="2:3" x14ac:dyDescent="0.25">
      <c r="B7745" s="15"/>
      <c r="C7745" s="45"/>
    </row>
    <row r="7746" spans="2:3" x14ac:dyDescent="0.25">
      <c r="B7746" s="15"/>
      <c r="C7746" s="45"/>
    </row>
    <row r="7747" spans="2:3" x14ac:dyDescent="0.25">
      <c r="B7747" s="15"/>
      <c r="C7747" s="45"/>
    </row>
    <row r="7748" spans="2:3" x14ac:dyDescent="0.25">
      <c r="B7748" s="15"/>
      <c r="C7748" s="45"/>
    </row>
    <row r="7749" spans="2:3" x14ac:dyDescent="0.25">
      <c r="B7749" s="15"/>
      <c r="C7749" s="45"/>
    </row>
    <row r="7750" spans="2:3" x14ac:dyDescent="0.25">
      <c r="B7750" s="15"/>
      <c r="C7750" s="45"/>
    </row>
    <row r="7751" spans="2:3" x14ac:dyDescent="0.25">
      <c r="B7751" s="15"/>
      <c r="C7751" s="45"/>
    </row>
    <row r="7752" spans="2:3" x14ac:dyDescent="0.25">
      <c r="B7752" s="15"/>
      <c r="C7752" s="45"/>
    </row>
    <row r="7753" spans="2:3" x14ac:dyDescent="0.25">
      <c r="B7753" s="15"/>
      <c r="C7753" s="45"/>
    </row>
    <row r="7754" spans="2:3" x14ac:dyDescent="0.25">
      <c r="B7754" s="15"/>
      <c r="C7754" s="45"/>
    </row>
    <row r="7755" spans="2:3" x14ac:dyDescent="0.25">
      <c r="B7755" s="15"/>
      <c r="C7755" s="45"/>
    </row>
    <row r="7756" spans="2:3" x14ac:dyDescent="0.25">
      <c r="B7756" s="15"/>
      <c r="C7756" s="45"/>
    </row>
    <row r="7757" spans="2:3" x14ac:dyDescent="0.25">
      <c r="B7757" s="15"/>
      <c r="C7757" s="45"/>
    </row>
    <row r="7758" spans="2:3" x14ac:dyDescent="0.25">
      <c r="B7758" s="15"/>
      <c r="C7758" s="45"/>
    </row>
    <row r="7759" spans="2:3" x14ac:dyDescent="0.25">
      <c r="B7759" s="15"/>
      <c r="C7759" s="45"/>
    </row>
    <row r="7760" spans="2:3" x14ac:dyDescent="0.25">
      <c r="B7760" s="15"/>
      <c r="C7760" s="45"/>
    </row>
    <row r="7761" spans="2:3" x14ac:dyDescent="0.25">
      <c r="B7761" s="15"/>
      <c r="C7761" s="45"/>
    </row>
    <row r="7762" spans="2:3" x14ac:dyDescent="0.25">
      <c r="B7762" s="15"/>
      <c r="C7762" s="45"/>
    </row>
    <row r="7763" spans="2:3" x14ac:dyDescent="0.25">
      <c r="B7763" s="15"/>
      <c r="C7763" s="45"/>
    </row>
    <row r="7764" spans="2:3" x14ac:dyDescent="0.25">
      <c r="B7764" s="15"/>
      <c r="C7764" s="45"/>
    </row>
    <row r="7765" spans="2:3" x14ac:dyDescent="0.25">
      <c r="B7765" s="15"/>
      <c r="C7765" s="45"/>
    </row>
    <row r="7766" spans="2:3" x14ac:dyDescent="0.25">
      <c r="B7766" s="15"/>
      <c r="C7766" s="45"/>
    </row>
    <row r="7767" spans="2:3" x14ac:dyDescent="0.25">
      <c r="B7767" s="15"/>
      <c r="C7767" s="45"/>
    </row>
    <row r="7768" spans="2:3" x14ac:dyDescent="0.25">
      <c r="B7768" s="15"/>
      <c r="C7768" s="45"/>
    </row>
    <row r="7769" spans="2:3" x14ac:dyDescent="0.25">
      <c r="B7769" s="15"/>
      <c r="C7769" s="45"/>
    </row>
    <row r="7770" spans="2:3" x14ac:dyDescent="0.25">
      <c r="B7770" s="15"/>
      <c r="C7770" s="45"/>
    </row>
    <row r="7771" spans="2:3" x14ac:dyDescent="0.25">
      <c r="B7771" s="15"/>
      <c r="C7771" s="45"/>
    </row>
    <row r="7772" spans="2:3" x14ac:dyDescent="0.25">
      <c r="B7772" s="15"/>
      <c r="C7772" s="45"/>
    </row>
    <row r="7773" spans="2:3" x14ac:dyDescent="0.25">
      <c r="B7773" s="15"/>
      <c r="C7773" s="45"/>
    </row>
    <row r="7774" spans="2:3" x14ac:dyDescent="0.25">
      <c r="B7774" s="15"/>
      <c r="C7774" s="45"/>
    </row>
    <row r="7775" spans="2:3" x14ac:dyDescent="0.25">
      <c r="B7775" s="15"/>
      <c r="C7775" s="45"/>
    </row>
    <row r="7776" spans="2:3" x14ac:dyDescent="0.25">
      <c r="B7776" s="15"/>
      <c r="C7776" s="45"/>
    </row>
    <row r="7777" spans="2:3" x14ac:dyDescent="0.25">
      <c r="B7777" s="15"/>
      <c r="C7777" s="45"/>
    </row>
    <row r="7778" spans="2:3" x14ac:dyDescent="0.25">
      <c r="B7778" s="15"/>
      <c r="C7778" s="45"/>
    </row>
    <row r="7779" spans="2:3" x14ac:dyDescent="0.25">
      <c r="B7779" s="15"/>
      <c r="C7779" s="45"/>
    </row>
    <row r="7780" spans="2:3" x14ac:dyDescent="0.25">
      <c r="B7780" s="15"/>
      <c r="C7780" s="45"/>
    </row>
    <row r="7781" spans="2:3" x14ac:dyDescent="0.25">
      <c r="B7781" s="15"/>
      <c r="C7781" s="45"/>
    </row>
    <row r="7782" spans="2:3" x14ac:dyDescent="0.25">
      <c r="B7782" s="15"/>
      <c r="C7782" s="45"/>
    </row>
    <row r="7783" spans="2:3" x14ac:dyDescent="0.25">
      <c r="B7783" s="15"/>
      <c r="C7783" s="45"/>
    </row>
    <row r="7784" spans="2:3" x14ac:dyDescent="0.25">
      <c r="B7784" s="15"/>
      <c r="C7784" s="45"/>
    </row>
    <row r="7785" spans="2:3" x14ac:dyDescent="0.25">
      <c r="B7785" s="15"/>
      <c r="C7785" s="45"/>
    </row>
    <row r="7786" spans="2:3" x14ac:dyDescent="0.25">
      <c r="B7786" s="15"/>
      <c r="C7786" s="45"/>
    </row>
    <row r="7787" spans="2:3" x14ac:dyDescent="0.25">
      <c r="B7787" s="15"/>
      <c r="C7787" s="45"/>
    </row>
    <row r="7788" spans="2:3" x14ac:dyDescent="0.25">
      <c r="B7788" s="15"/>
      <c r="C7788" s="45"/>
    </row>
    <row r="7789" spans="2:3" x14ac:dyDescent="0.25">
      <c r="B7789" s="15"/>
      <c r="C7789" s="45"/>
    </row>
    <row r="7790" spans="2:3" x14ac:dyDescent="0.25">
      <c r="B7790" s="15"/>
      <c r="C7790" s="45"/>
    </row>
    <row r="7791" spans="2:3" x14ac:dyDescent="0.25">
      <c r="B7791" s="15"/>
      <c r="C7791" s="45"/>
    </row>
    <row r="7792" spans="2:3" x14ac:dyDescent="0.25">
      <c r="B7792" s="15"/>
      <c r="C7792" s="45"/>
    </row>
    <row r="7793" spans="2:3" x14ac:dyDescent="0.25">
      <c r="B7793" s="15"/>
      <c r="C7793" s="45"/>
    </row>
    <row r="7794" spans="2:3" x14ac:dyDescent="0.25">
      <c r="B7794" s="15"/>
      <c r="C7794" s="45"/>
    </row>
    <row r="7795" spans="2:3" x14ac:dyDescent="0.25">
      <c r="B7795" s="15"/>
      <c r="C7795" s="45"/>
    </row>
    <row r="7796" spans="2:3" x14ac:dyDescent="0.25">
      <c r="B7796" s="15"/>
      <c r="C7796" s="45"/>
    </row>
    <row r="7797" spans="2:3" x14ac:dyDescent="0.25">
      <c r="B7797" s="15"/>
      <c r="C7797" s="45"/>
    </row>
    <row r="7798" spans="2:3" x14ac:dyDescent="0.25">
      <c r="B7798" s="15"/>
      <c r="C7798" s="45"/>
    </row>
    <row r="7799" spans="2:3" x14ac:dyDescent="0.25">
      <c r="B7799" s="15"/>
      <c r="C7799" s="45"/>
    </row>
    <row r="7800" spans="2:3" x14ac:dyDescent="0.25">
      <c r="B7800" s="15"/>
      <c r="C7800" s="45"/>
    </row>
    <row r="7801" spans="2:3" x14ac:dyDescent="0.25">
      <c r="B7801" s="15"/>
      <c r="C7801" s="45"/>
    </row>
    <row r="7802" spans="2:3" x14ac:dyDescent="0.25">
      <c r="B7802" s="15"/>
      <c r="C7802" s="45"/>
    </row>
    <row r="7803" spans="2:3" x14ac:dyDescent="0.25">
      <c r="B7803" s="15"/>
      <c r="C7803" s="45"/>
    </row>
    <row r="7804" spans="2:3" x14ac:dyDescent="0.25">
      <c r="B7804" s="15"/>
      <c r="C7804" s="45"/>
    </row>
    <row r="7805" spans="2:3" x14ac:dyDescent="0.25">
      <c r="B7805" s="15"/>
      <c r="C7805" s="45"/>
    </row>
    <row r="7806" spans="2:3" x14ac:dyDescent="0.25">
      <c r="B7806" s="15"/>
      <c r="C7806" s="45"/>
    </row>
    <row r="7807" spans="2:3" x14ac:dyDescent="0.25">
      <c r="B7807" s="15"/>
      <c r="C7807" s="45"/>
    </row>
    <row r="7808" spans="2:3" x14ac:dyDescent="0.25">
      <c r="B7808" s="15"/>
      <c r="C7808" s="45"/>
    </row>
    <row r="7809" spans="2:3" x14ac:dyDescent="0.25">
      <c r="B7809" s="15"/>
      <c r="C7809" s="45"/>
    </row>
    <row r="7810" spans="2:3" x14ac:dyDescent="0.25">
      <c r="B7810" s="15"/>
      <c r="C7810" s="45"/>
    </row>
    <row r="7811" spans="2:3" x14ac:dyDescent="0.25">
      <c r="B7811" s="15"/>
      <c r="C7811" s="45"/>
    </row>
    <row r="7812" spans="2:3" x14ac:dyDescent="0.25">
      <c r="B7812" s="15"/>
      <c r="C7812" s="45"/>
    </row>
    <row r="7813" spans="2:3" x14ac:dyDescent="0.25">
      <c r="B7813" s="15"/>
      <c r="C7813" s="45"/>
    </row>
    <row r="7814" spans="2:3" x14ac:dyDescent="0.25">
      <c r="B7814" s="15"/>
      <c r="C7814" s="45"/>
    </row>
    <row r="7815" spans="2:3" x14ac:dyDescent="0.25">
      <c r="B7815" s="15"/>
      <c r="C7815" s="45"/>
    </row>
    <row r="7816" spans="2:3" x14ac:dyDescent="0.25">
      <c r="B7816" s="15"/>
      <c r="C7816" s="45"/>
    </row>
    <row r="7817" spans="2:3" x14ac:dyDescent="0.25">
      <c r="B7817" s="15"/>
      <c r="C7817" s="45"/>
    </row>
    <row r="7818" spans="2:3" x14ac:dyDescent="0.25">
      <c r="B7818" s="15"/>
      <c r="C7818" s="45"/>
    </row>
    <row r="7819" spans="2:3" x14ac:dyDescent="0.25">
      <c r="B7819" s="15"/>
      <c r="C7819" s="45"/>
    </row>
    <row r="7820" spans="2:3" x14ac:dyDescent="0.25">
      <c r="B7820" s="15"/>
      <c r="C7820" s="45"/>
    </row>
    <row r="7821" spans="2:3" x14ac:dyDescent="0.25">
      <c r="B7821" s="15"/>
      <c r="C7821" s="45"/>
    </row>
    <row r="7822" spans="2:3" x14ac:dyDescent="0.25">
      <c r="B7822" s="15"/>
      <c r="C7822" s="45"/>
    </row>
    <row r="7823" spans="2:3" x14ac:dyDescent="0.25">
      <c r="B7823" s="15"/>
      <c r="C7823" s="45"/>
    </row>
    <row r="7824" spans="2:3" x14ac:dyDescent="0.25">
      <c r="B7824" s="15"/>
      <c r="C7824" s="45"/>
    </row>
    <row r="7825" spans="2:3" x14ac:dyDescent="0.25">
      <c r="B7825" s="15"/>
      <c r="C7825" s="45"/>
    </row>
    <row r="7826" spans="2:3" x14ac:dyDescent="0.25">
      <c r="B7826" s="15"/>
      <c r="C7826" s="45"/>
    </row>
    <row r="7827" spans="2:3" x14ac:dyDescent="0.25">
      <c r="B7827" s="15"/>
      <c r="C7827" s="45"/>
    </row>
    <row r="7828" spans="2:3" x14ac:dyDescent="0.25">
      <c r="B7828" s="15"/>
      <c r="C7828" s="45"/>
    </row>
    <row r="7829" spans="2:3" x14ac:dyDescent="0.25">
      <c r="B7829" s="15"/>
      <c r="C7829" s="45"/>
    </row>
    <row r="7830" spans="2:3" x14ac:dyDescent="0.25">
      <c r="B7830" s="15"/>
      <c r="C7830" s="45"/>
    </row>
    <row r="7831" spans="2:3" x14ac:dyDescent="0.25">
      <c r="B7831" s="15"/>
      <c r="C7831" s="45"/>
    </row>
    <row r="7832" spans="2:3" x14ac:dyDescent="0.25">
      <c r="B7832" s="15"/>
      <c r="C7832" s="45"/>
    </row>
    <row r="7833" spans="2:3" x14ac:dyDescent="0.25">
      <c r="B7833" s="15"/>
      <c r="C7833" s="45"/>
    </row>
    <row r="7834" spans="2:3" x14ac:dyDescent="0.25">
      <c r="B7834" s="15"/>
      <c r="C7834" s="45"/>
    </row>
    <row r="7835" spans="2:3" x14ac:dyDescent="0.25">
      <c r="B7835" s="15"/>
      <c r="C7835" s="45"/>
    </row>
    <row r="7836" spans="2:3" x14ac:dyDescent="0.25">
      <c r="B7836" s="15"/>
      <c r="C7836" s="45"/>
    </row>
    <row r="7837" spans="2:3" x14ac:dyDescent="0.25">
      <c r="B7837" s="15"/>
      <c r="C7837" s="45"/>
    </row>
    <row r="7838" spans="2:3" x14ac:dyDescent="0.25">
      <c r="B7838" s="15"/>
      <c r="C7838" s="45"/>
    </row>
    <row r="7839" spans="2:3" x14ac:dyDescent="0.25">
      <c r="B7839" s="15"/>
      <c r="C7839" s="45"/>
    </row>
    <row r="7840" spans="2:3" x14ac:dyDescent="0.25">
      <c r="B7840" s="15"/>
      <c r="C7840" s="45"/>
    </row>
    <row r="7841" spans="2:3" x14ac:dyDescent="0.25">
      <c r="B7841" s="15"/>
      <c r="C7841" s="45"/>
    </row>
    <row r="7842" spans="2:3" x14ac:dyDescent="0.25">
      <c r="B7842" s="15"/>
      <c r="C7842" s="45"/>
    </row>
    <row r="7843" spans="2:3" x14ac:dyDescent="0.25">
      <c r="B7843" s="15"/>
      <c r="C7843" s="45"/>
    </row>
    <row r="7844" spans="2:3" x14ac:dyDescent="0.25">
      <c r="B7844" s="15"/>
      <c r="C7844" s="45"/>
    </row>
    <row r="7845" spans="2:3" x14ac:dyDescent="0.25">
      <c r="B7845" s="15"/>
      <c r="C7845" s="45"/>
    </row>
    <row r="7846" spans="2:3" x14ac:dyDescent="0.25">
      <c r="B7846" s="15"/>
      <c r="C7846" s="45"/>
    </row>
    <row r="7847" spans="2:3" x14ac:dyDescent="0.25">
      <c r="B7847" s="15"/>
      <c r="C7847" s="45"/>
    </row>
    <row r="7848" spans="2:3" x14ac:dyDescent="0.25">
      <c r="B7848" s="15"/>
      <c r="C7848" s="45"/>
    </row>
    <row r="7849" spans="2:3" x14ac:dyDescent="0.25">
      <c r="B7849" s="15"/>
      <c r="C7849" s="45"/>
    </row>
    <row r="7850" spans="2:3" x14ac:dyDescent="0.25">
      <c r="B7850" s="15"/>
      <c r="C7850" s="45"/>
    </row>
    <row r="7851" spans="2:3" x14ac:dyDescent="0.25">
      <c r="B7851" s="15"/>
      <c r="C7851" s="45"/>
    </row>
    <row r="7852" spans="2:3" x14ac:dyDescent="0.25">
      <c r="B7852" s="15"/>
      <c r="C7852" s="45"/>
    </row>
    <row r="7853" spans="2:3" x14ac:dyDescent="0.25">
      <c r="B7853" s="15"/>
      <c r="C7853" s="45"/>
    </row>
    <row r="7854" spans="2:3" x14ac:dyDescent="0.25">
      <c r="B7854" s="15"/>
      <c r="C7854" s="45"/>
    </row>
    <row r="7855" spans="2:3" x14ac:dyDescent="0.25">
      <c r="B7855" s="15"/>
      <c r="C7855" s="45"/>
    </row>
    <row r="7856" spans="2:3" x14ac:dyDescent="0.25">
      <c r="B7856" s="15"/>
      <c r="C7856" s="45"/>
    </row>
    <row r="7857" spans="2:3" x14ac:dyDescent="0.25">
      <c r="B7857" s="15"/>
      <c r="C7857" s="45"/>
    </row>
    <row r="7858" spans="2:3" x14ac:dyDescent="0.25">
      <c r="B7858" s="15"/>
      <c r="C7858" s="45"/>
    </row>
    <row r="7859" spans="2:3" x14ac:dyDescent="0.25">
      <c r="B7859" s="15"/>
      <c r="C7859" s="45"/>
    </row>
    <row r="7860" spans="2:3" x14ac:dyDescent="0.25">
      <c r="B7860" s="15"/>
      <c r="C7860" s="45"/>
    </row>
    <row r="7861" spans="2:3" x14ac:dyDescent="0.25">
      <c r="B7861" s="15"/>
      <c r="C7861" s="45"/>
    </row>
    <row r="7862" spans="2:3" x14ac:dyDescent="0.25">
      <c r="B7862" s="15"/>
      <c r="C7862" s="45"/>
    </row>
    <row r="7863" spans="2:3" x14ac:dyDescent="0.25">
      <c r="B7863" s="15"/>
      <c r="C7863" s="45"/>
    </row>
    <row r="7864" spans="2:3" x14ac:dyDescent="0.25">
      <c r="B7864" s="15"/>
      <c r="C7864" s="45"/>
    </row>
    <row r="7865" spans="2:3" x14ac:dyDescent="0.25">
      <c r="B7865" s="15"/>
      <c r="C7865" s="45"/>
    </row>
    <row r="7866" spans="2:3" x14ac:dyDescent="0.25">
      <c r="B7866" s="15"/>
      <c r="C7866" s="45"/>
    </row>
    <row r="7867" spans="2:3" x14ac:dyDescent="0.25">
      <c r="B7867" s="15"/>
      <c r="C7867" s="45"/>
    </row>
    <row r="7868" spans="2:3" x14ac:dyDescent="0.25">
      <c r="B7868" s="15"/>
      <c r="C7868" s="45"/>
    </row>
    <row r="7869" spans="2:3" x14ac:dyDescent="0.25">
      <c r="B7869" s="15"/>
      <c r="C7869" s="45"/>
    </row>
    <row r="7870" spans="2:3" x14ac:dyDescent="0.25">
      <c r="B7870" s="15"/>
      <c r="C7870" s="45"/>
    </row>
    <row r="7871" spans="2:3" x14ac:dyDescent="0.25">
      <c r="B7871" s="15"/>
      <c r="C7871" s="45"/>
    </row>
    <row r="7872" spans="2:3" x14ac:dyDescent="0.25">
      <c r="B7872" s="15"/>
      <c r="C7872" s="45"/>
    </row>
    <row r="7873" spans="2:3" x14ac:dyDescent="0.25">
      <c r="B7873" s="15"/>
      <c r="C7873" s="45"/>
    </row>
    <row r="7874" spans="2:3" x14ac:dyDescent="0.25">
      <c r="B7874" s="15"/>
      <c r="C7874" s="45"/>
    </row>
    <row r="7875" spans="2:3" x14ac:dyDescent="0.25">
      <c r="B7875" s="15"/>
      <c r="C7875" s="45"/>
    </row>
    <row r="7876" spans="2:3" x14ac:dyDescent="0.25">
      <c r="B7876" s="15"/>
      <c r="C7876" s="45"/>
    </row>
    <row r="7877" spans="2:3" x14ac:dyDescent="0.25">
      <c r="B7877" s="15"/>
      <c r="C7877" s="45"/>
    </row>
    <row r="7878" spans="2:3" x14ac:dyDescent="0.25">
      <c r="B7878" s="15"/>
      <c r="C7878" s="45"/>
    </row>
    <row r="7879" spans="2:3" x14ac:dyDescent="0.25">
      <c r="B7879" s="15"/>
      <c r="C7879" s="45"/>
    </row>
    <row r="7880" spans="2:3" x14ac:dyDescent="0.25">
      <c r="B7880" s="15"/>
      <c r="C7880" s="45"/>
    </row>
    <row r="7881" spans="2:3" x14ac:dyDescent="0.25">
      <c r="B7881" s="15"/>
      <c r="C7881" s="45"/>
    </row>
    <row r="7882" spans="2:3" x14ac:dyDescent="0.25">
      <c r="B7882" s="15"/>
      <c r="C7882" s="45"/>
    </row>
    <row r="7883" spans="2:3" x14ac:dyDescent="0.25">
      <c r="B7883" s="15"/>
      <c r="C7883" s="45"/>
    </row>
    <row r="7884" spans="2:3" x14ac:dyDescent="0.25">
      <c r="B7884" s="15"/>
      <c r="C7884" s="45"/>
    </row>
    <row r="7885" spans="2:3" x14ac:dyDescent="0.25">
      <c r="B7885" s="15"/>
      <c r="C7885" s="45"/>
    </row>
    <row r="7886" spans="2:3" x14ac:dyDescent="0.25">
      <c r="B7886" s="15"/>
      <c r="C7886" s="45"/>
    </row>
    <row r="7887" spans="2:3" x14ac:dyDescent="0.25">
      <c r="B7887" s="15"/>
      <c r="C7887" s="45"/>
    </row>
    <row r="7888" spans="2:3" x14ac:dyDescent="0.25">
      <c r="B7888" s="15"/>
      <c r="C7888" s="45"/>
    </row>
    <row r="7889" spans="2:3" x14ac:dyDescent="0.25">
      <c r="B7889" s="15"/>
      <c r="C7889" s="45"/>
    </row>
    <row r="7890" spans="2:3" x14ac:dyDescent="0.25">
      <c r="B7890" s="15"/>
      <c r="C7890" s="45"/>
    </row>
    <row r="7891" spans="2:3" x14ac:dyDescent="0.25">
      <c r="B7891" s="15"/>
      <c r="C7891" s="45"/>
    </row>
    <row r="7892" spans="2:3" x14ac:dyDescent="0.25">
      <c r="B7892" s="15"/>
      <c r="C7892" s="45"/>
    </row>
    <row r="7893" spans="2:3" x14ac:dyDescent="0.25">
      <c r="B7893" s="15"/>
      <c r="C7893" s="45"/>
    </row>
    <row r="7894" spans="2:3" x14ac:dyDescent="0.25">
      <c r="B7894" s="15"/>
      <c r="C7894" s="45"/>
    </row>
    <row r="7895" spans="2:3" x14ac:dyDescent="0.25">
      <c r="B7895" s="15"/>
      <c r="C7895" s="45"/>
    </row>
    <row r="7896" spans="2:3" x14ac:dyDescent="0.25">
      <c r="B7896" s="15"/>
      <c r="C7896" s="45"/>
    </row>
    <row r="7897" spans="2:3" x14ac:dyDescent="0.25">
      <c r="B7897" s="15"/>
      <c r="C7897" s="45"/>
    </row>
    <row r="7898" spans="2:3" x14ac:dyDescent="0.25">
      <c r="B7898" s="15"/>
      <c r="C7898" s="45"/>
    </row>
    <row r="7899" spans="2:3" x14ac:dyDescent="0.25">
      <c r="B7899" s="15"/>
      <c r="C7899" s="45"/>
    </row>
    <row r="7900" spans="2:3" x14ac:dyDescent="0.25">
      <c r="B7900" s="15"/>
      <c r="C7900" s="45"/>
    </row>
    <row r="7901" spans="2:3" x14ac:dyDescent="0.25">
      <c r="B7901" s="15"/>
      <c r="C7901" s="45"/>
    </row>
    <row r="7902" spans="2:3" x14ac:dyDescent="0.25">
      <c r="B7902" s="15"/>
      <c r="C7902" s="45"/>
    </row>
    <row r="7903" spans="2:3" x14ac:dyDescent="0.25">
      <c r="B7903" s="15"/>
      <c r="C7903" s="45"/>
    </row>
    <row r="7904" spans="2:3" x14ac:dyDescent="0.25">
      <c r="B7904" s="15"/>
      <c r="C7904" s="45"/>
    </row>
    <row r="7905" spans="2:3" x14ac:dyDescent="0.25">
      <c r="B7905" s="15"/>
      <c r="C7905" s="45"/>
    </row>
    <row r="7906" spans="2:3" x14ac:dyDescent="0.25">
      <c r="B7906" s="15"/>
      <c r="C7906" s="45"/>
    </row>
    <row r="7907" spans="2:3" x14ac:dyDescent="0.25">
      <c r="B7907" s="15"/>
      <c r="C7907" s="45"/>
    </row>
    <row r="7908" spans="2:3" x14ac:dyDescent="0.25">
      <c r="B7908" s="15"/>
      <c r="C7908" s="45"/>
    </row>
    <row r="7909" spans="2:3" x14ac:dyDescent="0.25">
      <c r="B7909" s="15"/>
      <c r="C7909" s="45"/>
    </row>
    <row r="7910" spans="2:3" x14ac:dyDescent="0.25">
      <c r="B7910" s="15"/>
      <c r="C7910" s="45"/>
    </row>
    <row r="7911" spans="2:3" x14ac:dyDescent="0.25">
      <c r="B7911" s="15"/>
      <c r="C7911" s="45"/>
    </row>
    <row r="7912" spans="2:3" x14ac:dyDescent="0.25">
      <c r="B7912" s="15"/>
      <c r="C7912" s="45"/>
    </row>
    <row r="7913" spans="2:3" x14ac:dyDescent="0.25">
      <c r="B7913" s="15"/>
      <c r="C7913" s="45"/>
    </row>
    <row r="7914" spans="2:3" x14ac:dyDescent="0.25">
      <c r="B7914" s="15"/>
      <c r="C7914" s="45"/>
    </row>
    <row r="7915" spans="2:3" x14ac:dyDescent="0.25">
      <c r="B7915" s="15"/>
      <c r="C7915" s="45"/>
    </row>
    <row r="7916" spans="2:3" x14ac:dyDescent="0.25">
      <c r="B7916" s="15"/>
      <c r="C7916" s="45"/>
    </row>
    <row r="7917" spans="2:3" x14ac:dyDescent="0.25">
      <c r="B7917" s="15"/>
      <c r="C7917" s="45"/>
    </row>
    <row r="7918" spans="2:3" x14ac:dyDescent="0.25">
      <c r="B7918" s="15"/>
      <c r="C7918" s="45"/>
    </row>
    <row r="7919" spans="2:3" x14ac:dyDescent="0.25">
      <c r="B7919" s="15"/>
      <c r="C7919" s="45"/>
    </row>
    <row r="7920" spans="2:3" x14ac:dyDescent="0.25">
      <c r="B7920" s="15"/>
      <c r="C7920" s="45"/>
    </row>
    <row r="7921" spans="2:3" x14ac:dyDescent="0.25">
      <c r="B7921" s="15"/>
      <c r="C7921" s="45"/>
    </row>
    <row r="7922" spans="2:3" x14ac:dyDescent="0.25">
      <c r="B7922" s="15"/>
      <c r="C7922" s="45"/>
    </row>
    <row r="7923" spans="2:3" x14ac:dyDescent="0.25">
      <c r="B7923" s="15"/>
      <c r="C7923" s="45"/>
    </row>
    <row r="7924" spans="2:3" x14ac:dyDescent="0.25">
      <c r="B7924" s="15"/>
      <c r="C7924" s="45"/>
    </row>
    <row r="7925" spans="2:3" x14ac:dyDescent="0.25">
      <c r="B7925" s="15"/>
      <c r="C7925" s="45"/>
    </row>
    <row r="7926" spans="2:3" x14ac:dyDescent="0.25">
      <c r="B7926" s="15"/>
      <c r="C7926" s="45"/>
    </row>
    <row r="7927" spans="2:3" x14ac:dyDescent="0.25">
      <c r="B7927" s="15"/>
      <c r="C7927" s="45"/>
    </row>
    <row r="7928" spans="2:3" x14ac:dyDescent="0.25">
      <c r="B7928" s="15"/>
      <c r="C7928" s="45"/>
    </row>
    <row r="7929" spans="2:3" x14ac:dyDescent="0.25">
      <c r="B7929" s="15"/>
      <c r="C7929" s="45"/>
    </row>
    <row r="7930" spans="2:3" x14ac:dyDescent="0.25">
      <c r="B7930" s="15"/>
      <c r="C7930" s="45"/>
    </row>
    <row r="7931" spans="2:3" x14ac:dyDescent="0.25">
      <c r="B7931" s="15"/>
      <c r="C7931" s="45"/>
    </row>
    <row r="7932" spans="2:3" x14ac:dyDescent="0.25">
      <c r="B7932" s="15"/>
      <c r="C7932" s="45"/>
    </row>
    <row r="7933" spans="2:3" x14ac:dyDescent="0.25">
      <c r="B7933" s="15"/>
      <c r="C7933" s="45"/>
    </row>
    <row r="7934" spans="2:3" x14ac:dyDescent="0.25">
      <c r="B7934" s="15"/>
      <c r="C7934" s="45"/>
    </row>
    <row r="7935" spans="2:3" x14ac:dyDescent="0.25">
      <c r="B7935" s="15"/>
      <c r="C7935" s="45"/>
    </row>
    <row r="7936" spans="2:3" x14ac:dyDescent="0.25">
      <c r="B7936" s="15"/>
      <c r="C7936" s="45"/>
    </row>
    <row r="7937" spans="2:3" x14ac:dyDescent="0.25">
      <c r="B7937" s="15"/>
      <c r="C7937" s="45"/>
    </row>
    <row r="7938" spans="2:3" x14ac:dyDescent="0.25">
      <c r="B7938" s="15"/>
      <c r="C7938" s="45"/>
    </row>
    <row r="7939" spans="2:3" x14ac:dyDescent="0.25">
      <c r="B7939" s="15"/>
      <c r="C7939" s="45"/>
    </row>
    <row r="7940" spans="2:3" x14ac:dyDescent="0.25">
      <c r="B7940" s="15"/>
      <c r="C7940" s="45"/>
    </row>
    <row r="7941" spans="2:3" x14ac:dyDescent="0.25">
      <c r="B7941" s="15"/>
      <c r="C7941" s="45"/>
    </row>
    <row r="7942" spans="2:3" x14ac:dyDescent="0.25">
      <c r="B7942" s="15"/>
      <c r="C7942" s="45"/>
    </row>
    <row r="7943" spans="2:3" x14ac:dyDescent="0.25">
      <c r="B7943" s="15"/>
      <c r="C7943" s="45"/>
    </row>
    <row r="7944" spans="2:3" x14ac:dyDescent="0.25">
      <c r="B7944" s="15"/>
      <c r="C7944" s="45"/>
    </row>
    <row r="7945" spans="2:3" x14ac:dyDescent="0.25">
      <c r="B7945" s="15"/>
      <c r="C7945" s="45"/>
    </row>
    <row r="7946" spans="2:3" x14ac:dyDescent="0.25">
      <c r="B7946" s="15"/>
      <c r="C7946" s="45"/>
    </row>
    <row r="7947" spans="2:3" x14ac:dyDescent="0.25">
      <c r="B7947" s="15"/>
      <c r="C7947" s="45"/>
    </row>
    <row r="7948" spans="2:3" x14ac:dyDescent="0.25">
      <c r="B7948" s="15"/>
      <c r="C7948" s="45"/>
    </row>
    <row r="7949" spans="2:3" x14ac:dyDescent="0.25">
      <c r="B7949" s="15"/>
      <c r="C7949" s="45"/>
    </row>
    <row r="7950" spans="2:3" x14ac:dyDescent="0.25">
      <c r="B7950" s="15"/>
      <c r="C7950" s="45"/>
    </row>
    <row r="7951" spans="2:3" x14ac:dyDescent="0.25">
      <c r="B7951" s="15"/>
      <c r="C7951" s="45"/>
    </row>
    <row r="7952" spans="2:3" x14ac:dyDescent="0.25">
      <c r="B7952" s="15"/>
      <c r="C7952" s="45"/>
    </row>
    <row r="7953" spans="2:3" x14ac:dyDescent="0.25">
      <c r="B7953" s="15"/>
      <c r="C7953" s="45"/>
    </row>
    <row r="7954" spans="2:3" x14ac:dyDescent="0.25">
      <c r="B7954" s="15"/>
      <c r="C7954" s="45"/>
    </row>
    <row r="7955" spans="2:3" x14ac:dyDescent="0.25">
      <c r="B7955" s="15"/>
      <c r="C7955" s="45"/>
    </row>
    <row r="7956" spans="2:3" x14ac:dyDescent="0.25">
      <c r="B7956" s="15"/>
      <c r="C7956" s="45"/>
    </row>
    <row r="7957" spans="2:3" x14ac:dyDescent="0.25">
      <c r="B7957" s="15"/>
      <c r="C7957" s="45"/>
    </row>
    <row r="7958" spans="2:3" x14ac:dyDescent="0.25">
      <c r="B7958" s="15"/>
      <c r="C7958" s="45"/>
    </row>
    <row r="7959" spans="2:3" x14ac:dyDescent="0.25">
      <c r="B7959" s="15"/>
      <c r="C7959" s="45"/>
    </row>
    <row r="7960" spans="2:3" x14ac:dyDescent="0.25">
      <c r="B7960" s="15"/>
      <c r="C7960" s="45"/>
    </row>
    <row r="7961" spans="2:3" x14ac:dyDescent="0.25">
      <c r="B7961" s="15"/>
      <c r="C7961" s="45"/>
    </row>
    <row r="7962" spans="2:3" x14ac:dyDescent="0.25">
      <c r="B7962" s="15"/>
      <c r="C7962" s="45"/>
    </row>
    <row r="7963" spans="2:3" x14ac:dyDescent="0.25">
      <c r="B7963" s="15"/>
      <c r="C7963" s="45"/>
    </row>
    <row r="7964" spans="2:3" x14ac:dyDescent="0.25">
      <c r="B7964" s="15"/>
      <c r="C7964" s="45"/>
    </row>
    <row r="7965" spans="2:3" x14ac:dyDescent="0.25">
      <c r="B7965" s="15"/>
      <c r="C7965" s="45"/>
    </row>
    <row r="7966" spans="2:3" x14ac:dyDescent="0.25">
      <c r="B7966" s="15"/>
      <c r="C7966" s="45"/>
    </row>
    <row r="7967" spans="2:3" x14ac:dyDescent="0.25">
      <c r="B7967" s="15"/>
      <c r="C7967" s="45"/>
    </row>
    <row r="7968" spans="2:3" x14ac:dyDescent="0.25">
      <c r="B7968" s="15"/>
      <c r="C7968" s="45"/>
    </row>
    <row r="7969" spans="2:3" x14ac:dyDescent="0.25">
      <c r="B7969" s="15"/>
      <c r="C7969" s="45"/>
    </row>
    <row r="7970" spans="2:3" x14ac:dyDescent="0.25">
      <c r="B7970" s="15"/>
      <c r="C7970" s="45"/>
    </row>
    <row r="7971" spans="2:3" x14ac:dyDescent="0.25">
      <c r="B7971" s="15"/>
      <c r="C7971" s="45"/>
    </row>
    <row r="7972" spans="2:3" x14ac:dyDescent="0.25">
      <c r="B7972" s="15"/>
      <c r="C7972" s="45"/>
    </row>
    <row r="7973" spans="2:3" x14ac:dyDescent="0.25">
      <c r="B7973" s="15"/>
      <c r="C7973" s="45"/>
    </row>
    <row r="7974" spans="2:3" x14ac:dyDescent="0.25">
      <c r="B7974" s="15"/>
      <c r="C7974" s="45"/>
    </row>
    <row r="7975" spans="2:3" x14ac:dyDescent="0.25">
      <c r="B7975" s="15"/>
      <c r="C7975" s="45"/>
    </row>
    <row r="7976" spans="2:3" x14ac:dyDescent="0.25">
      <c r="B7976" s="15"/>
      <c r="C7976" s="45"/>
    </row>
    <row r="7977" spans="2:3" x14ac:dyDescent="0.25">
      <c r="B7977" s="15"/>
      <c r="C7977" s="45"/>
    </row>
    <row r="7978" spans="2:3" x14ac:dyDescent="0.25">
      <c r="B7978" s="15"/>
      <c r="C7978" s="45"/>
    </row>
    <row r="7979" spans="2:3" x14ac:dyDescent="0.25">
      <c r="B7979" s="15"/>
      <c r="C7979" s="45"/>
    </row>
    <row r="7980" spans="2:3" x14ac:dyDescent="0.25">
      <c r="B7980" s="15"/>
      <c r="C7980" s="45"/>
    </row>
    <row r="7981" spans="2:3" x14ac:dyDescent="0.25">
      <c r="B7981" s="15"/>
      <c r="C7981" s="45"/>
    </row>
    <row r="7982" spans="2:3" x14ac:dyDescent="0.25">
      <c r="B7982" s="15"/>
      <c r="C7982" s="45"/>
    </row>
    <row r="7983" spans="2:3" x14ac:dyDescent="0.25">
      <c r="B7983" s="15"/>
      <c r="C7983" s="45"/>
    </row>
    <row r="7984" spans="2:3" x14ac:dyDescent="0.25">
      <c r="B7984" s="15"/>
      <c r="C7984" s="45"/>
    </row>
    <row r="7985" spans="2:3" x14ac:dyDescent="0.25">
      <c r="B7985" s="15"/>
      <c r="C7985" s="45"/>
    </row>
    <row r="7986" spans="2:3" x14ac:dyDescent="0.25">
      <c r="B7986" s="15"/>
      <c r="C7986" s="45"/>
    </row>
    <row r="7987" spans="2:3" x14ac:dyDescent="0.25">
      <c r="B7987" s="15"/>
      <c r="C7987" s="45"/>
    </row>
    <row r="7988" spans="2:3" x14ac:dyDescent="0.25">
      <c r="B7988" s="15"/>
      <c r="C7988" s="45"/>
    </row>
    <row r="7989" spans="2:3" x14ac:dyDescent="0.25">
      <c r="B7989" s="15"/>
      <c r="C7989" s="45"/>
    </row>
    <row r="7990" spans="2:3" x14ac:dyDescent="0.25">
      <c r="B7990" s="15"/>
      <c r="C7990" s="45"/>
    </row>
    <row r="7991" spans="2:3" x14ac:dyDescent="0.25">
      <c r="B7991" s="15"/>
      <c r="C7991" s="45"/>
    </row>
    <row r="7992" spans="2:3" x14ac:dyDescent="0.25">
      <c r="B7992" s="15"/>
      <c r="C7992" s="45"/>
    </row>
    <row r="7993" spans="2:3" x14ac:dyDescent="0.25">
      <c r="B7993" s="15"/>
      <c r="C7993" s="45"/>
    </row>
    <row r="7994" spans="2:3" x14ac:dyDescent="0.25">
      <c r="B7994" s="15"/>
      <c r="C7994" s="45"/>
    </row>
    <row r="7995" spans="2:3" x14ac:dyDescent="0.25">
      <c r="B7995" s="15"/>
      <c r="C7995" s="45"/>
    </row>
    <row r="7996" spans="2:3" x14ac:dyDescent="0.25">
      <c r="B7996" s="15"/>
      <c r="C7996" s="45"/>
    </row>
    <row r="7997" spans="2:3" x14ac:dyDescent="0.25">
      <c r="B7997" s="15"/>
      <c r="C7997" s="45"/>
    </row>
    <row r="7998" spans="2:3" x14ac:dyDescent="0.25">
      <c r="B7998" s="15"/>
      <c r="C7998" s="45"/>
    </row>
    <row r="7999" spans="2:3" x14ac:dyDescent="0.25">
      <c r="B7999" s="15"/>
      <c r="C7999" s="45"/>
    </row>
    <row r="8000" spans="2:3" x14ac:dyDescent="0.25">
      <c r="B8000" s="15"/>
      <c r="C8000" s="45"/>
    </row>
    <row r="8001" spans="2:3" x14ac:dyDescent="0.25">
      <c r="B8001" s="15"/>
      <c r="C8001" s="45"/>
    </row>
    <row r="8002" spans="2:3" x14ac:dyDescent="0.25">
      <c r="B8002" s="15"/>
      <c r="C8002" s="45"/>
    </row>
    <row r="8003" spans="2:3" x14ac:dyDescent="0.25">
      <c r="B8003" s="15"/>
      <c r="C8003" s="45"/>
    </row>
    <row r="8004" spans="2:3" x14ac:dyDescent="0.25">
      <c r="B8004" s="15"/>
      <c r="C8004" s="45"/>
    </row>
    <row r="8005" spans="2:3" x14ac:dyDescent="0.25">
      <c r="B8005" s="15"/>
      <c r="C8005" s="45"/>
    </row>
    <row r="8006" spans="2:3" x14ac:dyDescent="0.25">
      <c r="B8006" s="15"/>
      <c r="C8006" s="45"/>
    </row>
    <row r="8007" spans="2:3" x14ac:dyDescent="0.25">
      <c r="B8007" s="15"/>
      <c r="C8007" s="45"/>
    </row>
    <row r="8008" spans="2:3" x14ac:dyDescent="0.25">
      <c r="B8008" s="15"/>
      <c r="C8008" s="45"/>
    </row>
    <row r="8009" spans="2:3" x14ac:dyDescent="0.25">
      <c r="B8009" s="15"/>
      <c r="C8009" s="45"/>
    </row>
    <row r="8010" spans="2:3" x14ac:dyDescent="0.25">
      <c r="B8010" s="15"/>
      <c r="C8010" s="45"/>
    </row>
    <row r="8011" spans="2:3" x14ac:dyDescent="0.25">
      <c r="B8011" s="15"/>
      <c r="C8011" s="45"/>
    </row>
    <row r="8012" spans="2:3" x14ac:dyDescent="0.25">
      <c r="B8012" s="15"/>
      <c r="C8012" s="45"/>
    </row>
    <row r="8013" spans="2:3" x14ac:dyDescent="0.25">
      <c r="B8013" s="15"/>
      <c r="C8013" s="45"/>
    </row>
    <row r="8014" spans="2:3" x14ac:dyDescent="0.25">
      <c r="B8014" s="15"/>
      <c r="C8014" s="45"/>
    </row>
    <row r="8015" spans="2:3" x14ac:dyDescent="0.25">
      <c r="B8015" s="15"/>
      <c r="C8015" s="45"/>
    </row>
    <row r="8016" spans="2:3" x14ac:dyDescent="0.25">
      <c r="B8016" s="15"/>
      <c r="C8016" s="45"/>
    </row>
    <row r="8017" spans="2:3" x14ac:dyDescent="0.25">
      <c r="B8017" s="15"/>
      <c r="C8017" s="45"/>
    </row>
    <row r="8018" spans="2:3" x14ac:dyDescent="0.25">
      <c r="B8018" s="15"/>
      <c r="C8018" s="45"/>
    </row>
    <row r="8019" spans="2:3" x14ac:dyDescent="0.25">
      <c r="B8019" s="15"/>
      <c r="C8019" s="45"/>
    </row>
    <row r="8020" spans="2:3" x14ac:dyDescent="0.25">
      <c r="B8020" s="15"/>
      <c r="C8020" s="45"/>
    </row>
    <row r="8021" spans="2:3" x14ac:dyDescent="0.25">
      <c r="B8021" s="15"/>
      <c r="C8021" s="45"/>
    </row>
    <row r="8022" spans="2:3" x14ac:dyDescent="0.25">
      <c r="B8022" s="15"/>
      <c r="C8022" s="45"/>
    </row>
    <row r="8023" spans="2:3" x14ac:dyDescent="0.25">
      <c r="B8023" s="15"/>
      <c r="C8023" s="45"/>
    </row>
    <row r="8024" spans="2:3" x14ac:dyDescent="0.25">
      <c r="B8024" s="15"/>
      <c r="C8024" s="45"/>
    </row>
    <row r="8025" spans="2:3" x14ac:dyDescent="0.25">
      <c r="B8025" s="15"/>
      <c r="C8025" s="45"/>
    </row>
    <row r="8026" spans="2:3" x14ac:dyDescent="0.25">
      <c r="B8026" s="15"/>
      <c r="C8026" s="45"/>
    </row>
    <row r="8027" spans="2:3" x14ac:dyDescent="0.25">
      <c r="B8027" s="15"/>
      <c r="C8027" s="45"/>
    </row>
    <row r="8028" spans="2:3" x14ac:dyDescent="0.25">
      <c r="B8028" s="15"/>
      <c r="C8028" s="45"/>
    </row>
    <row r="8029" spans="2:3" x14ac:dyDescent="0.25">
      <c r="B8029" s="15"/>
      <c r="C8029" s="45"/>
    </row>
    <row r="8030" spans="2:3" x14ac:dyDescent="0.25">
      <c r="B8030" s="15"/>
      <c r="C8030" s="45"/>
    </row>
    <row r="8031" spans="2:3" x14ac:dyDescent="0.25">
      <c r="B8031" s="15"/>
      <c r="C8031" s="45"/>
    </row>
    <row r="8032" spans="2:3" x14ac:dyDescent="0.25">
      <c r="B8032" s="15"/>
      <c r="C8032" s="45"/>
    </row>
    <row r="8033" spans="2:3" x14ac:dyDescent="0.25">
      <c r="B8033" s="15"/>
      <c r="C8033" s="45"/>
    </row>
    <row r="8034" spans="2:3" x14ac:dyDescent="0.25">
      <c r="B8034" s="15"/>
      <c r="C8034" s="45"/>
    </row>
    <row r="8035" spans="2:3" x14ac:dyDescent="0.25">
      <c r="B8035" s="15"/>
      <c r="C8035" s="45"/>
    </row>
    <row r="8036" spans="2:3" x14ac:dyDescent="0.25">
      <c r="B8036" s="15"/>
      <c r="C8036" s="45"/>
    </row>
    <row r="8037" spans="2:3" x14ac:dyDescent="0.25">
      <c r="B8037" s="15"/>
      <c r="C8037" s="45"/>
    </row>
    <row r="8038" spans="2:3" x14ac:dyDescent="0.25">
      <c r="B8038" s="15"/>
      <c r="C8038" s="45"/>
    </row>
    <row r="8039" spans="2:3" x14ac:dyDescent="0.25">
      <c r="B8039" s="15"/>
      <c r="C8039" s="45"/>
    </row>
    <row r="8040" spans="2:3" x14ac:dyDescent="0.25">
      <c r="B8040" s="15"/>
      <c r="C8040" s="45"/>
    </row>
    <row r="8041" spans="2:3" x14ac:dyDescent="0.25">
      <c r="B8041" s="15"/>
      <c r="C8041" s="45"/>
    </row>
    <row r="8042" spans="2:3" x14ac:dyDescent="0.25">
      <c r="B8042" s="15"/>
      <c r="C8042" s="45"/>
    </row>
    <row r="8043" spans="2:3" x14ac:dyDescent="0.25">
      <c r="B8043" s="15"/>
      <c r="C8043" s="45"/>
    </row>
    <row r="8044" spans="2:3" x14ac:dyDescent="0.25">
      <c r="B8044" s="15"/>
      <c r="C8044" s="45"/>
    </row>
    <row r="8045" spans="2:3" x14ac:dyDescent="0.25">
      <c r="B8045" s="15"/>
      <c r="C8045" s="45"/>
    </row>
    <row r="8046" spans="2:3" x14ac:dyDescent="0.25">
      <c r="B8046" s="15"/>
      <c r="C8046" s="45"/>
    </row>
    <row r="8047" spans="2:3" x14ac:dyDescent="0.25">
      <c r="B8047" s="15"/>
      <c r="C8047" s="45"/>
    </row>
    <row r="8048" spans="2:3" x14ac:dyDescent="0.25">
      <c r="B8048" s="15"/>
      <c r="C8048" s="45"/>
    </row>
    <row r="8049" spans="2:3" x14ac:dyDescent="0.25">
      <c r="B8049" s="15"/>
      <c r="C8049" s="45"/>
    </row>
    <row r="8050" spans="2:3" x14ac:dyDescent="0.25">
      <c r="B8050" s="15"/>
      <c r="C8050" s="45"/>
    </row>
    <row r="8051" spans="2:3" x14ac:dyDescent="0.25">
      <c r="B8051" s="15"/>
      <c r="C8051" s="45"/>
    </row>
    <row r="8052" spans="2:3" x14ac:dyDescent="0.25">
      <c r="B8052" s="15"/>
      <c r="C8052" s="45"/>
    </row>
    <row r="8053" spans="2:3" x14ac:dyDescent="0.25">
      <c r="B8053" s="15"/>
      <c r="C8053" s="45"/>
    </row>
    <row r="8054" spans="2:3" x14ac:dyDescent="0.25">
      <c r="B8054" s="15"/>
      <c r="C8054" s="45"/>
    </row>
    <row r="8055" spans="2:3" x14ac:dyDescent="0.25">
      <c r="B8055" s="15"/>
      <c r="C8055" s="45"/>
    </row>
    <row r="8056" spans="2:3" x14ac:dyDescent="0.25">
      <c r="B8056" s="15"/>
      <c r="C8056" s="45"/>
    </row>
    <row r="8057" spans="2:3" x14ac:dyDescent="0.25">
      <c r="B8057" s="15"/>
      <c r="C8057" s="45"/>
    </row>
    <row r="8058" spans="2:3" x14ac:dyDescent="0.25">
      <c r="B8058" s="15"/>
      <c r="C8058" s="45"/>
    </row>
    <row r="8059" spans="2:3" x14ac:dyDescent="0.25">
      <c r="B8059" s="15"/>
      <c r="C8059" s="45"/>
    </row>
    <row r="8060" spans="2:3" x14ac:dyDescent="0.25">
      <c r="B8060" s="15"/>
      <c r="C8060" s="45"/>
    </row>
    <row r="8061" spans="2:3" x14ac:dyDescent="0.25">
      <c r="B8061" s="15"/>
      <c r="C8061" s="45"/>
    </row>
    <row r="8062" spans="2:3" x14ac:dyDescent="0.25">
      <c r="B8062" s="15"/>
      <c r="C8062" s="45"/>
    </row>
    <row r="8063" spans="2:3" x14ac:dyDescent="0.25">
      <c r="B8063" s="15"/>
      <c r="C8063" s="45"/>
    </row>
    <row r="8064" spans="2:3" x14ac:dyDescent="0.25">
      <c r="B8064" s="15"/>
      <c r="C8064" s="45"/>
    </row>
    <row r="8065" spans="2:3" x14ac:dyDescent="0.25">
      <c r="B8065" s="15"/>
      <c r="C8065" s="45"/>
    </row>
    <row r="8066" spans="2:3" x14ac:dyDescent="0.25">
      <c r="B8066" s="15"/>
      <c r="C8066" s="45"/>
    </row>
    <row r="8067" spans="2:3" x14ac:dyDescent="0.25">
      <c r="B8067" s="15"/>
      <c r="C8067" s="45"/>
    </row>
    <row r="8068" spans="2:3" x14ac:dyDescent="0.25">
      <c r="B8068" s="15"/>
      <c r="C8068" s="45"/>
    </row>
    <row r="8069" spans="2:3" x14ac:dyDescent="0.25">
      <c r="B8069" s="15"/>
      <c r="C8069" s="45"/>
    </row>
    <row r="8070" spans="2:3" x14ac:dyDescent="0.25">
      <c r="B8070" s="15"/>
      <c r="C8070" s="45"/>
    </row>
    <row r="8071" spans="2:3" x14ac:dyDescent="0.25">
      <c r="B8071" s="15"/>
      <c r="C8071" s="45"/>
    </row>
    <row r="8072" spans="2:3" x14ac:dyDescent="0.25">
      <c r="B8072" s="15"/>
      <c r="C8072" s="45"/>
    </row>
    <row r="8073" spans="2:3" x14ac:dyDescent="0.25">
      <c r="B8073" s="15"/>
      <c r="C8073" s="45"/>
    </row>
    <row r="8074" spans="2:3" x14ac:dyDescent="0.25">
      <c r="B8074" s="15"/>
      <c r="C8074" s="45"/>
    </row>
    <row r="8075" spans="2:3" x14ac:dyDescent="0.25">
      <c r="B8075" s="15"/>
      <c r="C8075" s="45"/>
    </row>
    <row r="8076" spans="2:3" x14ac:dyDescent="0.25">
      <c r="B8076" s="15"/>
      <c r="C8076" s="45"/>
    </row>
    <row r="8077" spans="2:3" x14ac:dyDescent="0.25">
      <c r="B8077" s="15"/>
      <c r="C8077" s="45"/>
    </row>
    <row r="8078" spans="2:3" x14ac:dyDescent="0.25">
      <c r="B8078" s="15"/>
      <c r="C8078" s="45"/>
    </row>
    <row r="8079" spans="2:3" x14ac:dyDescent="0.25">
      <c r="B8079" s="15"/>
      <c r="C8079" s="45"/>
    </row>
    <row r="8080" spans="2:3" x14ac:dyDescent="0.25">
      <c r="B8080" s="15"/>
      <c r="C8080" s="45"/>
    </row>
    <row r="8081" spans="2:3" x14ac:dyDescent="0.25">
      <c r="B8081" s="15"/>
      <c r="C8081" s="45"/>
    </row>
    <row r="8082" spans="2:3" x14ac:dyDescent="0.25">
      <c r="B8082" s="15"/>
      <c r="C8082" s="45"/>
    </row>
    <row r="8083" spans="2:3" x14ac:dyDescent="0.25">
      <c r="B8083" s="15"/>
      <c r="C8083" s="45"/>
    </row>
    <row r="8084" spans="2:3" x14ac:dyDescent="0.25">
      <c r="B8084" s="15"/>
      <c r="C8084" s="45"/>
    </row>
    <row r="8085" spans="2:3" x14ac:dyDescent="0.25">
      <c r="B8085" s="15"/>
      <c r="C8085" s="45"/>
    </row>
    <row r="8086" spans="2:3" x14ac:dyDescent="0.25">
      <c r="B8086" s="15"/>
      <c r="C8086" s="45"/>
    </row>
    <row r="8087" spans="2:3" x14ac:dyDescent="0.25">
      <c r="B8087" s="15"/>
      <c r="C8087" s="45"/>
    </row>
    <row r="8088" spans="2:3" x14ac:dyDescent="0.25">
      <c r="B8088" s="15"/>
      <c r="C8088" s="45"/>
    </row>
    <row r="8089" spans="2:3" x14ac:dyDescent="0.25">
      <c r="B8089" s="15"/>
      <c r="C8089" s="45"/>
    </row>
    <row r="8090" spans="2:3" x14ac:dyDescent="0.25">
      <c r="B8090" s="15"/>
      <c r="C8090" s="45"/>
    </row>
    <row r="8091" spans="2:3" x14ac:dyDescent="0.25">
      <c r="B8091" s="15"/>
      <c r="C8091" s="45"/>
    </row>
    <row r="8092" spans="2:3" x14ac:dyDescent="0.25">
      <c r="B8092" s="15"/>
      <c r="C8092" s="45"/>
    </row>
    <row r="8093" spans="2:3" x14ac:dyDescent="0.25">
      <c r="B8093" s="15"/>
      <c r="C8093" s="45"/>
    </row>
    <row r="8094" spans="2:3" x14ac:dyDescent="0.25">
      <c r="B8094" s="15"/>
      <c r="C8094" s="45"/>
    </row>
    <row r="8095" spans="2:3" x14ac:dyDescent="0.25">
      <c r="B8095" s="15"/>
      <c r="C8095" s="45"/>
    </row>
    <row r="8096" spans="2:3" x14ac:dyDescent="0.25">
      <c r="B8096" s="15"/>
      <c r="C8096" s="45"/>
    </row>
    <row r="8097" spans="2:3" x14ac:dyDescent="0.25">
      <c r="B8097" s="15"/>
      <c r="C8097" s="45"/>
    </row>
    <row r="8098" spans="2:3" x14ac:dyDescent="0.25">
      <c r="B8098" s="15"/>
      <c r="C8098" s="45"/>
    </row>
    <row r="8099" spans="2:3" x14ac:dyDescent="0.25">
      <c r="B8099" s="15"/>
      <c r="C8099" s="45"/>
    </row>
    <row r="8100" spans="2:3" x14ac:dyDescent="0.25">
      <c r="B8100" s="15"/>
      <c r="C8100" s="45"/>
    </row>
    <row r="8101" spans="2:3" x14ac:dyDescent="0.25">
      <c r="B8101" s="15"/>
      <c r="C8101" s="45"/>
    </row>
    <row r="8102" spans="2:3" x14ac:dyDescent="0.25">
      <c r="B8102" s="15"/>
      <c r="C8102" s="45"/>
    </row>
    <row r="8103" spans="2:3" x14ac:dyDescent="0.25">
      <c r="B8103" s="15"/>
      <c r="C8103" s="45"/>
    </row>
    <row r="8104" spans="2:3" x14ac:dyDescent="0.25">
      <c r="B8104" s="15"/>
      <c r="C8104" s="45"/>
    </row>
    <row r="8105" spans="2:3" x14ac:dyDescent="0.25">
      <c r="B8105" s="15"/>
      <c r="C8105" s="45"/>
    </row>
    <row r="8106" spans="2:3" x14ac:dyDescent="0.25">
      <c r="B8106" s="15"/>
      <c r="C8106" s="45"/>
    </row>
    <row r="8107" spans="2:3" x14ac:dyDescent="0.25">
      <c r="B8107" s="15"/>
      <c r="C8107" s="45"/>
    </row>
    <row r="8108" spans="2:3" x14ac:dyDescent="0.25">
      <c r="B8108" s="15"/>
      <c r="C8108" s="45"/>
    </row>
    <row r="8109" spans="2:3" x14ac:dyDescent="0.25">
      <c r="B8109" s="15"/>
      <c r="C8109" s="45"/>
    </row>
    <row r="8110" spans="2:3" x14ac:dyDescent="0.25">
      <c r="B8110" s="15"/>
      <c r="C8110" s="45"/>
    </row>
    <row r="8111" spans="2:3" x14ac:dyDescent="0.25">
      <c r="B8111" s="15"/>
      <c r="C8111" s="45"/>
    </row>
    <row r="8112" spans="2:3" x14ac:dyDescent="0.25">
      <c r="B8112" s="15"/>
      <c r="C8112" s="45"/>
    </row>
    <row r="8113" spans="2:3" x14ac:dyDescent="0.25">
      <c r="B8113" s="15"/>
      <c r="C8113" s="45"/>
    </row>
    <row r="8114" spans="2:3" x14ac:dyDescent="0.25">
      <c r="B8114" s="15"/>
      <c r="C8114" s="45"/>
    </row>
    <row r="8115" spans="2:3" x14ac:dyDescent="0.25">
      <c r="B8115" s="15"/>
      <c r="C8115" s="45"/>
    </row>
    <row r="8116" spans="2:3" x14ac:dyDescent="0.25">
      <c r="B8116" s="15"/>
      <c r="C8116" s="45"/>
    </row>
    <row r="8117" spans="2:3" x14ac:dyDescent="0.25">
      <c r="B8117" s="15"/>
      <c r="C8117" s="45"/>
    </row>
    <row r="8118" spans="2:3" x14ac:dyDescent="0.25">
      <c r="B8118" s="15"/>
      <c r="C8118" s="45"/>
    </row>
    <row r="8119" spans="2:3" x14ac:dyDescent="0.25">
      <c r="B8119" s="15"/>
      <c r="C8119" s="45"/>
    </row>
    <row r="8120" spans="2:3" x14ac:dyDescent="0.25">
      <c r="B8120" s="15"/>
      <c r="C8120" s="45"/>
    </row>
    <row r="8121" spans="2:3" x14ac:dyDescent="0.25">
      <c r="B8121" s="15"/>
      <c r="C8121" s="45"/>
    </row>
    <row r="8122" spans="2:3" x14ac:dyDescent="0.25">
      <c r="B8122" s="15"/>
      <c r="C8122" s="45"/>
    </row>
    <row r="8123" spans="2:3" x14ac:dyDescent="0.25">
      <c r="B8123" s="15"/>
      <c r="C8123" s="45"/>
    </row>
    <row r="8124" spans="2:3" x14ac:dyDescent="0.25">
      <c r="B8124" s="15"/>
      <c r="C8124" s="45"/>
    </row>
    <row r="8125" spans="2:3" x14ac:dyDescent="0.25">
      <c r="B8125" s="15"/>
      <c r="C8125" s="45"/>
    </row>
    <row r="8126" spans="2:3" x14ac:dyDescent="0.25">
      <c r="B8126" s="15"/>
      <c r="C8126" s="45"/>
    </row>
    <row r="8127" spans="2:3" x14ac:dyDescent="0.25">
      <c r="B8127" s="15"/>
      <c r="C8127" s="45"/>
    </row>
    <row r="8128" spans="2:3" x14ac:dyDescent="0.25">
      <c r="B8128" s="15"/>
      <c r="C8128" s="45"/>
    </row>
    <row r="8129" spans="2:3" x14ac:dyDescent="0.25">
      <c r="B8129" s="15"/>
      <c r="C8129" s="45"/>
    </row>
    <row r="8130" spans="2:3" x14ac:dyDescent="0.25">
      <c r="B8130" s="15"/>
      <c r="C8130" s="45"/>
    </row>
    <row r="8131" spans="2:3" x14ac:dyDescent="0.25">
      <c r="B8131" s="15"/>
      <c r="C8131" s="45"/>
    </row>
    <row r="8132" spans="2:3" x14ac:dyDescent="0.25">
      <c r="B8132" s="15"/>
      <c r="C8132" s="45"/>
    </row>
    <row r="8133" spans="2:3" x14ac:dyDescent="0.25">
      <c r="B8133" s="15"/>
      <c r="C8133" s="45"/>
    </row>
    <row r="8134" spans="2:3" x14ac:dyDescent="0.25">
      <c r="B8134" s="15"/>
      <c r="C8134" s="45"/>
    </row>
    <row r="8135" spans="2:3" x14ac:dyDescent="0.25">
      <c r="B8135" s="15"/>
      <c r="C8135" s="45"/>
    </row>
    <row r="8136" spans="2:3" x14ac:dyDescent="0.25">
      <c r="B8136" s="15"/>
      <c r="C8136" s="45"/>
    </row>
    <row r="8137" spans="2:3" x14ac:dyDescent="0.25">
      <c r="B8137" s="15"/>
      <c r="C8137" s="45"/>
    </row>
    <row r="8138" spans="2:3" x14ac:dyDescent="0.25">
      <c r="B8138" s="15"/>
      <c r="C8138" s="45"/>
    </row>
    <row r="8139" spans="2:3" x14ac:dyDescent="0.25">
      <c r="B8139" s="15"/>
      <c r="C8139" s="45"/>
    </row>
    <row r="8140" spans="2:3" x14ac:dyDescent="0.25">
      <c r="B8140" s="15"/>
      <c r="C8140" s="45"/>
    </row>
    <row r="8141" spans="2:3" x14ac:dyDescent="0.25">
      <c r="B8141" s="15"/>
      <c r="C8141" s="45"/>
    </row>
    <row r="8142" spans="2:3" x14ac:dyDescent="0.25">
      <c r="B8142" s="15"/>
      <c r="C8142" s="45"/>
    </row>
    <row r="8143" spans="2:3" x14ac:dyDescent="0.25">
      <c r="B8143" s="15"/>
      <c r="C8143" s="45"/>
    </row>
    <row r="8144" spans="2:3" x14ac:dyDescent="0.25">
      <c r="B8144" s="15"/>
      <c r="C8144" s="45"/>
    </row>
    <row r="8145" spans="2:3" x14ac:dyDescent="0.25">
      <c r="B8145" s="15"/>
      <c r="C8145" s="45"/>
    </row>
    <row r="8146" spans="2:3" x14ac:dyDescent="0.25">
      <c r="B8146" s="15"/>
      <c r="C8146" s="45"/>
    </row>
    <row r="8147" spans="2:3" x14ac:dyDescent="0.25">
      <c r="B8147" s="15"/>
      <c r="C8147" s="45"/>
    </row>
    <row r="8148" spans="2:3" x14ac:dyDescent="0.25">
      <c r="B8148" s="15"/>
      <c r="C8148" s="45"/>
    </row>
    <row r="8149" spans="2:3" x14ac:dyDescent="0.25">
      <c r="B8149" s="15"/>
      <c r="C8149" s="45"/>
    </row>
    <row r="8150" spans="2:3" x14ac:dyDescent="0.25">
      <c r="B8150" s="15"/>
      <c r="C8150" s="45"/>
    </row>
    <row r="8151" spans="2:3" x14ac:dyDescent="0.25">
      <c r="B8151" s="15"/>
      <c r="C8151" s="45"/>
    </row>
    <row r="8152" spans="2:3" x14ac:dyDescent="0.25">
      <c r="B8152" s="15"/>
      <c r="C8152" s="45"/>
    </row>
    <row r="8153" spans="2:3" x14ac:dyDescent="0.25">
      <c r="B8153" s="15"/>
      <c r="C8153" s="45"/>
    </row>
    <row r="8154" spans="2:3" x14ac:dyDescent="0.25">
      <c r="B8154" s="15"/>
      <c r="C8154" s="45"/>
    </row>
    <row r="8155" spans="2:3" x14ac:dyDescent="0.25">
      <c r="B8155" s="15"/>
      <c r="C8155" s="45"/>
    </row>
    <row r="8156" spans="2:3" x14ac:dyDescent="0.25">
      <c r="B8156" s="15"/>
      <c r="C8156" s="45"/>
    </row>
    <row r="8157" spans="2:3" x14ac:dyDescent="0.25">
      <c r="B8157" s="15"/>
      <c r="C8157" s="45"/>
    </row>
    <row r="8158" spans="2:3" x14ac:dyDescent="0.25">
      <c r="B8158" s="15"/>
      <c r="C8158" s="45"/>
    </row>
    <row r="8159" spans="2:3" x14ac:dyDescent="0.25">
      <c r="B8159" s="15"/>
      <c r="C8159" s="45"/>
    </row>
    <row r="8160" spans="2:3" x14ac:dyDescent="0.25">
      <c r="B8160" s="15"/>
      <c r="C8160" s="45"/>
    </row>
    <row r="8161" spans="2:3" x14ac:dyDescent="0.25">
      <c r="B8161" s="15"/>
      <c r="C8161" s="45"/>
    </row>
    <row r="8162" spans="2:3" x14ac:dyDescent="0.25">
      <c r="B8162" s="15"/>
      <c r="C8162" s="45"/>
    </row>
    <row r="8163" spans="2:3" x14ac:dyDescent="0.25">
      <c r="B8163" s="15"/>
      <c r="C8163" s="45"/>
    </row>
    <row r="8164" spans="2:3" x14ac:dyDescent="0.25">
      <c r="B8164" s="15"/>
      <c r="C8164" s="45"/>
    </row>
    <row r="8165" spans="2:3" x14ac:dyDescent="0.25">
      <c r="B8165" s="15"/>
      <c r="C8165" s="45"/>
    </row>
    <row r="8166" spans="2:3" x14ac:dyDescent="0.25">
      <c r="B8166" s="15"/>
      <c r="C8166" s="45"/>
    </row>
    <row r="8167" spans="2:3" x14ac:dyDescent="0.25">
      <c r="B8167" s="15"/>
      <c r="C8167" s="45"/>
    </row>
    <row r="8168" spans="2:3" x14ac:dyDescent="0.25">
      <c r="B8168" s="15"/>
      <c r="C8168" s="45"/>
    </row>
    <row r="8169" spans="2:3" x14ac:dyDescent="0.25">
      <c r="B8169" s="15"/>
      <c r="C8169" s="45"/>
    </row>
    <row r="8170" spans="2:3" x14ac:dyDescent="0.25">
      <c r="B8170" s="15"/>
      <c r="C8170" s="45"/>
    </row>
    <row r="8171" spans="2:3" x14ac:dyDescent="0.25">
      <c r="B8171" s="15"/>
      <c r="C8171" s="45"/>
    </row>
    <row r="8172" spans="2:3" x14ac:dyDescent="0.25">
      <c r="B8172" s="15"/>
      <c r="C8172" s="45"/>
    </row>
    <row r="8173" spans="2:3" x14ac:dyDescent="0.25">
      <c r="B8173" s="15"/>
      <c r="C8173" s="45"/>
    </row>
    <row r="8174" spans="2:3" x14ac:dyDescent="0.25">
      <c r="B8174" s="15"/>
      <c r="C8174" s="45"/>
    </row>
    <row r="8175" spans="2:3" x14ac:dyDescent="0.25">
      <c r="B8175" s="15"/>
      <c r="C8175" s="45"/>
    </row>
    <row r="8176" spans="2:3" x14ac:dyDescent="0.25">
      <c r="B8176" s="15"/>
      <c r="C8176" s="45"/>
    </row>
    <row r="8177" spans="2:3" x14ac:dyDescent="0.25">
      <c r="B8177" s="15"/>
      <c r="C8177" s="45"/>
    </row>
    <row r="8178" spans="2:3" x14ac:dyDescent="0.25">
      <c r="B8178" s="15"/>
      <c r="C8178" s="45"/>
    </row>
    <row r="8179" spans="2:3" x14ac:dyDescent="0.25">
      <c r="B8179" s="15"/>
      <c r="C8179" s="45"/>
    </row>
    <row r="8180" spans="2:3" x14ac:dyDescent="0.25">
      <c r="B8180" s="15"/>
      <c r="C8180" s="45"/>
    </row>
    <row r="8181" spans="2:3" x14ac:dyDescent="0.25">
      <c r="B8181" s="15"/>
      <c r="C8181" s="45"/>
    </row>
    <row r="8182" spans="2:3" x14ac:dyDescent="0.25">
      <c r="B8182" s="15"/>
      <c r="C8182" s="45"/>
    </row>
    <row r="8183" spans="2:3" x14ac:dyDescent="0.25">
      <c r="B8183" s="15"/>
      <c r="C8183" s="45"/>
    </row>
    <row r="8184" spans="2:3" x14ac:dyDescent="0.25">
      <c r="B8184" s="15"/>
      <c r="C8184" s="45"/>
    </row>
    <row r="8185" spans="2:3" x14ac:dyDescent="0.25">
      <c r="B8185" s="15"/>
      <c r="C8185" s="45"/>
    </row>
    <row r="8186" spans="2:3" x14ac:dyDescent="0.25">
      <c r="B8186" s="15"/>
      <c r="C8186" s="45"/>
    </row>
    <row r="8187" spans="2:3" x14ac:dyDescent="0.25">
      <c r="B8187" s="15"/>
      <c r="C8187" s="45"/>
    </row>
    <row r="8188" spans="2:3" x14ac:dyDescent="0.25">
      <c r="B8188" s="15"/>
      <c r="C8188" s="45"/>
    </row>
    <row r="8189" spans="2:3" x14ac:dyDescent="0.25">
      <c r="B8189" s="15"/>
      <c r="C8189" s="45"/>
    </row>
    <row r="8190" spans="2:3" x14ac:dyDescent="0.25">
      <c r="B8190" s="15"/>
      <c r="C8190" s="45"/>
    </row>
    <row r="8191" spans="2:3" x14ac:dyDescent="0.25">
      <c r="B8191" s="15"/>
      <c r="C8191" s="45"/>
    </row>
    <row r="8192" spans="2:3" x14ac:dyDescent="0.25">
      <c r="B8192" s="15"/>
      <c r="C8192" s="45"/>
    </row>
    <row r="8193" spans="2:3" x14ac:dyDescent="0.25">
      <c r="B8193" s="15"/>
      <c r="C8193" s="45"/>
    </row>
    <row r="8194" spans="2:3" x14ac:dyDescent="0.25">
      <c r="B8194" s="15"/>
      <c r="C8194" s="45"/>
    </row>
    <row r="8195" spans="2:3" x14ac:dyDescent="0.25">
      <c r="B8195" s="15"/>
      <c r="C8195" s="45"/>
    </row>
    <row r="8196" spans="2:3" x14ac:dyDescent="0.25">
      <c r="B8196" s="15"/>
      <c r="C8196" s="45"/>
    </row>
    <row r="8197" spans="2:3" x14ac:dyDescent="0.25">
      <c r="B8197" s="15"/>
      <c r="C8197" s="45"/>
    </row>
    <row r="8198" spans="2:3" x14ac:dyDescent="0.25">
      <c r="B8198" s="15"/>
      <c r="C8198" s="45"/>
    </row>
    <row r="8199" spans="2:3" x14ac:dyDescent="0.25">
      <c r="B8199" s="15"/>
      <c r="C8199" s="45"/>
    </row>
    <row r="8200" spans="2:3" x14ac:dyDescent="0.25">
      <c r="B8200" s="15"/>
      <c r="C8200" s="45"/>
    </row>
    <row r="8201" spans="2:3" x14ac:dyDescent="0.25">
      <c r="B8201" s="15"/>
      <c r="C8201" s="45"/>
    </row>
    <row r="8202" spans="2:3" x14ac:dyDescent="0.25">
      <c r="B8202" s="15"/>
      <c r="C8202" s="45"/>
    </row>
    <row r="8203" spans="2:3" x14ac:dyDescent="0.25">
      <c r="B8203" s="15"/>
      <c r="C8203" s="45"/>
    </row>
    <row r="8204" spans="2:3" x14ac:dyDescent="0.25">
      <c r="B8204" s="15"/>
      <c r="C8204" s="45"/>
    </row>
    <row r="8205" spans="2:3" x14ac:dyDescent="0.25">
      <c r="B8205" s="15"/>
      <c r="C8205" s="45"/>
    </row>
    <row r="8206" spans="2:3" x14ac:dyDescent="0.25">
      <c r="B8206" s="15"/>
      <c r="C8206" s="45"/>
    </row>
    <row r="8207" spans="2:3" x14ac:dyDescent="0.25">
      <c r="B8207" s="15"/>
      <c r="C8207" s="45"/>
    </row>
    <row r="8208" spans="2:3" x14ac:dyDescent="0.25">
      <c r="B8208" s="15"/>
      <c r="C8208" s="45"/>
    </row>
    <row r="8209" spans="2:3" x14ac:dyDescent="0.25">
      <c r="B8209" s="15"/>
      <c r="C8209" s="45"/>
    </row>
    <row r="8210" spans="2:3" x14ac:dyDescent="0.25">
      <c r="B8210" s="15"/>
      <c r="C8210" s="45"/>
    </row>
    <row r="8211" spans="2:3" x14ac:dyDescent="0.25">
      <c r="B8211" s="15"/>
      <c r="C8211" s="45"/>
    </row>
    <row r="8212" spans="2:3" x14ac:dyDescent="0.25">
      <c r="B8212" s="15"/>
      <c r="C8212" s="45"/>
    </row>
    <row r="8213" spans="2:3" x14ac:dyDescent="0.25">
      <c r="B8213" s="15"/>
      <c r="C8213" s="45"/>
    </row>
    <row r="8214" spans="2:3" x14ac:dyDescent="0.25">
      <c r="B8214" s="15"/>
      <c r="C8214" s="45"/>
    </row>
    <row r="8215" spans="2:3" x14ac:dyDescent="0.25">
      <c r="B8215" s="15"/>
      <c r="C8215" s="45"/>
    </row>
    <row r="8216" spans="2:3" x14ac:dyDescent="0.25">
      <c r="B8216" s="15"/>
      <c r="C8216" s="45"/>
    </row>
    <row r="8217" spans="2:3" x14ac:dyDescent="0.25">
      <c r="B8217" s="15"/>
      <c r="C8217" s="45"/>
    </row>
    <row r="8218" spans="2:3" x14ac:dyDescent="0.25">
      <c r="B8218" s="15"/>
      <c r="C8218" s="45"/>
    </row>
    <row r="8219" spans="2:3" x14ac:dyDescent="0.25">
      <c r="B8219" s="15"/>
      <c r="C8219" s="45"/>
    </row>
    <row r="8220" spans="2:3" x14ac:dyDescent="0.25">
      <c r="B8220" s="15"/>
      <c r="C8220" s="45"/>
    </row>
    <row r="8221" spans="2:3" x14ac:dyDescent="0.25">
      <c r="B8221" s="15"/>
      <c r="C8221" s="45"/>
    </row>
    <row r="8222" spans="2:3" x14ac:dyDescent="0.25">
      <c r="B8222" s="15"/>
      <c r="C8222" s="45"/>
    </row>
    <row r="8223" spans="2:3" x14ac:dyDescent="0.25">
      <c r="B8223" s="15"/>
      <c r="C8223" s="45"/>
    </row>
    <row r="8224" spans="2:3" x14ac:dyDescent="0.25">
      <c r="B8224" s="15"/>
      <c r="C8224" s="45"/>
    </row>
    <row r="8225" spans="2:3" x14ac:dyDescent="0.25">
      <c r="B8225" s="15"/>
      <c r="C8225" s="45"/>
    </row>
    <row r="8226" spans="2:3" x14ac:dyDescent="0.25">
      <c r="B8226" s="15"/>
      <c r="C8226" s="45"/>
    </row>
    <row r="8227" spans="2:3" x14ac:dyDescent="0.25">
      <c r="B8227" s="15"/>
      <c r="C8227" s="45"/>
    </row>
    <row r="8228" spans="2:3" x14ac:dyDescent="0.25">
      <c r="B8228" s="15"/>
      <c r="C8228" s="45"/>
    </row>
    <row r="8229" spans="2:3" x14ac:dyDescent="0.25">
      <c r="B8229" s="15"/>
      <c r="C8229" s="45"/>
    </row>
    <row r="8230" spans="2:3" x14ac:dyDescent="0.25">
      <c r="B8230" s="15"/>
      <c r="C8230" s="45"/>
    </row>
    <row r="8231" spans="2:3" x14ac:dyDescent="0.25">
      <c r="B8231" s="15"/>
      <c r="C8231" s="45"/>
    </row>
    <row r="8232" spans="2:3" x14ac:dyDescent="0.25">
      <c r="B8232" s="15"/>
      <c r="C8232" s="45"/>
    </row>
    <row r="8233" spans="2:3" x14ac:dyDescent="0.25">
      <c r="B8233" s="15"/>
      <c r="C8233" s="45"/>
    </row>
    <row r="8234" spans="2:3" x14ac:dyDescent="0.25">
      <c r="B8234" s="15"/>
      <c r="C8234" s="45"/>
    </row>
    <row r="8235" spans="2:3" x14ac:dyDescent="0.25">
      <c r="B8235" s="15"/>
      <c r="C8235" s="45"/>
    </row>
    <row r="8236" spans="2:3" x14ac:dyDescent="0.25">
      <c r="B8236" s="15"/>
      <c r="C8236" s="45"/>
    </row>
    <row r="8237" spans="2:3" x14ac:dyDescent="0.25">
      <c r="B8237" s="15"/>
      <c r="C8237" s="45"/>
    </row>
    <row r="8238" spans="2:3" x14ac:dyDescent="0.25">
      <c r="B8238" s="15"/>
      <c r="C8238" s="45"/>
    </row>
    <row r="8239" spans="2:3" x14ac:dyDescent="0.25">
      <c r="B8239" s="15"/>
      <c r="C8239" s="45"/>
    </row>
    <row r="8240" spans="2:3" x14ac:dyDescent="0.25">
      <c r="B8240" s="15"/>
      <c r="C8240" s="45"/>
    </row>
    <row r="8241" spans="2:3" x14ac:dyDescent="0.25">
      <c r="B8241" s="15"/>
      <c r="C8241" s="45"/>
    </row>
    <row r="8242" spans="2:3" x14ac:dyDescent="0.25">
      <c r="B8242" s="15"/>
      <c r="C8242" s="45"/>
    </row>
    <row r="8243" spans="2:3" x14ac:dyDescent="0.25">
      <c r="B8243" s="15"/>
      <c r="C8243" s="45"/>
    </row>
    <row r="8244" spans="2:3" x14ac:dyDescent="0.25">
      <c r="B8244" s="15"/>
      <c r="C8244" s="45"/>
    </row>
    <row r="8245" spans="2:3" x14ac:dyDescent="0.25">
      <c r="B8245" s="15"/>
      <c r="C8245" s="45"/>
    </row>
    <row r="8246" spans="2:3" x14ac:dyDescent="0.25">
      <c r="B8246" s="15"/>
      <c r="C8246" s="45"/>
    </row>
    <row r="8247" spans="2:3" x14ac:dyDescent="0.25">
      <c r="B8247" s="15"/>
      <c r="C8247" s="45"/>
    </row>
    <row r="8248" spans="2:3" x14ac:dyDescent="0.25">
      <c r="B8248" s="15"/>
      <c r="C8248" s="45"/>
    </row>
    <row r="8249" spans="2:3" x14ac:dyDescent="0.25">
      <c r="B8249" s="15"/>
      <c r="C8249" s="45"/>
    </row>
    <row r="8250" spans="2:3" x14ac:dyDescent="0.25">
      <c r="B8250" s="15"/>
      <c r="C8250" s="45"/>
    </row>
    <row r="8251" spans="2:3" x14ac:dyDescent="0.25">
      <c r="B8251" s="15"/>
      <c r="C8251" s="45"/>
    </row>
    <row r="8252" spans="2:3" x14ac:dyDescent="0.25">
      <c r="B8252" s="15"/>
      <c r="C8252" s="45"/>
    </row>
    <row r="8253" spans="2:3" x14ac:dyDescent="0.25">
      <c r="B8253" s="15"/>
      <c r="C8253" s="45"/>
    </row>
    <row r="8254" spans="2:3" x14ac:dyDescent="0.25">
      <c r="B8254" s="15"/>
      <c r="C8254" s="45"/>
    </row>
    <row r="8255" spans="2:3" x14ac:dyDescent="0.25">
      <c r="B8255" s="15"/>
      <c r="C8255" s="45"/>
    </row>
    <row r="8256" spans="2:3" x14ac:dyDescent="0.25">
      <c r="B8256" s="15"/>
      <c r="C8256" s="45"/>
    </row>
    <row r="8257" spans="2:3" x14ac:dyDescent="0.25">
      <c r="B8257" s="15"/>
      <c r="C8257" s="45"/>
    </row>
    <row r="8258" spans="2:3" x14ac:dyDescent="0.25">
      <c r="B8258" s="15"/>
      <c r="C8258" s="45"/>
    </row>
    <row r="8259" spans="2:3" x14ac:dyDescent="0.25">
      <c r="B8259" s="15"/>
      <c r="C8259" s="45"/>
    </row>
    <row r="8260" spans="2:3" x14ac:dyDescent="0.25">
      <c r="B8260" s="15"/>
      <c r="C8260" s="45"/>
    </row>
    <row r="8261" spans="2:3" x14ac:dyDescent="0.25">
      <c r="B8261" s="15"/>
      <c r="C8261" s="45"/>
    </row>
    <row r="8262" spans="2:3" x14ac:dyDescent="0.25">
      <c r="B8262" s="15"/>
      <c r="C8262" s="45"/>
    </row>
    <row r="8263" spans="2:3" x14ac:dyDescent="0.25">
      <c r="B8263" s="15"/>
      <c r="C8263" s="45"/>
    </row>
    <row r="8264" spans="2:3" x14ac:dyDescent="0.25">
      <c r="B8264" s="15"/>
      <c r="C8264" s="45"/>
    </row>
    <row r="8265" spans="2:3" x14ac:dyDescent="0.25">
      <c r="B8265" s="15"/>
      <c r="C8265" s="45"/>
    </row>
    <row r="8266" spans="2:3" x14ac:dyDescent="0.25">
      <c r="B8266" s="15"/>
      <c r="C8266" s="45"/>
    </row>
    <row r="8267" spans="2:3" x14ac:dyDescent="0.25">
      <c r="B8267" s="15"/>
      <c r="C8267" s="45"/>
    </row>
    <row r="8268" spans="2:3" x14ac:dyDescent="0.25">
      <c r="B8268" s="15"/>
      <c r="C8268" s="45"/>
    </row>
    <row r="8269" spans="2:3" x14ac:dyDescent="0.25">
      <c r="B8269" s="15"/>
      <c r="C8269" s="45"/>
    </row>
    <row r="8270" spans="2:3" x14ac:dyDescent="0.25">
      <c r="B8270" s="15"/>
      <c r="C8270" s="45"/>
    </row>
    <row r="8271" spans="2:3" x14ac:dyDescent="0.25">
      <c r="B8271" s="15"/>
      <c r="C8271" s="45"/>
    </row>
    <row r="8272" spans="2:3" x14ac:dyDescent="0.25">
      <c r="B8272" s="15"/>
      <c r="C8272" s="45"/>
    </row>
    <row r="8273" spans="2:3" x14ac:dyDescent="0.25">
      <c r="B8273" s="15"/>
      <c r="C8273" s="45"/>
    </row>
    <row r="8274" spans="2:3" x14ac:dyDescent="0.25">
      <c r="B8274" s="15"/>
      <c r="C8274" s="45"/>
    </row>
    <row r="8275" spans="2:3" x14ac:dyDescent="0.25">
      <c r="B8275" s="15"/>
      <c r="C8275" s="45"/>
    </row>
    <row r="8276" spans="2:3" x14ac:dyDescent="0.25">
      <c r="B8276" s="15"/>
      <c r="C8276" s="45"/>
    </row>
    <row r="8277" spans="2:3" x14ac:dyDescent="0.25">
      <c r="B8277" s="15"/>
      <c r="C8277" s="45"/>
    </row>
    <row r="8278" spans="2:3" x14ac:dyDescent="0.25">
      <c r="B8278" s="15"/>
      <c r="C8278" s="45"/>
    </row>
    <row r="8279" spans="2:3" x14ac:dyDescent="0.25">
      <c r="B8279" s="15"/>
      <c r="C8279" s="45"/>
    </row>
    <row r="8280" spans="2:3" x14ac:dyDescent="0.25">
      <c r="B8280" s="15"/>
      <c r="C8280" s="45"/>
    </row>
    <row r="8281" spans="2:3" x14ac:dyDescent="0.25">
      <c r="B8281" s="15"/>
      <c r="C8281" s="45"/>
    </row>
    <row r="8282" spans="2:3" x14ac:dyDescent="0.25">
      <c r="B8282" s="15"/>
      <c r="C8282" s="45"/>
    </row>
    <row r="8283" spans="2:3" x14ac:dyDescent="0.25">
      <c r="B8283" s="15"/>
      <c r="C8283" s="45"/>
    </row>
    <row r="8284" spans="2:3" x14ac:dyDescent="0.25">
      <c r="B8284" s="15"/>
      <c r="C8284" s="45"/>
    </row>
    <row r="8285" spans="2:3" x14ac:dyDescent="0.25">
      <c r="B8285" s="15"/>
      <c r="C8285" s="45"/>
    </row>
    <row r="8286" spans="2:3" x14ac:dyDescent="0.25">
      <c r="B8286" s="15"/>
      <c r="C8286" s="45"/>
    </row>
    <row r="8287" spans="2:3" x14ac:dyDescent="0.25">
      <c r="B8287" s="15"/>
      <c r="C8287" s="45"/>
    </row>
    <row r="8288" spans="2:3" x14ac:dyDescent="0.25">
      <c r="B8288" s="15"/>
      <c r="C8288" s="45"/>
    </row>
    <row r="8289" spans="2:3" x14ac:dyDescent="0.25">
      <c r="B8289" s="15"/>
      <c r="C8289" s="45"/>
    </row>
    <row r="8290" spans="2:3" x14ac:dyDescent="0.25">
      <c r="B8290" s="15"/>
      <c r="C8290" s="45"/>
    </row>
    <row r="8291" spans="2:3" x14ac:dyDescent="0.25">
      <c r="B8291" s="15"/>
      <c r="C8291" s="45"/>
    </row>
    <row r="8292" spans="2:3" x14ac:dyDescent="0.25">
      <c r="B8292" s="15"/>
      <c r="C8292" s="45"/>
    </row>
    <row r="8293" spans="2:3" x14ac:dyDescent="0.25">
      <c r="B8293" s="15"/>
      <c r="C8293" s="45"/>
    </row>
    <row r="8294" spans="2:3" x14ac:dyDescent="0.25">
      <c r="B8294" s="15"/>
      <c r="C8294" s="45"/>
    </row>
    <row r="8295" spans="2:3" x14ac:dyDescent="0.25">
      <c r="B8295" s="15"/>
      <c r="C8295" s="45"/>
    </row>
    <row r="8296" spans="2:3" x14ac:dyDescent="0.25">
      <c r="B8296" s="15"/>
      <c r="C8296" s="45"/>
    </row>
    <row r="8297" spans="2:3" x14ac:dyDescent="0.25">
      <c r="B8297" s="15"/>
      <c r="C8297" s="45"/>
    </row>
    <row r="8298" spans="2:3" x14ac:dyDescent="0.25">
      <c r="B8298" s="15"/>
      <c r="C8298" s="45"/>
    </row>
    <row r="8299" spans="2:3" x14ac:dyDescent="0.25">
      <c r="B8299" s="15"/>
      <c r="C8299" s="45"/>
    </row>
    <row r="8300" spans="2:3" x14ac:dyDescent="0.25">
      <c r="B8300" s="15"/>
      <c r="C8300" s="45"/>
    </row>
    <row r="8301" spans="2:3" x14ac:dyDescent="0.25">
      <c r="B8301" s="15"/>
      <c r="C8301" s="45"/>
    </row>
    <row r="8302" spans="2:3" x14ac:dyDescent="0.25">
      <c r="B8302" s="15"/>
      <c r="C8302" s="45"/>
    </row>
    <row r="8303" spans="2:3" x14ac:dyDescent="0.25">
      <c r="B8303" s="15"/>
      <c r="C8303" s="45"/>
    </row>
    <row r="8304" spans="2:3" x14ac:dyDescent="0.25">
      <c r="B8304" s="15"/>
      <c r="C8304" s="45"/>
    </row>
    <row r="8305" spans="2:3" x14ac:dyDescent="0.25">
      <c r="B8305" s="15"/>
      <c r="C8305" s="45"/>
    </row>
    <row r="8306" spans="2:3" x14ac:dyDescent="0.25">
      <c r="B8306" s="15"/>
      <c r="C8306" s="45"/>
    </row>
    <row r="8307" spans="2:3" x14ac:dyDescent="0.25">
      <c r="B8307" s="15"/>
      <c r="C8307" s="45"/>
    </row>
    <row r="8308" spans="2:3" x14ac:dyDescent="0.25">
      <c r="B8308" s="15"/>
      <c r="C8308" s="45"/>
    </row>
    <row r="8309" spans="2:3" x14ac:dyDescent="0.25">
      <c r="B8309" s="15"/>
      <c r="C8309" s="45"/>
    </row>
    <row r="8310" spans="2:3" x14ac:dyDescent="0.25">
      <c r="B8310" s="15"/>
      <c r="C8310" s="45"/>
    </row>
    <row r="8311" spans="2:3" x14ac:dyDescent="0.25">
      <c r="B8311" s="15"/>
      <c r="C8311" s="45"/>
    </row>
    <row r="8312" spans="2:3" x14ac:dyDescent="0.25">
      <c r="B8312" s="15"/>
      <c r="C8312" s="45"/>
    </row>
    <row r="8313" spans="2:3" x14ac:dyDescent="0.25">
      <c r="B8313" s="15"/>
      <c r="C8313" s="45"/>
    </row>
    <row r="8314" spans="2:3" x14ac:dyDescent="0.25">
      <c r="B8314" s="15"/>
      <c r="C8314" s="45"/>
    </row>
    <row r="8315" spans="2:3" x14ac:dyDescent="0.25">
      <c r="B8315" s="15"/>
      <c r="C8315" s="45"/>
    </row>
    <row r="8316" spans="2:3" x14ac:dyDescent="0.25">
      <c r="B8316" s="15"/>
      <c r="C8316" s="45"/>
    </row>
    <row r="8317" spans="2:3" x14ac:dyDescent="0.25">
      <c r="B8317" s="15"/>
      <c r="C8317" s="45"/>
    </row>
    <row r="8318" spans="2:3" x14ac:dyDescent="0.25">
      <c r="B8318" s="15"/>
      <c r="C8318" s="45"/>
    </row>
    <row r="8319" spans="2:3" x14ac:dyDescent="0.25">
      <c r="B8319" s="15"/>
      <c r="C8319" s="45"/>
    </row>
    <row r="8320" spans="2:3" x14ac:dyDescent="0.25">
      <c r="B8320" s="15"/>
      <c r="C8320" s="45"/>
    </row>
    <row r="8321" spans="2:3" x14ac:dyDescent="0.25">
      <c r="B8321" s="15"/>
      <c r="C8321" s="45"/>
    </row>
    <row r="8322" spans="2:3" x14ac:dyDescent="0.25">
      <c r="B8322" s="15"/>
      <c r="C8322" s="45"/>
    </row>
    <row r="8323" spans="2:3" x14ac:dyDescent="0.25">
      <c r="B8323" s="15"/>
      <c r="C8323" s="45"/>
    </row>
    <row r="8324" spans="2:3" x14ac:dyDescent="0.25">
      <c r="B8324" s="15"/>
      <c r="C8324" s="45"/>
    </row>
    <row r="8325" spans="2:3" x14ac:dyDescent="0.25">
      <c r="B8325" s="15"/>
      <c r="C8325" s="45"/>
    </row>
    <row r="8326" spans="2:3" x14ac:dyDescent="0.25">
      <c r="B8326" s="15"/>
      <c r="C8326" s="45"/>
    </row>
    <row r="8327" spans="2:3" x14ac:dyDescent="0.25">
      <c r="B8327" s="15"/>
      <c r="C8327" s="45"/>
    </row>
    <row r="8328" spans="2:3" x14ac:dyDescent="0.25">
      <c r="B8328" s="15"/>
      <c r="C8328" s="45"/>
    </row>
    <row r="8329" spans="2:3" x14ac:dyDescent="0.25">
      <c r="B8329" s="15"/>
      <c r="C8329" s="45"/>
    </row>
    <row r="8330" spans="2:3" x14ac:dyDescent="0.25">
      <c r="B8330" s="15"/>
      <c r="C8330" s="45"/>
    </row>
    <row r="8331" spans="2:3" x14ac:dyDescent="0.25">
      <c r="B8331" s="15"/>
      <c r="C8331" s="45"/>
    </row>
    <row r="8332" spans="2:3" x14ac:dyDescent="0.25">
      <c r="B8332" s="15"/>
      <c r="C8332" s="45"/>
    </row>
    <row r="8333" spans="2:3" x14ac:dyDescent="0.25">
      <c r="B8333" s="15"/>
      <c r="C8333" s="45"/>
    </row>
    <row r="8334" spans="2:3" x14ac:dyDescent="0.25">
      <c r="B8334" s="15"/>
      <c r="C8334" s="45"/>
    </row>
    <row r="8335" spans="2:3" x14ac:dyDescent="0.25">
      <c r="B8335" s="15"/>
      <c r="C8335" s="45"/>
    </row>
    <row r="8336" spans="2:3" x14ac:dyDescent="0.25">
      <c r="B8336" s="15"/>
      <c r="C8336" s="45"/>
    </row>
    <row r="8337" spans="2:3" x14ac:dyDescent="0.25">
      <c r="B8337" s="15"/>
      <c r="C8337" s="45"/>
    </row>
    <row r="8338" spans="2:3" x14ac:dyDescent="0.25">
      <c r="B8338" s="15"/>
      <c r="C8338" s="45"/>
    </row>
    <row r="8339" spans="2:3" x14ac:dyDescent="0.25">
      <c r="B8339" s="15"/>
      <c r="C8339" s="45"/>
    </row>
    <row r="8340" spans="2:3" x14ac:dyDescent="0.25">
      <c r="B8340" s="15"/>
      <c r="C8340" s="45"/>
    </row>
    <row r="8341" spans="2:3" x14ac:dyDescent="0.25">
      <c r="B8341" s="15"/>
      <c r="C8341" s="45"/>
    </row>
    <row r="8342" spans="2:3" x14ac:dyDescent="0.25">
      <c r="B8342" s="15"/>
      <c r="C8342" s="45"/>
    </row>
    <row r="8343" spans="2:3" x14ac:dyDescent="0.25">
      <c r="B8343" s="15"/>
      <c r="C8343" s="45"/>
    </row>
    <row r="8344" spans="2:3" x14ac:dyDescent="0.25">
      <c r="B8344" s="15"/>
      <c r="C8344" s="45"/>
    </row>
    <row r="8345" spans="2:3" x14ac:dyDescent="0.25">
      <c r="B8345" s="15"/>
      <c r="C8345" s="45"/>
    </row>
    <row r="8346" spans="2:3" x14ac:dyDescent="0.25">
      <c r="B8346" s="15"/>
      <c r="C8346" s="45"/>
    </row>
    <row r="8347" spans="2:3" x14ac:dyDescent="0.25">
      <c r="B8347" s="15"/>
      <c r="C8347" s="45"/>
    </row>
    <row r="8348" spans="2:3" x14ac:dyDescent="0.25">
      <c r="B8348" s="15"/>
      <c r="C8348" s="45"/>
    </row>
    <row r="8349" spans="2:3" x14ac:dyDescent="0.25">
      <c r="B8349" s="15"/>
      <c r="C8349" s="45"/>
    </row>
    <row r="8350" spans="2:3" x14ac:dyDescent="0.25">
      <c r="B8350" s="15"/>
      <c r="C8350" s="45"/>
    </row>
    <row r="8351" spans="2:3" x14ac:dyDescent="0.25">
      <c r="B8351" s="15"/>
      <c r="C8351" s="45"/>
    </row>
    <row r="8352" spans="2:3" x14ac:dyDescent="0.25">
      <c r="B8352" s="15"/>
      <c r="C8352" s="45"/>
    </row>
    <row r="8353" spans="2:3" x14ac:dyDescent="0.25">
      <c r="B8353" s="15"/>
      <c r="C8353" s="45"/>
    </row>
    <row r="8354" spans="2:3" x14ac:dyDescent="0.25">
      <c r="B8354" s="15"/>
      <c r="C8354" s="45"/>
    </row>
    <row r="8355" spans="2:3" x14ac:dyDescent="0.25">
      <c r="B8355" s="15"/>
      <c r="C8355" s="45"/>
    </row>
    <row r="8356" spans="2:3" x14ac:dyDescent="0.25">
      <c r="B8356" s="15"/>
      <c r="C8356" s="45"/>
    </row>
    <row r="8357" spans="2:3" x14ac:dyDescent="0.25">
      <c r="B8357" s="15"/>
      <c r="C8357" s="45"/>
    </row>
    <row r="8358" spans="2:3" x14ac:dyDescent="0.25">
      <c r="B8358" s="15"/>
      <c r="C8358" s="45"/>
    </row>
    <row r="8359" spans="2:3" x14ac:dyDescent="0.25">
      <c r="B8359" s="15"/>
      <c r="C8359" s="45"/>
    </row>
    <row r="8360" spans="2:3" x14ac:dyDescent="0.25">
      <c r="B8360" s="15"/>
      <c r="C8360" s="45"/>
    </row>
    <row r="8361" spans="2:3" x14ac:dyDescent="0.25">
      <c r="B8361" s="15"/>
      <c r="C8361" s="45"/>
    </row>
    <row r="8362" spans="2:3" x14ac:dyDescent="0.25">
      <c r="B8362" s="15"/>
      <c r="C8362" s="45"/>
    </row>
    <row r="8363" spans="2:3" x14ac:dyDescent="0.25">
      <c r="B8363" s="15"/>
      <c r="C8363" s="45"/>
    </row>
    <row r="8364" spans="2:3" x14ac:dyDescent="0.25">
      <c r="B8364" s="15"/>
      <c r="C8364" s="45"/>
    </row>
    <row r="8365" spans="2:3" x14ac:dyDescent="0.25">
      <c r="B8365" s="15"/>
      <c r="C8365" s="45"/>
    </row>
    <row r="8366" spans="2:3" x14ac:dyDescent="0.25">
      <c r="B8366" s="15"/>
      <c r="C8366" s="45"/>
    </row>
    <row r="8367" spans="2:3" x14ac:dyDescent="0.25">
      <c r="B8367" s="15"/>
      <c r="C8367" s="45"/>
    </row>
    <row r="8368" spans="2:3" x14ac:dyDescent="0.25">
      <c r="B8368" s="15"/>
      <c r="C8368" s="45"/>
    </row>
    <row r="8369" spans="2:3" x14ac:dyDescent="0.25">
      <c r="B8369" s="15"/>
      <c r="C8369" s="45"/>
    </row>
    <row r="8370" spans="2:3" x14ac:dyDescent="0.25">
      <c r="B8370" s="15"/>
      <c r="C8370" s="45"/>
    </row>
    <row r="8371" spans="2:3" x14ac:dyDescent="0.25">
      <c r="B8371" s="15"/>
      <c r="C8371" s="45"/>
    </row>
    <row r="8372" spans="2:3" x14ac:dyDescent="0.25">
      <c r="B8372" s="15"/>
      <c r="C8372" s="45"/>
    </row>
    <row r="8373" spans="2:3" x14ac:dyDescent="0.25">
      <c r="B8373" s="15"/>
      <c r="C8373" s="45"/>
    </row>
    <row r="8374" spans="2:3" x14ac:dyDescent="0.25">
      <c r="B8374" s="15"/>
      <c r="C8374" s="45"/>
    </row>
    <row r="8375" spans="2:3" x14ac:dyDescent="0.25">
      <c r="B8375" s="15"/>
      <c r="C8375" s="45"/>
    </row>
    <row r="8376" spans="2:3" x14ac:dyDescent="0.25">
      <c r="B8376" s="15"/>
      <c r="C8376" s="45"/>
    </row>
    <row r="8377" spans="2:3" x14ac:dyDescent="0.25">
      <c r="B8377" s="15"/>
      <c r="C8377" s="45"/>
    </row>
    <row r="8378" spans="2:3" x14ac:dyDescent="0.25">
      <c r="B8378" s="15"/>
      <c r="C8378" s="45"/>
    </row>
    <row r="8379" spans="2:3" x14ac:dyDescent="0.25">
      <c r="B8379" s="15"/>
      <c r="C8379" s="45"/>
    </row>
    <row r="8380" spans="2:3" x14ac:dyDescent="0.25">
      <c r="B8380" s="15"/>
      <c r="C8380" s="45"/>
    </row>
    <row r="8381" spans="2:3" x14ac:dyDescent="0.25">
      <c r="B8381" s="15"/>
      <c r="C8381" s="45"/>
    </row>
    <row r="8382" spans="2:3" x14ac:dyDescent="0.25">
      <c r="B8382" s="15"/>
      <c r="C8382" s="45"/>
    </row>
    <row r="8383" spans="2:3" x14ac:dyDescent="0.25">
      <c r="B8383" s="15"/>
      <c r="C8383" s="45"/>
    </row>
    <row r="8384" spans="2:3" x14ac:dyDescent="0.25">
      <c r="B8384" s="15"/>
      <c r="C8384" s="45"/>
    </row>
    <row r="8385" spans="2:3" x14ac:dyDescent="0.25">
      <c r="B8385" s="15"/>
      <c r="C8385" s="45"/>
    </row>
    <row r="8386" spans="2:3" x14ac:dyDescent="0.25">
      <c r="B8386" s="15"/>
      <c r="C8386" s="45"/>
    </row>
    <row r="8387" spans="2:3" x14ac:dyDescent="0.25">
      <c r="B8387" s="15"/>
      <c r="C8387" s="45"/>
    </row>
    <row r="8388" spans="2:3" x14ac:dyDescent="0.25">
      <c r="B8388" s="15"/>
      <c r="C8388" s="45"/>
    </row>
    <row r="8389" spans="2:3" x14ac:dyDescent="0.25">
      <c r="B8389" s="15"/>
      <c r="C8389" s="45"/>
    </row>
    <row r="8390" spans="2:3" x14ac:dyDescent="0.25">
      <c r="B8390" s="15"/>
      <c r="C8390" s="45"/>
    </row>
    <row r="8391" spans="2:3" x14ac:dyDescent="0.25">
      <c r="B8391" s="15"/>
      <c r="C8391" s="45"/>
    </row>
    <row r="8392" spans="2:3" x14ac:dyDescent="0.25">
      <c r="B8392" s="15"/>
      <c r="C8392" s="45"/>
    </row>
    <row r="8393" spans="2:3" x14ac:dyDescent="0.25">
      <c r="B8393" s="15"/>
      <c r="C8393" s="45"/>
    </row>
    <row r="8394" spans="2:3" x14ac:dyDescent="0.25">
      <c r="B8394" s="15"/>
      <c r="C8394" s="45"/>
    </row>
    <row r="8395" spans="2:3" x14ac:dyDescent="0.25">
      <c r="B8395" s="15"/>
      <c r="C8395" s="45"/>
    </row>
    <row r="8396" spans="2:3" x14ac:dyDescent="0.25">
      <c r="B8396" s="15"/>
      <c r="C8396" s="45"/>
    </row>
    <row r="8397" spans="2:3" x14ac:dyDescent="0.25">
      <c r="B8397" s="15"/>
      <c r="C8397" s="45"/>
    </row>
    <row r="8398" spans="2:3" x14ac:dyDescent="0.25">
      <c r="B8398" s="15"/>
      <c r="C8398" s="45"/>
    </row>
    <row r="8399" spans="2:3" x14ac:dyDescent="0.25">
      <c r="B8399" s="15"/>
      <c r="C8399" s="45"/>
    </row>
    <row r="8400" spans="2:3" x14ac:dyDescent="0.25">
      <c r="B8400" s="15"/>
      <c r="C8400" s="45"/>
    </row>
    <row r="8401" spans="2:3" x14ac:dyDescent="0.25">
      <c r="B8401" s="15"/>
      <c r="C8401" s="45"/>
    </row>
    <row r="8402" spans="2:3" x14ac:dyDescent="0.25">
      <c r="B8402" s="15"/>
      <c r="C8402" s="45"/>
    </row>
    <row r="8403" spans="2:3" x14ac:dyDescent="0.25">
      <c r="B8403" s="15"/>
      <c r="C8403" s="45"/>
    </row>
    <row r="8404" spans="2:3" x14ac:dyDescent="0.25">
      <c r="B8404" s="15"/>
      <c r="C8404" s="45"/>
    </row>
    <row r="8405" spans="2:3" x14ac:dyDescent="0.25">
      <c r="B8405" s="15"/>
      <c r="C8405" s="45"/>
    </row>
    <row r="8406" spans="2:3" x14ac:dyDescent="0.25">
      <c r="B8406" s="15"/>
      <c r="C8406" s="45"/>
    </row>
    <row r="8407" spans="2:3" x14ac:dyDescent="0.25">
      <c r="B8407" s="15"/>
      <c r="C8407" s="45"/>
    </row>
    <row r="8408" spans="2:3" x14ac:dyDescent="0.25">
      <c r="B8408" s="15"/>
      <c r="C8408" s="45"/>
    </row>
    <row r="8409" spans="2:3" x14ac:dyDescent="0.25">
      <c r="B8409" s="15"/>
      <c r="C8409" s="45"/>
    </row>
    <row r="8410" spans="2:3" x14ac:dyDescent="0.25">
      <c r="B8410" s="15"/>
      <c r="C8410" s="45"/>
    </row>
    <row r="8411" spans="2:3" x14ac:dyDescent="0.25">
      <c r="B8411" s="15"/>
      <c r="C8411" s="45"/>
    </row>
    <row r="8412" spans="2:3" x14ac:dyDescent="0.25">
      <c r="B8412" s="15"/>
      <c r="C8412" s="45"/>
    </row>
    <row r="8413" spans="2:3" x14ac:dyDescent="0.25">
      <c r="B8413" s="15"/>
      <c r="C8413" s="45"/>
    </row>
    <row r="8414" spans="2:3" x14ac:dyDescent="0.25">
      <c r="B8414" s="15"/>
      <c r="C8414" s="45"/>
    </row>
    <row r="8415" spans="2:3" x14ac:dyDescent="0.25">
      <c r="B8415" s="15"/>
      <c r="C8415" s="45"/>
    </row>
    <row r="8416" spans="2:3" x14ac:dyDescent="0.25">
      <c r="B8416" s="15"/>
      <c r="C8416" s="45"/>
    </row>
    <row r="8417" spans="2:3" x14ac:dyDescent="0.25">
      <c r="B8417" s="15"/>
      <c r="C8417" s="45"/>
    </row>
    <row r="8418" spans="2:3" x14ac:dyDescent="0.25">
      <c r="B8418" s="15"/>
      <c r="C8418" s="45"/>
    </row>
    <row r="8419" spans="2:3" x14ac:dyDescent="0.25">
      <c r="B8419" s="15"/>
      <c r="C8419" s="45"/>
    </row>
    <row r="8420" spans="2:3" x14ac:dyDescent="0.25">
      <c r="B8420" s="15"/>
      <c r="C8420" s="45"/>
    </row>
    <row r="8421" spans="2:3" x14ac:dyDescent="0.25">
      <c r="B8421" s="15"/>
      <c r="C8421" s="45"/>
    </row>
    <row r="8422" spans="2:3" x14ac:dyDescent="0.25">
      <c r="B8422" s="15"/>
      <c r="C8422" s="45"/>
    </row>
    <row r="8423" spans="2:3" x14ac:dyDescent="0.25">
      <c r="B8423" s="15"/>
      <c r="C8423" s="45"/>
    </row>
    <row r="8424" spans="2:3" x14ac:dyDescent="0.25">
      <c r="B8424" s="15"/>
      <c r="C8424" s="45"/>
    </row>
    <row r="8425" spans="2:3" x14ac:dyDescent="0.25">
      <c r="B8425" s="15"/>
      <c r="C8425" s="45"/>
    </row>
    <row r="8426" spans="2:3" x14ac:dyDescent="0.25">
      <c r="B8426" s="15"/>
      <c r="C8426" s="45"/>
    </row>
    <row r="8427" spans="2:3" x14ac:dyDescent="0.25">
      <c r="B8427" s="15"/>
      <c r="C8427" s="45"/>
    </row>
    <row r="8428" spans="2:3" x14ac:dyDescent="0.25">
      <c r="B8428" s="15"/>
      <c r="C8428" s="45"/>
    </row>
    <row r="8429" spans="2:3" x14ac:dyDescent="0.25">
      <c r="B8429" s="15"/>
      <c r="C8429" s="45"/>
    </row>
    <row r="8430" spans="2:3" x14ac:dyDescent="0.25">
      <c r="B8430" s="15"/>
      <c r="C8430" s="45"/>
    </row>
    <row r="8431" spans="2:3" x14ac:dyDescent="0.25">
      <c r="B8431" s="15"/>
      <c r="C8431" s="45"/>
    </row>
    <row r="8432" spans="2:3" x14ac:dyDescent="0.25">
      <c r="B8432" s="15"/>
      <c r="C8432" s="45"/>
    </row>
    <row r="8433" spans="2:3" x14ac:dyDescent="0.25">
      <c r="B8433" s="15"/>
      <c r="C8433" s="45"/>
    </row>
    <row r="8434" spans="2:3" x14ac:dyDescent="0.25">
      <c r="B8434" s="15"/>
      <c r="C8434" s="45"/>
    </row>
    <row r="8435" spans="2:3" x14ac:dyDescent="0.25">
      <c r="B8435" s="15"/>
      <c r="C8435" s="45"/>
    </row>
    <row r="8436" spans="2:3" x14ac:dyDescent="0.25">
      <c r="B8436" s="15"/>
      <c r="C8436" s="45"/>
    </row>
    <row r="8437" spans="2:3" x14ac:dyDescent="0.25">
      <c r="B8437" s="15"/>
      <c r="C8437" s="45"/>
    </row>
    <row r="8438" spans="2:3" x14ac:dyDescent="0.25">
      <c r="B8438" s="15"/>
      <c r="C8438" s="45"/>
    </row>
    <row r="8439" spans="2:3" x14ac:dyDescent="0.25">
      <c r="B8439" s="15"/>
      <c r="C8439" s="45"/>
    </row>
    <row r="8440" spans="2:3" x14ac:dyDescent="0.25">
      <c r="B8440" s="15"/>
      <c r="C8440" s="45"/>
    </row>
    <row r="8441" spans="2:3" x14ac:dyDescent="0.25">
      <c r="B8441" s="15"/>
      <c r="C8441" s="45"/>
    </row>
    <row r="8442" spans="2:3" x14ac:dyDescent="0.25">
      <c r="B8442" s="15"/>
      <c r="C8442" s="45"/>
    </row>
    <row r="8443" spans="2:3" x14ac:dyDescent="0.25">
      <c r="B8443" s="15"/>
      <c r="C8443" s="45"/>
    </row>
    <row r="8444" spans="2:3" x14ac:dyDescent="0.25">
      <c r="B8444" s="15"/>
      <c r="C8444" s="45"/>
    </row>
    <row r="8445" spans="2:3" x14ac:dyDescent="0.25">
      <c r="B8445" s="15"/>
      <c r="C8445" s="45"/>
    </row>
    <row r="8446" spans="2:3" x14ac:dyDescent="0.25">
      <c r="B8446" s="15"/>
      <c r="C8446" s="45"/>
    </row>
    <row r="8447" spans="2:3" x14ac:dyDescent="0.25">
      <c r="B8447" s="15"/>
      <c r="C8447" s="45"/>
    </row>
    <row r="8448" spans="2:3" x14ac:dyDescent="0.25">
      <c r="B8448" s="15"/>
      <c r="C8448" s="45"/>
    </row>
    <row r="8449" spans="2:3" x14ac:dyDescent="0.25">
      <c r="B8449" s="15"/>
      <c r="C8449" s="45"/>
    </row>
    <row r="8450" spans="2:3" x14ac:dyDescent="0.25">
      <c r="B8450" s="15"/>
      <c r="C8450" s="45"/>
    </row>
    <row r="8451" spans="2:3" x14ac:dyDescent="0.25">
      <c r="B8451" s="15"/>
      <c r="C8451" s="45"/>
    </row>
    <row r="8452" spans="2:3" x14ac:dyDescent="0.25">
      <c r="B8452" s="15"/>
      <c r="C8452" s="45"/>
    </row>
    <row r="8453" spans="2:3" x14ac:dyDescent="0.25">
      <c r="B8453" s="15"/>
      <c r="C8453" s="45"/>
    </row>
    <row r="8454" spans="2:3" x14ac:dyDescent="0.25">
      <c r="B8454" s="15"/>
      <c r="C8454" s="45"/>
    </row>
    <row r="8455" spans="2:3" x14ac:dyDescent="0.25">
      <c r="B8455" s="15"/>
      <c r="C8455" s="45"/>
    </row>
    <row r="8456" spans="2:3" x14ac:dyDescent="0.25">
      <c r="B8456" s="15"/>
      <c r="C8456" s="45"/>
    </row>
    <row r="8457" spans="2:3" x14ac:dyDescent="0.25">
      <c r="B8457" s="15"/>
      <c r="C8457" s="45"/>
    </row>
    <row r="8458" spans="2:3" x14ac:dyDescent="0.25">
      <c r="B8458" s="15"/>
      <c r="C8458" s="45"/>
    </row>
    <row r="8459" spans="2:3" x14ac:dyDescent="0.25">
      <c r="B8459" s="15"/>
      <c r="C8459" s="45"/>
    </row>
    <row r="8460" spans="2:3" x14ac:dyDescent="0.25">
      <c r="B8460" s="15"/>
      <c r="C8460" s="45"/>
    </row>
    <row r="8461" spans="2:3" x14ac:dyDescent="0.25">
      <c r="B8461" s="15"/>
      <c r="C8461" s="45"/>
    </row>
    <row r="8462" spans="2:3" x14ac:dyDescent="0.25">
      <c r="B8462" s="15"/>
      <c r="C8462" s="45"/>
    </row>
    <row r="8463" spans="2:3" x14ac:dyDescent="0.25">
      <c r="B8463" s="15"/>
      <c r="C8463" s="45"/>
    </row>
    <row r="8464" spans="2:3" x14ac:dyDescent="0.25">
      <c r="B8464" s="15"/>
      <c r="C8464" s="45"/>
    </row>
    <row r="8465" spans="2:3" x14ac:dyDescent="0.25">
      <c r="B8465" s="15"/>
      <c r="C8465" s="45"/>
    </row>
    <row r="8466" spans="2:3" x14ac:dyDescent="0.25">
      <c r="B8466" s="15"/>
      <c r="C8466" s="45"/>
    </row>
    <row r="8467" spans="2:3" x14ac:dyDescent="0.25">
      <c r="B8467" s="15"/>
      <c r="C8467" s="45"/>
    </row>
    <row r="8468" spans="2:3" x14ac:dyDescent="0.25">
      <c r="B8468" s="15"/>
      <c r="C8468" s="45"/>
    </row>
    <row r="8469" spans="2:3" x14ac:dyDescent="0.25">
      <c r="B8469" s="15"/>
      <c r="C8469" s="45"/>
    </row>
    <row r="8470" spans="2:3" x14ac:dyDescent="0.25">
      <c r="B8470" s="15"/>
      <c r="C8470" s="45"/>
    </row>
    <row r="8471" spans="2:3" x14ac:dyDescent="0.25">
      <c r="B8471" s="15"/>
      <c r="C8471" s="45"/>
    </row>
    <row r="8472" spans="2:3" x14ac:dyDescent="0.25">
      <c r="B8472" s="15"/>
      <c r="C8472" s="45"/>
    </row>
    <row r="8473" spans="2:3" x14ac:dyDescent="0.25">
      <c r="B8473" s="15"/>
      <c r="C8473" s="45"/>
    </row>
    <row r="8474" spans="2:3" x14ac:dyDescent="0.25">
      <c r="B8474" s="15"/>
      <c r="C8474" s="45"/>
    </row>
    <row r="8475" spans="2:3" x14ac:dyDescent="0.25">
      <c r="B8475" s="15"/>
      <c r="C8475" s="45"/>
    </row>
    <row r="8476" spans="2:3" x14ac:dyDescent="0.25">
      <c r="B8476" s="15"/>
      <c r="C8476" s="45"/>
    </row>
    <row r="8477" spans="2:3" x14ac:dyDescent="0.25">
      <c r="B8477" s="15"/>
      <c r="C8477" s="45"/>
    </row>
    <row r="8478" spans="2:3" x14ac:dyDescent="0.25">
      <c r="B8478" s="15"/>
      <c r="C8478" s="45"/>
    </row>
    <row r="8479" spans="2:3" x14ac:dyDescent="0.25">
      <c r="B8479" s="15"/>
      <c r="C8479" s="45"/>
    </row>
    <row r="8480" spans="2:3" x14ac:dyDescent="0.25">
      <c r="B8480" s="15"/>
      <c r="C8480" s="45"/>
    </row>
    <row r="8481" spans="2:3" x14ac:dyDescent="0.25">
      <c r="B8481" s="15"/>
      <c r="C8481" s="45"/>
    </row>
    <row r="8482" spans="2:3" x14ac:dyDescent="0.25">
      <c r="B8482" s="15"/>
      <c r="C8482" s="45"/>
    </row>
    <row r="8483" spans="2:3" x14ac:dyDescent="0.25">
      <c r="B8483" s="15"/>
      <c r="C8483" s="45"/>
    </row>
    <row r="8484" spans="2:3" x14ac:dyDescent="0.25">
      <c r="B8484" s="15"/>
      <c r="C8484" s="45"/>
    </row>
    <row r="8485" spans="2:3" x14ac:dyDescent="0.25">
      <c r="B8485" s="15"/>
      <c r="C8485" s="45"/>
    </row>
    <row r="8486" spans="2:3" x14ac:dyDescent="0.25">
      <c r="B8486" s="15"/>
      <c r="C8486" s="45"/>
    </row>
    <row r="8487" spans="2:3" x14ac:dyDescent="0.25">
      <c r="B8487" s="15"/>
      <c r="C8487" s="45"/>
    </row>
    <row r="8488" spans="2:3" x14ac:dyDescent="0.25">
      <c r="B8488" s="15"/>
      <c r="C8488" s="45"/>
    </row>
    <row r="8489" spans="2:3" x14ac:dyDescent="0.25">
      <c r="B8489" s="15"/>
      <c r="C8489" s="45"/>
    </row>
    <row r="8490" spans="2:3" x14ac:dyDescent="0.25">
      <c r="B8490" s="15"/>
      <c r="C8490" s="45"/>
    </row>
    <row r="8491" spans="2:3" x14ac:dyDescent="0.25">
      <c r="B8491" s="15"/>
      <c r="C8491" s="45"/>
    </row>
    <row r="8492" spans="2:3" x14ac:dyDescent="0.25">
      <c r="B8492" s="15"/>
      <c r="C8492" s="45"/>
    </row>
    <row r="8493" spans="2:3" x14ac:dyDescent="0.25">
      <c r="B8493" s="15"/>
      <c r="C8493" s="45"/>
    </row>
    <row r="8494" spans="2:3" x14ac:dyDescent="0.25">
      <c r="B8494" s="15"/>
      <c r="C8494" s="45"/>
    </row>
    <row r="8495" spans="2:3" x14ac:dyDescent="0.25">
      <c r="B8495" s="15"/>
      <c r="C8495" s="45"/>
    </row>
    <row r="8496" spans="2:3" x14ac:dyDescent="0.25">
      <c r="B8496" s="15"/>
      <c r="C8496" s="45"/>
    </row>
    <row r="8497" spans="2:3" x14ac:dyDescent="0.25">
      <c r="B8497" s="15"/>
      <c r="C8497" s="45"/>
    </row>
    <row r="8498" spans="2:3" x14ac:dyDescent="0.25">
      <c r="B8498" s="15"/>
      <c r="C8498" s="45"/>
    </row>
    <row r="8499" spans="2:3" x14ac:dyDescent="0.25">
      <c r="B8499" s="15"/>
      <c r="C8499" s="45"/>
    </row>
    <row r="8500" spans="2:3" x14ac:dyDescent="0.25">
      <c r="B8500" s="15"/>
      <c r="C8500" s="45"/>
    </row>
    <row r="8501" spans="2:3" x14ac:dyDescent="0.25">
      <c r="B8501" s="15"/>
      <c r="C8501" s="45"/>
    </row>
    <row r="8502" spans="2:3" x14ac:dyDescent="0.25">
      <c r="B8502" s="15"/>
      <c r="C8502" s="45"/>
    </row>
    <row r="8503" spans="2:3" x14ac:dyDescent="0.25">
      <c r="B8503" s="15"/>
      <c r="C8503" s="45"/>
    </row>
    <row r="8504" spans="2:3" x14ac:dyDescent="0.25">
      <c r="B8504" s="15"/>
      <c r="C8504" s="45"/>
    </row>
    <row r="8505" spans="2:3" x14ac:dyDescent="0.25">
      <c r="B8505" s="15"/>
      <c r="C8505" s="45"/>
    </row>
    <row r="8506" spans="2:3" x14ac:dyDescent="0.25">
      <c r="B8506" s="15"/>
      <c r="C8506" s="45"/>
    </row>
    <row r="8507" spans="2:3" x14ac:dyDescent="0.25">
      <c r="B8507" s="15"/>
      <c r="C8507" s="45"/>
    </row>
    <row r="8508" spans="2:3" x14ac:dyDescent="0.25">
      <c r="B8508" s="15"/>
      <c r="C8508" s="45"/>
    </row>
    <row r="8509" spans="2:3" x14ac:dyDescent="0.25">
      <c r="B8509" s="15"/>
      <c r="C8509" s="45"/>
    </row>
    <row r="8510" spans="2:3" x14ac:dyDescent="0.25">
      <c r="B8510" s="15"/>
      <c r="C8510" s="45"/>
    </row>
    <row r="8511" spans="2:3" x14ac:dyDescent="0.25">
      <c r="B8511" s="15"/>
      <c r="C8511" s="45"/>
    </row>
    <row r="8512" spans="2:3" x14ac:dyDescent="0.25">
      <c r="B8512" s="15"/>
      <c r="C8512" s="45"/>
    </row>
    <row r="8513" spans="2:3" x14ac:dyDescent="0.25">
      <c r="B8513" s="15"/>
      <c r="C8513" s="45"/>
    </row>
    <row r="8514" spans="2:3" x14ac:dyDescent="0.25">
      <c r="B8514" s="15"/>
      <c r="C8514" s="45"/>
    </row>
    <row r="8515" spans="2:3" x14ac:dyDescent="0.25">
      <c r="B8515" s="15"/>
      <c r="C8515" s="45"/>
    </row>
    <row r="8516" spans="2:3" x14ac:dyDescent="0.25">
      <c r="B8516" s="15"/>
      <c r="C8516" s="45"/>
    </row>
    <row r="8517" spans="2:3" x14ac:dyDescent="0.25">
      <c r="B8517" s="15"/>
      <c r="C8517" s="45"/>
    </row>
    <row r="8518" spans="2:3" x14ac:dyDescent="0.25">
      <c r="B8518" s="15"/>
      <c r="C8518" s="45"/>
    </row>
    <row r="8519" spans="2:3" x14ac:dyDescent="0.25">
      <c r="B8519" s="15"/>
      <c r="C8519" s="45"/>
    </row>
    <row r="8520" spans="2:3" x14ac:dyDescent="0.25">
      <c r="B8520" s="15"/>
      <c r="C8520" s="45"/>
    </row>
    <row r="8521" spans="2:3" x14ac:dyDescent="0.25">
      <c r="B8521" s="15"/>
      <c r="C8521" s="45"/>
    </row>
    <row r="8522" spans="2:3" x14ac:dyDescent="0.25">
      <c r="B8522" s="15"/>
      <c r="C8522" s="45"/>
    </row>
    <row r="8523" spans="2:3" x14ac:dyDescent="0.25">
      <c r="B8523" s="15"/>
      <c r="C8523" s="45"/>
    </row>
    <row r="8524" spans="2:3" x14ac:dyDescent="0.25">
      <c r="B8524" s="15"/>
      <c r="C8524" s="45"/>
    </row>
    <row r="8525" spans="2:3" x14ac:dyDescent="0.25">
      <c r="B8525" s="15"/>
      <c r="C8525" s="45"/>
    </row>
    <row r="8526" spans="2:3" x14ac:dyDescent="0.25">
      <c r="B8526" s="15"/>
      <c r="C8526" s="45"/>
    </row>
    <row r="8527" spans="2:3" x14ac:dyDescent="0.25">
      <c r="B8527" s="15"/>
      <c r="C8527" s="45"/>
    </row>
    <row r="8528" spans="2:3" x14ac:dyDescent="0.25">
      <c r="B8528" s="15"/>
      <c r="C8528" s="45"/>
    </row>
    <row r="8529" spans="2:3" x14ac:dyDescent="0.25">
      <c r="B8529" s="15"/>
      <c r="C8529" s="45"/>
    </row>
    <row r="8530" spans="2:3" x14ac:dyDescent="0.25">
      <c r="B8530" s="15"/>
      <c r="C8530" s="45"/>
    </row>
    <row r="8531" spans="2:3" x14ac:dyDescent="0.25">
      <c r="B8531" s="15"/>
      <c r="C8531" s="45"/>
    </row>
    <row r="8532" spans="2:3" x14ac:dyDescent="0.25">
      <c r="B8532" s="15"/>
      <c r="C8532" s="45"/>
    </row>
    <row r="8533" spans="2:3" x14ac:dyDescent="0.25">
      <c r="B8533" s="15"/>
      <c r="C8533" s="45"/>
    </row>
    <row r="8534" spans="2:3" x14ac:dyDescent="0.25">
      <c r="B8534" s="15"/>
      <c r="C8534" s="45"/>
    </row>
    <row r="8535" spans="2:3" x14ac:dyDescent="0.25">
      <c r="B8535" s="15"/>
      <c r="C8535" s="45"/>
    </row>
    <row r="8536" spans="2:3" x14ac:dyDescent="0.25">
      <c r="B8536" s="15"/>
      <c r="C8536" s="45"/>
    </row>
    <row r="8537" spans="2:3" x14ac:dyDescent="0.25">
      <c r="B8537" s="15"/>
      <c r="C8537" s="45"/>
    </row>
    <row r="8538" spans="2:3" x14ac:dyDescent="0.25">
      <c r="B8538" s="15"/>
      <c r="C8538" s="45"/>
    </row>
    <row r="8539" spans="2:3" x14ac:dyDescent="0.25">
      <c r="B8539" s="15"/>
      <c r="C8539" s="45"/>
    </row>
    <row r="8540" spans="2:3" x14ac:dyDescent="0.25">
      <c r="B8540" s="15"/>
      <c r="C8540" s="45"/>
    </row>
    <row r="8541" spans="2:3" x14ac:dyDescent="0.25">
      <c r="B8541" s="15"/>
      <c r="C8541" s="45"/>
    </row>
    <row r="8542" spans="2:3" x14ac:dyDescent="0.25">
      <c r="B8542" s="15"/>
      <c r="C8542" s="45"/>
    </row>
    <row r="8543" spans="2:3" x14ac:dyDescent="0.25">
      <c r="B8543" s="15"/>
      <c r="C8543" s="45"/>
    </row>
    <row r="8544" spans="2:3" x14ac:dyDescent="0.25">
      <c r="B8544" s="15"/>
      <c r="C8544" s="45"/>
    </row>
    <row r="8545" spans="2:3" x14ac:dyDescent="0.25">
      <c r="B8545" s="15"/>
      <c r="C8545" s="45"/>
    </row>
    <row r="8546" spans="2:3" x14ac:dyDescent="0.25">
      <c r="B8546" s="15"/>
      <c r="C8546" s="45"/>
    </row>
    <row r="8547" spans="2:3" x14ac:dyDescent="0.25">
      <c r="B8547" s="15"/>
      <c r="C8547" s="45"/>
    </row>
    <row r="8548" spans="2:3" x14ac:dyDescent="0.25">
      <c r="B8548" s="15"/>
      <c r="C8548" s="45"/>
    </row>
    <row r="8549" spans="2:3" x14ac:dyDescent="0.25">
      <c r="B8549" s="15"/>
      <c r="C8549" s="45"/>
    </row>
    <row r="8550" spans="2:3" x14ac:dyDescent="0.25">
      <c r="B8550" s="15"/>
      <c r="C8550" s="45"/>
    </row>
    <row r="8551" spans="2:3" x14ac:dyDescent="0.25">
      <c r="B8551" s="15"/>
      <c r="C8551" s="45"/>
    </row>
    <row r="8552" spans="2:3" x14ac:dyDescent="0.25">
      <c r="B8552" s="15"/>
      <c r="C8552" s="45"/>
    </row>
    <row r="8553" spans="2:3" x14ac:dyDescent="0.25">
      <c r="B8553" s="15"/>
      <c r="C8553" s="45"/>
    </row>
    <row r="8554" spans="2:3" x14ac:dyDescent="0.25">
      <c r="B8554" s="15"/>
      <c r="C8554" s="45"/>
    </row>
    <row r="8555" spans="2:3" x14ac:dyDescent="0.25">
      <c r="B8555" s="15"/>
      <c r="C8555" s="45"/>
    </row>
    <row r="8556" spans="2:3" x14ac:dyDescent="0.25">
      <c r="B8556" s="15"/>
      <c r="C8556" s="45"/>
    </row>
    <row r="8557" spans="2:3" x14ac:dyDescent="0.25">
      <c r="B8557" s="15"/>
      <c r="C8557" s="45"/>
    </row>
    <row r="8558" spans="2:3" x14ac:dyDescent="0.25">
      <c r="B8558" s="15"/>
      <c r="C8558" s="45"/>
    </row>
    <row r="8559" spans="2:3" x14ac:dyDescent="0.25">
      <c r="B8559" s="15"/>
      <c r="C8559" s="45"/>
    </row>
    <row r="8560" spans="2:3" x14ac:dyDescent="0.25">
      <c r="B8560" s="15"/>
      <c r="C8560" s="45"/>
    </row>
    <row r="8561" spans="2:3" x14ac:dyDescent="0.25">
      <c r="B8561" s="15"/>
      <c r="C8561" s="45"/>
    </row>
    <row r="8562" spans="2:3" x14ac:dyDescent="0.25">
      <c r="B8562" s="15"/>
      <c r="C8562" s="45"/>
    </row>
    <row r="8563" spans="2:3" x14ac:dyDescent="0.25">
      <c r="B8563" s="15"/>
      <c r="C8563" s="45"/>
    </row>
    <row r="8564" spans="2:3" x14ac:dyDescent="0.25">
      <c r="B8564" s="15"/>
      <c r="C8564" s="45"/>
    </row>
    <row r="8565" spans="2:3" x14ac:dyDescent="0.25">
      <c r="B8565" s="15"/>
      <c r="C8565" s="45"/>
    </row>
    <row r="8566" spans="2:3" x14ac:dyDescent="0.25">
      <c r="B8566" s="15"/>
      <c r="C8566" s="45"/>
    </row>
    <row r="8567" spans="2:3" x14ac:dyDescent="0.25">
      <c r="B8567" s="15"/>
      <c r="C8567" s="45"/>
    </row>
    <row r="8568" spans="2:3" x14ac:dyDescent="0.25">
      <c r="B8568" s="15"/>
      <c r="C8568" s="45"/>
    </row>
    <row r="8569" spans="2:3" x14ac:dyDescent="0.25">
      <c r="B8569" s="15"/>
      <c r="C8569" s="45"/>
    </row>
    <row r="8570" spans="2:3" x14ac:dyDescent="0.25">
      <c r="B8570" s="15"/>
      <c r="C8570" s="45"/>
    </row>
    <row r="8571" spans="2:3" x14ac:dyDescent="0.25">
      <c r="B8571" s="15"/>
      <c r="C8571" s="45"/>
    </row>
    <row r="8572" spans="2:3" x14ac:dyDescent="0.25">
      <c r="B8572" s="15"/>
      <c r="C8572" s="45"/>
    </row>
    <row r="8573" spans="2:3" x14ac:dyDescent="0.25">
      <c r="B8573" s="15"/>
      <c r="C8573" s="45"/>
    </row>
    <row r="8574" spans="2:3" x14ac:dyDescent="0.25">
      <c r="B8574" s="15"/>
      <c r="C8574" s="45"/>
    </row>
    <row r="8575" spans="2:3" x14ac:dyDescent="0.25">
      <c r="B8575" s="15"/>
      <c r="C8575" s="45"/>
    </row>
    <row r="8576" spans="2:3" x14ac:dyDescent="0.25">
      <c r="B8576" s="15"/>
      <c r="C8576" s="45"/>
    </row>
    <row r="8577" spans="2:3" x14ac:dyDescent="0.25">
      <c r="B8577" s="15"/>
      <c r="C8577" s="45"/>
    </row>
    <row r="8578" spans="2:3" x14ac:dyDescent="0.25">
      <c r="B8578" s="15"/>
      <c r="C8578" s="45"/>
    </row>
    <row r="8579" spans="2:3" x14ac:dyDescent="0.25">
      <c r="B8579" s="15"/>
      <c r="C8579" s="45"/>
    </row>
    <row r="8580" spans="2:3" x14ac:dyDescent="0.25">
      <c r="B8580" s="15"/>
      <c r="C8580" s="45"/>
    </row>
    <row r="8581" spans="2:3" x14ac:dyDescent="0.25">
      <c r="B8581" s="15"/>
      <c r="C8581" s="45"/>
    </row>
    <row r="8582" spans="2:3" x14ac:dyDescent="0.25">
      <c r="B8582" s="15"/>
      <c r="C8582" s="45"/>
    </row>
    <row r="8583" spans="2:3" x14ac:dyDescent="0.25">
      <c r="B8583" s="15"/>
      <c r="C8583" s="45"/>
    </row>
    <row r="8584" spans="2:3" x14ac:dyDescent="0.25">
      <c r="B8584" s="15"/>
      <c r="C8584" s="45"/>
    </row>
    <row r="8585" spans="2:3" x14ac:dyDescent="0.25">
      <c r="B8585" s="15"/>
      <c r="C8585" s="45"/>
    </row>
    <row r="8586" spans="2:3" x14ac:dyDescent="0.25">
      <c r="B8586" s="15"/>
      <c r="C8586" s="45"/>
    </row>
    <row r="8587" spans="2:3" x14ac:dyDescent="0.25">
      <c r="B8587" s="15"/>
      <c r="C8587" s="45"/>
    </row>
    <row r="8588" spans="2:3" x14ac:dyDescent="0.25">
      <c r="B8588" s="15"/>
      <c r="C8588" s="45"/>
    </row>
    <row r="8589" spans="2:3" x14ac:dyDescent="0.25">
      <c r="B8589" s="15"/>
      <c r="C8589" s="45"/>
    </row>
    <row r="8590" spans="2:3" x14ac:dyDescent="0.25">
      <c r="B8590" s="15"/>
      <c r="C8590" s="45"/>
    </row>
    <row r="8591" spans="2:3" x14ac:dyDescent="0.25">
      <c r="B8591" s="15"/>
      <c r="C8591" s="45"/>
    </row>
    <row r="8592" spans="2:3" x14ac:dyDescent="0.25">
      <c r="B8592" s="15"/>
      <c r="C8592" s="45"/>
    </row>
    <row r="8593" spans="2:3" x14ac:dyDescent="0.25">
      <c r="B8593" s="15"/>
      <c r="C8593" s="45"/>
    </row>
    <row r="8594" spans="2:3" x14ac:dyDescent="0.25">
      <c r="B8594" s="15"/>
      <c r="C8594" s="45"/>
    </row>
    <row r="8595" spans="2:3" x14ac:dyDescent="0.25">
      <c r="B8595" s="15"/>
      <c r="C8595" s="45"/>
    </row>
    <row r="8596" spans="2:3" x14ac:dyDescent="0.25">
      <c r="B8596" s="15"/>
      <c r="C8596" s="45"/>
    </row>
    <row r="8597" spans="2:3" x14ac:dyDescent="0.25">
      <c r="B8597" s="15"/>
      <c r="C8597" s="45"/>
    </row>
    <row r="8598" spans="2:3" x14ac:dyDescent="0.25">
      <c r="B8598" s="15"/>
      <c r="C8598" s="45"/>
    </row>
    <row r="8599" spans="2:3" x14ac:dyDescent="0.25">
      <c r="B8599" s="15"/>
      <c r="C8599" s="45"/>
    </row>
    <row r="8600" spans="2:3" x14ac:dyDescent="0.25">
      <c r="B8600" s="15"/>
      <c r="C8600" s="45"/>
    </row>
    <row r="8601" spans="2:3" x14ac:dyDescent="0.25">
      <c r="B8601" s="15"/>
      <c r="C8601" s="45"/>
    </row>
    <row r="8602" spans="2:3" x14ac:dyDescent="0.25">
      <c r="B8602" s="15"/>
      <c r="C8602" s="45"/>
    </row>
    <row r="8603" spans="2:3" x14ac:dyDescent="0.25">
      <c r="B8603" s="15"/>
      <c r="C8603" s="45"/>
    </row>
    <row r="8604" spans="2:3" x14ac:dyDescent="0.25">
      <c r="B8604" s="15"/>
      <c r="C8604" s="45"/>
    </row>
    <row r="8605" spans="2:3" x14ac:dyDescent="0.25">
      <c r="B8605" s="15"/>
      <c r="C8605" s="45"/>
    </row>
    <row r="8606" spans="2:3" x14ac:dyDescent="0.25">
      <c r="B8606" s="15"/>
      <c r="C8606" s="45"/>
    </row>
    <row r="8607" spans="2:3" x14ac:dyDescent="0.25">
      <c r="B8607" s="15"/>
      <c r="C8607" s="45"/>
    </row>
    <row r="8608" spans="2:3" x14ac:dyDescent="0.25">
      <c r="B8608" s="15"/>
      <c r="C8608" s="45"/>
    </row>
    <row r="8609" spans="2:3" x14ac:dyDescent="0.25">
      <c r="B8609" s="15"/>
      <c r="C8609" s="45"/>
    </row>
    <row r="8610" spans="2:3" x14ac:dyDescent="0.25">
      <c r="B8610" s="15"/>
      <c r="C8610" s="45"/>
    </row>
    <row r="8611" spans="2:3" x14ac:dyDescent="0.25">
      <c r="B8611" s="15"/>
      <c r="C8611" s="45"/>
    </row>
    <row r="8612" spans="2:3" x14ac:dyDescent="0.25">
      <c r="B8612" s="15"/>
      <c r="C8612" s="45"/>
    </row>
    <row r="8613" spans="2:3" x14ac:dyDescent="0.25">
      <c r="B8613" s="15"/>
      <c r="C8613" s="45"/>
    </row>
    <row r="8614" spans="2:3" x14ac:dyDescent="0.25">
      <c r="B8614" s="15"/>
      <c r="C8614" s="45"/>
    </row>
    <row r="8615" spans="2:3" x14ac:dyDescent="0.25">
      <c r="B8615" s="15"/>
      <c r="C8615" s="45"/>
    </row>
    <row r="8616" spans="2:3" x14ac:dyDescent="0.25">
      <c r="B8616" s="15"/>
      <c r="C8616" s="45"/>
    </row>
    <row r="8617" spans="2:3" x14ac:dyDescent="0.25">
      <c r="B8617" s="15"/>
      <c r="C8617" s="45"/>
    </row>
    <row r="8618" spans="2:3" x14ac:dyDescent="0.25">
      <c r="B8618" s="15"/>
      <c r="C8618" s="45"/>
    </row>
    <row r="8619" spans="2:3" x14ac:dyDescent="0.25">
      <c r="B8619" s="15"/>
      <c r="C8619" s="45"/>
    </row>
    <row r="8620" spans="2:3" x14ac:dyDescent="0.25">
      <c r="B8620" s="15"/>
      <c r="C8620" s="45"/>
    </row>
    <row r="8621" spans="2:3" x14ac:dyDescent="0.25">
      <c r="B8621" s="15"/>
      <c r="C8621" s="45"/>
    </row>
    <row r="8622" spans="2:3" x14ac:dyDescent="0.25">
      <c r="B8622" s="15"/>
      <c r="C8622" s="45"/>
    </row>
    <row r="8623" spans="2:3" x14ac:dyDescent="0.25">
      <c r="B8623" s="15"/>
      <c r="C8623" s="45"/>
    </row>
    <row r="8624" spans="2:3" x14ac:dyDescent="0.25">
      <c r="B8624" s="15"/>
      <c r="C8624" s="45"/>
    </row>
    <row r="8625" spans="2:3" x14ac:dyDescent="0.25">
      <c r="B8625" s="15"/>
      <c r="C8625" s="45"/>
    </row>
    <row r="8626" spans="2:3" x14ac:dyDescent="0.25">
      <c r="B8626" s="15"/>
      <c r="C8626" s="45"/>
    </row>
    <row r="8627" spans="2:3" x14ac:dyDescent="0.25">
      <c r="B8627" s="15"/>
      <c r="C8627" s="45"/>
    </row>
    <row r="8628" spans="2:3" x14ac:dyDescent="0.25">
      <c r="B8628" s="15"/>
      <c r="C8628" s="45"/>
    </row>
    <row r="8629" spans="2:3" x14ac:dyDescent="0.25">
      <c r="B8629" s="15"/>
      <c r="C8629" s="45"/>
    </row>
    <row r="8630" spans="2:3" x14ac:dyDescent="0.25">
      <c r="B8630" s="15"/>
      <c r="C8630" s="45"/>
    </row>
    <row r="8631" spans="2:3" x14ac:dyDescent="0.25">
      <c r="B8631" s="15"/>
      <c r="C8631" s="45"/>
    </row>
    <row r="8632" spans="2:3" x14ac:dyDescent="0.25">
      <c r="B8632" s="15"/>
      <c r="C8632" s="45"/>
    </row>
    <row r="8633" spans="2:3" x14ac:dyDescent="0.25">
      <c r="B8633" s="15"/>
      <c r="C8633" s="45"/>
    </row>
    <row r="8634" spans="2:3" x14ac:dyDescent="0.25">
      <c r="B8634" s="15"/>
      <c r="C8634" s="45"/>
    </row>
    <row r="8635" spans="2:3" x14ac:dyDescent="0.25">
      <c r="B8635" s="15"/>
      <c r="C8635" s="45"/>
    </row>
    <row r="8636" spans="2:3" x14ac:dyDescent="0.25">
      <c r="B8636" s="15"/>
      <c r="C8636" s="45"/>
    </row>
    <row r="8637" spans="2:3" x14ac:dyDescent="0.25">
      <c r="B8637" s="15"/>
      <c r="C8637" s="45"/>
    </row>
    <row r="8638" spans="2:3" x14ac:dyDescent="0.25">
      <c r="B8638" s="15"/>
      <c r="C8638" s="45"/>
    </row>
    <row r="8639" spans="2:3" x14ac:dyDescent="0.25">
      <c r="B8639" s="15"/>
      <c r="C8639" s="45"/>
    </row>
    <row r="8640" spans="2:3" x14ac:dyDescent="0.25">
      <c r="B8640" s="15"/>
      <c r="C8640" s="45"/>
    </row>
    <row r="8641" spans="2:3" x14ac:dyDescent="0.25">
      <c r="B8641" s="15"/>
      <c r="C8641" s="45"/>
    </row>
    <row r="8642" spans="2:3" x14ac:dyDescent="0.25">
      <c r="B8642" s="15"/>
      <c r="C8642" s="45"/>
    </row>
    <row r="8643" spans="2:3" x14ac:dyDescent="0.25">
      <c r="B8643" s="15"/>
      <c r="C8643" s="45"/>
    </row>
    <row r="8644" spans="2:3" x14ac:dyDescent="0.25">
      <c r="B8644" s="15"/>
      <c r="C8644" s="45"/>
    </row>
    <row r="8645" spans="2:3" x14ac:dyDescent="0.25">
      <c r="B8645" s="15"/>
      <c r="C8645" s="45"/>
    </row>
    <row r="8646" spans="2:3" x14ac:dyDescent="0.25">
      <c r="B8646" s="15"/>
      <c r="C8646" s="45"/>
    </row>
    <row r="8647" spans="2:3" x14ac:dyDescent="0.25">
      <c r="B8647" s="15"/>
      <c r="C8647" s="45"/>
    </row>
    <row r="8648" spans="2:3" x14ac:dyDescent="0.25">
      <c r="B8648" s="15"/>
      <c r="C8648" s="45"/>
    </row>
    <row r="8649" spans="2:3" x14ac:dyDescent="0.25">
      <c r="B8649" s="15"/>
      <c r="C8649" s="45"/>
    </row>
    <row r="8650" spans="2:3" x14ac:dyDescent="0.25">
      <c r="B8650" s="15"/>
      <c r="C8650" s="45"/>
    </row>
    <row r="8651" spans="2:3" x14ac:dyDescent="0.25">
      <c r="B8651" s="15"/>
      <c r="C8651" s="45"/>
    </row>
    <row r="8652" spans="2:3" x14ac:dyDescent="0.25">
      <c r="B8652" s="15"/>
      <c r="C8652" s="45"/>
    </row>
    <row r="8653" spans="2:3" x14ac:dyDescent="0.25">
      <c r="B8653" s="15"/>
      <c r="C8653" s="45"/>
    </row>
    <row r="8654" spans="2:3" x14ac:dyDescent="0.25">
      <c r="B8654" s="15"/>
      <c r="C8654" s="45"/>
    </row>
    <row r="8655" spans="2:3" x14ac:dyDescent="0.25">
      <c r="B8655" s="15"/>
      <c r="C8655" s="45"/>
    </row>
    <row r="8656" spans="2:3" x14ac:dyDescent="0.25">
      <c r="B8656" s="15"/>
      <c r="C8656" s="45"/>
    </row>
    <row r="8657" spans="2:3" x14ac:dyDescent="0.25">
      <c r="B8657" s="15"/>
      <c r="C8657" s="45"/>
    </row>
    <row r="8658" spans="2:3" x14ac:dyDescent="0.25">
      <c r="B8658" s="15"/>
      <c r="C8658" s="45"/>
    </row>
    <row r="8659" spans="2:3" x14ac:dyDescent="0.25">
      <c r="B8659" s="15"/>
      <c r="C8659" s="45"/>
    </row>
    <row r="8660" spans="2:3" x14ac:dyDescent="0.25">
      <c r="B8660" s="15"/>
      <c r="C8660" s="45"/>
    </row>
    <row r="8661" spans="2:3" x14ac:dyDescent="0.25">
      <c r="B8661" s="15"/>
      <c r="C8661" s="45"/>
    </row>
    <row r="8662" spans="2:3" x14ac:dyDescent="0.25">
      <c r="B8662" s="15"/>
      <c r="C8662" s="45"/>
    </row>
    <row r="8663" spans="2:3" x14ac:dyDescent="0.25">
      <c r="B8663" s="15"/>
      <c r="C8663" s="45"/>
    </row>
    <row r="8664" spans="2:3" x14ac:dyDescent="0.25">
      <c r="B8664" s="15"/>
      <c r="C8664" s="45"/>
    </row>
    <row r="8665" spans="2:3" x14ac:dyDescent="0.25">
      <c r="B8665" s="15"/>
      <c r="C8665" s="45"/>
    </row>
    <row r="8666" spans="2:3" x14ac:dyDescent="0.25">
      <c r="B8666" s="15"/>
      <c r="C8666" s="45"/>
    </row>
    <row r="8667" spans="2:3" x14ac:dyDescent="0.25">
      <c r="B8667" s="15"/>
      <c r="C8667" s="45"/>
    </row>
    <row r="8668" spans="2:3" x14ac:dyDescent="0.25">
      <c r="B8668" s="15"/>
      <c r="C8668" s="45"/>
    </row>
    <row r="8669" spans="2:3" x14ac:dyDescent="0.25">
      <c r="B8669" s="15"/>
      <c r="C8669" s="45"/>
    </row>
    <row r="8670" spans="2:3" x14ac:dyDescent="0.25">
      <c r="B8670" s="15"/>
      <c r="C8670" s="45"/>
    </row>
    <row r="8671" spans="2:3" x14ac:dyDescent="0.25">
      <c r="B8671" s="15"/>
      <c r="C8671" s="45"/>
    </row>
    <row r="8672" spans="2:3" x14ac:dyDescent="0.25">
      <c r="B8672" s="15"/>
      <c r="C8672" s="45"/>
    </row>
    <row r="8673" spans="2:3" x14ac:dyDescent="0.25">
      <c r="B8673" s="15"/>
      <c r="C8673" s="45"/>
    </row>
    <row r="8674" spans="2:3" x14ac:dyDescent="0.25">
      <c r="B8674" s="15"/>
      <c r="C8674" s="45"/>
    </row>
    <row r="8675" spans="2:3" x14ac:dyDescent="0.25">
      <c r="B8675" s="15"/>
      <c r="C8675" s="45"/>
    </row>
    <row r="8676" spans="2:3" x14ac:dyDescent="0.25">
      <c r="B8676" s="15"/>
      <c r="C8676" s="45"/>
    </row>
    <row r="8677" spans="2:3" x14ac:dyDescent="0.25">
      <c r="B8677" s="15"/>
      <c r="C8677" s="45"/>
    </row>
    <row r="8678" spans="2:3" x14ac:dyDescent="0.25">
      <c r="B8678" s="15"/>
      <c r="C8678" s="45"/>
    </row>
    <row r="8679" spans="2:3" x14ac:dyDescent="0.25">
      <c r="B8679" s="15"/>
      <c r="C8679" s="45"/>
    </row>
    <row r="8680" spans="2:3" x14ac:dyDescent="0.25">
      <c r="B8680" s="15"/>
      <c r="C8680" s="45"/>
    </row>
    <row r="8681" spans="2:3" x14ac:dyDescent="0.25">
      <c r="B8681" s="15"/>
      <c r="C8681" s="45"/>
    </row>
    <row r="8682" spans="2:3" x14ac:dyDescent="0.25">
      <c r="B8682" s="15"/>
      <c r="C8682" s="45"/>
    </row>
    <row r="8683" spans="2:3" x14ac:dyDescent="0.25">
      <c r="B8683" s="15"/>
      <c r="C8683" s="45"/>
    </row>
    <row r="8684" spans="2:3" x14ac:dyDescent="0.25">
      <c r="B8684" s="15"/>
      <c r="C8684" s="45"/>
    </row>
    <row r="8685" spans="2:3" x14ac:dyDescent="0.25">
      <c r="B8685" s="15"/>
      <c r="C8685" s="45"/>
    </row>
    <row r="8686" spans="2:3" x14ac:dyDescent="0.25">
      <c r="B8686" s="15"/>
      <c r="C8686" s="45"/>
    </row>
    <row r="8687" spans="2:3" x14ac:dyDescent="0.25">
      <c r="B8687" s="15"/>
      <c r="C8687" s="45"/>
    </row>
    <row r="8688" spans="2:3" x14ac:dyDescent="0.25">
      <c r="B8688" s="15"/>
      <c r="C8688" s="45"/>
    </row>
    <row r="8689" spans="2:3" x14ac:dyDescent="0.25">
      <c r="B8689" s="15"/>
      <c r="C8689" s="45"/>
    </row>
    <row r="8690" spans="2:3" x14ac:dyDescent="0.25">
      <c r="B8690" s="15"/>
      <c r="C8690" s="45"/>
    </row>
    <row r="8691" spans="2:3" x14ac:dyDescent="0.25">
      <c r="B8691" s="15"/>
      <c r="C8691" s="45"/>
    </row>
    <row r="8692" spans="2:3" x14ac:dyDescent="0.25">
      <c r="B8692" s="15"/>
      <c r="C8692" s="45"/>
    </row>
    <row r="8693" spans="2:3" x14ac:dyDescent="0.25">
      <c r="B8693" s="15"/>
      <c r="C8693" s="45"/>
    </row>
    <row r="8694" spans="2:3" x14ac:dyDescent="0.25">
      <c r="B8694" s="15"/>
      <c r="C8694" s="45"/>
    </row>
    <row r="8695" spans="2:3" x14ac:dyDescent="0.25">
      <c r="B8695" s="15"/>
      <c r="C8695" s="45"/>
    </row>
    <row r="8696" spans="2:3" x14ac:dyDescent="0.25">
      <c r="B8696" s="15"/>
      <c r="C8696" s="45"/>
    </row>
    <row r="8697" spans="2:3" x14ac:dyDescent="0.25">
      <c r="B8697" s="15"/>
      <c r="C8697" s="45"/>
    </row>
    <row r="8698" spans="2:3" x14ac:dyDescent="0.25">
      <c r="B8698" s="15"/>
      <c r="C8698" s="45"/>
    </row>
    <row r="8699" spans="2:3" x14ac:dyDescent="0.25">
      <c r="B8699" s="15"/>
      <c r="C8699" s="45"/>
    </row>
    <row r="8700" spans="2:3" x14ac:dyDescent="0.25">
      <c r="B8700" s="15"/>
      <c r="C8700" s="45"/>
    </row>
    <row r="8701" spans="2:3" x14ac:dyDescent="0.25">
      <c r="B8701" s="15"/>
      <c r="C8701" s="45"/>
    </row>
    <row r="8702" spans="2:3" x14ac:dyDescent="0.25">
      <c r="B8702" s="15"/>
      <c r="C8702" s="45"/>
    </row>
    <row r="8703" spans="2:3" x14ac:dyDescent="0.25">
      <c r="B8703" s="15"/>
      <c r="C8703" s="45"/>
    </row>
    <row r="8704" spans="2:3" x14ac:dyDescent="0.25">
      <c r="B8704" s="15"/>
      <c r="C8704" s="45"/>
    </row>
    <row r="8705" spans="2:3" x14ac:dyDescent="0.25">
      <c r="B8705" s="15"/>
      <c r="C8705" s="45"/>
    </row>
    <row r="8706" spans="2:3" x14ac:dyDescent="0.25">
      <c r="B8706" s="15"/>
      <c r="C8706" s="45"/>
    </row>
    <row r="8707" spans="2:3" x14ac:dyDescent="0.25">
      <c r="B8707" s="15"/>
      <c r="C8707" s="45"/>
    </row>
    <row r="8708" spans="2:3" x14ac:dyDescent="0.25">
      <c r="B8708" s="15"/>
      <c r="C8708" s="45"/>
    </row>
    <row r="8709" spans="2:3" x14ac:dyDescent="0.25">
      <c r="B8709" s="15"/>
      <c r="C8709" s="45"/>
    </row>
    <row r="8710" spans="2:3" x14ac:dyDescent="0.25">
      <c r="B8710" s="15"/>
      <c r="C8710" s="45"/>
    </row>
    <row r="8711" spans="2:3" x14ac:dyDescent="0.25">
      <c r="B8711" s="15"/>
      <c r="C8711" s="45"/>
    </row>
    <row r="8712" spans="2:3" x14ac:dyDescent="0.25">
      <c r="B8712" s="15"/>
      <c r="C8712" s="45"/>
    </row>
    <row r="8713" spans="2:3" x14ac:dyDescent="0.25">
      <c r="B8713" s="15"/>
      <c r="C8713" s="45"/>
    </row>
    <row r="8714" spans="2:3" x14ac:dyDescent="0.25">
      <c r="B8714" s="15"/>
      <c r="C8714" s="45"/>
    </row>
    <row r="8715" spans="2:3" x14ac:dyDescent="0.25">
      <c r="B8715" s="15"/>
      <c r="C8715" s="45"/>
    </row>
    <row r="8716" spans="2:3" x14ac:dyDescent="0.25">
      <c r="B8716" s="15"/>
      <c r="C8716" s="45"/>
    </row>
    <row r="8717" spans="2:3" x14ac:dyDescent="0.25">
      <c r="B8717" s="15"/>
      <c r="C8717" s="45"/>
    </row>
    <row r="8718" spans="2:3" x14ac:dyDescent="0.25">
      <c r="B8718" s="15"/>
      <c r="C8718" s="45"/>
    </row>
    <row r="8719" spans="2:3" x14ac:dyDescent="0.25">
      <c r="B8719" s="15"/>
      <c r="C8719" s="45"/>
    </row>
    <row r="8720" spans="2:3" x14ac:dyDescent="0.25">
      <c r="B8720" s="15"/>
      <c r="C8720" s="45"/>
    </row>
    <row r="8721" spans="2:3" x14ac:dyDescent="0.25">
      <c r="B8721" s="15"/>
      <c r="C8721" s="45"/>
    </row>
    <row r="8722" spans="2:3" x14ac:dyDescent="0.25">
      <c r="B8722" s="15"/>
      <c r="C8722" s="45"/>
    </row>
    <row r="8723" spans="2:3" x14ac:dyDescent="0.25">
      <c r="B8723" s="15"/>
      <c r="C8723" s="45"/>
    </row>
    <row r="8724" spans="2:3" x14ac:dyDescent="0.25">
      <c r="B8724" s="15"/>
      <c r="C8724" s="45"/>
    </row>
    <row r="8725" spans="2:3" x14ac:dyDescent="0.25">
      <c r="B8725" s="15"/>
      <c r="C8725" s="45"/>
    </row>
    <row r="8726" spans="2:3" x14ac:dyDescent="0.25">
      <c r="B8726" s="15"/>
      <c r="C8726" s="45"/>
    </row>
    <row r="8727" spans="2:3" x14ac:dyDescent="0.25">
      <c r="B8727" s="15"/>
      <c r="C8727" s="45"/>
    </row>
    <row r="8728" spans="2:3" x14ac:dyDescent="0.25">
      <c r="B8728" s="15"/>
      <c r="C8728" s="45"/>
    </row>
    <row r="8729" spans="2:3" x14ac:dyDescent="0.25">
      <c r="B8729" s="15"/>
      <c r="C8729" s="45"/>
    </row>
    <row r="8730" spans="2:3" x14ac:dyDescent="0.25">
      <c r="B8730" s="15"/>
      <c r="C8730" s="45"/>
    </row>
    <row r="8731" spans="2:3" x14ac:dyDescent="0.25">
      <c r="B8731" s="15"/>
      <c r="C8731" s="45"/>
    </row>
    <row r="8732" spans="2:3" x14ac:dyDescent="0.25">
      <c r="B8732" s="15"/>
      <c r="C8732" s="45"/>
    </row>
    <row r="8733" spans="2:3" x14ac:dyDescent="0.25">
      <c r="B8733" s="15"/>
      <c r="C8733" s="45"/>
    </row>
    <row r="8734" spans="2:3" x14ac:dyDescent="0.25">
      <c r="B8734" s="15"/>
      <c r="C8734" s="45"/>
    </row>
    <row r="8735" spans="2:3" x14ac:dyDescent="0.25">
      <c r="B8735" s="15"/>
      <c r="C8735" s="45"/>
    </row>
    <row r="8736" spans="2:3" x14ac:dyDescent="0.25">
      <c r="B8736" s="15"/>
      <c r="C8736" s="45"/>
    </row>
    <row r="8737" spans="2:3" x14ac:dyDescent="0.25">
      <c r="B8737" s="15"/>
      <c r="C8737" s="45"/>
    </row>
    <row r="8738" spans="2:3" x14ac:dyDescent="0.25">
      <c r="B8738" s="15"/>
      <c r="C8738" s="45"/>
    </row>
    <row r="8739" spans="2:3" x14ac:dyDescent="0.25">
      <c r="B8739" s="15"/>
      <c r="C8739" s="45"/>
    </row>
    <row r="8740" spans="2:3" x14ac:dyDescent="0.25">
      <c r="B8740" s="15"/>
      <c r="C8740" s="45"/>
    </row>
    <row r="8741" spans="2:3" x14ac:dyDescent="0.25">
      <c r="B8741" s="15"/>
      <c r="C8741" s="45"/>
    </row>
    <row r="8742" spans="2:3" x14ac:dyDescent="0.25">
      <c r="B8742" s="15"/>
      <c r="C8742" s="45"/>
    </row>
    <row r="8743" spans="2:3" x14ac:dyDescent="0.25">
      <c r="B8743" s="15"/>
      <c r="C8743" s="45"/>
    </row>
    <row r="8744" spans="2:3" x14ac:dyDescent="0.25">
      <c r="B8744" s="15"/>
      <c r="C8744" s="45"/>
    </row>
    <row r="8745" spans="2:3" x14ac:dyDescent="0.25">
      <c r="B8745" s="15"/>
      <c r="C8745" s="45"/>
    </row>
    <row r="8746" spans="2:3" x14ac:dyDescent="0.25">
      <c r="B8746" s="15"/>
      <c r="C8746" s="45"/>
    </row>
    <row r="8747" spans="2:3" x14ac:dyDescent="0.25">
      <c r="B8747" s="15"/>
      <c r="C8747" s="45"/>
    </row>
    <row r="8748" spans="2:3" x14ac:dyDescent="0.25">
      <c r="B8748" s="15"/>
      <c r="C8748" s="45"/>
    </row>
    <row r="8749" spans="2:3" x14ac:dyDescent="0.25">
      <c r="B8749" s="15"/>
      <c r="C8749" s="45"/>
    </row>
    <row r="8750" spans="2:3" x14ac:dyDescent="0.25">
      <c r="B8750" s="15"/>
      <c r="C8750" s="45"/>
    </row>
    <row r="8751" spans="2:3" x14ac:dyDescent="0.25">
      <c r="B8751" s="15"/>
      <c r="C8751" s="45"/>
    </row>
    <row r="8752" spans="2:3" x14ac:dyDescent="0.25">
      <c r="B8752" s="15"/>
      <c r="C8752" s="45"/>
    </row>
    <row r="8753" spans="2:3" x14ac:dyDescent="0.25">
      <c r="B8753" s="15"/>
      <c r="C8753" s="45"/>
    </row>
    <row r="8754" spans="2:3" x14ac:dyDescent="0.25">
      <c r="B8754" s="15"/>
      <c r="C8754" s="45"/>
    </row>
    <row r="8755" spans="2:3" x14ac:dyDescent="0.25">
      <c r="B8755" s="15"/>
      <c r="C8755" s="45"/>
    </row>
    <row r="8756" spans="2:3" x14ac:dyDescent="0.25">
      <c r="B8756" s="15"/>
      <c r="C8756" s="45"/>
    </row>
    <row r="8757" spans="2:3" x14ac:dyDescent="0.25">
      <c r="B8757" s="15"/>
      <c r="C8757" s="45"/>
    </row>
    <row r="8758" spans="2:3" x14ac:dyDescent="0.25">
      <c r="B8758" s="15"/>
      <c r="C8758" s="45"/>
    </row>
    <row r="8759" spans="2:3" x14ac:dyDescent="0.25">
      <c r="B8759" s="15"/>
      <c r="C8759" s="45"/>
    </row>
    <row r="8760" spans="2:3" x14ac:dyDescent="0.25">
      <c r="B8760" s="15"/>
      <c r="C8760" s="45"/>
    </row>
    <row r="8761" spans="2:3" x14ac:dyDescent="0.25">
      <c r="B8761" s="15"/>
      <c r="C8761" s="45"/>
    </row>
    <row r="8762" spans="2:3" x14ac:dyDescent="0.25">
      <c r="B8762" s="15"/>
      <c r="C8762" s="45"/>
    </row>
    <row r="8763" spans="2:3" x14ac:dyDescent="0.25">
      <c r="B8763" s="15"/>
      <c r="C8763" s="45"/>
    </row>
    <row r="8764" spans="2:3" x14ac:dyDescent="0.25">
      <c r="B8764" s="15"/>
      <c r="C8764" s="45"/>
    </row>
    <row r="8765" spans="2:3" x14ac:dyDescent="0.25">
      <c r="B8765" s="15"/>
      <c r="C8765" s="45"/>
    </row>
    <row r="8766" spans="2:3" x14ac:dyDescent="0.25">
      <c r="B8766" s="15"/>
      <c r="C8766" s="45"/>
    </row>
    <row r="8767" spans="2:3" x14ac:dyDescent="0.25">
      <c r="B8767" s="15"/>
      <c r="C8767" s="45"/>
    </row>
    <row r="8768" spans="2:3" x14ac:dyDescent="0.25">
      <c r="B8768" s="15"/>
      <c r="C8768" s="45"/>
    </row>
    <row r="8769" spans="2:3" x14ac:dyDescent="0.25">
      <c r="B8769" s="15"/>
      <c r="C8769" s="45"/>
    </row>
    <row r="8770" spans="2:3" x14ac:dyDescent="0.25">
      <c r="B8770" s="15"/>
      <c r="C8770" s="45"/>
    </row>
    <row r="8771" spans="2:3" x14ac:dyDescent="0.25">
      <c r="B8771" s="15"/>
      <c r="C8771" s="45"/>
    </row>
    <row r="8772" spans="2:3" x14ac:dyDescent="0.25">
      <c r="B8772" s="15"/>
      <c r="C8772" s="45"/>
    </row>
    <row r="8773" spans="2:3" x14ac:dyDescent="0.25">
      <c r="B8773" s="15"/>
      <c r="C8773" s="45"/>
    </row>
    <row r="8774" spans="2:3" x14ac:dyDescent="0.25">
      <c r="B8774" s="15"/>
      <c r="C8774" s="45"/>
    </row>
    <row r="8775" spans="2:3" x14ac:dyDescent="0.25">
      <c r="B8775" s="15"/>
      <c r="C8775" s="45"/>
    </row>
    <row r="8776" spans="2:3" x14ac:dyDescent="0.25">
      <c r="B8776" s="15"/>
      <c r="C8776" s="45"/>
    </row>
    <row r="8777" spans="2:3" x14ac:dyDescent="0.25">
      <c r="B8777" s="15"/>
      <c r="C8777" s="45"/>
    </row>
    <row r="8778" spans="2:3" x14ac:dyDescent="0.25">
      <c r="B8778" s="15"/>
      <c r="C8778" s="45"/>
    </row>
    <row r="8779" spans="2:3" x14ac:dyDescent="0.25">
      <c r="B8779" s="15"/>
      <c r="C8779" s="45"/>
    </row>
    <row r="8780" spans="2:3" x14ac:dyDescent="0.25">
      <c r="B8780" s="15"/>
      <c r="C8780" s="45"/>
    </row>
    <row r="8781" spans="2:3" x14ac:dyDescent="0.25">
      <c r="B8781" s="15"/>
      <c r="C8781" s="45"/>
    </row>
    <row r="8782" spans="2:3" x14ac:dyDescent="0.25">
      <c r="B8782" s="15"/>
      <c r="C8782" s="45"/>
    </row>
    <row r="8783" spans="2:3" x14ac:dyDescent="0.25">
      <c r="B8783" s="15"/>
      <c r="C8783" s="45"/>
    </row>
    <row r="8784" spans="2:3" x14ac:dyDescent="0.25">
      <c r="B8784" s="15"/>
      <c r="C8784" s="45"/>
    </row>
    <row r="8785" spans="2:3" x14ac:dyDescent="0.25">
      <c r="B8785" s="15"/>
      <c r="C8785" s="45"/>
    </row>
    <row r="8786" spans="2:3" x14ac:dyDescent="0.25">
      <c r="B8786" s="15"/>
      <c r="C8786" s="45"/>
    </row>
    <row r="8787" spans="2:3" x14ac:dyDescent="0.25">
      <c r="B8787" s="15"/>
      <c r="C8787" s="45"/>
    </row>
    <row r="8788" spans="2:3" x14ac:dyDescent="0.25">
      <c r="B8788" s="15"/>
      <c r="C8788" s="45"/>
    </row>
    <row r="8789" spans="2:3" x14ac:dyDescent="0.25">
      <c r="B8789" s="15"/>
      <c r="C8789" s="45"/>
    </row>
    <row r="8790" spans="2:3" x14ac:dyDescent="0.25">
      <c r="B8790" s="15"/>
      <c r="C8790" s="45"/>
    </row>
    <row r="8791" spans="2:3" x14ac:dyDescent="0.25">
      <c r="B8791" s="15"/>
      <c r="C8791" s="45"/>
    </row>
    <row r="8792" spans="2:3" x14ac:dyDescent="0.25">
      <c r="B8792" s="15"/>
      <c r="C8792" s="45"/>
    </row>
    <row r="8793" spans="2:3" x14ac:dyDescent="0.25">
      <c r="B8793" s="15"/>
      <c r="C8793" s="45"/>
    </row>
    <row r="8794" spans="2:3" x14ac:dyDescent="0.25">
      <c r="B8794" s="15"/>
      <c r="C8794" s="45"/>
    </row>
    <row r="8795" spans="2:3" x14ac:dyDescent="0.25">
      <c r="B8795" s="15"/>
      <c r="C8795" s="45"/>
    </row>
    <row r="8796" spans="2:3" x14ac:dyDescent="0.25">
      <c r="B8796" s="15"/>
      <c r="C8796" s="45"/>
    </row>
    <row r="8797" spans="2:3" x14ac:dyDescent="0.25">
      <c r="B8797" s="15"/>
      <c r="C8797" s="45"/>
    </row>
    <row r="8798" spans="2:3" x14ac:dyDescent="0.25">
      <c r="B8798" s="15"/>
      <c r="C8798" s="45"/>
    </row>
    <row r="8799" spans="2:3" x14ac:dyDescent="0.25">
      <c r="B8799" s="15"/>
      <c r="C8799" s="45"/>
    </row>
    <row r="8800" spans="2:3" x14ac:dyDescent="0.25">
      <c r="B8800" s="15"/>
      <c r="C8800" s="45"/>
    </row>
    <row r="8801" spans="2:3" x14ac:dyDescent="0.25">
      <c r="B8801" s="15"/>
      <c r="C8801" s="45"/>
    </row>
    <row r="8802" spans="2:3" x14ac:dyDescent="0.25">
      <c r="B8802" s="15"/>
      <c r="C8802" s="45"/>
    </row>
    <row r="8803" spans="2:3" x14ac:dyDescent="0.25">
      <c r="B8803" s="15"/>
      <c r="C8803" s="45"/>
    </row>
    <row r="8804" spans="2:3" x14ac:dyDescent="0.25">
      <c r="B8804" s="15"/>
      <c r="C8804" s="45"/>
    </row>
    <row r="8805" spans="2:3" x14ac:dyDescent="0.25">
      <c r="B8805" s="15"/>
      <c r="C8805" s="45"/>
    </row>
    <row r="8806" spans="2:3" x14ac:dyDescent="0.25">
      <c r="B8806" s="15"/>
      <c r="C8806" s="45"/>
    </row>
    <row r="8807" spans="2:3" x14ac:dyDescent="0.25">
      <c r="B8807" s="15"/>
      <c r="C8807" s="45"/>
    </row>
    <row r="8808" spans="2:3" x14ac:dyDescent="0.25">
      <c r="B8808" s="15"/>
      <c r="C8808" s="45"/>
    </row>
    <row r="8809" spans="2:3" x14ac:dyDescent="0.25">
      <c r="B8809" s="15"/>
      <c r="C8809" s="45"/>
    </row>
    <row r="8810" spans="2:3" x14ac:dyDescent="0.25">
      <c r="B8810" s="15"/>
      <c r="C8810" s="45"/>
    </row>
    <row r="8811" spans="2:3" x14ac:dyDescent="0.25">
      <c r="B8811" s="15"/>
      <c r="C8811" s="45"/>
    </row>
    <row r="8812" spans="2:3" x14ac:dyDescent="0.25">
      <c r="B8812" s="15"/>
      <c r="C8812" s="45"/>
    </row>
    <row r="8813" spans="2:3" x14ac:dyDescent="0.25">
      <c r="B8813" s="15"/>
      <c r="C8813" s="45"/>
    </row>
    <row r="8814" spans="2:3" x14ac:dyDescent="0.25">
      <c r="B8814" s="15"/>
      <c r="C8814" s="45"/>
    </row>
    <row r="8815" spans="2:3" x14ac:dyDescent="0.25">
      <c r="B8815" s="15"/>
      <c r="C8815" s="45"/>
    </row>
    <row r="8816" spans="2:3" x14ac:dyDescent="0.25">
      <c r="B8816" s="15"/>
      <c r="C8816" s="45"/>
    </row>
    <row r="8817" spans="2:3" x14ac:dyDescent="0.25">
      <c r="B8817" s="15"/>
      <c r="C8817" s="45"/>
    </row>
    <row r="8818" spans="2:3" x14ac:dyDescent="0.25">
      <c r="B8818" s="15"/>
      <c r="C8818" s="45"/>
    </row>
    <row r="8819" spans="2:3" x14ac:dyDescent="0.25">
      <c r="B8819" s="15"/>
      <c r="C8819" s="45"/>
    </row>
    <row r="8820" spans="2:3" x14ac:dyDescent="0.25">
      <c r="B8820" s="15"/>
      <c r="C8820" s="45"/>
    </row>
    <row r="8821" spans="2:3" x14ac:dyDescent="0.25">
      <c r="B8821" s="15"/>
      <c r="C8821" s="45"/>
    </row>
    <row r="8822" spans="2:3" x14ac:dyDescent="0.25">
      <c r="B8822" s="15"/>
      <c r="C8822" s="45"/>
    </row>
    <row r="8823" spans="2:3" x14ac:dyDescent="0.25">
      <c r="B8823" s="15"/>
      <c r="C8823" s="45"/>
    </row>
    <row r="8824" spans="2:3" x14ac:dyDescent="0.25">
      <c r="B8824" s="15"/>
      <c r="C8824" s="45"/>
    </row>
    <row r="8825" spans="2:3" x14ac:dyDescent="0.25">
      <c r="B8825" s="15"/>
      <c r="C8825" s="45"/>
    </row>
    <row r="8826" spans="2:3" x14ac:dyDescent="0.25">
      <c r="B8826" s="15"/>
      <c r="C8826" s="45"/>
    </row>
    <row r="8827" spans="2:3" x14ac:dyDescent="0.25">
      <c r="B8827" s="15"/>
      <c r="C8827" s="45"/>
    </row>
    <row r="8828" spans="2:3" x14ac:dyDescent="0.25">
      <c r="B8828" s="15"/>
      <c r="C8828" s="45"/>
    </row>
    <row r="8829" spans="2:3" x14ac:dyDescent="0.25">
      <c r="B8829" s="15"/>
      <c r="C8829" s="45"/>
    </row>
    <row r="8830" spans="2:3" x14ac:dyDescent="0.25">
      <c r="B8830" s="15"/>
      <c r="C8830" s="45"/>
    </row>
    <row r="8831" spans="2:3" x14ac:dyDescent="0.25">
      <c r="B8831" s="15"/>
      <c r="C8831" s="45"/>
    </row>
    <row r="8832" spans="2:3" x14ac:dyDescent="0.25">
      <c r="B8832" s="15"/>
      <c r="C8832" s="45"/>
    </row>
    <row r="8833" spans="2:3" x14ac:dyDescent="0.25">
      <c r="B8833" s="15"/>
      <c r="C8833" s="45"/>
    </row>
    <row r="8834" spans="2:3" x14ac:dyDescent="0.25">
      <c r="B8834" s="15"/>
      <c r="C8834" s="45"/>
    </row>
    <row r="8835" spans="2:3" x14ac:dyDescent="0.25">
      <c r="B8835" s="15"/>
      <c r="C8835" s="45"/>
    </row>
    <row r="8836" spans="2:3" x14ac:dyDescent="0.25">
      <c r="B8836" s="15"/>
      <c r="C8836" s="45"/>
    </row>
    <row r="8837" spans="2:3" x14ac:dyDescent="0.25">
      <c r="B8837" s="15"/>
      <c r="C8837" s="45"/>
    </row>
    <row r="8838" spans="2:3" x14ac:dyDescent="0.25">
      <c r="B8838" s="15"/>
      <c r="C8838" s="45"/>
    </row>
    <row r="8839" spans="2:3" x14ac:dyDescent="0.25">
      <c r="B8839" s="15"/>
      <c r="C8839" s="45"/>
    </row>
    <row r="8840" spans="2:3" x14ac:dyDescent="0.25">
      <c r="B8840" s="15"/>
      <c r="C8840" s="45"/>
    </row>
    <row r="8841" spans="2:3" x14ac:dyDescent="0.25">
      <c r="B8841" s="15"/>
      <c r="C8841" s="45"/>
    </row>
    <row r="8842" spans="2:3" x14ac:dyDescent="0.25">
      <c r="B8842" s="15"/>
      <c r="C8842" s="45"/>
    </row>
    <row r="8843" spans="2:3" x14ac:dyDescent="0.25">
      <c r="B8843" s="15"/>
      <c r="C8843" s="45"/>
    </row>
    <row r="8844" spans="2:3" x14ac:dyDescent="0.25">
      <c r="B8844" s="15"/>
      <c r="C8844" s="45"/>
    </row>
    <row r="8845" spans="2:3" x14ac:dyDescent="0.25">
      <c r="B8845" s="15"/>
      <c r="C8845" s="45"/>
    </row>
    <row r="8846" spans="2:3" x14ac:dyDescent="0.25">
      <c r="B8846" s="15"/>
      <c r="C8846" s="45"/>
    </row>
    <row r="8847" spans="2:3" x14ac:dyDescent="0.25">
      <c r="B8847" s="15"/>
      <c r="C8847" s="45"/>
    </row>
    <row r="8848" spans="2:3" x14ac:dyDescent="0.25">
      <c r="B8848" s="15"/>
      <c r="C8848" s="45"/>
    </row>
    <row r="8849" spans="2:3" x14ac:dyDescent="0.25">
      <c r="B8849" s="15"/>
      <c r="C8849" s="45"/>
    </row>
    <row r="8850" spans="2:3" x14ac:dyDescent="0.25">
      <c r="B8850" s="15"/>
      <c r="C8850" s="45"/>
    </row>
    <row r="8851" spans="2:3" x14ac:dyDescent="0.25">
      <c r="B8851" s="15"/>
      <c r="C8851" s="45"/>
    </row>
    <row r="8852" spans="2:3" x14ac:dyDescent="0.25">
      <c r="B8852" s="15"/>
      <c r="C8852" s="45"/>
    </row>
    <row r="8853" spans="2:3" x14ac:dyDescent="0.25">
      <c r="B8853" s="15"/>
      <c r="C8853" s="45"/>
    </row>
    <row r="8854" spans="2:3" x14ac:dyDescent="0.25">
      <c r="B8854" s="15"/>
      <c r="C8854" s="45"/>
    </row>
    <row r="8855" spans="2:3" x14ac:dyDescent="0.25">
      <c r="B8855" s="15"/>
      <c r="C8855" s="45"/>
    </row>
    <row r="8856" spans="2:3" x14ac:dyDescent="0.25">
      <c r="B8856" s="15"/>
      <c r="C8856" s="45"/>
    </row>
    <row r="8857" spans="2:3" x14ac:dyDescent="0.25">
      <c r="B8857" s="15"/>
      <c r="C8857" s="45"/>
    </row>
    <row r="8858" spans="2:3" x14ac:dyDescent="0.25">
      <c r="B8858" s="15"/>
      <c r="C8858" s="45"/>
    </row>
    <row r="8859" spans="2:3" x14ac:dyDescent="0.25">
      <c r="B8859" s="15"/>
      <c r="C8859" s="45"/>
    </row>
    <row r="8860" spans="2:3" x14ac:dyDescent="0.25">
      <c r="B8860" s="15"/>
      <c r="C8860" s="45"/>
    </row>
    <row r="8861" spans="2:3" x14ac:dyDescent="0.25">
      <c r="B8861" s="15"/>
      <c r="C8861" s="45"/>
    </row>
    <row r="8862" spans="2:3" x14ac:dyDescent="0.25">
      <c r="B8862" s="15"/>
      <c r="C8862" s="45"/>
    </row>
    <row r="8863" spans="2:3" x14ac:dyDescent="0.25">
      <c r="B8863" s="15"/>
      <c r="C8863" s="45"/>
    </row>
    <row r="8864" spans="2:3" x14ac:dyDescent="0.25">
      <c r="B8864" s="15"/>
      <c r="C8864" s="45"/>
    </row>
    <row r="8865" spans="2:3" x14ac:dyDescent="0.25">
      <c r="B8865" s="15"/>
      <c r="C8865" s="45"/>
    </row>
    <row r="8866" spans="2:3" x14ac:dyDescent="0.25">
      <c r="B8866" s="15"/>
      <c r="C8866" s="45"/>
    </row>
    <row r="8867" spans="2:3" x14ac:dyDescent="0.25">
      <c r="B8867" s="15"/>
      <c r="C8867" s="45"/>
    </row>
    <row r="8868" spans="2:3" x14ac:dyDescent="0.25">
      <c r="B8868" s="15"/>
      <c r="C8868" s="45"/>
    </row>
    <row r="8869" spans="2:3" x14ac:dyDescent="0.25">
      <c r="B8869" s="15"/>
      <c r="C8869" s="45"/>
    </row>
    <row r="8870" spans="2:3" x14ac:dyDescent="0.25">
      <c r="B8870" s="15"/>
      <c r="C8870" s="45"/>
    </row>
    <row r="8871" spans="2:3" x14ac:dyDescent="0.25">
      <c r="B8871" s="15"/>
      <c r="C8871" s="45"/>
    </row>
    <row r="8872" spans="2:3" x14ac:dyDescent="0.25">
      <c r="B8872" s="15"/>
      <c r="C8872" s="45"/>
    </row>
    <row r="8873" spans="2:3" x14ac:dyDescent="0.25">
      <c r="B8873" s="15"/>
      <c r="C8873" s="45"/>
    </row>
    <row r="8874" spans="2:3" x14ac:dyDescent="0.25">
      <c r="B8874" s="15"/>
      <c r="C8874" s="45"/>
    </row>
    <row r="8875" spans="2:3" x14ac:dyDescent="0.25">
      <c r="B8875" s="15"/>
      <c r="C8875" s="45"/>
    </row>
    <row r="8876" spans="2:3" x14ac:dyDescent="0.25">
      <c r="B8876" s="15"/>
      <c r="C8876" s="45"/>
    </row>
    <row r="8877" spans="2:3" x14ac:dyDescent="0.25">
      <c r="B8877" s="15"/>
      <c r="C8877" s="45"/>
    </row>
    <row r="8878" spans="2:3" x14ac:dyDescent="0.25">
      <c r="B8878" s="15"/>
      <c r="C8878" s="45"/>
    </row>
    <row r="8879" spans="2:3" x14ac:dyDescent="0.25">
      <c r="B8879" s="15"/>
      <c r="C8879" s="45"/>
    </row>
    <row r="8880" spans="2:3" x14ac:dyDescent="0.25">
      <c r="B8880" s="15"/>
      <c r="C8880" s="45"/>
    </row>
    <row r="8881" spans="2:3" x14ac:dyDescent="0.25">
      <c r="B8881" s="15"/>
      <c r="C8881" s="45"/>
    </row>
    <row r="8882" spans="2:3" x14ac:dyDescent="0.25">
      <c r="B8882" s="15"/>
      <c r="C8882" s="45"/>
    </row>
    <row r="8883" spans="2:3" x14ac:dyDescent="0.25">
      <c r="B8883" s="15"/>
      <c r="C8883" s="45"/>
    </row>
    <row r="8884" spans="2:3" x14ac:dyDescent="0.25">
      <c r="B8884" s="15"/>
      <c r="C8884" s="45"/>
    </row>
    <row r="8885" spans="2:3" x14ac:dyDescent="0.25">
      <c r="B8885" s="15"/>
      <c r="C8885" s="45"/>
    </row>
    <row r="8886" spans="2:3" x14ac:dyDescent="0.25">
      <c r="B8886" s="15"/>
      <c r="C8886" s="45"/>
    </row>
    <row r="8887" spans="2:3" x14ac:dyDescent="0.25">
      <c r="B8887" s="15"/>
      <c r="C8887" s="45"/>
    </row>
    <row r="8888" spans="2:3" x14ac:dyDescent="0.25">
      <c r="B8888" s="15"/>
      <c r="C8888" s="45"/>
    </row>
    <row r="8889" spans="2:3" x14ac:dyDescent="0.25">
      <c r="B8889" s="15"/>
      <c r="C8889" s="45"/>
    </row>
    <row r="8890" spans="2:3" x14ac:dyDescent="0.25">
      <c r="B8890" s="15"/>
      <c r="C8890" s="45"/>
    </row>
    <row r="8891" spans="2:3" x14ac:dyDescent="0.25">
      <c r="B8891" s="15"/>
      <c r="C8891" s="45"/>
    </row>
    <row r="8892" spans="2:3" x14ac:dyDescent="0.25">
      <c r="B8892" s="15"/>
      <c r="C8892" s="45"/>
    </row>
    <row r="8893" spans="2:3" x14ac:dyDescent="0.25">
      <c r="B8893" s="15"/>
      <c r="C8893" s="45"/>
    </row>
    <row r="8894" spans="2:3" x14ac:dyDescent="0.25">
      <c r="B8894" s="15"/>
      <c r="C8894" s="45"/>
    </row>
    <row r="8895" spans="2:3" x14ac:dyDescent="0.25">
      <c r="B8895" s="15"/>
      <c r="C8895" s="45"/>
    </row>
    <row r="8896" spans="2:3" x14ac:dyDescent="0.25">
      <c r="B8896" s="15"/>
      <c r="C8896" s="45"/>
    </row>
    <row r="8897" spans="2:3" x14ac:dyDescent="0.25">
      <c r="B8897" s="15"/>
      <c r="C8897" s="45"/>
    </row>
    <row r="8898" spans="2:3" x14ac:dyDescent="0.25">
      <c r="B8898" s="15"/>
      <c r="C8898" s="45"/>
    </row>
    <row r="8899" spans="2:3" x14ac:dyDescent="0.25">
      <c r="B8899" s="15"/>
      <c r="C8899" s="45"/>
    </row>
    <row r="8900" spans="2:3" x14ac:dyDescent="0.25">
      <c r="B8900" s="15"/>
      <c r="C8900" s="45"/>
    </row>
    <row r="8901" spans="2:3" x14ac:dyDescent="0.25">
      <c r="B8901" s="15"/>
      <c r="C8901" s="45"/>
    </row>
    <row r="8902" spans="2:3" x14ac:dyDescent="0.25">
      <c r="B8902" s="15"/>
      <c r="C8902" s="45"/>
    </row>
    <row r="8903" spans="2:3" x14ac:dyDescent="0.25">
      <c r="B8903" s="15"/>
      <c r="C8903" s="45"/>
    </row>
    <row r="8904" spans="2:3" x14ac:dyDescent="0.25">
      <c r="B8904" s="15"/>
      <c r="C8904" s="45"/>
    </row>
    <row r="8905" spans="2:3" x14ac:dyDescent="0.25">
      <c r="B8905" s="15"/>
      <c r="C8905" s="45"/>
    </row>
    <row r="8906" spans="2:3" x14ac:dyDescent="0.25">
      <c r="B8906" s="15"/>
      <c r="C8906" s="45"/>
    </row>
    <row r="8907" spans="2:3" x14ac:dyDescent="0.25">
      <c r="B8907" s="15"/>
      <c r="C8907" s="45"/>
    </row>
    <row r="8908" spans="2:3" x14ac:dyDescent="0.25">
      <c r="B8908" s="15"/>
      <c r="C8908" s="45"/>
    </row>
    <row r="8909" spans="2:3" x14ac:dyDescent="0.25">
      <c r="B8909" s="15"/>
      <c r="C8909" s="45"/>
    </row>
    <row r="8910" spans="2:3" x14ac:dyDescent="0.25">
      <c r="B8910" s="15"/>
      <c r="C8910" s="45"/>
    </row>
    <row r="8911" spans="2:3" x14ac:dyDescent="0.25">
      <c r="B8911" s="15"/>
      <c r="C8911" s="45"/>
    </row>
    <row r="8912" spans="2:3" x14ac:dyDescent="0.25">
      <c r="B8912" s="15"/>
      <c r="C8912" s="45"/>
    </row>
    <row r="8913" spans="2:3" x14ac:dyDescent="0.25">
      <c r="B8913" s="15"/>
      <c r="C8913" s="45"/>
    </row>
    <row r="8914" spans="2:3" x14ac:dyDescent="0.25">
      <c r="B8914" s="15"/>
      <c r="C8914" s="45"/>
    </row>
    <row r="8915" spans="2:3" x14ac:dyDescent="0.25">
      <c r="B8915" s="15"/>
      <c r="C8915" s="45"/>
    </row>
    <row r="8916" spans="2:3" x14ac:dyDescent="0.25">
      <c r="B8916" s="15"/>
      <c r="C8916" s="45"/>
    </row>
    <row r="8917" spans="2:3" x14ac:dyDescent="0.25">
      <c r="B8917" s="15"/>
      <c r="C8917" s="45"/>
    </row>
    <row r="8918" spans="2:3" x14ac:dyDescent="0.25">
      <c r="B8918" s="15"/>
      <c r="C8918" s="45"/>
    </row>
    <row r="8919" spans="2:3" x14ac:dyDescent="0.25">
      <c r="B8919" s="15"/>
      <c r="C8919" s="45"/>
    </row>
    <row r="8920" spans="2:3" x14ac:dyDescent="0.25">
      <c r="B8920" s="15"/>
      <c r="C8920" s="45"/>
    </row>
    <row r="8921" spans="2:3" x14ac:dyDescent="0.25">
      <c r="B8921" s="15"/>
      <c r="C8921" s="45"/>
    </row>
    <row r="8922" spans="2:3" x14ac:dyDescent="0.25">
      <c r="B8922" s="15"/>
      <c r="C8922" s="45"/>
    </row>
    <row r="8923" spans="2:3" x14ac:dyDescent="0.25">
      <c r="B8923" s="15"/>
      <c r="C8923" s="45"/>
    </row>
    <row r="8924" spans="2:3" x14ac:dyDescent="0.25">
      <c r="B8924" s="15"/>
      <c r="C8924" s="45"/>
    </row>
    <row r="8925" spans="2:3" x14ac:dyDescent="0.25">
      <c r="B8925" s="15"/>
      <c r="C8925" s="45"/>
    </row>
    <row r="8926" spans="2:3" x14ac:dyDescent="0.25">
      <c r="B8926" s="15"/>
      <c r="C8926" s="45"/>
    </row>
    <row r="8927" spans="2:3" x14ac:dyDescent="0.25">
      <c r="B8927" s="15"/>
      <c r="C8927" s="45"/>
    </row>
    <row r="8928" spans="2:3" x14ac:dyDescent="0.25">
      <c r="B8928" s="15"/>
      <c r="C8928" s="45"/>
    </row>
    <row r="8929" spans="2:3" x14ac:dyDescent="0.25">
      <c r="B8929" s="15"/>
      <c r="C8929" s="45"/>
    </row>
    <row r="8930" spans="2:3" x14ac:dyDescent="0.25">
      <c r="B8930" s="15"/>
      <c r="C8930" s="45"/>
    </row>
    <row r="8931" spans="2:3" x14ac:dyDescent="0.25">
      <c r="B8931" s="15"/>
      <c r="C8931" s="45"/>
    </row>
    <row r="8932" spans="2:3" x14ac:dyDescent="0.25">
      <c r="B8932" s="15"/>
      <c r="C8932" s="45"/>
    </row>
    <row r="8933" spans="2:3" x14ac:dyDescent="0.25">
      <c r="B8933" s="15"/>
      <c r="C8933" s="45"/>
    </row>
    <row r="8934" spans="2:3" x14ac:dyDescent="0.25">
      <c r="B8934" s="15"/>
      <c r="C8934" s="45"/>
    </row>
    <row r="8935" spans="2:3" x14ac:dyDescent="0.25">
      <c r="B8935" s="15"/>
      <c r="C8935" s="45"/>
    </row>
    <row r="8936" spans="2:3" x14ac:dyDescent="0.25">
      <c r="B8936" s="15"/>
      <c r="C8936" s="45"/>
    </row>
    <row r="8937" spans="2:3" x14ac:dyDescent="0.25">
      <c r="B8937" s="15"/>
      <c r="C8937" s="45"/>
    </row>
    <row r="8938" spans="2:3" x14ac:dyDescent="0.25">
      <c r="B8938" s="15"/>
      <c r="C8938" s="45"/>
    </row>
    <row r="8939" spans="2:3" x14ac:dyDescent="0.25">
      <c r="B8939" s="15"/>
      <c r="C8939" s="45"/>
    </row>
    <row r="8940" spans="2:3" x14ac:dyDescent="0.25">
      <c r="B8940" s="15"/>
      <c r="C8940" s="45"/>
    </row>
    <row r="8941" spans="2:3" x14ac:dyDescent="0.25">
      <c r="B8941" s="15"/>
      <c r="C8941" s="45"/>
    </row>
    <row r="8942" spans="2:3" x14ac:dyDescent="0.25">
      <c r="B8942" s="15"/>
      <c r="C8942" s="45"/>
    </row>
    <row r="8943" spans="2:3" x14ac:dyDescent="0.25">
      <c r="B8943" s="15"/>
      <c r="C8943" s="45"/>
    </row>
    <row r="8944" spans="2:3" x14ac:dyDescent="0.25">
      <c r="B8944" s="15"/>
      <c r="C8944" s="45"/>
    </row>
    <row r="8945" spans="2:3" x14ac:dyDescent="0.25">
      <c r="B8945" s="15"/>
      <c r="C8945" s="45"/>
    </row>
    <row r="8946" spans="2:3" x14ac:dyDescent="0.25">
      <c r="B8946" s="15"/>
      <c r="C8946" s="45"/>
    </row>
    <row r="8947" spans="2:3" x14ac:dyDescent="0.25">
      <c r="B8947" s="15"/>
      <c r="C8947" s="45"/>
    </row>
    <row r="8948" spans="2:3" x14ac:dyDescent="0.25">
      <c r="B8948" s="15"/>
      <c r="C8948" s="45"/>
    </row>
    <row r="8949" spans="2:3" x14ac:dyDescent="0.25">
      <c r="B8949" s="15"/>
      <c r="C8949" s="45"/>
    </row>
    <row r="8950" spans="2:3" x14ac:dyDescent="0.25">
      <c r="B8950" s="15"/>
      <c r="C8950" s="45"/>
    </row>
    <row r="8951" spans="2:3" x14ac:dyDescent="0.25">
      <c r="B8951" s="15"/>
      <c r="C8951" s="45"/>
    </row>
    <row r="8952" spans="2:3" x14ac:dyDescent="0.25">
      <c r="B8952" s="15"/>
      <c r="C8952" s="45"/>
    </row>
    <row r="8953" spans="2:3" x14ac:dyDescent="0.25">
      <c r="B8953" s="15"/>
      <c r="C8953" s="45"/>
    </row>
    <row r="8954" spans="2:3" x14ac:dyDescent="0.25">
      <c r="B8954" s="15"/>
      <c r="C8954" s="45"/>
    </row>
    <row r="8955" spans="2:3" x14ac:dyDescent="0.25">
      <c r="B8955" s="15"/>
      <c r="C8955" s="45"/>
    </row>
    <row r="8956" spans="2:3" x14ac:dyDescent="0.25">
      <c r="B8956" s="15"/>
      <c r="C8956" s="45"/>
    </row>
    <row r="8957" spans="2:3" x14ac:dyDescent="0.25">
      <c r="B8957" s="15"/>
      <c r="C8957" s="45"/>
    </row>
    <row r="8958" spans="2:3" x14ac:dyDescent="0.25">
      <c r="B8958" s="15"/>
      <c r="C8958" s="45"/>
    </row>
    <row r="8959" spans="2:3" x14ac:dyDescent="0.25">
      <c r="B8959" s="15"/>
      <c r="C8959" s="45"/>
    </row>
    <row r="8960" spans="2:3" x14ac:dyDescent="0.25">
      <c r="B8960" s="15"/>
      <c r="C8960" s="45"/>
    </row>
    <row r="8961" spans="2:3" x14ac:dyDescent="0.25">
      <c r="B8961" s="15"/>
      <c r="C8961" s="45"/>
    </row>
    <row r="8962" spans="2:3" x14ac:dyDescent="0.25">
      <c r="B8962" s="15"/>
      <c r="C8962" s="45"/>
    </row>
    <row r="8963" spans="2:3" x14ac:dyDescent="0.25">
      <c r="B8963" s="15"/>
      <c r="C8963" s="45"/>
    </row>
    <row r="8964" spans="2:3" x14ac:dyDescent="0.25">
      <c r="B8964" s="15"/>
      <c r="C8964" s="45"/>
    </row>
    <row r="8965" spans="2:3" x14ac:dyDescent="0.25">
      <c r="B8965" s="15"/>
      <c r="C8965" s="45"/>
    </row>
    <row r="8966" spans="2:3" x14ac:dyDescent="0.25">
      <c r="B8966" s="15"/>
      <c r="C8966" s="45"/>
    </row>
    <row r="8967" spans="2:3" x14ac:dyDescent="0.25">
      <c r="B8967" s="15"/>
      <c r="C8967" s="45"/>
    </row>
    <row r="8968" spans="2:3" x14ac:dyDescent="0.25">
      <c r="B8968" s="15"/>
      <c r="C8968" s="45"/>
    </row>
    <row r="8969" spans="2:3" x14ac:dyDescent="0.25">
      <c r="B8969" s="15"/>
      <c r="C8969" s="45"/>
    </row>
    <row r="8970" spans="2:3" x14ac:dyDescent="0.25">
      <c r="B8970" s="15"/>
      <c r="C8970" s="45"/>
    </row>
    <row r="8971" spans="2:3" x14ac:dyDescent="0.25">
      <c r="B8971" s="15"/>
      <c r="C8971" s="45"/>
    </row>
    <row r="8972" spans="2:3" x14ac:dyDescent="0.25">
      <c r="B8972" s="15"/>
      <c r="C8972" s="45"/>
    </row>
    <row r="8973" spans="2:3" x14ac:dyDescent="0.25">
      <c r="B8973" s="15"/>
      <c r="C8973" s="45"/>
    </row>
    <row r="8974" spans="2:3" x14ac:dyDescent="0.25">
      <c r="B8974" s="15"/>
      <c r="C8974" s="45"/>
    </row>
    <row r="8975" spans="2:3" x14ac:dyDescent="0.25">
      <c r="B8975" s="15"/>
      <c r="C8975" s="45"/>
    </row>
    <row r="8976" spans="2:3" x14ac:dyDescent="0.25">
      <c r="B8976" s="15"/>
      <c r="C8976" s="45"/>
    </row>
    <row r="8977" spans="2:3" x14ac:dyDescent="0.25">
      <c r="B8977" s="15"/>
      <c r="C8977" s="45"/>
    </row>
    <row r="8978" spans="2:3" x14ac:dyDescent="0.25">
      <c r="B8978" s="15"/>
      <c r="C8978" s="45"/>
    </row>
    <row r="8979" spans="2:3" x14ac:dyDescent="0.25">
      <c r="B8979" s="15"/>
      <c r="C8979" s="45"/>
    </row>
    <row r="8980" spans="2:3" x14ac:dyDescent="0.25">
      <c r="B8980" s="15"/>
      <c r="C8980" s="45"/>
    </row>
    <row r="8981" spans="2:3" x14ac:dyDescent="0.25">
      <c r="B8981" s="15"/>
      <c r="C8981" s="45"/>
    </row>
    <row r="8982" spans="2:3" x14ac:dyDescent="0.25">
      <c r="B8982" s="15"/>
      <c r="C8982" s="45"/>
    </row>
    <row r="8983" spans="2:3" x14ac:dyDescent="0.25">
      <c r="B8983" s="15"/>
      <c r="C8983" s="45"/>
    </row>
    <row r="8984" spans="2:3" x14ac:dyDescent="0.25">
      <c r="B8984" s="15"/>
      <c r="C8984" s="45"/>
    </row>
    <row r="8985" spans="2:3" x14ac:dyDescent="0.25">
      <c r="B8985" s="15"/>
      <c r="C8985" s="45"/>
    </row>
    <row r="8986" spans="2:3" x14ac:dyDescent="0.25">
      <c r="B8986" s="15"/>
      <c r="C8986" s="45"/>
    </row>
    <row r="8987" spans="2:3" x14ac:dyDescent="0.25">
      <c r="B8987" s="15"/>
      <c r="C8987" s="45"/>
    </row>
    <row r="8988" spans="2:3" x14ac:dyDescent="0.25">
      <c r="B8988" s="15"/>
      <c r="C8988" s="45"/>
    </row>
    <row r="8989" spans="2:3" x14ac:dyDescent="0.25">
      <c r="B8989" s="15"/>
      <c r="C8989" s="45"/>
    </row>
    <row r="8990" spans="2:3" x14ac:dyDescent="0.25">
      <c r="B8990" s="15"/>
      <c r="C8990" s="45"/>
    </row>
    <row r="8991" spans="2:3" x14ac:dyDescent="0.25">
      <c r="B8991" s="15"/>
      <c r="C8991" s="45"/>
    </row>
    <row r="8992" spans="2:3" x14ac:dyDescent="0.25">
      <c r="B8992" s="15"/>
      <c r="C8992" s="45"/>
    </row>
    <row r="8993" spans="2:3" x14ac:dyDescent="0.25">
      <c r="B8993" s="15"/>
      <c r="C8993" s="45"/>
    </row>
    <row r="8994" spans="2:3" x14ac:dyDescent="0.25">
      <c r="B8994" s="15"/>
      <c r="C8994" s="45"/>
    </row>
    <row r="8995" spans="2:3" x14ac:dyDescent="0.25">
      <c r="B8995" s="15"/>
      <c r="C8995" s="45"/>
    </row>
    <row r="8996" spans="2:3" x14ac:dyDescent="0.25">
      <c r="B8996" s="15"/>
      <c r="C8996" s="45"/>
    </row>
    <row r="8997" spans="2:3" x14ac:dyDescent="0.25">
      <c r="B8997" s="15"/>
      <c r="C8997" s="45"/>
    </row>
    <row r="8998" spans="2:3" x14ac:dyDescent="0.25">
      <c r="B8998" s="15"/>
      <c r="C8998" s="45"/>
    </row>
    <row r="8999" spans="2:3" x14ac:dyDescent="0.25">
      <c r="B8999" s="15"/>
      <c r="C8999" s="45"/>
    </row>
    <row r="9000" spans="2:3" x14ac:dyDescent="0.25">
      <c r="B9000" s="15"/>
      <c r="C9000" s="45"/>
    </row>
    <row r="9001" spans="2:3" x14ac:dyDescent="0.25">
      <c r="B9001" s="15"/>
      <c r="C9001" s="45"/>
    </row>
    <row r="9002" spans="2:3" x14ac:dyDescent="0.25">
      <c r="B9002" s="15"/>
      <c r="C9002" s="45"/>
    </row>
    <row r="9003" spans="2:3" x14ac:dyDescent="0.25">
      <c r="B9003" s="15"/>
      <c r="C9003" s="45"/>
    </row>
    <row r="9004" spans="2:3" x14ac:dyDescent="0.25">
      <c r="B9004" s="15"/>
      <c r="C9004" s="45"/>
    </row>
    <row r="9005" spans="2:3" x14ac:dyDescent="0.25">
      <c r="B9005" s="15"/>
      <c r="C9005" s="45"/>
    </row>
    <row r="9006" spans="2:3" x14ac:dyDescent="0.25">
      <c r="B9006" s="15"/>
      <c r="C9006" s="45"/>
    </row>
    <row r="9007" spans="2:3" x14ac:dyDescent="0.25">
      <c r="B9007" s="15"/>
      <c r="C9007" s="45"/>
    </row>
    <row r="9008" spans="2:3" x14ac:dyDescent="0.25">
      <c r="B9008" s="15"/>
      <c r="C9008" s="45"/>
    </row>
    <row r="9009" spans="2:3" x14ac:dyDescent="0.25">
      <c r="B9009" s="15"/>
      <c r="C9009" s="45"/>
    </row>
    <row r="9010" spans="2:3" x14ac:dyDescent="0.25">
      <c r="B9010" s="15"/>
      <c r="C9010" s="45"/>
    </row>
    <row r="9011" spans="2:3" x14ac:dyDescent="0.25">
      <c r="B9011" s="15"/>
      <c r="C9011" s="45"/>
    </row>
    <row r="9012" spans="2:3" x14ac:dyDescent="0.25">
      <c r="B9012" s="15"/>
      <c r="C9012" s="45"/>
    </row>
    <row r="9013" spans="2:3" x14ac:dyDescent="0.25">
      <c r="B9013" s="15"/>
      <c r="C9013" s="45"/>
    </row>
    <row r="9014" spans="2:3" x14ac:dyDescent="0.25">
      <c r="B9014" s="15"/>
      <c r="C9014" s="45"/>
    </row>
    <row r="9015" spans="2:3" x14ac:dyDescent="0.25">
      <c r="B9015" s="15"/>
      <c r="C9015" s="45"/>
    </row>
    <row r="9016" spans="2:3" x14ac:dyDescent="0.25">
      <c r="B9016" s="15"/>
      <c r="C9016" s="45"/>
    </row>
    <row r="9017" spans="2:3" x14ac:dyDescent="0.25">
      <c r="B9017" s="15"/>
      <c r="C9017" s="45"/>
    </row>
    <row r="9018" spans="2:3" x14ac:dyDescent="0.25">
      <c r="B9018" s="15"/>
      <c r="C9018" s="45"/>
    </row>
    <row r="9019" spans="2:3" x14ac:dyDescent="0.25">
      <c r="B9019" s="15"/>
      <c r="C9019" s="45"/>
    </row>
    <row r="9020" spans="2:3" x14ac:dyDescent="0.25">
      <c r="B9020" s="15"/>
      <c r="C9020" s="45"/>
    </row>
    <row r="9021" spans="2:3" x14ac:dyDescent="0.25">
      <c r="B9021" s="15"/>
      <c r="C9021" s="45"/>
    </row>
    <row r="9022" spans="2:3" x14ac:dyDescent="0.25">
      <c r="B9022" s="15"/>
      <c r="C9022" s="45"/>
    </row>
    <row r="9023" spans="2:3" x14ac:dyDescent="0.25">
      <c r="B9023" s="15"/>
      <c r="C9023" s="45"/>
    </row>
    <row r="9024" spans="2:3" x14ac:dyDescent="0.25">
      <c r="B9024" s="15"/>
      <c r="C9024" s="45"/>
    </row>
    <row r="9025" spans="2:3" x14ac:dyDescent="0.25">
      <c r="B9025" s="15"/>
      <c r="C9025" s="45"/>
    </row>
    <row r="9026" spans="2:3" x14ac:dyDescent="0.25">
      <c r="B9026" s="15"/>
      <c r="C9026" s="45"/>
    </row>
    <row r="9027" spans="2:3" x14ac:dyDescent="0.25">
      <c r="B9027" s="15"/>
      <c r="C9027" s="45"/>
    </row>
    <row r="9028" spans="2:3" x14ac:dyDescent="0.25">
      <c r="B9028" s="15"/>
      <c r="C9028" s="45"/>
    </row>
    <row r="9029" spans="2:3" x14ac:dyDescent="0.25">
      <c r="B9029" s="15"/>
      <c r="C9029" s="45"/>
    </row>
    <row r="9030" spans="2:3" x14ac:dyDescent="0.25">
      <c r="B9030" s="15"/>
      <c r="C9030" s="45"/>
    </row>
    <row r="9031" spans="2:3" x14ac:dyDescent="0.25">
      <c r="B9031" s="15"/>
      <c r="C9031" s="45"/>
    </row>
    <row r="9032" spans="2:3" x14ac:dyDescent="0.25">
      <c r="B9032" s="15"/>
      <c r="C9032" s="45"/>
    </row>
    <row r="9033" spans="2:3" x14ac:dyDescent="0.25">
      <c r="B9033" s="15"/>
      <c r="C9033" s="45"/>
    </row>
    <row r="9034" spans="2:3" x14ac:dyDescent="0.25">
      <c r="B9034" s="15"/>
      <c r="C9034" s="45"/>
    </row>
    <row r="9035" spans="2:3" x14ac:dyDescent="0.25">
      <c r="B9035" s="15"/>
      <c r="C9035" s="45"/>
    </row>
    <row r="9036" spans="2:3" x14ac:dyDescent="0.25">
      <c r="B9036" s="15"/>
      <c r="C9036" s="45"/>
    </row>
    <row r="9037" spans="2:3" x14ac:dyDescent="0.25">
      <c r="B9037" s="15"/>
      <c r="C9037" s="45"/>
    </row>
    <row r="9038" spans="2:3" x14ac:dyDescent="0.25">
      <c r="B9038" s="15"/>
      <c r="C9038" s="45"/>
    </row>
    <row r="9039" spans="2:3" x14ac:dyDescent="0.25">
      <c r="B9039" s="15"/>
      <c r="C9039" s="45"/>
    </row>
    <row r="9040" spans="2:3" x14ac:dyDescent="0.25">
      <c r="B9040" s="15"/>
      <c r="C9040" s="45"/>
    </row>
    <row r="9041" spans="2:3" x14ac:dyDescent="0.25">
      <c r="B9041" s="15"/>
      <c r="C9041" s="45"/>
    </row>
    <row r="9042" spans="2:3" x14ac:dyDescent="0.25">
      <c r="B9042" s="15"/>
      <c r="C9042" s="45"/>
    </row>
    <row r="9043" spans="2:3" x14ac:dyDescent="0.25">
      <c r="B9043" s="15"/>
      <c r="C9043" s="45"/>
    </row>
    <row r="9044" spans="2:3" x14ac:dyDescent="0.25">
      <c r="B9044" s="15"/>
      <c r="C9044" s="45"/>
    </row>
    <row r="9045" spans="2:3" x14ac:dyDescent="0.25">
      <c r="B9045" s="15"/>
      <c r="C9045" s="45"/>
    </row>
    <row r="9046" spans="2:3" x14ac:dyDescent="0.25">
      <c r="B9046" s="15"/>
      <c r="C9046" s="45"/>
    </row>
    <row r="9047" spans="2:3" x14ac:dyDescent="0.25">
      <c r="B9047" s="15"/>
      <c r="C9047" s="45"/>
    </row>
    <row r="9048" spans="2:3" x14ac:dyDescent="0.25">
      <c r="B9048" s="15"/>
      <c r="C9048" s="45"/>
    </row>
    <row r="9049" spans="2:3" x14ac:dyDescent="0.25">
      <c r="B9049" s="15"/>
      <c r="C9049" s="45"/>
    </row>
    <row r="9050" spans="2:3" x14ac:dyDescent="0.25">
      <c r="B9050" s="15"/>
      <c r="C9050" s="45"/>
    </row>
    <row r="9051" spans="2:3" x14ac:dyDescent="0.25">
      <c r="B9051" s="15"/>
      <c r="C9051" s="45"/>
    </row>
    <row r="9052" spans="2:3" x14ac:dyDescent="0.25">
      <c r="B9052" s="15"/>
      <c r="C9052" s="45"/>
    </row>
    <row r="9053" spans="2:3" x14ac:dyDescent="0.25">
      <c r="B9053" s="15"/>
      <c r="C9053" s="45"/>
    </row>
    <row r="9054" spans="2:3" x14ac:dyDescent="0.25">
      <c r="B9054" s="15"/>
      <c r="C9054" s="45"/>
    </row>
    <row r="9055" spans="2:3" x14ac:dyDescent="0.25">
      <c r="B9055" s="15"/>
      <c r="C9055" s="45"/>
    </row>
    <row r="9056" spans="2:3" x14ac:dyDescent="0.25">
      <c r="B9056" s="15"/>
      <c r="C9056" s="45"/>
    </row>
    <row r="9057" spans="2:3" x14ac:dyDescent="0.25">
      <c r="B9057" s="15"/>
      <c r="C9057" s="45"/>
    </row>
    <row r="9058" spans="2:3" x14ac:dyDescent="0.25">
      <c r="B9058" s="15"/>
      <c r="C9058" s="45"/>
    </row>
    <row r="9059" spans="2:3" x14ac:dyDescent="0.25">
      <c r="B9059" s="15"/>
      <c r="C9059" s="45"/>
    </row>
    <row r="9060" spans="2:3" x14ac:dyDescent="0.25">
      <c r="B9060" s="15"/>
      <c r="C9060" s="45"/>
    </row>
    <row r="9061" spans="2:3" x14ac:dyDescent="0.25">
      <c r="B9061" s="15"/>
      <c r="C9061" s="45"/>
    </row>
    <row r="9062" spans="2:3" x14ac:dyDescent="0.25">
      <c r="B9062" s="15"/>
      <c r="C9062" s="45"/>
    </row>
    <row r="9063" spans="2:3" x14ac:dyDescent="0.25">
      <c r="B9063" s="15"/>
      <c r="C9063" s="45"/>
    </row>
    <row r="9064" spans="2:3" x14ac:dyDescent="0.25">
      <c r="B9064" s="15"/>
      <c r="C9064" s="45"/>
    </row>
    <row r="9065" spans="2:3" x14ac:dyDescent="0.25">
      <c r="B9065" s="15"/>
      <c r="C9065" s="45"/>
    </row>
    <row r="9066" spans="2:3" x14ac:dyDescent="0.25">
      <c r="B9066" s="15"/>
      <c r="C9066" s="45"/>
    </row>
    <row r="9067" spans="2:3" x14ac:dyDescent="0.25">
      <c r="B9067" s="15"/>
      <c r="C9067" s="45"/>
    </row>
    <row r="9068" spans="2:3" x14ac:dyDescent="0.25">
      <c r="B9068" s="15"/>
      <c r="C9068" s="45"/>
    </row>
    <row r="9069" spans="2:3" x14ac:dyDescent="0.25">
      <c r="B9069" s="15"/>
      <c r="C9069" s="45"/>
    </row>
    <row r="9070" spans="2:3" x14ac:dyDescent="0.25">
      <c r="B9070" s="15"/>
      <c r="C9070" s="45"/>
    </row>
    <row r="9071" spans="2:3" x14ac:dyDescent="0.25">
      <c r="B9071" s="15"/>
      <c r="C9071" s="45"/>
    </row>
    <row r="9072" spans="2:3" x14ac:dyDescent="0.25">
      <c r="B9072" s="15"/>
      <c r="C9072" s="45"/>
    </row>
    <row r="9073" spans="2:3" x14ac:dyDescent="0.25">
      <c r="B9073" s="15"/>
      <c r="C9073" s="45"/>
    </row>
    <row r="9074" spans="2:3" x14ac:dyDescent="0.25">
      <c r="B9074" s="15"/>
      <c r="C9074" s="45"/>
    </row>
    <row r="9075" spans="2:3" x14ac:dyDescent="0.25">
      <c r="B9075" s="15"/>
      <c r="C9075" s="45"/>
    </row>
    <row r="9076" spans="2:3" x14ac:dyDescent="0.25">
      <c r="B9076" s="15"/>
      <c r="C9076" s="45"/>
    </row>
    <row r="9077" spans="2:3" x14ac:dyDescent="0.25">
      <c r="B9077" s="15"/>
      <c r="C9077" s="45"/>
    </row>
    <row r="9078" spans="2:3" x14ac:dyDescent="0.25">
      <c r="B9078" s="15"/>
      <c r="C9078" s="45"/>
    </row>
    <row r="9079" spans="2:3" x14ac:dyDescent="0.25">
      <c r="B9079" s="15"/>
      <c r="C9079" s="45"/>
    </row>
    <row r="9080" spans="2:3" x14ac:dyDescent="0.25">
      <c r="B9080" s="15"/>
      <c r="C9080" s="45"/>
    </row>
    <row r="9081" spans="2:3" x14ac:dyDescent="0.25">
      <c r="B9081" s="15"/>
      <c r="C9081" s="45"/>
    </row>
    <row r="9082" spans="2:3" x14ac:dyDescent="0.25">
      <c r="B9082" s="15"/>
      <c r="C9082" s="45"/>
    </row>
    <row r="9083" spans="2:3" x14ac:dyDescent="0.25">
      <c r="B9083" s="15"/>
      <c r="C9083" s="45"/>
    </row>
    <row r="9084" spans="2:3" x14ac:dyDescent="0.25">
      <c r="B9084" s="15"/>
      <c r="C9084" s="45"/>
    </row>
    <row r="9085" spans="2:3" x14ac:dyDescent="0.25">
      <c r="B9085" s="15"/>
      <c r="C9085" s="45"/>
    </row>
    <row r="9086" spans="2:3" x14ac:dyDescent="0.25">
      <c r="B9086" s="15"/>
      <c r="C9086" s="45"/>
    </row>
    <row r="9087" spans="2:3" x14ac:dyDescent="0.25">
      <c r="B9087" s="15"/>
      <c r="C9087" s="45"/>
    </row>
    <row r="9088" spans="2:3" x14ac:dyDescent="0.25">
      <c r="B9088" s="15"/>
      <c r="C9088" s="45"/>
    </row>
    <row r="9089" spans="2:3" x14ac:dyDescent="0.25">
      <c r="B9089" s="15"/>
      <c r="C9089" s="45"/>
    </row>
    <row r="9090" spans="2:3" x14ac:dyDescent="0.25">
      <c r="B9090" s="15"/>
      <c r="C9090" s="45"/>
    </row>
    <row r="9091" spans="2:3" x14ac:dyDescent="0.25">
      <c r="B9091" s="15"/>
      <c r="C9091" s="45"/>
    </row>
    <row r="9092" spans="2:3" x14ac:dyDescent="0.25">
      <c r="B9092" s="15"/>
      <c r="C9092" s="45"/>
    </row>
    <row r="9093" spans="2:3" x14ac:dyDescent="0.25">
      <c r="B9093" s="15"/>
      <c r="C9093" s="45"/>
    </row>
    <row r="9094" spans="2:3" x14ac:dyDescent="0.25">
      <c r="B9094" s="15"/>
      <c r="C9094" s="45"/>
    </row>
    <row r="9095" spans="2:3" x14ac:dyDescent="0.25">
      <c r="B9095" s="15"/>
      <c r="C9095" s="45"/>
    </row>
    <row r="9096" spans="2:3" x14ac:dyDescent="0.25">
      <c r="B9096" s="15"/>
      <c r="C9096" s="45"/>
    </row>
    <row r="9097" spans="2:3" x14ac:dyDescent="0.25">
      <c r="B9097" s="15"/>
      <c r="C9097" s="45"/>
    </row>
    <row r="9098" spans="2:3" x14ac:dyDescent="0.25">
      <c r="B9098" s="15"/>
      <c r="C9098" s="45"/>
    </row>
    <row r="9099" spans="2:3" x14ac:dyDescent="0.25">
      <c r="B9099" s="15"/>
      <c r="C9099" s="45"/>
    </row>
    <row r="9100" spans="2:3" x14ac:dyDescent="0.25">
      <c r="B9100" s="15"/>
      <c r="C9100" s="45"/>
    </row>
    <row r="9101" spans="2:3" x14ac:dyDescent="0.25">
      <c r="B9101" s="15"/>
      <c r="C9101" s="45"/>
    </row>
    <row r="9102" spans="2:3" x14ac:dyDescent="0.25">
      <c r="B9102" s="15"/>
      <c r="C9102" s="45"/>
    </row>
    <row r="9103" spans="2:3" x14ac:dyDescent="0.25">
      <c r="B9103" s="15"/>
      <c r="C9103" s="45"/>
    </row>
    <row r="9104" spans="2:3" x14ac:dyDescent="0.25">
      <c r="B9104" s="15"/>
      <c r="C9104" s="45"/>
    </row>
    <row r="9105" spans="2:3" x14ac:dyDescent="0.25">
      <c r="B9105" s="15"/>
      <c r="C9105" s="45"/>
    </row>
    <row r="9106" spans="2:3" x14ac:dyDescent="0.25">
      <c r="B9106" s="15"/>
      <c r="C9106" s="45"/>
    </row>
    <row r="9107" spans="2:3" x14ac:dyDescent="0.25">
      <c r="B9107" s="15"/>
      <c r="C9107" s="45"/>
    </row>
    <row r="9108" spans="2:3" x14ac:dyDescent="0.25">
      <c r="B9108" s="15"/>
      <c r="C9108" s="45"/>
    </row>
    <row r="9109" spans="2:3" x14ac:dyDescent="0.25">
      <c r="B9109" s="15"/>
      <c r="C9109" s="45"/>
    </row>
    <row r="9110" spans="2:3" x14ac:dyDescent="0.25">
      <c r="B9110" s="15"/>
      <c r="C9110" s="45"/>
    </row>
    <row r="9111" spans="2:3" x14ac:dyDescent="0.25">
      <c r="B9111" s="15"/>
      <c r="C9111" s="45"/>
    </row>
    <row r="9112" spans="2:3" x14ac:dyDescent="0.25">
      <c r="B9112" s="15"/>
      <c r="C9112" s="45"/>
    </row>
    <row r="9113" spans="2:3" x14ac:dyDescent="0.25">
      <c r="B9113" s="15"/>
      <c r="C9113" s="45"/>
    </row>
    <row r="9114" spans="2:3" x14ac:dyDescent="0.25">
      <c r="B9114" s="15"/>
      <c r="C9114" s="45"/>
    </row>
    <row r="9115" spans="2:3" x14ac:dyDescent="0.25">
      <c r="B9115" s="15"/>
      <c r="C9115" s="45"/>
    </row>
    <row r="9116" spans="2:3" x14ac:dyDescent="0.25">
      <c r="B9116" s="15"/>
      <c r="C9116" s="45"/>
    </row>
    <row r="9117" spans="2:3" x14ac:dyDescent="0.25">
      <c r="B9117" s="15"/>
      <c r="C9117" s="45"/>
    </row>
    <row r="9118" spans="2:3" x14ac:dyDescent="0.25">
      <c r="B9118" s="15"/>
      <c r="C9118" s="45"/>
    </row>
    <row r="9119" spans="2:3" x14ac:dyDescent="0.25">
      <c r="B9119" s="15"/>
      <c r="C9119" s="45"/>
    </row>
    <row r="9120" spans="2:3" x14ac:dyDescent="0.25">
      <c r="B9120" s="15"/>
      <c r="C9120" s="45"/>
    </row>
    <row r="9121" spans="2:3" x14ac:dyDescent="0.25">
      <c r="B9121" s="15"/>
      <c r="C9121" s="45"/>
    </row>
    <row r="9122" spans="2:3" x14ac:dyDescent="0.25">
      <c r="B9122" s="15"/>
      <c r="C9122" s="45"/>
    </row>
    <row r="9123" spans="2:3" x14ac:dyDescent="0.25">
      <c r="B9123" s="15"/>
      <c r="C9123" s="45"/>
    </row>
    <row r="9124" spans="2:3" x14ac:dyDescent="0.25">
      <c r="B9124" s="15"/>
      <c r="C9124" s="45"/>
    </row>
    <row r="9125" spans="2:3" x14ac:dyDescent="0.25">
      <c r="B9125" s="15"/>
      <c r="C9125" s="45"/>
    </row>
    <row r="9126" spans="2:3" x14ac:dyDescent="0.25">
      <c r="B9126" s="15"/>
      <c r="C9126" s="45"/>
    </row>
    <row r="9127" spans="2:3" x14ac:dyDescent="0.25">
      <c r="B9127" s="15"/>
      <c r="C9127" s="45"/>
    </row>
    <row r="9128" spans="2:3" x14ac:dyDescent="0.25">
      <c r="B9128" s="15"/>
      <c r="C9128" s="45"/>
    </row>
    <row r="9129" spans="2:3" x14ac:dyDescent="0.25">
      <c r="B9129" s="15"/>
      <c r="C9129" s="45"/>
    </row>
    <row r="9130" spans="2:3" x14ac:dyDescent="0.25">
      <c r="B9130" s="15"/>
      <c r="C9130" s="45"/>
    </row>
    <row r="9131" spans="2:3" x14ac:dyDescent="0.25">
      <c r="B9131" s="15"/>
      <c r="C9131" s="45"/>
    </row>
    <row r="9132" spans="2:3" x14ac:dyDescent="0.25">
      <c r="B9132" s="15"/>
      <c r="C9132" s="45"/>
    </row>
    <row r="9133" spans="2:3" x14ac:dyDescent="0.25">
      <c r="B9133" s="15"/>
      <c r="C9133" s="45"/>
    </row>
    <row r="9134" spans="2:3" x14ac:dyDescent="0.25">
      <c r="B9134" s="15"/>
      <c r="C9134" s="45"/>
    </row>
    <row r="9135" spans="2:3" x14ac:dyDescent="0.25">
      <c r="B9135" s="15"/>
      <c r="C9135" s="45"/>
    </row>
    <row r="9136" spans="2:3" x14ac:dyDescent="0.25">
      <c r="B9136" s="15"/>
      <c r="C9136" s="45"/>
    </row>
    <row r="9137" spans="2:3" x14ac:dyDescent="0.25">
      <c r="B9137" s="15"/>
      <c r="C9137" s="45"/>
    </row>
    <row r="9138" spans="2:3" x14ac:dyDescent="0.25">
      <c r="B9138" s="15"/>
      <c r="C9138" s="45"/>
    </row>
    <row r="9139" spans="2:3" x14ac:dyDescent="0.25">
      <c r="B9139" s="15"/>
      <c r="C9139" s="45"/>
    </row>
    <row r="9140" spans="2:3" x14ac:dyDescent="0.25">
      <c r="B9140" s="15"/>
      <c r="C9140" s="45"/>
    </row>
    <row r="9141" spans="2:3" x14ac:dyDescent="0.25">
      <c r="B9141" s="15"/>
      <c r="C9141" s="45"/>
    </row>
    <row r="9142" spans="2:3" x14ac:dyDescent="0.25">
      <c r="B9142" s="15"/>
      <c r="C9142" s="45"/>
    </row>
    <row r="9143" spans="2:3" x14ac:dyDescent="0.25">
      <c r="B9143" s="15"/>
      <c r="C9143" s="45"/>
    </row>
    <row r="9144" spans="2:3" x14ac:dyDescent="0.25">
      <c r="B9144" s="15"/>
      <c r="C9144" s="45"/>
    </row>
    <row r="9145" spans="2:3" x14ac:dyDescent="0.25">
      <c r="B9145" s="15"/>
      <c r="C9145" s="45"/>
    </row>
    <row r="9146" spans="2:3" x14ac:dyDescent="0.25">
      <c r="B9146" s="15"/>
      <c r="C9146" s="45"/>
    </row>
    <row r="9147" spans="2:3" x14ac:dyDescent="0.25">
      <c r="B9147" s="15"/>
      <c r="C9147" s="45"/>
    </row>
    <row r="9148" spans="2:3" x14ac:dyDescent="0.25">
      <c r="B9148" s="15"/>
      <c r="C9148" s="45"/>
    </row>
    <row r="9149" spans="2:3" x14ac:dyDescent="0.25">
      <c r="B9149" s="15"/>
      <c r="C9149" s="45"/>
    </row>
    <row r="9150" spans="2:3" x14ac:dyDescent="0.25">
      <c r="B9150" s="15"/>
      <c r="C9150" s="45"/>
    </row>
    <row r="9151" spans="2:3" x14ac:dyDescent="0.25">
      <c r="B9151" s="15"/>
      <c r="C9151" s="45"/>
    </row>
    <row r="9152" spans="2:3" x14ac:dyDescent="0.25">
      <c r="B9152" s="15"/>
      <c r="C9152" s="45"/>
    </row>
    <row r="9153" spans="2:3" x14ac:dyDescent="0.25">
      <c r="B9153" s="15"/>
      <c r="C9153" s="45"/>
    </row>
    <row r="9154" spans="2:3" x14ac:dyDescent="0.25">
      <c r="B9154" s="15"/>
      <c r="C9154" s="45"/>
    </row>
    <row r="9155" spans="2:3" x14ac:dyDescent="0.25">
      <c r="B9155" s="15"/>
      <c r="C9155" s="45"/>
    </row>
    <row r="9156" spans="2:3" x14ac:dyDescent="0.25">
      <c r="B9156" s="15"/>
      <c r="C9156" s="45"/>
    </row>
    <row r="9157" spans="2:3" x14ac:dyDescent="0.25">
      <c r="B9157" s="15"/>
      <c r="C9157" s="45"/>
    </row>
    <row r="9158" spans="2:3" x14ac:dyDescent="0.25">
      <c r="B9158" s="15"/>
      <c r="C9158" s="45"/>
    </row>
    <row r="9159" spans="2:3" x14ac:dyDescent="0.25">
      <c r="B9159" s="15"/>
      <c r="C9159" s="45"/>
    </row>
    <row r="9160" spans="2:3" x14ac:dyDescent="0.25">
      <c r="B9160" s="15"/>
      <c r="C9160" s="45"/>
    </row>
    <row r="9161" spans="2:3" x14ac:dyDescent="0.25">
      <c r="B9161" s="15"/>
      <c r="C9161" s="45"/>
    </row>
    <row r="9162" spans="2:3" x14ac:dyDescent="0.25">
      <c r="B9162" s="15"/>
      <c r="C9162" s="45"/>
    </row>
    <row r="9163" spans="2:3" x14ac:dyDescent="0.25">
      <c r="B9163" s="15"/>
      <c r="C9163" s="45"/>
    </row>
    <row r="9164" spans="2:3" x14ac:dyDescent="0.25">
      <c r="B9164" s="15"/>
      <c r="C9164" s="45"/>
    </row>
    <row r="9165" spans="2:3" x14ac:dyDescent="0.25">
      <c r="B9165" s="15"/>
      <c r="C9165" s="45"/>
    </row>
    <row r="9166" spans="2:3" x14ac:dyDescent="0.25">
      <c r="B9166" s="15"/>
      <c r="C9166" s="45"/>
    </row>
    <row r="9167" spans="2:3" x14ac:dyDescent="0.25">
      <c r="B9167" s="15"/>
      <c r="C9167" s="45"/>
    </row>
    <row r="9168" spans="2:3" x14ac:dyDescent="0.25">
      <c r="B9168" s="15"/>
      <c r="C9168" s="45"/>
    </row>
    <row r="9169" spans="2:3" x14ac:dyDescent="0.25">
      <c r="B9169" s="15"/>
      <c r="C9169" s="45"/>
    </row>
    <row r="9170" spans="2:3" x14ac:dyDescent="0.25">
      <c r="B9170" s="15"/>
      <c r="C9170" s="45"/>
    </row>
    <row r="9171" spans="2:3" x14ac:dyDescent="0.25">
      <c r="B9171" s="15"/>
      <c r="C9171" s="45"/>
    </row>
    <row r="9172" spans="2:3" x14ac:dyDescent="0.25">
      <c r="B9172" s="15"/>
      <c r="C9172" s="45"/>
    </row>
    <row r="9173" spans="2:3" x14ac:dyDescent="0.25">
      <c r="B9173" s="15"/>
      <c r="C9173" s="45"/>
    </row>
    <row r="9174" spans="2:3" x14ac:dyDescent="0.25">
      <c r="B9174" s="15"/>
      <c r="C9174" s="45"/>
    </row>
    <row r="9175" spans="2:3" x14ac:dyDescent="0.25">
      <c r="B9175" s="15"/>
      <c r="C9175" s="45"/>
    </row>
    <row r="9176" spans="2:3" x14ac:dyDescent="0.25">
      <c r="B9176" s="15"/>
      <c r="C9176" s="45"/>
    </row>
    <row r="9177" spans="2:3" x14ac:dyDescent="0.25">
      <c r="B9177" s="15"/>
      <c r="C9177" s="45"/>
    </row>
    <row r="9178" spans="2:3" x14ac:dyDescent="0.25">
      <c r="B9178" s="15"/>
      <c r="C9178" s="45"/>
    </row>
    <row r="9179" spans="2:3" x14ac:dyDescent="0.25">
      <c r="B9179" s="15"/>
      <c r="C9179" s="45"/>
    </row>
    <row r="9180" spans="2:3" x14ac:dyDescent="0.25">
      <c r="B9180" s="15"/>
      <c r="C9180" s="45"/>
    </row>
    <row r="9181" spans="2:3" x14ac:dyDescent="0.25">
      <c r="B9181" s="15"/>
      <c r="C9181" s="45"/>
    </row>
    <row r="9182" spans="2:3" x14ac:dyDescent="0.25">
      <c r="B9182" s="15"/>
      <c r="C9182" s="45"/>
    </row>
    <row r="9183" spans="2:3" x14ac:dyDescent="0.25">
      <c r="B9183" s="15"/>
      <c r="C9183" s="45"/>
    </row>
    <row r="9184" spans="2:3" x14ac:dyDescent="0.25">
      <c r="B9184" s="15"/>
      <c r="C9184" s="45"/>
    </row>
    <row r="9185" spans="2:3" x14ac:dyDescent="0.25">
      <c r="B9185" s="15"/>
      <c r="C9185" s="45"/>
    </row>
    <row r="9186" spans="2:3" x14ac:dyDescent="0.25">
      <c r="B9186" s="15"/>
      <c r="C9186" s="45"/>
    </row>
    <row r="9187" spans="2:3" x14ac:dyDescent="0.25">
      <c r="B9187" s="15"/>
      <c r="C9187" s="45"/>
    </row>
    <row r="9188" spans="2:3" x14ac:dyDescent="0.25">
      <c r="B9188" s="15"/>
      <c r="C9188" s="45"/>
    </row>
    <row r="9189" spans="2:3" x14ac:dyDescent="0.25">
      <c r="B9189" s="15"/>
      <c r="C9189" s="45"/>
    </row>
    <row r="9190" spans="2:3" x14ac:dyDescent="0.25">
      <c r="B9190" s="15"/>
      <c r="C9190" s="45"/>
    </row>
    <row r="9191" spans="2:3" x14ac:dyDescent="0.25">
      <c r="B9191" s="15"/>
      <c r="C9191" s="45"/>
    </row>
    <row r="9192" spans="2:3" x14ac:dyDescent="0.25">
      <c r="B9192" s="15"/>
      <c r="C9192" s="45"/>
    </row>
    <row r="9193" spans="2:3" x14ac:dyDescent="0.25">
      <c r="B9193" s="15"/>
      <c r="C9193" s="45"/>
    </row>
    <row r="9194" spans="2:3" x14ac:dyDescent="0.25">
      <c r="B9194" s="15"/>
      <c r="C9194" s="45"/>
    </row>
    <row r="9195" spans="2:3" x14ac:dyDescent="0.25">
      <c r="B9195" s="15"/>
      <c r="C9195" s="45"/>
    </row>
    <row r="9196" spans="2:3" x14ac:dyDescent="0.25">
      <c r="B9196" s="15"/>
      <c r="C9196" s="45"/>
    </row>
    <row r="9197" spans="2:3" x14ac:dyDescent="0.25">
      <c r="B9197" s="15"/>
      <c r="C9197" s="45"/>
    </row>
    <row r="9198" spans="2:3" x14ac:dyDescent="0.25">
      <c r="B9198" s="15"/>
      <c r="C9198" s="45"/>
    </row>
    <row r="9199" spans="2:3" x14ac:dyDescent="0.25">
      <c r="B9199" s="15"/>
      <c r="C9199" s="45"/>
    </row>
    <row r="9200" spans="2:3" x14ac:dyDescent="0.25">
      <c r="B9200" s="15"/>
      <c r="C9200" s="45"/>
    </row>
    <row r="9201" spans="2:3" x14ac:dyDescent="0.25">
      <c r="B9201" s="15"/>
      <c r="C9201" s="45"/>
    </row>
    <row r="9202" spans="2:3" x14ac:dyDescent="0.25">
      <c r="B9202" s="15"/>
      <c r="C9202" s="45"/>
    </row>
    <row r="9203" spans="2:3" x14ac:dyDescent="0.25">
      <c r="B9203" s="15"/>
      <c r="C9203" s="45"/>
    </row>
    <row r="9204" spans="2:3" x14ac:dyDescent="0.25">
      <c r="B9204" s="15"/>
      <c r="C9204" s="45"/>
    </row>
    <row r="9205" spans="2:3" x14ac:dyDescent="0.25">
      <c r="B9205" s="15"/>
      <c r="C9205" s="45"/>
    </row>
    <row r="9206" spans="2:3" x14ac:dyDescent="0.25">
      <c r="B9206" s="15"/>
      <c r="C9206" s="45"/>
    </row>
    <row r="9207" spans="2:3" x14ac:dyDescent="0.25">
      <c r="B9207" s="15"/>
      <c r="C9207" s="45"/>
    </row>
    <row r="9208" spans="2:3" x14ac:dyDescent="0.25">
      <c r="B9208" s="15"/>
      <c r="C9208" s="45"/>
    </row>
    <row r="9209" spans="2:3" x14ac:dyDescent="0.25">
      <c r="B9209" s="15"/>
      <c r="C9209" s="45"/>
    </row>
    <row r="9210" spans="2:3" x14ac:dyDescent="0.25">
      <c r="B9210" s="15"/>
      <c r="C9210" s="45"/>
    </row>
    <row r="9211" spans="2:3" x14ac:dyDescent="0.25">
      <c r="B9211" s="15"/>
      <c r="C9211" s="45"/>
    </row>
    <row r="9212" spans="2:3" x14ac:dyDescent="0.25">
      <c r="B9212" s="15"/>
      <c r="C9212" s="45"/>
    </row>
    <row r="9213" spans="2:3" x14ac:dyDescent="0.25">
      <c r="B9213" s="15"/>
      <c r="C9213" s="45"/>
    </row>
    <row r="9214" spans="2:3" x14ac:dyDescent="0.25">
      <c r="B9214" s="15"/>
      <c r="C9214" s="45"/>
    </row>
    <row r="9215" spans="2:3" x14ac:dyDescent="0.25">
      <c r="B9215" s="15"/>
      <c r="C9215" s="45"/>
    </row>
    <row r="9216" spans="2:3" x14ac:dyDescent="0.25">
      <c r="B9216" s="15"/>
      <c r="C9216" s="45"/>
    </row>
    <row r="9217" spans="2:3" x14ac:dyDescent="0.25">
      <c r="B9217" s="15"/>
      <c r="C9217" s="45"/>
    </row>
    <row r="9218" spans="2:3" x14ac:dyDescent="0.25">
      <c r="B9218" s="15"/>
      <c r="C9218" s="45"/>
    </row>
    <row r="9219" spans="2:3" x14ac:dyDescent="0.25">
      <c r="B9219" s="15"/>
      <c r="C9219" s="45"/>
    </row>
    <row r="9220" spans="2:3" x14ac:dyDescent="0.25">
      <c r="B9220" s="15"/>
      <c r="C9220" s="45"/>
    </row>
    <row r="9221" spans="2:3" x14ac:dyDescent="0.25">
      <c r="B9221" s="15"/>
      <c r="C9221" s="45"/>
    </row>
    <row r="9222" spans="2:3" x14ac:dyDescent="0.25">
      <c r="B9222" s="15"/>
      <c r="C9222" s="45"/>
    </row>
    <row r="9223" spans="2:3" x14ac:dyDescent="0.25">
      <c r="B9223" s="15"/>
      <c r="C9223" s="45"/>
    </row>
    <row r="9224" spans="2:3" x14ac:dyDescent="0.25">
      <c r="B9224" s="15"/>
      <c r="C9224" s="45"/>
    </row>
    <row r="9225" spans="2:3" x14ac:dyDescent="0.25">
      <c r="B9225" s="15"/>
      <c r="C9225" s="45"/>
    </row>
    <row r="9226" spans="2:3" x14ac:dyDescent="0.25">
      <c r="B9226" s="15"/>
      <c r="C9226" s="45"/>
    </row>
    <row r="9227" spans="2:3" x14ac:dyDescent="0.25">
      <c r="B9227" s="15"/>
      <c r="C9227" s="45"/>
    </row>
    <row r="9228" spans="2:3" x14ac:dyDescent="0.25">
      <c r="B9228" s="15"/>
      <c r="C9228" s="45"/>
    </row>
    <row r="9229" spans="2:3" x14ac:dyDescent="0.25">
      <c r="B9229" s="15"/>
      <c r="C9229" s="45"/>
    </row>
    <row r="9230" spans="2:3" x14ac:dyDescent="0.25">
      <c r="B9230" s="15"/>
      <c r="C9230" s="45"/>
    </row>
    <row r="9231" spans="2:3" x14ac:dyDescent="0.25">
      <c r="B9231" s="15"/>
      <c r="C9231" s="45"/>
    </row>
    <row r="9232" spans="2:3" x14ac:dyDescent="0.25">
      <c r="B9232" s="15"/>
      <c r="C9232" s="45"/>
    </row>
    <row r="9233" spans="2:3" x14ac:dyDescent="0.25">
      <c r="B9233" s="15"/>
      <c r="C9233" s="45"/>
    </row>
    <row r="9234" spans="2:3" x14ac:dyDescent="0.25">
      <c r="B9234" s="15"/>
      <c r="C9234" s="45"/>
    </row>
    <row r="9235" spans="2:3" x14ac:dyDescent="0.25">
      <c r="B9235" s="15"/>
      <c r="C9235" s="45"/>
    </row>
    <row r="9236" spans="2:3" x14ac:dyDescent="0.25">
      <c r="B9236" s="15"/>
      <c r="C9236" s="45"/>
    </row>
    <row r="9237" spans="2:3" x14ac:dyDescent="0.25">
      <c r="B9237" s="15"/>
      <c r="C9237" s="45"/>
    </row>
    <row r="9238" spans="2:3" x14ac:dyDescent="0.25">
      <c r="B9238" s="15"/>
      <c r="C9238" s="45"/>
    </row>
    <row r="9239" spans="2:3" x14ac:dyDescent="0.25">
      <c r="B9239" s="15"/>
      <c r="C9239" s="45"/>
    </row>
    <row r="9240" spans="2:3" x14ac:dyDescent="0.25">
      <c r="B9240" s="15"/>
      <c r="C9240" s="45"/>
    </row>
    <row r="9241" spans="2:3" x14ac:dyDescent="0.25">
      <c r="B9241" s="15"/>
      <c r="C9241" s="45"/>
    </row>
    <row r="9242" spans="2:3" x14ac:dyDescent="0.25">
      <c r="B9242" s="15"/>
      <c r="C9242" s="45"/>
    </row>
    <row r="9243" spans="2:3" x14ac:dyDescent="0.25">
      <c r="B9243" s="15"/>
      <c r="C9243" s="45"/>
    </row>
    <row r="9244" spans="2:3" x14ac:dyDescent="0.25">
      <c r="B9244" s="15"/>
      <c r="C9244" s="45"/>
    </row>
    <row r="9245" spans="2:3" x14ac:dyDescent="0.25">
      <c r="B9245" s="15"/>
      <c r="C9245" s="45"/>
    </row>
    <row r="9246" spans="2:3" x14ac:dyDescent="0.25">
      <c r="B9246" s="15"/>
      <c r="C9246" s="45"/>
    </row>
    <row r="9247" spans="2:3" x14ac:dyDescent="0.25">
      <c r="B9247" s="15"/>
      <c r="C9247" s="45"/>
    </row>
    <row r="9248" spans="2:3" x14ac:dyDescent="0.25">
      <c r="B9248" s="15"/>
      <c r="C9248" s="45"/>
    </row>
    <row r="9249" spans="2:3" x14ac:dyDescent="0.25">
      <c r="B9249" s="15"/>
      <c r="C9249" s="45"/>
    </row>
    <row r="9250" spans="2:3" x14ac:dyDescent="0.25">
      <c r="B9250" s="15"/>
      <c r="C9250" s="45"/>
    </row>
    <row r="9251" spans="2:3" x14ac:dyDescent="0.25">
      <c r="B9251" s="15"/>
      <c r="C9251" s="45"/>
    </row>
    <row r="9252" spans="2:3" x14ac:dyDescent="0.25">
      <c r="B9252" s="15"/>
      <c r="C9252" s="45"/>
    </row>
    <row r="9253" spans="2:3" x14ac:dyDescent="0.25">
      <c r="B9253" s="15"/>
      <c r="C9253" s="45"/>
    </row>
    <row r="9254" spans="2:3" x14ac:dyDescent="0.25">
      <c r="B9254" s="15"/>
      <c r="C9254" s="45"/>
    </row>
    <row r="9255" spans="2:3" x14ac:dyDescent="0.25">
      <c r="B9255" s="15"/>
      <c r="C9255" s="45"/>
    </row>
    <row r="9256" spans="2:3" x14ac:dyDescent="0.25">
      <c r="B9256" s="15"/>
      <c r="C9256" s="45"/>
    </row>
    <row r="9257" spans="2:3" x14ac:dyDescent="0.25">
      <c r="B9257" s="15"/>
      <c r="C9257" s="45"/>
    </row>
    <row r="9258" spans="2:3" x14ac:dyDescent="0.25">
      <c r="B9258" s="15"/>
      <c r="C9258" s="45"/>
    </row>
    <row r="9259" spans="2:3" x14ac:dyDescent="0.25">
      <c r="B9259" s="15"/>
      <c r="C9259" s="45"/>
    </row>
    <row r="9260" spans="2:3" x14ac:dyDescent="0.25">
      <c r="B9260" s="15"/>
      <c r="C9260" s="45"/>
    </row>
    <row r="9261" spans="2:3" x14ac:dyDescent="0.25">
      <c r="B9261" s="15"/>
      <c r="C9261" s="45"/>
    </row>
    <row r="9262" spans="2:3" x14ac:dyDescent="0.25">
      <c r="B9262" s="15"/>
      <c r="C9262" s="45"/>
    </row>
    <row r="9263" spans="2:3" x14ac:dyDescent="0.25">
      <c r="B9263" s="15"/>
      <c r="C9263" s="45"/>
    </row>
    <row r="9264" spans="2:3" x14ac:dyDescent="0.25">
      <c r="B9264" s="15"/>
      <c r="C9264" s="45"/>
    </row>
    <row r="9265" spans="2:3" x14ac:dyDescent="0.25">
      <c r="B9265" s="15"/>
      <c r="C9265" s="45"/>
    </row>
    <row r="9266" spans="2:3" x14ac:dyDescent="0.25">
      <c r="B9266" s="15"/>
      <c r="C9266" s="45"/>
    </row>
    <row r="9267" spans="2:3" x14ac:dyDescent="0.25">
      <c r="B9267" s="15"/>
      <c r="C9267" s="45"/>
    </row>
    <row r="9268" spans="2:3" x14ac:dyDescent="0.25">
      <c r="B9268" s="15"/>
      <c r="C9268" s="45"/>
    </row>
    <row r="9269" spans="2:3" x14ac:dyDescent="0.25">
      <c r="B9269" s="15"/>
      <c r="C9269" s="45"/>
    </row>
    <row r="9270" spans="2:3" x14ac:dyDescent="0.25">
      <c r="B9270" s="15"/>
      <c r="C9270" s="45"/>
    </row>
    <row r="9271" spans="2:3" x14ac:dyDescent="0.25">
      <c r="B9271" s="15"/>
      <c r="C9271" s="45"/>
    </row>
    <row r="9272" spans="2:3" x14ac:dyDescent="0.25">
      <c r="B9272" s="15"/>
      <c r="C9272" s="45"/>
    </row>
    <row r="9273" spans="2:3" x14ac:dyDescent="0.25">
      <c r="B9273" s="15"/>
      <c r="C9273" s="45"/>
    </row>
    <row r="9274" spans="2:3" x14ac:dyDescent="0.25">
      <c r="B9274" s="15"/>
      <c r="C9274" s="45"/>
    </row>
    <row r="9275" spans="2:3" x14ac:dyDescent="0.25">
      <c r="B9275" s="15"/>
      <c r="C9275" s="45"/>
    </row>
    <row r="9276" spans="2:3" x14ac:dyDescent="0.25">
      <c r="B9276" s="15"/>
      <c r="C9276" s="45"/>
    </row>
    <row r="9277" spans="2:3" x14ac:dyDescent="0.25">
      <c r="B9277" s="15"/>
      <c r="C9277" s="45"/>
    </row>
    <row r="9278" spans="2:3" x14ac:dyDescent="0.25">
      <c r="B9278" s="15"/>
      <c r="C9278" s="45"/>
    </row>
    <row r="9279" spans="2:3" x14ac:dyDescent="0.25">
      <c r="B9279" s="15"/>
      <c r="C9279" s="45"/>
    </row>
    <row r="9280" spans="2:3" x14ac:dyDescent="0.25">
      <c r="B9280" s="15"/>
      <c r="C9280" s="45"/>
    </row>
    <row r="9281" spans="2:3" x14ac:dyDescent="0.25">
      <c r="B9281" s="15"/>
      <c r="C9281" s="45"/>
    </row>
    <row r="9282" spans="2:3" x14ac:dyDescent="0.25">
      <c r="B9282" s="15"/>
      <c r="C9282" s="45"/>
    </row>
    <row r="9283" spans="2:3" x14ac:dyDescent="0.25">
      <c r="B9283" s="15"/>
      <c r="C9283" s="45"/>
    </row>
    <row r="9284" spans="2:3" x14ac:dyDescent="0.25">
      <c r="B9284" s="15"/>
      <c r="C9284" s="45"/>
    </row>
    <row r="9285" spans="2:3" x14ac:dyDescent="0.25">
      <c r="B9285" s="15"/>
      <c r="C9285" s="45"/>
    </row>
    <row r="9286" spans="2:3" x14ac:dyDescent="0.25">
      <c r="B9286" s="15"/>
      <c r="C9286" s="45"/>
    </row>
    <row r="9287" spans="2:3" x14ac:dyDescent="0.25">
      <c r="B9287" s="15"/>
      <c r="C9287" s="45"/>
    </row>
    <row r="9288" spans="2:3" x14ac:dyDescent="0.25">
      <c r="B9288" s="15"/>
      <c r="C9288" s="45"/>
    </row>
    <row r="9289" spans="2:3" x14ac:dyDescent="0.25">
      <c r="B9289" s="15"/>
      <c r="C9289" s="45"/>
    </row>
    <row r="9290" spans="2:3" x14ac:dyDescent="0.25">
      <c r="B9290" s="15"/>
      <c r="C9290" s="45"/>
    </row>
    <row r="9291" spans="2:3" x14ac:dyDescent="0.25">
      <c r="B9291" s="15"/>
      <c r="C9291" s="45"/>
    </row>
    <row r="9292" spans="2:3" x14ac:dyDescent="0.25">
      <c r="B9292" s="15"/>
      <c r="C9292" s="45"/>
    </row>
    <row r="9293" spans="2:3" x14ac:dyDescent="0.25">
      <c r="B9293" s="15"/>
      <c r="C9293" s="45"/>
    </row>
    <row r="9294" spans="2:3" x14ac:dyDescent="0.25">
      <c r="B9294" s="15"/>
      <c r="C9294" s="45"/>
    </row>
    <row r="9295" spans="2:3" x14ac:dyDescent="0.25">
      <c r="B9295" s="15"/>
      <c r="C9295" s="45"/>
    </row>
    <row r="9296" spans="2:3" x14ac:dyDescent="0.25">
      <c r="B9296" s="15"/>
      <c r="C9296" s="45"/>
    </row>
    <row r="9297" spans="2:3" x14ac:dyDescent="0.25">
      <c r="B9297" s="15"/>
      <c r="C9297" s="45"/>
    </row>
    <row r="9298" spans="2:3" x14ac:dyDescent="0.25">
      <c r="B9298" s="15"/>
      <c r="C9298" s="45"/>
    </row>
    <row r="9299" spans="2:3" x14ac:dyDescent="0.25">
      <c r="B9299" s="15"/>
      <c r="C9299" s="45"/>
    </row>
    <row r="9300" spans="2:3" x14ac:dyDescent="0.25">
      <c r="B9300" s="15"/>
      <c r="C9300" s="45"/>
    </row>
    <row r="9301" spans="2:3" x14ac:dyDescent="0.25">
      <c r="B9301" s="15"/>
      <c r="C9301" s="45"/>
    </row>
    <row r="9302" spans="2:3" x14ac:dyDescent="0.25">
      <c r="B9302" s="15"/>
      <c r="C9302" s="45"/>
    </row>
    <row r="9303" spans="2:3" x14ac:dyDescent="0.25">
      <c r="B9303" s="15"/>
      <c r="C9303" s="45"/>
    </row>
    <row r="9304" spans="2:3" x14ac:dyDescent="0.25">
      <c r="B9304" s="15"/>
      <c r="C9304" s="45"/>
    </row>
    <row r="9305" spans="2:3" x14ac:dyDescent="0.25">
      <c r="B9305" s="15"/>
      <c r="C9305" s="45"/>
    </row>
    <row r="9306" spans="2:3" x14ac:dyDescent="0.25">
      <c r="B9306" s="15"/>
      <c r="C9306" s="45"/>
    </row>
    <row r="9307" spans="2:3" x14ac:dyDescent="0.25">
      <c r="B9307" s="15"/>
      <c r="C9307" s="45"/>
    </row>
    <row r="9308" spans="2:3" x14ac:dyDescent="0.25">
      <c r="B9308" s="15"/>
      <c r="C9308" s="45"/>
    </row>
    <row r="9309" spans="2:3" x14ac:dyDescent="0.25">
      <c r="B9309" s="15"/>
      <c r="C9309" s="45"/>
    </row>
    <row r="9310" spans="2:3" x14ac:dyDescent="0.25">
      <c r="B9310" s="15"/>
      <c r="C9310" s="45"/>
    </row>
    <row r="9311" spans="2:3" x14ac:dyDescent="0.25">
      <c r="B9311" s="15"/>
      <c r="C9311" s="45"/>
    </row>
    <row r="9312" spans="2:3" x14ac:dyDescent="0.25">
      <c r="B9312" s="15"/>
      <c r="C9312" s="45"/>
    </row>
    <row r="9313" spans="2:3" x14ac:dyDescent="0.25">
      <c r="B9313" s="15"/>
      <c r="C9313" s="45"/>
    </row>
    <row r="9314" spans="2:3" x14ac:dyDescent="0.25">
      <c r="B9314" s="15"/>
      <c r="C9314" s="45"/>
    </row>
    <row r="9315" spans="2:3" x14ac:dyDescent="0.25">
      <c r="B9315" s="15"/>
      <c r="C9315" s="45"/>
    </row>
    <row r="9316" spans="2:3" x14ac:dyDescent="0.25">
      <c r="B9316" s="15"/>
      <c r="C9316" s="45"/>
    </row>
    <row r="9317" spans="2:3" x14ac:dyDescent="0.25">
      <c r="B9317" s="15"/>
      <c r="C9317" s="45"/>
    </row>
    <row r="9318" spans="2:3" x14ac:dyDescent="0.25">
      <c r="B9318" s="15"/>
      <c r="C9318" s="45"/>
    </row>
    <row r="9319" spans="2:3" x14ac:dyDescent="0.25">
      <c r="B9319" s="15"/>
      <c r="C9319" s="45"/>
    </row>
    <row r="9320" spans="2:3" x14ac:dyDescent="0.25">
      <c r="B9320" s="15"/>
      <c r="C9320" s="45"/>
    </row>
    <row r="9321" spans="2:3" x14ac:dyDescent="0.25">
      <c r="B9321" s="15"/>
      <c r="C9321" s="45"/>
    </row>
    <row r="9322" spans="2:3" x14ac:dyDescent="0.25">
      <c r="B9322" s="15"/>
      <c r="C9322" s="45"/>
    </row>
    <row r="9323" spans="2:3" x14ac:dyDescent="0.25">
      <c r="B9323" s="15"/>
      <c r="C9323" s="45"/>
    </row>
    <row r="9324" spans="2:3" x14ac:dyDescent="0.25">
      <c r="B9324" s="15"/>
      <c r="C9324" s="45"/>
    </row>
    <row r="9325" spans="2:3" x14ac:dyDescent="0.25">
      <c r="B9325" s="15"/>
      <c r="C9325" s="45"/>
    </row>
    <row r="9326" spans="2:3" x14ac:dyDescent="0.25">
      <c r="B9326" s="15"/>
      <c r="C9326" s="45"/>
    </row>
    <row r="9327" spans="2:3" x14ac:dyDescent="0.25">
      <c r="B9327" s="15"/>
      <c r="C9327" s="45"/>
    </row>
    <row r="9328" spans="2:3" x14ac:dyDescent="0.25">
      <c r="B9328" s="15"/>
      <c r="C9328" s="45"/>
    </row>
    <row r="9329" spans="2:3" x14ac:dyDescent="0.25">
      <c r="B9329" s="15"/>
      <c r="C9329" s="45"/>
    </row>
    <row r="9330" spans="2:3" x14ac:dyDescent="0.25">
      <c r="B9330" s="15"/>
      <c r="C9330" s="45"/>
    </row>
    <row r="9331" spans="2:3" x14ac:dyDescent="0.25">
      <c r="B9331" s="15"/>
      <c r="C9331" s="45"/>
    </row>
    <row r="9332" spans="2:3" x14ac:dyDescent="0.25">
      <c r="B9332" s="15"/>
      <c r="C9332" s="45"/>
    </row>
    <row r="9333" spans="2:3" x14ac:dyDescent="0.25">
      <c r="B9333" s="15"/>
      <c r="C9333" s="45"/>
    </row>
    <row r="9334" spans="2:3" x14ac:dyDescent="0.25">
      <c r="B9334" s="15"/>
      <c r="C9334" s="45"/>
    </row>
    <row r="9335" spans="2:3" x14ac:dyDescent="0.25">
      <c r="B9335" s="15"/>
      <c r="C9335" s="45"/>
    </row>
    <row r="9336" spans="2:3" x14ac:dyDescent="0.25">
      <c r="B9336" s="15"/>
      <c r="C9336" s="45"/>
    </row>
    <row r="9337" spans="2:3" x14ac:dyDescent="0.25">
      <c r="B9337" s="15"/>
      <c r="C9337" s="45"/>
    </row>
    <row r="9338" spans="2:3" x14ac:dyDescent="0.25">
      <c r="B9338" s="15"/>
      <c r="C9338" s="45"/>
    </row>
    <row r="9339" spans="2:3" x14ac:dyDescent="0.25">
      <c r="B9339" s="15"/>
      <c r="C9339" s="45"/>
    </row>
    <row r="9340" spans="2:3" x14ac:dyDescent="0.25">
      <c r="B9340" s="15"/>
      <c r="C9340" s="45"/>
    </row>
    <row r="9341" spans="2:3" x14ac:dyDescent="0.25">
      <c r="B9341" s="15"/>
      <c r="C9341" s="45"/>
    </row>
    <row r="9342" spans="2:3" x14ac:dyDescent="0.25">
      <c r="B9342" s="15"/>
      <c r="C9342" s="45"/>
    </row>
    <row r="9343" spans="2:3" x14ac:dyDescent="0.25">
      <c r="B9343" s="15"/>
      <c r="C9343" s="45"/>
    </row>
    <row r="9344" spans="2:3" x14ac:dyDescent="0.25">
      <c r="B9344" s="15"/>
      <c r="C9344" s="45"/>
    </row>
    <row r="9345" spans="2:3" x14ac:dyDescent="0.25">
      <c r="B9345" s="15"/>
      <c r="C9345" s="45"/>
    </row>
    <row r="9346" spans="2:3" x14ac:dyDescent="0.25">
      <c r="B9346" s="15"/>
      <c r="C9346" s="45"/>
    </row>
    <row r="9347" spans="2:3" x14ac:dyDescent="0.25">
      <c r="B9347" s="15"/>
      <c r="C9347" s="45"/>
    </row>
    <row r="9348" spans="2:3" x14ac:dyDescent="0.25">
      <c r="B9348" s="15"/>
      <c r="C9348" s="45"/>
    </row>
    <row r="9349" spans="2:3" x14ac:dyDescent="0.25">
      <c r="B9349" s="15"/>
      <c r="C9349" s="45"/>
    </row>
    <row r="9350" spans="2:3" x14ac:dyDescent="0.25">
      <c r="B9350" s="15"/>
      <c r="C9350" s="45"/>
    </row>
    <row r="9351" spans="2:3" x14ac:dyDescent="0.25">
      <c r="B9351" s="15"/>
      <c r="C9351" s="45"/>
    </row>
    <row r="9352" spans="2:3" x14ac:dyDescent="0.25">
      <c r="B9352" s="15"/>
      <c r="C9352" s="45"/>
    </row>
    <row r="9353" spans="2:3" x14ac:dyDescent="0.25">
      <c r="B9353" s="15"/>
      <c r="C9353" s="45"/>
    </row>
    <row r="9354" spans="2:3" x14ac:dyDescent="0.25">
      <c r="B9354" s="15"/>
      <c r="C9354" s="45"/>
    </row>
    <row r="9355" spans="2:3" x14ac:dyDescent="0.25">
      <c r="B9355" s="15"/>
      <c r="C9355" s="45"/>
    </row>
    <row r="9356" spans="2:3" x14ac:dyDescent="0.25">
      <c r="B9356" s="15"/>
      <c r="C9356" s="45"/>
    </row>
    <row r="9357" spans="2:3" x14ac:dyDescent="0.25">
      <c r="B9357" s="15"/>
      <c r="C9357" s="45"/>
    </row>
    <row r="9358" spans="2:3" x14ac:dyDescent="0.25">
      <c r="B9358" s="15"/>
      <c r="C9358" s="45"/>
    </row>
    <row r="9359" spans="2:3" x14ac:dyDescent="0.25">
      <c r="B9359" s="15"/>
      <c r="C9359" s="45"/>
    </row>
    <row r="9360" spans="2:3" x14ac:dyDescent="0.25">
      <c r="B9360" s="15"/>
      <c r="C9360" s="45"/>
    </row>
    <row r="9361" spans="2:3" x14ac:dyDescent="0.25">
      <c r="B9361" s="15"/>
      <c r="C9361" s="45"/>
    </row>
    <row r="9362" spans="2:3" x14ac:dyDescent="0.25">
      <c r="B9362" s="15"/>
      <c r="C9362" s="45"/>
    </row>
    <row r="9363" spans="2:3" x14ac:dyDescent="0.25">
      <c r="B9363" s="15"/>
      <c r="C9363" s="45"/>
    </row>
    <row r="9364" spans="2:3" x14ac:dyDescent="0.25">
      <c r="B9364" s="15"/>
      <c r="C9364" s="45"/>
    </row>
    <row r="9365" spans="2:3" x14ac:dyDescent="0.25">
      <c r="B9365" s="15"/>
      <c r="C9365" s="45"/>
    </row>
    <row r="9366" spans="2:3" x14ac:dyDescent="0.25">
      <c r="B9366" s="15"/>
      <c r="C9366" s="45"/>
    </row>
    <row r="9367" spans="2:3" x14ac:dyDescent="0.25">
      <c r="B9367" s="15"/>
      <c r="C9367" s="45"/>
    </row>
    <row r="9368" spans="2:3" x14ac:dyDescent="0.25">
      <c r="B9368" s="15"/>
      <c r="C9368" s="45"/>
    </row>
    <row r="9369" spans="2:3" x14ac:dyDescent="0.25">
      <c r="B9369" s="15"/>
      <c r="C9369" s="45"/>
    </row>
    <row r="9370" spans="2:3" x14ac:dyDescent="0.25">
      <c r="B9370" s="15"/>
      <c r="C9370" s="45"/>
    </row>
    <row r="9371" spans="2:3" x14ac:dyDescent="0.25">
      <c r="B9371" s="15"/>
      <c r="C9371" s="45"/>
    </row>
    <row r="9372" spans="2:3" x14ac:dyDescent="0.25">
      <c r="B9372" s="15"/>
      <c r="C9372" s="45"/>
    </row>
    <row r="9373" spans="2:3" x14ac:dyDescent="0.25">
      <c r="B9373" s="15"/>
      <c r="C9373" s="45"/>
    </row>
    <row r="9374" spans="2:3" x14ac:dyDescent="0.25">
      <c r="B9374" s="15"/>
      <c r="C9374" s="45"/>
    </row>
    <row r="9375" spans="2:3" x14ac:dyDescent="0.25">
      <c r="B9375" s="15"/>
      <c r="C9375" s="45"/>
    </row>
    <row r="9376" spans="2:3" x14ac:dyDescent="0.25">
      <c r="B9376" s="15"/>
      <c r="C9376" s="45"/>
    </row>
    <row r="9377" spans="2:3" x14ac:dyDescent="0.25">
      <c r="B9377" s="15"/>
      <c r="C9377" s="45"/>
    </row>
    <row r="9378" spans="2:3" x14ac:dyDescent="0.25">
      <c r="B9378" s="15"/>
      <c r="C9378" s="45"/>
    </row>
    <row r="9379" spans="2:3" x14ac:dyDescent="0.25">
      <c r="B9379" s="15"/>
      <c r="C9379" s="45"/>
    </row>
    <row r="9380" spans="2:3" x14ac:dyDescent="0.25">
      <c r="B9380" s="15"/>
      <c r="C9380" s="45"/>
    </row>
    <row r="9381" spans="2:3" x14ac:dyDescent="0.25">
      <c r="B9381" s="15"/>
      <c r="C9381" s="45"/>
    </row>
    <row r="9382" spans="2:3" x14ac:dyDescent="0.25">
      <c r="B9382" s="15"/>
      <c r="C9382" s="45"/>
    </row>
    <row r="9383" spans="2:3" x14ac:dyDescent="0.25">
      <c r="B9383" s="15"/>
      <c r="C9383" s="45"/>
    </row>
    <row r="9384" spans="2:3" x14ac:dyDescent="0.25">
      <c r="B9384" s="15"/>
      <c r="C9384" s="45"/>
    </row>
    <row r="9385" spans="2:3" x14ac:dyDescent="0.25">
      <c r="B9385" s="15"/>
      <c r="C9385" s="45"/>
    </row>
    <row r="9386" spans="2:3" x14ac:dyDescent="0.25">
      <c r="B9386" s="15"/>
      <c r="C9386" s="45"/>
    </row>
    <row r="9387" spans="2:3" x14ac:dyDescent="0.25">
      <c r="B9387" s="15"/>
      <c r="C9387" s="45"/>
    </row>
    <row r="9388" spans="2:3" x14ac:dyDescent="0.25">
      <c r="B9388" s="15"/>
      <c r="C9388" s="45"/>
    </row>
    <row r="9389" spans="2:3" x14ac:dyDescent="0.25">
      <c r="B9389" s="15"/>
      <c r="C9389" s="45"/>
    </row>
    <row r="9390" spans="2:3" x14ac:dyDescent="0.25">
      <c r="B9390" s="15"/>
      <c r="C9390" s="45"/>
    </row>
    <row r="9391" spans="2:3" x14ac:dyDescent="0.25">
      <c r="B9391" s="15"/>
      <c r="C9391" s="45"/>
    </row>
    <row r="9392" spans="2:3" x14ac:dyDescent="0.25">
      <c r="B9392" s="15"/>
      <c r="C9392" s="45"/>
    </row>
    <row r="9393" spans="2:3" x14ac:dyDescent="0.25">
      <c r="B9393" s="15"/>
      <c r="C9393" s="45"/>
    </row>
    <row r="9394" spans="2:3" x14ac:dyDescent="0.25">
      <c r="B9394" s="15"/>
      <c r="C9394" s="45"/>
    </row>
    <row r="9395" spans="2:3" x14ac:dyDescent="0.25">
      <c r="B9395" s="15"/>
      <c r="C9395" s="45"/>
    </row>
    <row r="9396" spans="2:3" x14ac:dyDescent="0.25">
      <c r="B9396" s="15"/>
      <c r="C9396" s="45"/>
    </row>
    <row r="9397" spans="2:3" x14ac:dyDescent="0.25">
      <c r="B9397" s="15"/>
      <c r="C9397" s="45"/>
    </row>
    <row r="9398" spans="2:3" x14ac:dyDescent="0.25">
      <c r="B9398" s="15"/>
      <c r="C9398" s="45"/>
    </row>
    <row r="9399" spans="2:3" x14ac:dyDescent="0.25">
      <c r="B9399" s="15"/>
      <c r="C9399" s="45"/>
    </row>
    <row r="9400" spans="2:3" x14ac:dyDescent="0.25">
      <c r="B9400" s="15"/>
      <c r="C9400" s="45"/>
    </row>
    <row r="9401" spans="2:3" x14ac:dyDescent="0.25">
      <c r="B9401" s="15"/>
      <c r="C9401" s="45"/>
    </row>
    <row r="9402" spans="2:3" x14ac:dyDescent="0.25">
      <c r="B9402" s="15"/>
      <c r="C9402" s="45"/>
    </row>
    <row r="9403" spans="2:3" x14ac:dyDescent="0.25">
      <c r="B9403" s="15"/>
      <c r="C9403" s="45"/>
    </row>
    <row r="9404" spans="2:3" x14ac:dyDescent="0.25">
      <c r="B9404" s="15"/>
      <c r="C9404" s="45"/>
    </row>
    <row r="9405" spans="2:3" x14ac:dyDescent="0.25">
      <c r="B9405" s="15"/>
      <c r="C9405" s="45"/>
    </row>
    <row r="9406" spans="2:3" x14ac:dyDescent="0.25">
      <c r="B9406" s="15"/>
      <c r="C9406" s="45"/>
    </row>
    <row r="9407" spans="2:3" x14ac:dyDescent="0.25">
      <c r="B9407" s="15"/>
      <c r="C9407" s="45"/>
    </row>
    <row r="9408" spans="2:3" x14ac:dyDescent="0.25">
      <c r="B9408" s="15"/>
      <c r="C9408" s="45"/>
    </row>
    <row r="9409" spans="2:3" x14ac:dyDescent="0.25">
      <c r="B9409" s="15"/>
      <c r="C9409" s="45"/>
    </row>
    <row r="9410" spans="2:3" x14ac:dyDescent="0.25">
      <c r="B9410" s="15"/>
      <c r="C9410" s="45"/>
    </row>
    <row r="9411" spans="2:3" x14ac:dyDescent="0.25">
      <c r="B9411" s="15"/>
      <c r="C9411" s="45"/>
    </row>
    <row r="9412" spans="2:3" x14ac:dyDescent="0.25">
      <c r="B9412" s="15"/>
      <c r="C9412" s="45"/>
    </row>
    <row r="9413" spans="2:3" x14ac:dyDescent="0.25">
      <c r="B9413" s="15"/>
      <c r="C9413" s="45"/>
    </row>
    <row r="9414" spans="2:3" x14ac:dyDescent="0.25">
      <c r="B9414" s="15"/>
      <c r="C9414" s="45"/>
    </row>
    <row r="9415" spans="2:3" x14ac:dyDescent="0.25">
      <c r="B9415" s="15"/>
      <c r="C9415" s="45"/>
    </row>
    <row r="9416" spans="2:3" x14ac:dyDescent="0.25">
      <c r="B9416" s="15"/>
      <c r="C9416" s="45"/>
    </row>
    <row r="9417" spans="2:3" x14ac:dyDescent="0.25">
      <c r="B9417" s="15"/>
      <c r="C9417" s="45"/>
    </row>
    <row r="9418" spans="2:3" x14ac:dyDescent="0.25">
      <c r="B9418" s="15"/>
      <c r="C9418" s="45"/>
    </row>
    <row r="9419" spans="2:3" x14ac:dyDescent="0.25">
      <c r="B9419" s="15"/>
      <c r="C9419" s="45"/>
    </row>
    <row r="9420" spans="2:3" x14ac:dyDescent="0.25">
      <c r="B9420" s="15"/>
      <c r="C9420" s="45"/>
    </row>
    <row r="9421" spans="2:3" x14ac:dyDescent="0.25">
      <c r="B9421" s="15"/>
      <c r="C9421" s="45"/>
    </row>
    <row r="9422" spans="2:3" x14ac:dyDescent="0.25">
      <c r="B9422" s="15"/>
      <c r="C9422" s="45"/>
    </row>
    <row r="9423" spans="2:3" x14ac:dyDescent="0.25">
      <c r="B9423" s="15"/>
      <c r="C9423" s="45"/>
    </row>
    <row r="9424" spans="2:3" x14ac:dyDescent="0.25">
      <c r="B9424" s="15"/>
      <c r="C9424" s="45"/>
    </row>
    <row r="9425" spans="2:3" x14ac:dyDescent="0.25">
      <c r="B9425" s="15"/>
      <c r="C9425" s="45"/>
    </row>
    <row r="9426" spans="2:3" x14ac:dyDescent="0.25">
      <c r="B9426" s="15"/>
      <c r="C9426" s="45"/>
    </row>
    <row r="9427" spans="2:3" x14ac:dyDescent="0.25">
      <c r="B9427" s="15"/>
      <c r="C9427" s="45"/>
    </row>
    <row r="9428" spans="2:3" x14ac:dyDescent="0.25">
      <c r="B9428" s="15"/>
      <c r="C9428" s="45"/>
    </row>
    <row r="9429" spans="2:3" x14ac:dyDescent="0.25">
      <c r="B9429" s="15"/>
      <c r="C9429" s="45"/>
    </row>
    <row r="9430" spans="2:3" x14ac:dyDescent="0.25">
      <c r="B9430" s="15"/>
      <c r="C9430" s="45"/>
    </row>
    <row r="9431" spans="2:3" x14ac:dyDescent="0.25">
      <c r="B9431" s="15"/>
      <c r="C9431" s="45"/>
    </row>
    <row r="9432" spans="2:3" x14ac:dyDescent="0.25">
      <c r="B9432" s="15"/>
      <c r="C9432" s="45"/>
    </row>
    <row r="9433" spans="2:3" x14ac:dyDescent="0.25">
      <c r="B9433" s="15"/>
      <c r="C9433" s="45"/>
    </row>
    <row r="9434" spans="2:3" x14ac:dyDescent="0.25">
      <c r="B9434" s="15"/>
      <c r="C9434" s="45"/>
    </row>
    <row r="9435" spans="2:3" x14ac:dyDescent="0.25">
      <c r="B9435" s="15"/>
      <c r="C9435" s="45"/>
    </row>
    <row r="9436" spans="2:3" x14ac:dyDescent="0.25">
      <c r="B9436" s="15"/>
      <c r="C9436" s="45"/>
    </row>
    <row r="9437" spans="2:3" x14ac:dyDescent="0.25">
      <c r="B9437" s="15"/>
      <c r="C9437" s="45"/>
    </row>
    <row r="9438" spans="2:3" x14ac:dyDescent="0.25">
      <c r="B9438" s="15"/>
      <c r="C9438" s="45"/>
    </row>
    <row r="9439" spans="2:3" x14ac:dyDescent="0.25">
      <c r="B9439" s="15"/>
      <c r="C9439" s="45"/>
    </row>
    <row r="9440" spans="2:3" x14ac:dyDescent="0.25">
      <c r="B9440" s="15"/>
      <c r="C9440" s="45"/>
    </row>
    <row r="9441" spans="2:3" x14ac:dyDescent="0.25">
      <c r="B9441" s="15"/>
      <c r="C9441" s="45"/>
    </row>
    <row r="9442" spans="2:3" x14ac:dyDescent="0.25">
      <c r="B9442" s="15"/>
      <c r="C9442" s="45"/>
    </row>
    <row r="9443" spans="2:3" x14ac:dyDescent="0.25">
      <c r="B9443" s="15"/>
      <c r="C9443" s="45"/>
    </row>
    <row r="9444" spans="2:3" x14ac:dyDescent="0.25">
      <c r="B9444" s="15"/>
      <c r="C9444" s="45"/>
    </row>
    <row r="9445" spans="2:3" x14ac:dyDescent="0.25">
      <c r="B9445" s="15"/>
      <c r="C9445" s="45"/>
    </row>
    <row r="9446" spans="2:3" x14ac:dyDescent="0.25">
      <c r="B9446" s="15"/>
      <c r="C9446" s="45"/>
    </row>
    <row r="9447" spans="2:3" x14ac:dyDescent="0.25">
      <c r="B9447" s="15"/>
      <c r="C9447" s="45"/>
    </row>
    <row r="9448" spans="2:3" x14ac:dyDescent="0.25">
      <c r="B9448" s="15"/>
      <c r="C9448" s="45"/>
    </row>
    <row r="9449" spans="2:3" x14ac:dyDescent="0.25">
      <c r="B9449" s="15"/>
      <c r="C9449" s="45"/>
    </row>
    <row r="9450" spans="2:3" x14ac:dyDescent="0.25">
      <c r="B9450" s="15"/>
      <c r="C9450" s="45"/>
    </row>
    <row r="9451" spans="2:3" x14ac:dyDescent="0.25">
      <c r="B9451" s="15"/>
      <c r="C9451" s="45"/>
    </row>
    <row r="9452" spans="2:3" x14ac:dyDescent="0.25">
      <c r="B9452" s="15"/>
      <c r="C9452" s="45"/>
    </row>
    <row r="9453" spans="2:3" x14ac:dyDescent="0.25">
      <c r="B9453" s="15"/>
      <c r="C9453" s="45"/>
    </row>
    <row r="9454" spans="2:3" x14ac:dyDescent="0.25">
      <c r="B9454" s="15"/>
      <c r="C9454" s="45"/>
    </row>
    <row r="9455" spans="2:3" x14ac:dyDescent="0.25">
      <c r="B9455" s="15"/>
      <c r="C9455" s="45"/>
    </row>
    <row r="9456" spans="2:3" x14ac:dyDescent="0.25">
      <c r="B9456" s="15"/>
      <c r="C9456" s="45"/>
    </row>
    <row r="9457" spans="2:3" x14ac:dyDescent="0.25">
      <c r="B9457" s="15"/>
      <c r="C9457" s="45"/>
    </row>
    <row r="9458" spans="2:3" x14ac:dyDescent="0.25">
      <c r="B9458" s="15"/>
      <c r="C9458" s="45"/>
    </row>
    <row r="9459" spans="2:3" x14ac:dyDescent="0.25">
      <c r="B9459" s="15"/>
      <c r="C9459" s="45"/>
    </row>
    <row r="9460" spans="2:3" x14ac:dyDescent="0.25">
      <c r="B9460" s="15"/>
      <c r="C9460" s="45"/>
    </row>
    <row r="9461" spans="2:3" x14ac:dyDescent="0.25">
      <c r="B9461" s="15"/>
      <c r="C9461" s="45"/>
    </row>
    <row r="9462" spans="2:3" x14ac:dyDescent="0.25">
      <c r="B9462" s="15"/>
      <c r="C9462" s="45"/>
    </row>
    <row r="9463" spans="2:3" x14ac:dyDescent="0.25">
      <c r="B9463" s="15"/>
      <c r="C9463" s="45"/>
    </row>
    <row r="9464" spans="2:3" x14ac:dyDescent="0.25">
      <c r="B9464" s="15"/>
      <c r="C9464" s="45"/>
    </row>
    <row r="9465" spans="2:3" x14ac:dyDescent="0.25">
      <c r="B9465" s="15"/>
      <c r="C9465" s="45"/>
    </row>
    <row r="9466" spans="2:3" x14ac:dyDescent="0.25">
      <c r="B9466" s="15"/>
      <c r="C9466" s="45"/>
    </row>
    <row r="9467" spans="2:3" x14ac:dyDescent="0.25">
      <c r="B9467" s="15"/>
      <c r="C9467" s="45"/>
    </row>
    <row r="9468" spans="2:3" x14ac:dyDescent="0.25">
      <c r="B9468" s="15"/>
      <c r="C9468" s="45"/>
    </row>
    <row r="9469" spans="2:3" x14ac:dyDescent="0.25">
      <c r="B9469" s="15"/>
      <c r="C9469" s="45"/>
    </row>
    <row r="9470" spans="2:3" x14ac:dyDescent="0.25">
      <c r="B9470" s="15"/>
      <c r="C9470" s="45"/>
    </row>
    <row r="9471" spans="2:3" x14ac:dyDescent="0.25">
      <c r="B9471" s="15"/>
      <c r="C9471" s="45"/>
    </row>
    <row r="9472" spans="2:3" x14ac:dyDescent="0.25">
      <c r="B9472" s="15"/>
      <c r="C9472" s="45"/>
    </row>
    <row r="9473" spans="2:3" x14ac:dyDescent="0.25">
      <c r="B9473" s="15"/>
      <c r="C9473" s="45"/>
    </row>
    <row r="9474" spans="2:3" x14ac:dyDescent="0.25">
      <c r="B9474" s="15"/>
      <c r="C9474" s="45"/>
    </row>
    <row r="9475" spans="2:3" x14ac:dyDescent="0.25">
      <c r="B9475" s="15"/>
      <c r="C9475" s="45"/>
    </row>
    <row r="9476" spans="2:3" x14ac:dyDescent="0.25">
      <c r="B9476" s="15"/>
      <c r="C9476" s="45"/>
    </row>
    <row r="9477" spans="2:3" x14ac:dyDescent="0.25">
      <c r="B9477" s="15"/>
      <c r="C9477" s="45"/>
    </row>
    <row r="9478" spans="2:3" x14ac:dyDescent="0.25">
      <c r="B9478" s="15"/>
      <c r="C9478" s="45"/>
    </row>
    <row r="9479" spans="2:3" x14ac:dyDescent="0.25">
      <c r="B9479" s="15"/>
      <c r="C9479" s="45"/>
    </row>
    <row r="9480" spans="2:3" x14ac:dyDescent="0.25">
      <c r="B9480" s="15"/>
      <c r="C9480" s="45"/>
    </row>
    <row r="9481" spans="2:3" x14ac:dyDescent="0.25">
      <c r="B9481" s="15"/>
      <c r="C9481" s="45"/>
    </row>
    <row r="9482" spans="2:3" x14ac:dyDescent="0.25">
      <c r="B9482" s="15"/>
      <c r="C9482" s="45"/>
    </row>
    <row r="9483" spans="2:3" x14ac:dyDescent="0.25">
      <c r="B9483" s="15"/>
      <c r="C9483" s="45"/>
    </row>
    <row r="9484" spans="2:3" x14ac:dyDescent="0.25">
      <c r="B9484" s="15"/>
      <c r="C9484" s="45"/>
    </row>
    <row r="9485" spans="2:3" x14ac:dyDescent="0.25">
      <c r="B9485" s="15"/>
      <c r="C9485" s="45"/>
    </row>
    <row r="9486" spans="2:3" x14ac:dyDescent="0.25">
      <c r="B9486" s="15"/>
      <c r="C9486" s="45"/>
    </row>
    <row r="9487" spans="2:3" x14ac:dyDescent="0.25">
      <c r="B9487" s="15"/>
      <c r="C9487" s="45"/>
    </row>
    <row r="9488" spans="2:3" x14ac:dyDescent="0.25">
      <c r="B9488" s="15"/>
      <c r="C9488" s="45"/>
    </row>
    <row r="9489" spans="2:3" x14ac:dyDescent="0.25">
      <c r="B9489" s="15"/>
      <c r="C9489" s="45"/>
    </row>
    <row r="9490" spans="2:3" x14ac:dyDescent="0.25">
      <c r="B9490" s="15"/>
      <c r="C9490" s="45"/>
    </row>
    <row r="9491" spans="2:3" x14ac:dyDescent="0.25">
      <c r="B9491" s="15"/>
      <c r="C9491" s="45"/>
    </row>
    <row r="9492" spans="2:3" x14ac:dyDescent="0.25">
      <c r="B9492" s="15"/>
      <c r="C9492" s="45"/>
    </row>
    <row r="9493" spans="2:3" x14ac:dyDescent="0.25">
      <c r="B9493" s="15"/>
      <c r="C9493" s="45"/>
    </row>
    <row r="9494" spans="2:3" x14ac:dyDescent="0.25">
      <c r="B9494" s="15"/>
      <c r="C9494" s="45"/>
    </row>
    <row r="9495" spans="2:3" x14ac:dyDescent="0.25">
      <c r="B9495" s="15"/>
      <c r="C9495" s="45"/>
    </row>
    <row r="9496" spans="2:3" x14ac:dyDescent="0.25">
      <c r="B9496" s="15"/>
      <c r="C9496" s="45"/>
    </row>
    <row r="9497" spans="2:3" x14ac:dyDescent="0.25">
      <c r="B9497" s="15"/>
      <c r="C9497" s="45"/>
    </row>
    <row r="9498" spans="2:3" x14ac:dyDescent="0.25">
      <c r="B9498" s="15"/>
      <c r="C9498" s="45"/>
    </row>
    <row r="9499" spans="2:3" x14ac:dyDescent="0.25">
      <c r="B9499" s="15"/>
      <c r="C9499" s="45"/>
    </row>
    <row r="9500" spans="2:3" x14ac:dyDescent="0.25">
      <c r="B9500" s="15"/>
      <c r="C9500" s="45"/>
    </row>
    <row r="9501" spans="2:3" x14ac:dyDescent="0.25">
      <c r="B9501" s="15"/>
      <c r="C9501" s="45"/>
    </row>
    <row r="9502" spans="2:3" x14ac:dyDescent="0.25">
      <c r="B9502" s="15"/>
      <c r="C9502" s="45"/>
    </row>
    <row r="9503" spans="2:3" x14ac:dyDescent="0.25">
      <c r="B9503" s="15"/>
      <c r="C9503" s="45"/>
    </row>
    <row r="9504" spans="2:3" x14ac:dyDescent="0.25">
      <c r="B9504" s="15"/>
      <c r="C9504" s="45"/>
    </row>
    <row r="9505" spans="2:3" x14ac:dyDescent="0.25">
      <c r="B9505" s="15"/>
      <c r="C9505" s="45"/>
    </row>
    <row r="9506" spans="2:3" x14ac:dyDescent="0.25">
      <c r="B9506" s="15"/>
      <c r="C9506" s="45"/>
    </row>
    <row r="9507" spans="2:3" x14ac:dyDescent="0.25">
      <c r="B9507" s="15"/>
      <c r="C9507" s="45"/>
    </row>
    <row r="9508" spans="2:3" x14ac:dyDescent="0.25">
      <c r="B9508" s="15"/>
      <c r="C9508" s="45"/>
    </row>
    <row r="9509" spans="2:3" x14ac:dyDescent="0.25">
      <c r="B9509" s="15"/>
      <c r="C9509" s="45"/>
    </row>
    <row r="9510" spans="2:3" x14ac:dyDescent="0.25">
      <c r="B9510" s="15"/>
      <c r="C9510" s="45"/>
    </row>
    <row r="9511" spans="2:3" x14ac:dyDescent="0.25">
      <c r="B9511" s="15"/>
      <c r="C9511" s="45"/>
    </row>
    <row r="9512" spans="2:3" x14ac:dyDescent="0.25">
      <c r="B9512" s="15"/>
      <c r="C9512" s="45"/>
    </row>
    <row r="9513" spans="2:3" x14ac:dyDescent="0.25">
      <c r="B9513" s="15"/>
      <c r="C9513" s="45"/>
    </row>
    <row r="9514" spans="2:3" x14ac:dyDescent="0.25">
      <c r="B9514" s="15"/>
      <c r="C9514" s="45"/>
    </row>
    <row r="9515" spans="2:3" x14ac:dyDescent="0.25">
      <c r="B9515" s="15"/>
      <c r="C9515" s="45"/>
    </row>
    <row r="9516" spans="2:3" x14ac:dyDescent="0.25">
      <c r="B9516" s="15"/>
      <c r="C9516" s="45"/>
    </row>
    <row r="9517" spans="2:3" x14ac:dyDescent="0.25">
      <c r="B9517" s="15"/>
      <c r="C9517" s="45"/>
    </row>
    <row r="9518" spans="2:3" x14ac:dyDescent="0.25">
      <c r="B9518" s="15"/>
      <c r="C9518" s="45"/>
    </row>
    <row r="9519" spans="2:3" x14ac:dyDescent="0.25">
      <c r="B9519" s="15"/>
      <c r="C9519" s="45"/>
    </row>
    <row r="9520" spans="2:3" x14ac:dyDescent="0.25">
      <c r="B9520" s="15"/>
      <c r="C9520" s="45"/>
    </row>
    <row r="9521" spans="2:3" x14ac:dyDescent="0.25">
      <c r="B9521" s="15"/>
      <c r="C9521" s="45"/>
    </row>
    <row r="9522" spans="2:3" x14ac:dyDescent="0.25">
      <c r="B9522" s="15"/>
      <c r="C9522" s="45"/>
    </row>
    <row r="9523" spans="2:3" x14ac:dyDescent="0.25">
      <c r="B9523" s="15"/>
      <c r="C9523" s="45"/>
    </row>
    <row r="9524" spans="2:3" x14ac:dyDescent="0.25">
      <c r="B9524" s="15"/>
      <c r="C9524" s="45"/>
    </row>
    <row r="9525" spans="2:3" x14ac:dyDescent="0.25">
      <c r="B9525" s="15"/>
      <c r="C9525" s="45"/>
    </row>
    <row r="9526" spans="2:3" x14ac:dyDescent="0.25">
      <c r="B9526" s="15"/>
      <c r="C9526" s="45"/>
    </row>
    <row r="9527" spans="2:3" x14ac:dyDescent="0.25">
      <c r="B9527" s="15"/>
      <c r="C9527" s="45"/>
    </row>
    <row r="9528" spans="2:3" x14ac:dyDescent="0.25">
      <c r="B9528" s="15"/>
      <c r="C9528" s="45"/>
    </row>
    <row r="9529" spans="2:3" x14ac:dyDescent="0.25">
      <c r="B9529" s="15"/>
      <c r="C9529" s="45"/>
    </row>
    <row r="9530" spans="2:3" x14ac:dyDescent="0.25">
      <c r="B9530" s="15"/>
      <c r="C9530" s="45"/>
    </row>
    <row r="9531" spans="2:3" x14ac:dyDescent="0.25">
      <c r="B9531" s="15"/>
      <c r="C9531" s="45"/>
    </row>
    <row r="9532" spans="2:3" x14ac:dyDescent="0.25">
      <c r="B9532" s="15"/>
      <c r="C9532" s="45"/>
    </row>
    <row r="9533" spans="2:3" x14ac:dyDescent="0.25">
      <c r="B9533" s="15"/>
      <c r="C9533" s="45"/>
    </row>
    <row r="9534" spans="2:3" x14ac:dyDescent="0.25">
      <c r="B9534" s="15"/>
      <c r="C9534" s="45"/>
    </row>
    <row r="9535" spans="2:3" x14ac:dyDescent="0.25">
      <c r="B9535" s="15"/>
      <c r="C9535" s="45"/>
    </row>
    <row r="9536" spans="2:3" x14ac:dyDescent="0.25">
      <c r="B9536" s="15"/>
      <c r="C9536" s="45"/>
    </row>
    <row r="9537" spans="2:3" x14ac:dyDescent="0.25">
      <c r="B9537" s="15"/>
      <c r="C9537" s="45"/>
    </row>
    <row r="9538" spans="2:3" x14ac:dyDescent="0.25">
      <c r="B9538" s="15"/>
      <c r="C9538" s="45"/>
    </row>
    <row r="9539" spans="2:3" x14ac:dyDescent="0.25">
      <c r="B9539" s="15"/>
      <c r="C9539" s="45"/>
    </row>
    <row r="9540" spans="2:3" x14ac:dyDescent="0.25">
      <c r="B9540" s="15"/>
      <c r="C9540" s="45"/>
    </row>
    <row r="9541" spans="2:3" x14ac:dyDescent="0.25">
      <c r="B9541" s="15"/>
      <c r="C9541" s="45"/>
    </row>
    <row r="9542" spans="2:3" x14ac:dyDescent="0.25">
      <c r="B9542" s="15"/>
      <c r="C9542" s="45"/>
    </row>
    <row r="9543" spans="2:3" x14ac:dyDescent="0.25">
      <c r="B9543" s="15"/>
      <c r="C9543" s="45"/>
    </row>
    <row r="9544" spans="2:3" x14ac:dyDescent="0.25">
      <c r="B9544" s="15"/>
      <c r="C9544" s="45"/>
    </row>
    <row r="9545" spans="2:3" x14ac:dyDescent="0.25">
      <c r="B9545" s="15"/>
      <c r="C9545" s="45"/>
    </row>
    <row r="9546" spans="2:3" x14ac:dyDescent="0.25">
      <c r="B9546" s="15"/>
      <c r="C9546" s="45"/>
    </row>
    <row r="9547" spans="2:3" x14ac:dyDescent="0.25">
      <c r="B9547" s="15"/>
      <c r="C9547" s="45"/>
    </row>
    <row r="9548" spans="2:3" x14ac:dyDescent="0.25">
      <c r="B9548" s="15"/>
      <c r="C9548" s="45"/>
    </row>
    <row r="9549" spans="2:3" x14ac:dyDescent="0.25">
      <c r="B9549" s="15"/>
      <c r="C9549" s="45"/>
    </row>
    <row r="9550" spans="2:3" x14ac:dyDescent="0.25">
      <c r="B9550" s="15"/>
      <c r="C9550" s="45"/>
    </row>
    <row r="9551" spans="2:3" x14ac:dyDescent="0.25">
      <c r="B9551" s="15"/>
      <c r="C9551" s="45"/>
    </row>
    <row r="9552" spans="2:3" x14ac:dyDescent="0.25">
      <c r="B9552" s="15"/>
      <c r="C9552" s="45"/>
    </row>
    <row r="9553" spans="2:3" x14ac:dyDescent="0.25">
      <c r="B9553" s="15"/>
      <c r="C9553" s="45"/>
    </row>
    <row r="9554" spans="2:3" x14ac:dyDescent="0.25">
      <c r="B9554" s="15"/>
      <c r="C9554" s="45"/>
    </row>
    <row r="9555" spans="2:3" x14ac:dyDescent="0.25">
      <c r="B9555" s="15"/>
      <c r="C9555" s="45"/>
    </row>
    <row r="9556" spans="2:3" x14ac:dyDescent="0.25">
      <c r="B9556" s="15"/>
      <c r="C9556" s="45"/>
    </row>
    <row r="9557" spans="2:3" x14ac:dyDescent="0.25">
      <c r="B9557" s="15"/>
      <c r="C9557" s="45"/>
    </row>
    <row r="9558" spans="2:3" x14ac:dyDescent="0.25">
      <c r="B9558" s="15"/>
      <c r="C9558" s="45"/>
    </row>
    <row r="9559" spans="2:3" x14ac:dyDescent="0.25">
      <c r="B9559" s="15"/>
      <c r="C9559" s="45"/>
    </row>
    <row r="9560" spans="2:3" x14ac:dyDescent="0.25">
      <c r="B9560" s="15"/>
      <c r="C9560" s="45"/>
    </row>
    <row r="9561" spans="2:3" x14ac:dyDescent="0.25">
      <c r="B9561" s="15"/>
      <c r="C9561" s="45"/>
    </row>
    <row r="9562" spans="2:3" x14ac:dyDescent="0.25">
      <c r="B9562" s="15"/>
      <c r="C9562" s="45"/>
    </row>
    <row r="9563" spans="2:3" x14ac:dyDescent="0.25">
      <c r="B9563" s="15"/>
      <c r="C9563" s="45"/>
    </row>
    <row r="9564" spans="2:3" x14ac:dyDescent="0.25">
      <c r="B9564" s="15"/>
      <c r="C9564" s="45"/>
    </row>
    <row r="9565" spans="2:3" x14ac:dyDescent="0.25">
      <c r="B9565" s="15"/>
      <c r="C9565" s="45"/>
    </row>
    <row r="9566" spans="2:3" x14ac:dyDescent="0.25">
      <c r="B9566" s="15"/>
      <c r="C9566" s="45"/>
    </row>
    <row r="9567" spans="2:3" x14ac:dyDescent="0.25">
      <c r="B9567" s="15"/>
      <c r="C9567" s="45"/>
    </row>
    <row r="9568" spans="2:3" x14ac:dyDescent="0.25">
      <c r="B9568" s="15"/>
      <c r="C9568" s="45"/>
    </row>
    <row r="9569" spans="2:3" x14ac:dyDescent="0.25">
      <c r="B9569" s="15"/>
      <c r="C9569" s="45"/>
    </row>
    <row r="9570" spans="2:3" x14ac:dyDescent="0.25">
      <c r="B9570" s="15"/>
      <c r="C9570" s="45"/>
    </row>
    <row r="9571" spans="2:3" x14ac:dyDescent="0.25">
      <c r="B9571" s="15"/>
      <c r="C9571" s="45"/>
    </row>
    <row r="9572" spans="2:3" x14ac:dyDescent="0.25">
      <c r="B9572" s="15"/>
      <c r="C9572" s="45"/>
    </row>
    <row r="9573" spans="2:3" x14ac:dyDescent="0.25">
      <c r="B9573" s="15"/>
      <c r="C9573" s="45"/>
    </row>
    <row r="9574" spans="2:3" x14ac:dyDescent="0.25">
      <c r="B9574" s="15"/>
      <c r="C9574" s="45"/>
    </row>
    <row r="9575" spans="2:3" x14ac:dyDescent="0.25">
      <c r="B9575" s="15"/>
      <c r="C9575" s="45"/>
    </row>
    <row r="9576" spans="2:3" x14ac:dyDescent="0.25">
      <c r="B9576" s="15"/>
      <c r="C9576" s="45"/>
    </row>
    <row r="9577" spans="2:3" x14ac:dyDescent="0.25">
      <c r="B9577" s="15"/>
      <c r="C9577" s="45"/>
    </row>
    <row r="9578" spans="2:3" x14ac:dyDescent="0.25">
      <c r="B9578" s="15"/>
      <c r="C9578" s="45"/>
    </row>
    <row r="9579" spans="2:3" x14ac:dyDescent="0.25">
      <c r="B9579" s="15"/>
      <c r="C9579" s="45"/>
    </row>
    <row r="9580" spans="2:3" x14ac:dyDescent="0.25">
      <c r="B9580" s="15"/>
      <c r="C9580" s="45"/>
    </row>
    <row r="9581" spans="2:3" x14ac:dyDescent="0.25">
      <c r="B9581" s="15"/>
      <c r="C9581" s="45"/>
    </row>
    <row r="9582" spans="2:3" x14ac:dyDescent="0.25">
      <c r="B9582" s="15"/>
      <c r="C9582" s="45"/>
    </row>
    <row r="9583" spans="2:3" x14ac:dyDescent="0.25">
      <c r="B9583" s="15"/>
      <c r="C9583" s="45"/>
    </row>
    <row r="9584" spans="2:3" x14ac:dyDescent="0.25">
      <c r="B9584" s="15"/>
      <c r="C9584" s="45"/>
    </row>
    <row r="9585" spans="2:3" x14ac:dyDescent="0.25">
      <c r="B9585" s="15"/>
      <c r="C9585" s="45"/>
    </row>
    <row r="9586" spans="2:3" x14ac:dyDescent="0.25">
      <c r="B9586" s="15"/>
      <c r="C9586" s="45"/>
    </row>
    <row r="9587" spans="2:3" x14ac:dyDescent="0.25">
      <c r="B9587" s="15"/>
      <c r="C9587" s="45"/>
    </row>
    <row r="9588" spans="2:3" x14ac:dyDescent="0.25">
      <c r="B9588" s="15"/>
      <c r="C9588" s="45"/>
    </row>
    <row r="9589" spans="2:3" x14ac:dyDescent="0.25">
      <c r="B9589" s="15"/>
      <c r="C9589" s="45"/>
    </row>
    <row r="9590" spans="2:3" x14ac:dyDescent="0.25">
      <c r="B9590" s="15"/>
      <c r="C9590" s="45"/>
    </row>
    <row r="9591" spans="2:3" x14ac:dyDescent="0.25">
      <c r="B9591" s="15"/>
      <c r="C9591" s="45"/>
    </row>
    <row r="9592" spans="2:3" x14ac:dyDescent="0.25">
      <c r="B9592" s="15"/>
      <c r="C9592" s="45"/>
    </row>
    <row r="9593" spans="2:3" x14ac:dyDescent="0.25">
      <c r="B9593" s="15"/>
      <c r="C9593" s="45"/>
    </row>
    <row r="9594" spans="2:3" x14ac:dyDescent="0.25">
      <c r="B9594" s="15"/>
      <c r="C9594" s="45"/>
    </row>
    <row r="9595" spans="2:3" x14ac:dyDescent="0.25">
      <c r="B9595" s="15"/>
      <c r="C9595" s="45"/>
    </row>
    <row r="9596" spans="2:3" x14ac:dyDescent="0.25">
      <c r="B9596" s="15"/>
      <c r="C9596" s="45"/>
    </row>
    <row r="9597" spans="2:3" x14ac:dyDescent="0.25">
      <c r="B9597" s="15"/>
      <c r="C9597" s="45"/>
    </row>
    <row r="9598" spans="2:3" x14ac:dyDescent="0.25">
      <c r="B9598" s="15"/>
      <c r="C9598" s="45"/>
    </row>
    <row r="9599" spans="2:3" x14ac:dyDescent="0.25">
      <c r="B9599" s="15"/>
      <c r="C9599" s="45"/>
    </row>
    <row r="9600" spans="2:3" x14ac:dyDescent="0.25">
      <c r="B9600" s="15"/>
      <c r="C9600" s="45"/>
    </row>
    <row r="9601" spans="2:3" x14ac:dyDescent="0.25">
      <c r="B9601" s="15"/>
      <c r="C9601" s="45"/>
    </row>
    <row r="9602" spans="2:3" x14ac:dyDescent="0.25">
      <c r="B9602" s="15"/>
      <c r="C9602" s="45"/>
    </row>
    <row r="9603" spans="2:3" x14ac:dyDescent="0.25">
      <c r="B9603" s="15"/>
      <c r="C9603" s="45"/>
    </row>
    <row r="9604" spans="2:3" x14ac:dyDescent="0.25">
      <c r="B9604" s="15"/>
      <c r="C9604" s="45"/>
    </row>
    <row r="9605" spans="2:3" x14ac:dyDescent="0.25">
      <c r="B9605" s="15"/>
      <c r="C9605" s="45"/>
    </row>
    <row r="9606" spans="2:3" x14ac:dyDescent="0.25">
      <c r="B9606" s="15"/>
      <c r="C9606" s="45"/>
    </row>
    <row r="9607" spans="2:3" x14ac:dyDescent="0.25">
      <c r="B9607" s="15"/>
      <c r="C9607" s="45"/>
    </row>
    <row r="9608" spans="2:3" x14ac:dyDescent="0.25">
      <c r="B9608" s="15"/>
      <c r="C9608" s="45"/>
    </row>
    <row r="9609" spans="2:3" x14ac:dyDescent="0.25">
      <c r="B9609" s="15"/>
      <c r="C9609" s="45"/>
    </row>
    <row r="9610" spans="2:3" x14ac:dyDescent="0.25">
      <c r="B9610" s="15"/>
      <c r="C9610" s="45"/>
    </row>
    <row r="9611" spans="2:3" x14ac:dyDescent="0.25">
      <c r="B9611" s="15"/>
      <c r="C9611" s="45"/>
    </row>
    <row r="9612" spans="2:3" x14ac:dyDescent="0.25">
      <c r="B9612" s="15"/>
      <c r="C9612" s="45"/>
    </row>
    <row r="9613" spans="2:3" x14ac:dyDescent="0.25">
      <c r="B9613" s="15"/>
      <c r="C9613" s="45"/>
    </row>
    <row r="9614" spans="2:3" x14ac:dyDescent="0.25">
      <c r="B9614" s="15"/>
      <c r="C9614" s="45"/>
    </row>
    <row r="9615" spans="2:3" x14ac:dyDescent="0.25">
      <c r="B9615" s="15"/>
      <c r="C9615" s="45"/>
    </row>
    <row r="9616" spans="2:3" x14ac:dyDescent="0.25">
      <c r="B9616" s="15"/>
      <c r="C9616" s="45"/>
    </row>
    <row r="9617" spans="2:3" x14ac:dyDescent="0.25">
      <c r="B9617" s="15"/>
      <c r="C9617" s="45"/>
    </row>
    <row r="9618" spans="2:3" x14ac:dyDescent="0.25">
      <c r="B9618" s="15"/>
      <c r="C9618" s="45"/>
    </row>
    <row r="9619" spans="2:3" x14ac:dyDescent="0.25">
      <c r="B9619" s="15"/>
      <c r="C9619" s="45"/>
    </row>
    <row r="9620" spans="2:3" x14ac:dyDescent="0.25">
      <c r="B9620" s="15"/>
      <c r="C9620" s="45"/>
    </row>
    <row r="9621" spans="2:3" x14ac:dyDescent="0.25">
      <c r="B9621" s="15"/>
      <c r="C9621" s="45"/>
    </row>
    <row r="9622" spans="2:3" x14ac:dyDescent="0.25">
      <c r="B9622" s="15"/>
      <c r="C9622" s="45"/>
    </row>
    <row r="9623" spans="2:3" x14ac:dyDescent="0.25">
      <c r="B9623" s="15"/>
      <c r="C9623" s="45"/>
    </row>
    <row r="9624" spans="2:3" x14ac:dyDescent="0.25">
      <c r="B9624" s="15"/>
      <c r="C9624" s="45"/>
    </row>
    <row r="9625" spans="2:3" x14ac:dyDescent="0.25">
      <c r="B9625" s="15"/>
      <c r="C9625" s="45"/>
    </row>
    <row r="9626" spans="2:3" x14ac:dyDescent="0.25">
      <c r="B9626" s="15"/>
      <c r="C9626" s="45"/>
    </row>
    <row r="9627" spans="2:3" x14ac:dyDescent="0.25">
      <c r="B9627" s="15"/>
      <c r="C9627" s="45"/>
    </row>
    <row r="9628" spans="2:3" x14ac:dyDescent="0.25">
      <c r="B9628" s="15"/>
      <c r="C9628" s="45"/>
    </row>
    <row r="9629" spans="2:3" x14ac:dyDescent="0.25">
      <c r="B9629" s="15"/>
      <c r="C9629" s="45"/>
    </row>
    <row r="9630" spans="2:3" x14ac:dyDescent="0.25">
      <c r="B9630" s="15"/>
      <c r="C9630" s="45"/>
    </row>
    <row r="9631" spans="2:3" x14ac:dyDescent="0.25">
      <c r="B9631" s="15"/>
      <c r="C9631" s="45"/>
    </row>
    <row r="9632" spans="2:3" x14ac:dyDescent="0.25">
      <c r="B9632" s="15"/>
      <c r="C9632" s="45"/>
    </row>
    <row r="9633" spans="2:3" x14ac:dyDescent="0.25">
      <c r="B9633" s="15"/>
      <c r="C9633" s="45"/>
    </row>
    <row r="9634" spans="2:3" x14ac:dyDescent="0.25">
      <c r="B9634" s="15"/>
      <c r="C9634" s="45"/>
    </row>
    <row r="9635" spans="2:3" x14ac:dyDescent="0.25">
      <c r="B9635" s="15"/>
      <c r="C9635" s="45"/>
    </row>
    <row r="9636" spans="2:3" x14ac:dyDescent="0.25">
      <c r="B9636" s="15"/>
      <c r="C9636" s="45"/>
    </row>
    <row r="9637" spans="2:3" x14ac:dyDescent="0.25">
      <c r="B9637" s="15"/>
      <c r="C9637" s="45"/>
    </row>
    <row r="9638" spans="2:3" x14ac:dyDescent="0.25">
      <c r="B9638" s="15"/>
      <c r="C9638" s="45"/>
    </row>
    <row r="9639" spans="2:3" x14ac:dyDescent="0.25">
      <c r="B9639" s="15"/>
      <c r="C9639" s="45"/>
    </row>
    <row r="9640" spans="2:3" x14ac:dyDescent="0.25">
      <c r="B9640" s="15"/>
      <c r="C9640" s="45"/>
    </row>
    <row r="9641" spans="2:3" x14ac:dyDescent="0.25">
      <c r="B9641" s="15"/>
      <c r="C9641" s="45"/>
    </row>
    <row r="9642" spans="2:3" x14ac:dyDescent="0.25">
      <c r="B9642" s="15"/>
      <c r="C9642" s="45"/>
    </row>
    <row r="9643" spans="2:3" x14ac:dyDescent="0.25">
      <c r="B9643" s="15"/>
      <c r="C9643" s="45"/>
    </row>
    <row r="9644" spans="2:3" x14ac:dyDescent="0.25">
      <c r="B9644" s="15"/>
      <c r="C9644" s="45"/>
    </row>
    <row r="9645" spans="2:3" x14ac:dyDescent="0.25">
      <c r="B9645" s="15"/>
      <c r="C9645" s="45"/>
    </row>
    <row r="9646" spans="2:3" x14ac:dyDescent="0.25">
      <c r="B9646" s="15"/>
      <c r="C9646" s="45"/>
    </row>
    <row r="9647" spans="2:3" x14ac:dyDescent="0.25">
      <c r="B9647" s="15"/>
      <c r="C9647" s="45"/>
    </row>
    <row r="9648" spans="2:3" x14ac:dyDescent="0.25">
      <c r="B9648" s="15"/>
      <c r="C9648" s="45"/>
    </row>
    <row r="9649" spans="2:3" x14ac:dyDescent="0.25">
      <c r="B9649" s="15"/>
      <c r="C9649" s="45"/>
    </row>
    <row r="9650" spans="2:3" x14ac:dyDescent="0.25">
      <c r="B9650" s="15"/>
      <c r="C9650" s="45"/>
    </row>
    <row r="9651" spans="2:3" x14ac:dyDescent="0.25">
      <c r="B9651" s="15"/>
      <c r="C9651" s="45"/>
    </row>
    <row r="9652" spans="2:3" x14ac:dyDescent="0.25">
      <c r="B9652" s="15"/>
      <c r="C9652" s="45"/>
    </row>
    <row r="9653" spans="2:3" x14ac:dyDescent="0.25">
      <c r="B9653" s="15"/>
      <c r="C9653" s="45"/>
    </row>
    <row r="9654" spans="2:3" x14ac:dyDescent="0.25">
      <c r="B9654" s="15"/>
      <c r="C9654" s="45"/>
    </row>
    <row r="9655" spans="2:3" x14ac:dyDescent="0.25">
      <c r="B9655" s="15"/>
      <c r="C9655" s="45"/>
    </row>
    <row r="9656" spans="2:3" x14ac:dyDescent="0.25">
      <c r="B9656" s="15"/>
      <c r="C9656" s="45"/>
    </row>
    <row r="9657" spans="2:3" x14ac:dyDescent="0.25">
      <c r="B9657" s="15"/>
      <c r="C9657" s="45"/>
    </row>
    <row r="9658" spans="2:3" x14ac:dyDescent="0.25">
      <c r="B9658" s="15"/>
      <c r="C9658" s="45"/>
    </row>
    <row r="9659" spans="2:3" x14ac:dyDescent="0.25">
      <c r="B9659" s="15"/>
      <c r="C9659" s="45"/>
    </row>
    <row r="9660" spans="2:3" x14ac:dyDescent="0.25">
      <c r="B9660" s="15"/>
      <c r="C9660" s="45"/>
    </row>
    <row r="9661" spans="2:3" x14ac:dyDescent="0.25">
      <c r="B9661" s="15"/>
      <c r="C9661" s="45"/>
    </row>
    <row r="9662" spans="2:3" x14ac:dyDescent="0.25">
      <c r="B9662" s="15"/>
      <c r="C9662" s="45"/>
    </row>
    <row r="9663" spans="2:3" x14ac:dyDescent="0.25">
      <c r="B9663" s="15"/>
      <c r="C9663" s="45"/>
    </row>
    <row r="9664" spans="2:3" x14ac:dyDescent="0.25">
      <c r="B9664" s="15"/>
      <c r="C9664" s="45"/>
    </row>
    <row r="9665" spans="2:3" x14ac:dyDescent="0.25">
      <c r="B9665" s="15"/>
      <c r="C9665" s="45"/>
    </row>
    <row r="9666" spans="2:3" x14ac:dyDescent="0.25">
      <c r="B9666" s="15"/>
      <c r="C9666" s="45"/>
    </row>
    <row r="9667" spans="2:3" x14ac:dyDescent="0.25">
      <c r="B9667" s="15"/>
      <c r="C9667" s="45"/>
    </row>
    <row r="9668" spans="2:3" x14ac:dyDescent="0.25">
      <c r="B9668" s="15"/>
      <c r="C9668" s="45"/>
    </row>
    <row r="9669" spans="2:3" x14ac:dyDescent="0.25">
      <c r="B9669" s="15"/>
      <c r="C9669" s="45"/>
    </row>
    <row r="9670" spans="2:3" x14ac:dyDescent="0.25">
      <c r="B9670" s="15"/>
      <c r="C9670" s="45"/>
    </row>
    <row r="9671" spans="2:3" x14ac:dyDescent="0.25">
      <c r="B9671" s="15"/>
      <c r="C9671" s="45"/>
    </row>
    <row r="9672" spans="2:3" x14ac:dyDescent="0.25">
      <c r="B9672" s="15"/>
      <c r="C9672" s="45"/>
    </row>
    <row r="9673" spans="2:3" x14ac:dyDescent="0.25">
      <c r="B9673" s="15"/>
      <c r="C9673" s="45"/>
    </row>
    <row r="9674" spans="2:3" x14ac:dyDescent="0.25">
      <c r="B9674" s="15"/>
      <c r="C9674" s="45"/>
    </row>
    <row r="9675" spans="2:3" x14ac:dyDescent="0.25">
      <c r="B9675" s="15"/>
      <c r="C9675" s="45"/>
    </row>
    <row r="9676" spans="2:3" x14ac:dyDescent="0.25">
      <c r="B9676" s="15"/>
      <c r="C9676" s="45"/>
    </row>
    <row r="9677" spans="2:3" x14ac:dyDescent="0.25">
      <c r="B9677" s="15"/>
      <c r="C9677" s="45"/>
    </row>
    <row r="9678" spans="2:3" x14ac:dyDescent="0.25">
      <c r="B9678" s="15"/>
      <c r="C9678" s="45"/>
    </row>
    <row r="9679" spans="2:3" x14ac:dyDescent="0.25">
      <c r="B9679" s="15"/>
      <c r="C9679" s="45"/>
    </row>
    <row r="9680" spans="2:3" x14ac:dyDescent="0.25">
      <c r="B9680" s="15"/>
      <c r="C9680" s="45"/>
    </row>
    <row r="9681" spans="2:3" x14ac:dyDescent="0.25">
      <c r="B9681" s="15"/>
      <c r="C9681" s="45"/>
    </row>
    <row r="9682" spans="2:3" x14ac:dyDescent="0.25">
      <c r="B9682" s="15"/>
      <c r="C9682" s="45"/>
    </row>
    <row r="9683" spans="2:3" x14ac:dyDescent="0.25">
      <c r="B9683" s="15"/>
      <c r="C9683" s="45"/>
    </row>
    <row r="9684" spans="2:3" x14ac:dyDescent="0.25">
      <c r="B9684" s="15"/>
      <c r="C9684" s="45"/>
    </row>
    <row r="9685" spans="2:3" x14ac:dyDescent="0.25">
      <c r="B9685" s="15"/>
      <c r="C9685" s="45"/>
    </row>
    <row r="9686" spans="2:3" x14ac:dyDescent="0.25">
      <c r="B9686" s="15"/>
      <c r="C9686" s="45"/>
    </row>
    <row r="9687" spans="2:3" x14ac:dyDescent="0.25">
      <c r="B9687" s="15"/>
      <c r="C9687" s="45"/>
    </row>
    <row r="9688" spans="2:3" x14ac:dyDescent="0.25">
      <c r="B9688" s="15"/>
      <c r="C9688" s="45"/>
    </row>
    <row r="9689" spans="2:3" x14ac:dyDescent="0.25">
      <c r="B9689" s="15"/>
      <c r="C9689" s="45"/>
    </row>
    <row r="9690" spans="2:3" x14ac:dyDescent="0.25">
      <c r="B9690" s="15"/>
      <c r="C9690" s="45"/>
    </row>
    <row r="9691" spans="2:3" x14ac:dyDescent="0.25">
      <c r="B9691" s="15"/>
      <c r="C9691" s="45"/>
    </row>
    <row r="9692" spans="2:3" x14ac:dyDescent="0.25">
      <c r="B9692" s="15"/>
      <c r="C9692" s="45"/>
    </row>
    <row r="9693" spans="2:3" x14ac:dyDescent="0.25">
      <c r="B9693" s="15"/>
      <c r="C9693" s="45"/>
    </row>
    <row r="9694" spans="2:3" x14ac:dyDescent="0.25">
      <c r="B9694" s="15"/>
      <c r="C9694" s="45"/>
    </row>
    <row r="9695" spans="2:3" x14ac:dyDescent="0.25">
      <c r="B9695" s="15"/>
      <c r="C9695" s="45"/>
    </row>
    <row r="9696" spans="2:3" x14ac:dyDescent="0.25">
      <c r="B9696" s="15"/>
      <c r="C9696" s="45"/>
    </row>
    <row r="9697" spans="2:3" x14ac:dyDescent="0.25">
      <c r="B9697" s="15"/>
      <c r="C9697" s="45"/>
    </row>
    <row r="9698" spans="2:3" x14ac:dyDescent="0.25">
      <c r="B9698" s="15"/>
      <c r="C9698" s="45"/>
    </row>
    <row r="9699" spans="2:3" x14ac:dyDescent="0.25">
      <c r="B9699" s="15"/>
      <c r="C9699" s="45"/>
    </row>
    <row r="9700" spans="2:3" x14ac:dyDescent="0.25">
      <c r="B9700" s="15"/>
      <c r="C9700" s="45"/>
    </row>
    <row r="9701" spans="2:3" x14ac:dyDescent="0.25">
      <c r="B9701" s="15"/>
      <c r="C9701" s="45"/>
    </row>
    <row r="9702" spans="2:3" x14ac:dyDescent="0.25">
      <c r="B9702" s="15"/>
      <c r="C9702" s="45"/>
    </row>
    <row r="9703" spans="2:3" x14ac:dyDescent="0.25">
      <c r="B9703" s="15"/>
      <c r="C9703" s="45"/>
    </row>
    <row r="9704" spans="2:3" x14ac:dyDescent="0.25">
      <c r="B9704" s="15"/>
      <c r="C9704" s="45"/>
    </row>
    <row r="9705" spans="2:3" x14ac:dyDescent="0.25">
      <c r="B9705" s="15"/>
      <c r="C9705" s="45"/>
    </row>
    <row r="9706" spans="2:3" x14ac:dyDescent="0.25">
      <c r="B9706" s="15"/>
      <c r="C9706" s="45"/>
    </row>
    <row r="9707" spans="2:3" x14ac:dyDescent="0.25">
      <c r="B9707" s="15"/>
      <c r="C9707" s="45"/>
    </row>
    <row r="9708" spans="2:3" x14ac:dyDescent="0.25">
      <c r="B9708" s="15"/>
      <c r="C9708" s="45"/>
    </row>
    <row r="9709" spans="2:3" x14ac:dyDescent="0.25">
      <c r="B9709" s="15"/>
      <c r="C9709" s="45"/>
    </row>
    <row r="9710" spans="2:3" x14ac:dyDescent="0.25">
      <c r="B9710" s="15"/>
      <c r="C9710" s="45"/>
    </row>
    <row r="9711" spans="2:3" x14ac:dyDescent="0.25">
      <c r="B9711" s="15"/>
      <c r="C9711" s="45"/>
    </row>
    <row r="9712" spans="2:3" x14ac:dyDescent="0.25">
      <c r="B9712" s="15"/>
      <c r="C9712" s="45"/>
    </row>
    <row r="9713" spans="2:3" x14ac:dyDescent="0.25">
      <c r="B9713" s="15"/>
      <c r="C9713" s="45"/>
    </row>
    <row r="9714" spans="2:3" x14ac:dyDescent="0.25">
      <c r="B9714" s="15"/>
      <c r="C9714" s="45"/>
    </row>
    <row r="9715" spans="2:3" x14ac:dyDescent="0.25">
      <c r="B9715" s="15"/>
      <c r="C9715" s="45"/>
    </row>
    <row r="9716" spans="2:3" x14ac:dyDescent="0.25">
      <c r="B9716" s="15"/>
      <c r="C9716" s="45"/>
    </row>
    <row r="9717" spans="2:3" x14ac:dyDescent="0.25">
      <c r="B9717" s="15"/>
      <c r="C9717" s="45"/>
    </row>
    <row r="9718" spans="2:3" x14ac:dyDescent="0.25">
      <c r="B9718" s="15"/>
      <c r="C9718" s="45"/>
    </row>
    <row r="9719" spans="2:3" x14ac:dyDescent="0.25">
      <c r="B9719" s="15"/>
      <c r="C9719" s="45"/>
    </row>
    <row r="9720" spans="2:3" x14ac:dyDescent="0.25">
      <c r="B9720" s="15"/>
      <c r="C9720" s="45"/>
    </row>
    <row r="9721" spans="2:3" x14ac:dyDescent="0.25">
      <c r="B9721" s="15"/>
      <c r="C9721" s="45"/>
    </row>
    <row r="9722" spans="2:3" x14ac:dyDescent="0.25">
      <c r="B9722" s="15"/>
      <c r="C9722" s="45"/>
    </row>
    <row r="9723" spans="2:3" x14ac:dyDescent="0.25">
      <c r="B9723" s="15"/>
      <c r="C9723" s="45"/>
    </row>
    <row r="9724" spans="2:3" x14ac:dyDescent="0.25">
      <c r="B9724" s="15"/>
      <c r="C9724" s="45"/>
    </row>
    <row r="9725" spans="2:3" x14ac:dyDescent="0.25">
      <c r="B9725" s="15"/>
      <c r="C9725" s="45"/>
    </row>
    <row r="9726" spans="2:3" x14ac:dyDescent="0.25">
      <c r="B9726" s="15"/>
      <c r="C9726" s="45"/>
    </row>
    <row r="9727" spans="2:3" x14ac:dyDescent="0.25">
      <c r="B9727" s="15"/>
      <c r="C9727" s="45"/>
    </row>
    <row r="9728" spans="2:3" x14ac:dyDescent="0.25">
      <c r="B9728" s="15"/>
      <c r="C9728" s="45"/>
    </row>
    <row r="9729" spans="2:3" x14ac:dyDescent="0.25">
      <c r="B9729" s="15"/>
      <c r="C9729" s="45"/>
    </row>
    <row r="9730" spans="2:3" x14ac:dyDescent="0.25">
      <c r="B9730" s="15"/>
      <c r="C9730" s="45"/>
    </row>
    <row r="9731" spans="2:3" x14ac:dyDescent="0.25">
      <c r="B9731" s="15"/>
      <c r="C9731" s="45"/>
    </row>
    <row r="9732" spans="2:3" x14ac:dyDescent="0.25">
      <c r="B9732" s="15"/>
      <c r="C9732" s="45"/>
    </row>
    <row r="9733" spans="2:3" x14ac:dyDescent="0.25">
      <c r="B9733" s="15"/>
      <c r="C9733" s="45"/>
    </row>
    <row r="9734" spans="2:3" x14ac:dyDescent="0.25">
      <c r="B9734" s="15"/>
      <c r="C9734" s="45"/>
    </row>
    <row r="9735" spans="2:3" x14ac:dyDescent="0.25">
      <c r="B9735" s="15"/>
      <c r="C9735" s="45"/>
    </row>
    <row r="9736" spans="2:3" x14ac:dyDescent="0.25">
      <c r="B9736" s="15"/>
      <c r="C9736" s="45"/>
    </row>
    <row r="9737" spans="2:3" x14ac:dyDescent="0.25">
      <c r="B9737" s="15"/>
      <c r="C9737" s="45"/>
    </row>
    <row r="9738" spans="2:3" x14ac:dyDescent="0.25">
      <c r="B9738" s="15"/>
      <c r="C9738" s="45"/>
    </row>
    <row r="9739" spans="2:3" x14ac:dyDescent="0.25">
      <c r="B9739" s="15"/>
      <c r="C9739" s="45"/>
    </row>
    <row r="9740" spans="2:3" x14ac:dyDescent="0.25">
      <c r="B9740" s="15"/>
      <c r="C9740" s="45"/>
    </row>
    <row r="9741" spans="2:3" x14ac:dyDescent="0.25">
      <c r="B9741" s="15"/>
      <c r="C9741" s="45"/>
    </row>
    <row r="9742" spans="2:3" x14ac:dyDescent="0.25">
      <c r="B9742" s="15"/>
      <c r="C9742" s="45"/>
    </row>
    <row r="9743" spans="2:3" x14ac:dyDescent="0.25">
      <c r="B9743" s="15"/>
      <c r="C9743" s="45"/>
    </row>
    <row r="9744" spans="2:3" x14ac:dyDescent="0.25">
      <c r="B9744" s="15"/>
      <c r="C9744" s="45"/>
    </row>
    <row r="9745" spans="2:3" x14ac:dyDescent="0.25">
      <c r="B9745" s="15"/>
      <c r="C9745" s="45"/>
    </row>
    <row r="9746" spans="2:3" x14ac:dyDescent="0.25">
      <c r="B9746" s="15"/>
      <c r="C9746" s="45"/>
    </row>
    <row r="9747" spans="2:3" x14ac:dyDescent="0.25">
      <c r="B9747" s="15"/>
      <c r="C9747" s="45"/>
    </row>
    <row r="9748" spans="2:3" x14ac:dyDescent="0.25">
      <c r="B9748" s="15"/>
      <c r="C9748" s="45"/>
    </row>
    <row r="9749" spans="2:3" x14ac:dyDescent="0.25">
      <c r="B9749" s="15"/>
      <c r="C9749" s="45"/>
    </row>
    <row r="9750" spans="2:3" x14ac:dyDescent="0.25">
      <c r="B9750" s="15"/>
      <c r="C9750" s="45"/>
    </row>
    <row r="9751" spans="2:3" x14ac:dyDescent="0.25">
      <c r="B9751" s="15"/>
      <c r="C9751" s="45"/>
    </row>
    <row r="9752" spans="2:3" x14ac:dyDescent="0.25">
      <c r="B9752" s="15"/>
      <c r="C9752" s="45"/>
    </row>
    <row r="9753" spans="2:3" x14ac:dyDescent="0.25">
      <c r="B9753" s="15"/>
      <c r="C9753" s="45"/>
    </row>
    <row r="9754" spans="2:3" x14ac:dyDescent="0.25">
      <c r="B9754" s="15"/>
      <c r="C9754" s="45"/>
    </row>
    <row r="9755" spans="2:3" x14ac:dyDescent="0.25">
      <c r="B9755" s="15"/>
      <c r="C9755" s="45"/>
    </row>
    <row r="9756" spans="2:3" x14ac:dyDescent="0.25">
      <c r="B9756" s="15"/>
      <c r="C9756" s="45"/>
    </row>
    <row r="9757" spans="2:3" x14ac:dyDescent="0.25">
      <c r="B9757" s="15"/>
      <c r="C9757" s="45"/>
    </row>
    <row r="9758" spans="2:3" x14ac:dyDescent="0.25">
      <c r="B9758" s="15"/>
      <c r="C9758" s="45"/>
    </row>
    <row r="9759" spans="2:3" x14ac:dyDescent="0.25">
      <c r="B9759" s="15"/>
      <c r="C9759" s="45"/>
    </row>
    <row r="9760" spans="2:3" x14ac:dyDescent="0.25">
      <c r="B9760" s="15"/>
      <c r="C9760" s="45"/>
    </row>
    <row r="9761" spans="2:3" x14ac:dyDescent="0.25">
      <c r="B9761" s="15"/>
      <c r="C9761" s="45"/>
    </row>
    <row r="9762" spans="2:3" x14ac:dyDescent="0.25">
      <c r="B9762" s="15"/>
      <c r="C9762" s="45"/>
    </row>
    <row r="9763" spans="2:3" x14ac:dyDescent="0.25">
      <c r="B9763" s="15"/>
      <c r="C9763" s="45"/>
    </row>
    <row r="9764" spans="2:3" x14ac:dyDescent="0.25">
      <c r="B9764" s="15"/>
      <c r="C9764" s="45"/>
    </row>
    <row r="9765" spans="2:3" x14ac:dyDescent="0.25">
      <c r="B9765" s="15"/>
      <c r="C9765" s="45"/>
    </row>
    <row r="9766" spans="2:3" x14ac:dyDescent="0.25">
      <c r="B9766" s="15"/>
      <c r="C9766" s="45"/>
    </row>
    <row r="9767" spans="2:3" x14ac:dyDescent="0.25">
      <c r="B9767" s="15"/>
      <c r="C9767" s="45"/>
    </row>
    <row r="9768" spans="2:3" x14ac:dyDescent="0.25">
      <c r="B9768" s="15"/>
      <c r="C9768" s="45"/>
    </row>
    <row r="9769" spans="2:3" x14ac:dyDescent="0.25">
      <c r="B9769" s="15"/>
      <c r="C9769" s="45"/>
    </row>
    <row r="9770" spans="2:3" x14ac:dyDescent="0.25">
      <c r="B9770" s="15"/>
      <c r="C9770" s="45"/>
    </row>
    <row r="9771" spans="2:3" x14ac:dyDescent="0.25">
      <c r="B9771" s="15"/>
      <c r="C9771" s="45"/>
    </row>
    <row r="9772" spans="2:3" x14ac:dyDescent="0.25">
      <c r="B9772" s="15"/>
      <c r="C9772" s="45"/>
    </row>
    <row r="9773" spans="2:3" x14ac:dyDescent="0.25">
      <c r="B9773" s="15"/>
      <c r="C9773" s="45"/>
    </row>
    <row r="9774" spans="2:3" x14ac:dyDescent="0.25">
      <c r="B9774" s="15"/>
      <c r="C9774" s="45"/>
    </row>
    <row r="9775" spans="2:3" x14ac:dyDescent="0.25">
      <c r="B9775" s="15"/>
      <c r="C9775" s="45"/>
    </row>
    <row r="9776" spans="2:3" x14ac:dyDescent="0.25">
      <c r="B9776" s="15"/>
      <c r="C9776" s="45"/>
    </row>
    <row r="9777" spans="2:3" x14ac:dyDescent="0.25">
      <c r="B9777" s="15"/>
      <c r="C9777" s="45"/>
    </row>
    <row r="9778" spans="2:3" x14ac:dyDescent="0.25">
      <c r="B9778" s="15"/>
      <c r="C9778" s="45"/>
    </row>
    <row r="9779" spans="2:3" x14ac:dyDescent="0.25">
      <c r="B9779" s="15"/>
      <c r="C9779" s="45"/>
    </row>
    <row r="9780" spans="2:3" x14ac:dyDescent="0.25">
      <c r="B9780" s="15"/>
      <c r="C9780" s="45"/>
    </row>
    <row r="9781" spans="2:3" x14ac:dyDescent="0.25">
      <c r="B9781" s="15"/>
      <c r="C9781" s="45"/>
    </row>
    <row r="9782" spans="2:3" x14ac:dyDescent="0.25">
      <c r="B9782" s="15"/>
      <c r="C9782" s="45"/>
    </row>
    <row r="9783" spans="2:3" x14ac:dyDescent="0.25">
      <c r="B9783" s="15"/>
      <c r="C9783" s="45"/>
    </row>
    <row r="9784" spans="2:3" x14ac:dyDescent="0.25">
      <c r="B9784" s="15"/>
      <c r="C9784" s="45"/>
    </row>
    <row r="9785" spans="2:3" x14ac:dyDescent="0.25">
      <c r="B9785" s="15"/>
      <c r="C9785" s="45"/>
    </row>
    <row r="9786" spans="2:3" x14ac:dyDescent="0.25">
      <c r="B9786" s="15"/>
      <c r="C9786" s="45"/>
    </row>
    <row r="9787" spans="2:3" x14ac:dyDescent="0.25">
      <c r="B9787" s="15"/>
      <c r="C9787" s="45"/>
    </row>
    <row r="9788" spans="2:3" x14ac:dyDescent="0.25">
      <c r="B9788" s="15"/>
      <c r="C9788" s="45"/>
    </row>
    <row r="9789" spans="2:3" x14ac:dyDescent="0.25">
      <c r="B9789" s="15"/>
      <c r="C9789" s="45"/>
    </row>
    <row r="9790" spans="2:3" x14ac:dyDescent="0.25">
      <c r="B9790" s="15"/>
      <c r="C9790" s="45"/>
    </row>
    <row r="9791" spans="2:3" x14ac:dyDescent="0.25">
      <c r="B9791" s="15"/>
      <c r="C9791" s="45"/>
    </row>
    <row r="9792" spans="2:3" x14ac:dyDescent="0.25">
      <c r="B9792" s="15"/>
      <c r="C9792" s="45"/>
    </row>
    <row r="9793" spans="2:3" x14ac:dyDescent="0.25">
      <c r="B9793" s="15"/>
      <c r="C9793" s="45"/>
    </row>
    <row r="9794" spans="2:3" x14ac:dyDescent="0.25">
      <c r="B9794" s="15"/>
      <c r="C9794" s="45"/>
    </row>
    <row r="9795" spans="2:3" x14ac:dyDescent="0.25">
      <c r="B9795" s="15"/>
      <c r="C9795" s="45"/>
    </row>
    <row r="9796" spans="2:3" x14ac:dyDescent="0.25">
      <c r="B9796" s="15"/>
      <c r="C9796" s="45"/>
    </row>
    <row r="9797" spans="2:3" x14ac:dyDescent="0.25">
      <c r="B9797" s="15"/>
      <c r="C9797" s="45"/>
    </row>
    <row r="9798" spans="2:3" x14ac:dyDescent="0.25">
      <c r="B9798" s="15"/>
      <c r="C9798" s="45"/>
    </row>
    <row r="9799" spans="2:3" x14ac:dyDescent="0.25">
      <c r="B9799" s="15"/>
      <c r="C9799" s="45"/>
    </row>
    <row r="9800" spans="2:3" x14ac:dyDescent="0.25">
      <c r="B9800" s="15"/>
      <c r="C9800" s="45"/>
    </row>
    <row r="9801" spans="2:3" x14ac:dyDescent="0.25">
      <c r="B9801" s="15"/>
      <c r="C9801" s="45"/>
    </row>
    <row r="9802" spans="2:3" x14ac:dyDescent="0.25">
      <c r="B9802" s="15"/>
      <c r="C9802" s="45"/>
    </row>
    <row r="9803" spans="2:3" x14ac:dyDescent="0.25">
      <c r="B9803" s="15"/>
      <c r="C9803" s="45"/>
    </row>
    <row r="9804" spans="2:3" x14ac:dyDescent="0.25">
      <c r="B9804" s="15"/>
      <c r="C9804" s="45"/>
    </row>
    <row r="9805" spans="2:3" x14ac:dyDescent="0.25">
      <c r="B9805" s="15"/>
      <c r="C9805" s="45"/>
    </row>
    <row r="9806" spans="2:3" x14ac:dyDescent="0.25">
      <c r="B9806" s="15"/>
      <c r="C9806" s="45"/>
    </row>
    <row r="9807" spans="2:3" x14ac:dyDescent="0.25">
      <c r="B9807" s="15"/>
      <c r="C9807" s="45"/>
    </row>
    <row r="9808" spans="2:3" x14ac:dyDescent="0.25">
      <c r="B9808" s="15"/>
      <c r="C9808" s="45"/>
    </row>
    <row r="9809" spans="2:3" x14ac:dyDescent="0.25">
      <c r="B9809" s="15"/>
      <c r="C9809" s="45"/>
    </row>
    <row r="9810" spans="2:3" x14ac:dyDescent="0.25">
      <c r="B9810" s="15"/>
      <c r="C9810" s="45"/>
    </row>
    <row r="9811" spans="2:3" x14ac:dyDescent="0.25">
      <c r="B9811" s="15"/>
      <c r="C9811" s="45"/>
    </row>
    <row r="9812" spans="2:3" x14ac:dyDescent="0.25">
      <c r="B9812" s="15"/>
      <c r="C9812" s="45"/>
    </row>
    <row r="9813" spans="2:3" x14ac:dyDescent="0.25">
      <c r="B9813" s="15"/>
      <c r="C9813" s="45"/>
    </row>
    <row r="9814" spans="2:3" x14ac:dyDescent="0.25">
      <c r="B9814" s="15"/>
      <c r="C9814" s="45"/>
    </row>
    <row r="9815" spans="2:3" x14ac:dyDescent="0.25">
      <c r="B9815" s="15"/>
      <c r="C9815" s="45"/>
    </row>
    <row r="9816" spans="2:3" x14ac:dyDescent="0.25">
      <c r="B9816" s="15"/>
      <c r="C9816" s="45"/>
    </row>
    <row r="9817" spans="2:3" x14ac:dyDescent="0.25">
      <c r="B9817" s="15"/>
      <c r="C9817" s="45"/>
    </row>
    <row r="9818" spans="2:3" x14ac:dyDescent="0.25">
      <c r="B9818" s="15"/>
      <c r="C9818" s="45"/>
    </row>
    <row r="9819" spans="2:3" x14ac:dyDescent="0.25">
      <c r="B9819" s="15"/>
      <c r="C9819" s="45"/>
    </row>
    <row r="9820" spans="2:3" x14ac:dyDescent="0.25">
      <c r="B9820" s="15"/>
      <c r="C9820" s="45"/>
    </row>
    <row r="9821" spans="2:3" x14ac:dyDescent="0.25">
      <c r="B9821" s="15"/>
      <c r="C9821" s="45"/>
    </row>
    <row r="9822" spans="2:3" x14ac:dyDescent="0.25">
      <c r="B9822" s="15"/>
      <c r="C9822" s="45"/>
    </row>
    <row r="9823" spans="2:3" x14ac:dyDescent="0.25">
      <c r="B9823" s="15"/>
      <c r="C9823" s="45"/>
    </row>
    <row r="9824" spans="2:3" x14ac:dyDescent="0.25">
      <c r="B9824" s="15"/>
      <c r="C9824" s="45"/>
    </row>
    <row r="9825" spans="2:3" x14ac:dyDescent="0.25">
      <c r="B9825" s="15"/>
      <c r="C9825" s="45"/>
    </row>
    <row r="9826" spans="2:3" x14ac:dyDescent="0.25">
      <c r="B9826" s="15"/>
      <c r="C9826" s="45"/>
    </row>
    <row r="9827" spans="2:3" x14ac:dyDescent="0.25">
      <c r="B9827" s="15"/>
      <c r="C9827" s="45"/>
    </row>
    <row r="9828" spans="2:3" x14ac:dyDescent="0.25">
      <c r="B9828" s="15"/>
      <c r="C9828" s="45"/>
    </row>
    <row r="9829" spans="2:3" x14ac:dyDescent="0.25">
      <c r="B9829" s="15"/>
      <c r="C9829" s="45"/>
    </row>
    <row r="9830" spans="2:3" x14ac:dyDescent="0.25">
      <c r="B9830" s="15"/>
      <c r="C9830" s="45"/>
    </row>
    <row r="9831" spans="2:3" x14ac:dyDescent="0.25">
      <c r="B9831" s="15"/>
      <c r="C9831" s="45"/>
    </row>
    <row r="9832" spans="2:3" x14ac:dyDescent="0.25">
      <c r="B9832" s="15"/>
      <c r="C9832" s="45"/>
    </row>
    <row r="9833" spans="2:3" x14ac:dyDescent="0.25">
      <c r="B9833" s="15"/>
      <c r="C9833" s="45"/>
    </row>
    <row r="9834" spans="2:3" x14ac:dyDescent="0.25">
      <c r="B9834" s="15"/>
      <c r="C9834" s="45"/>
    </row>
    <row r="9835" spans="2:3" x14ac:dyDescent="0.25">
      <c r="B9835" s="15"/>
      <c r="C9835" s="45"/>
    </row>
    <row r="9836" spans="2:3" x14ac:dyDescent="0.25">
      <c r="B9836" s="15"/>
      <c r="C9836" s="45"/>
    </row>
    <row r="9837" spans="2:3" x14ac:dyDescent="0.25">
      <c r="B9837" s="15"/>
      <c r="C9837" s="45"/>
    </row>
    <row r="9838" spans="2:3" x14ac:dyDescent="0.25">
      <c r="B9838" s="15"/>
      <c r="C9838" s="45"/>
    </row>
    <row r="9839" spans="2:3" x14ac:dyDescent="0.25">
      <c r="B9839" s="15"/>
      <c r="C9839" s="45"/>
    </row>
    <row r="9840" spans="2:3" x14ac:dyDescent="0.25">
      <c r="B9840" s="15"/>
      <c r="C9840" s="45"/>
    </row>
    <row r="9841" spans="2:3" x14ac:dyDescent="0.25">
      <c r="B9841" s="15"/>
      <c r="C9841" s="45"/>
    </row>
    <row r="9842" spans="2:3" x14ac:dyDescent="0.25">
      <c r="B9842" s="15"/>
      <c r="C9842" s="45"/>
    </row>
    <row r="9843" spans="2:3" x14ac:dyDescent="0.25">
      <c r="B9843" s="15"/>
      <c r="C9843" s="45"/>
    </row>
    <row r="9844" spans="2:3" x14ac:dyDescent="0.25">
      <c r="B9844" s="15"/>
      <c r="C9844" s="45"/>
    </row>
    <row r="9845" spans="2:3" x14ac:dyDescent="0.25">
      <c r="B9845" s="15"/>
      <c r="C9845" s="45"/>
    </row>
    <row r="9846" spans="2:3" x14ac:dyDescent="0.25">
      <c r="B9846" s="15"/>
      <c r="C9846" s="45"/>
    </row>
    <row r="9847" spans="2:3" x14ac:dyDescent="0.25">
      <c r="B9847" s="15"/>
      <c r="C9847" s="45"/>
    </row>
    <row r="9848" spans="2:3" x14ac:dyDescent="0.25">
      <c r="B9848" s="15"/>
      <c r="C9848" s="45"/>
    </row>
    <row r="9849" spans="2:3" x14ac:dyDescent="0.25">
      <c r="B9849" s="15"/>
      <c r="C9849" s="45"/>
    </row>
    <row r="9850" spans="2:3" x14ac:dyDescent="0.25">
      <c r="B9850" s="15"/>
      <c r="C9850" s="45"/>
    </row>
    <row r="9851" spans="2:3" x14ac:dyDescent="0.25">
      <c r="B9851" s="15"/>
      <c r="C9851" s="45"/>
    </row>
    <row r="9852" spans="2:3" x14ac:dyDescent="0.25">
      <c r="B9852" s="15"/>
      <c r="C9852" s="45"/>
    </row>
    <row r="9853" spans="2:3" x14ac:dyDescent="0.25">
      <c r="B9853" s="15"/>
      <c r="C9853" s="45"/>
    </row>
    <row r="9854" spans="2:3" x14ac:dyDescent="0.25">
      <c r="B9854" s="15"/>
      <c r="C9854" s="45"/>
    </row>
    <row r="9855" spans="2:3" x14ac:dyDescent="0.25">
      <c r="B9855" s="15"/>
      <c r="C9855" s="45"/>
    </row>
    <row r="9856" spans="2:3" x14ac:dyDescent="0.25">
      <c r="B9856" s="15"/>
      <c r="C9856" s="45"/>
    </row>
    <row r="9857" spans="2:3" x14ac:dyDescent="0.25">
      <c r="B9857" s="15"/>
      <c r="C9857" s="45"/>
    </row>
    <row r="9858" spans="2:3" x14ac:dyDescent="0.25">
      <c r="B9858" s="15"/>
      <c r="C9858" s="45"/>
    </row>
    <row r="9859" spans="2:3" x14ac:dyDescent="0.25">
      <c r="B9859" s="15"/>
      <c r="C9859" s="45"/>
    </row>
    <row r="9860" spans="2:3" x14ac:dyDescent="0.25">
      <c r="B9860" s="15"/>
      <c r="C9860" s="45"/>
    </row>
    <row r="9861" spans="2:3" x14ac:dyDescent="0.25">
      <c r="B9861" s="15"/>
      <c r="C9861" s="45"/>
    </row>
    <row r="9862" spans="2:3" x14ac:dyDescent="0.25">
      <c r="B9862" s="15"/>
      <c r="C9862" s="45"/>
    </row>
    <row r="9863" spans="2:3" x14ac:dyDescent="0.25">
      <c r="B9863" s="15"/>
      <c r="C9863" s="45"/>
    </row>
    <row r="9864" spans="2:3" x14ac:dyDescent="0.25">
      <c r="B9864" s="15"/>
      <c r="C9864" s="45"/>
    </row>
    <row r="9865" spans="2:3" x14ac:dyDescent="0.25">
      <c r="B9865" s="15"/>
      <c r="C9865" s="45"/>
    </row>
    <row r="9866" spans="2:3" x14ac:dyDescent="0.25">
      <c r="B9866" s="15"/>
      <c r="C9866" s="45"/>
    </row>
    <row r="9867" spans="2:3" x14ac:dyDescent="0.25">
      <c r="B9867" s="15"/>
      <c r="C9867" s="45"/>
    </row>
    <row r="9868" spans="2:3" x14ac:dyDescent="0.25">
      <c r="B9868" s="15"/>
      <c r="C9868" s="45"/>
    </row>
    <row r="9869" spans="2:3" x14ac:dyDescent="0.25">
      <c r="B9869" s="15"/>
      <c r="C9869" s="45"/>
    </row>
    <row r="9870" spans="2:3" x14ac:dyDescent="0.25">
      <c r="B9870" s="15"/>
      <c r="C9870" s="45"/>
    </row>
    <row r="9871" spans="2:3" x14ac:dyDescent="0.25">
      <c r="B9871" s="15"/>
      <c r="C9871" s="45"/>
    </row>
    <row r="9872" spans="2:3" x14ac:dyDescent="0.25">
      <c r="B9872" s="15"/>
      <c r="C9872" s="45"/>
    </row>
    <row r="9873" spans="2:3" x14ac:dyDescent="0.25">
      <c r="B9873" s="15"/>
      <c r="C9873" s="45"/>
    </row>
    <row r="9874" spans="2:3" x14ac:dyDescent="0.25">
      <c r="B9874" s="15"/>
      <c r="C9874" s="45"/>
    </row>
    <row r="9875" spans="2:3" x14ac:dyDescent="0.25">
      <c r="B9875" s="15"/>
      <c r="C9875" s="45"/>
    </row>
    <row r="9876" spans="2:3" x14ac:dyDescent="0.25">
      <c r="B9876" s="15"/>
      <c r="C9876" s="45"/>
    </row>
    <row r="9877" spans="2:3" x14ac:dyDescent="0.25">
      <c r="B9877" s="15"/>
      <c r="C9877" s="45"/>
    </row>
    <row r="9878" spans="2:3" x14ac:dyDescent="0.25">
      <c r="B9878" s="15"/>
      <c r="C9878" s="45"/>
    </row>
    <row r="9879" spans="2:3" x14ac:dyDescent="0.25">
      <c r="B9879" s="15"/>
      <c r="C9879" s="45"/>
    </row>
    <row r="9880" spans="2:3" x14ac:dyDescent="0.25">
      <c r="B9880" s="15"/>
      <c r="C9880" s="45"/>
    </row>
    <row r="9881" spans="2:3" x14ac:dyDescent="0.25">
      <c r="B9881" s="15"/>
      <c r="C9881" s="45"/>
    </row>
    <row r="9882" spans="2:3" x14ac:dyDescent="0.25">
      <c r="B9882" s="15"/>
      <c r="C9882" s="45"/>
    </row>
    <row r="9883" spans="2:3" x14ac:dyDescent="0.25">
      <c r="B9883" s="15"/>
      <c r="C9883" s="45"/>
    </row>
    <row r="9884" spans="2:3" x14ac:dyDescent="0.25">
      <c r="B9884" s="15"/>
      <c r="C9884" s="45"/>
    </row>
    <row r="9885" spans="2:3" x14ac:dyDescent="0.25">
      <c r="B9885" s="15"/>
      <c r="C9885" s="45"/>
    </row>
    <row r="9886" spans="2:3" x14ac:dyDescent="0.25">
      <c r="B9886" s="15"/>
      <c r="C9886" s="45"/>
    </row>
    <row r="9887" spans="2:3" x14ac:dyDescent="0.25">
      <c r="B9887" s="15"/>
      <c r="C9887" s="45"/>
    </row>
    <row r="9888" spans="2:3" x14ac:dyDescent="0.25">
      <c r="B9888" s="15"/>
      <c r="C9888" s="45"/>
    </row>
    <row r="9889" spans="2:3" x14ac:dyDescent="0.25">
      <c r="B9889" s="15"/>
      <c r="C9889" s="45"/>
    </row>
    <row r="9890" spans="2:3" x14ac:dyDescent="0.25">
      <c r="B9890" s="15"/>
      <c r="C9890" s="45"/>
    </row>
    <row r="9891" spans="2:3" x14ac:dyDescent="0.25">
      <c r="B9891" s="15"/>
      <c r="C9891" s="45"/>
    </row>
    <row r="9892" spans="2:3" x14ac:dyDescent="0.25">
      <c r="B9892" s="15"/>
      <c r="C9892" s="45"/>
    </row>
    <row r="9893" spans="2:3" x14ac:dyDescent="0.25">
      <c r="B9893" s="15"/>
      <c r="C9893" s="45"/>
    </row>
    <row r="9894" spans="2:3" x14ac:dyDescent="0.25">
      <c r="B9894" s="15"/>
      <c r="C9894" s="45"/>
    </row>
    <row r="9895" spans="2:3" x14ac:dyDescent="0.25">
      <c r="B9895" s="15"/>
      <c r="C9895" s="45"/>
    </row>
    <row r="9896" spans="2:3" x14ac:dyDescent="0.25">
      <c r="B9896" s="15"/>
      <c r="C9896" s="45"/>
    </row>
    <row r="9897" spans="2:3" x14ac:dyDescent="0.25">
      <c r="B9897" s="15"/>
      <c r="C9897" s="45"/>
    </row>
    <row r="9898" spans="2:3" x14ac:dyDescent="0.25">
      <c r="B9898" s="15"/>
      <c r="C9898" s="45"/>
    </row>
    <row r="9899" spans="2:3" x14ac:dyDescent="0.25">
      <c r="B9899" s="15"/>
      <c r="C9899" s="45"/>
    </row>
    <row r="9900" spans="2:3" x14ac:dyDescent="0.25">
      <c r="B9900" s="15"/>
      <c r="C9900" s="45"/>
    </row>
    <row r="9901" spans="2:3" x14ac:dyDescent="0.25">
      <c r="B9901" s="15"/>
      <c r="C9901" s="45"/>
    </row>
    <row r="9902" spans="2:3" x14ac:dyDescent="0.25">
      <c r="B9902" s="15"/>
      <c r="C9902" s="45"/>
    </row>
    <row r="9903" spans="2:3" x14ac:dyDescent="0.25">
      <c r="B9903" s="15"/>
      <c r="C9903" s="45"/>
    </row>
    <row r="9904" spans="2:3" x14ac:dyDescent="0.25">
      <c r="B9904" s="15"/>
      <c r="C9904" s="45"/>
    </row>
    <row r="9905" spans="2:3" x14ac:dyDescent="0.25">
      <c r="B9905" s="15"/>
      <c r="C9905" s="45"/>
    </row>
    <row r="9906" spans="2:3" x14ac:dyDescent="0.25">
      <c r="B9906" s="15"/>
      <c r="C9906" s="45"/>
    </row>
    <row r="9907" spans="2:3" x14ac:dyDescent="0.25">
      <c r="B9907" s="15"/>
      <c r="C9907" s="45"/>
    </row>
    <row r="9908" spans="2:3" x14ac:dyDescent="0.25">
      <c r="B9908" s="15"/>
      <c r="C9908" s="45"/>
    </row>
    <row r="9909" spans="2:3" x14ac:dyDescent="0.25">
      <c r="B9909" s="15"/>
      <c r="C9909" s="45"/>
    </row>
    <row r="9910" spans="2:3" x14ac:dyDescent="0.25">
      <c r="B9910" s="15"/>
      <c r="C9910" s="45"/>
    </row>
    <row r="9911" spans="2:3" x14ac:dyDescent="0.25">
      <c r="B9911" s="15"/>
      <c r="C9911" s="45"/>
    </row>
    <row r="9912" spans="2:3" x14ac:dyDescent="0.25">
      <c r="B9912" s="15"/>
      <c r="C9912" s="45"/>
    </row>
    <row r="9913" spans="2:3" x14ac:dyDescent="0.25">
      <c r="B9913" s="15"/>
      <c r="C9913" s="45"/>
    </row>
    <row r="9914" spans="2:3" x14ac:dyDescent="0.25">
      <c r="B9914" s="15"/>
      <c r="C9914" s="45"/>
    </row>
    <row r="9915" spans="2:3" x14ac:dyDescent="0.25">
      <c r="B9915" s="15"/>
      <c r="C9915" s="45"/>
    </row>
    <row r="9916" spans="2:3" x14ac:dyDescent="0.25">
      <c r="B9916" s="15"/>
      <c r="C9916" s="45"/>
    </row>
    <row r="9917" spans="2:3" x14ac:dyDescent="0.25">
      <c r="B9917" s="15"/>
      <c r="C9917" s="45"/>
    </row>
    <row r="9918" spans="2:3" x14ac:dyDescent="0.25">
      <c r="B9918" s="15"/>
      <c r="C9918" s="45"/>
    </row>
    <row r="9919" spans="2:3" x14ac:dyDescent="0.25">
      <c r="B9919" s="15"/>
      <c r="C9919" s="45"/>
    </row>
    <row r="9920" spans="2:3" x14ac:dyDescent="0.25">
      <c r="B9920" s="15"/>
      <c r="C9920" s="45"/>
    </row>
    <row r="9921" spans="2:3" x14ac:dyDescent="0.25">
      <c r="B9921" s="15"/>
      <c r="C9921" s="45"/>
    </row>
    <row r="9922" spans="2:3" x14ac:dyDescent="0.25">
      <c r="B9922" s="15"/>
      <c r="C9922" s="45"/>
    </row>
    <row r="9923" spans="2:3" x14ac:dyDescent="0.25">
      <c r="B9923" s="15"/>
      <c r="C9923" s="45"/>
    </row>
    <row r="9924" spans="2:3" x14ac:dyDescent="0.25">
      <c r="B9924" s="15"/>
      <c r="C9924" s="45"/>
    </row>
    <row r="9925" spans="2:3" x14ac:dyDescent="0.25">
      <c r="B9925" s="15"/>
      <c r="C9925" s="45"/>
    </row>
    <row r="9926" spans="2:3" x14ac:dyDescent="0.25">
      <c r="B9926" s="15"/>
      <c r="C9926" s="45"/>
    </row>
    <row r="9927" spans="2:3" x14ac:dyDescent="0.25">
      <c r="B9927" s="15"/>
      <c r="C9927" s="45"/>
    </row>
    <row r="9928" spans="2:3" x14ac:dyDescent="0.25">
      <c r="B9928" s="15"/>
      <c r="C9928" s="45"/>
    </row>
    <row r="9929" spans="2:3" x14ac:dyDescent="0.25">
      <c r="B9929" s="15"/>
      <c r="C9929" s="45"/>
    </row>
    <row r="9930" spans="2:3" x14ac:dyDescent="0.25">
      <c r="B9930" s="15"/>
      <c r="C9930" s="45"/>
    </row>
    <row r="9931" spans="2:3" x14ac:dyDescent="0.25">
      <c r="B9931" s="15"/>
      <c r="C9931" s="45"/>
    </row>
    <row r="9932" spans="2:3" x14ac:dyDescent="0.25">
      <c r="B9932" s="15"/>
      <c r="C9932" s="45"/>
    </row>
    <row r="9933" spans="2:3" x14ac:dyDescent="0.25">
      <c r="B9933" s="15"/>
      <c r="C9933" s="45"/>
    </row>
    <row r="9934" spans="2:3" x14ac:dyDescent="0.25">
      <c r="B9934" s="15"/>
      <c r="C9934" s="45"/>
    </row>
    <row r="9935" spans="2:3" x14ac:dyDescent="0.25">
      <c r="B9935" s="15"/>
      <c r="C9935" s="45"/>
    </row>
    <row r="9936" spans="2:3" x14ac:dyDescent="0.25">
      <c r="B9936" s="15"/>
      <c r="C9936" s="45"/>
    </row>
    <row r="9937" spans="2:3" x14ac:dyDescent="0.25">
      <c r="B9937" s="15"/>
      <c r="C9937" s="45"/>
    </row>
    <row r="9938" spans="2:3" x14ac:dyDescent="0.25">
      <c r="B9938" s="15"/>
      <c r="C9938" s="45"/>
    </row>
    <row r="9939" spans="2:3" x14ac:dyDescent="0.25">
      <c r="B9939" s="15"/>
      <c r="C9939" s="45"/>
    </row>
    <row r="9940" spans="2:3" x14ac:dyDescent="0.25">
      <c r="B9940" s="15"/>
      <c r="C9940" s="45"/>
    </row>
    <row r="9941" spans="2:3" x14ac:dyDescent="0.25">
      <c r="B9941" s="15"/>
      <c r="C9941" s="45"/>
    </row>
    <row r="9942" spans="2:3" x14ac:dyDescent="0.25">
      <c r="B9942" s="15"/>
      <c r="C9942" s="45"/>
    </row>
    <row r="9943" spans="2:3" x14ac:dyDescent="0.25">
      <c r="B9943" s="15"/>
      <c r="C9943" s="45"/>
    </row>
    <row r="9944" spans="2:3" x14ac:dyDescent="0.25">
      <c r="B9944" s="15"/>
      <c r="C9944" s="45"/>
    </row>
    <row r="9945" spans="2:3" x14ac:dyDescent="0.25">
      <c r="B9945" s="15"/>
      <c r="C9945" s="45"/>
    </row>
    <row r="9946" spans="2:3" x14ac:dyDescent="0.25">
      <c r="B9946" s="15"/>
      <c r="C9946" s="45"/>
    </row>
    <row r="9947" spans="2:3" x14ac:dyDescent="0.25">
      <c r="B9947" s="15"/>
      <c r="C9947" s="45"/>
    </row>
    <row r="9948" spans="2:3" x14ac:dyDescent="0.25">
      <c r="B9948" s="15"/>
      <c r="C9948" s="45"/>
    </row>
    <row r="9949" spans="2:3" x14ac:dyDescent="0.25">
      <c r="B9949" s="15"/>
      <c r="C9949" s="45"/>
    </row>
    <row r="9950" spans="2:3" x14ac:dyDescent="0.25">
      <c r="B9950" s="15"/>
      <c r="C9950" s="45"/>
    </row>
    <row r="9951" spans="2:3" x14ac:dyDescent="0.25">
      <c r="B9951" s="15"/>
      <c r="C9951" s="45"/>
    </row>
    <row r="9952" spans="2:3" x14ac:dyDescent="0.25">
      <c r="B9952" s="15"/>
      <c r="C9952" s="45"/>
    </row>
    <row r="9953" spans="2:3" x14ac:dyDescent="0.25">
      <c r="B9953" s="15"/>
      <c r="C9953" s="45"/>
    </row>
    <row r="9954" spans="2:3" x14ac:dyDescent="0.25">
      <c r="B9954" s="15"/>
      <c r="C9954" s="45"/>
    </row>
    <row r="9955" spans="2:3" x14ac:dyDescent="0.25">
      <c r="B9955" s="15"/>
      <c r="C9955" s="45"/>
    </row>
    <row r="9956" spans="2:3" x14ac:dyDescent="0.25">
      <c r="B9956" s="15"/>
      <c r="C9956" s="45"/>
    </row>
    <row r="9957" spans="2:3" x14ac:dyDescent="0.25">
      <c r="B9957" s="15"/>
      <c r="C9957" s="45"/>
    </row>
    <row r="9958" spans="2:3" x14ac:dyDescent="0.25">
      <c r="B9958" s="15"/>
      <c r="C9958" s="45"/>
    </row>
    <row r="9959" spans="2:3" x14ac:dyDescent="0.25">
      <c r="B9959" s="15"/>
      <c r="C9959" s="45"/>
    </row>
    <row r="9960" spans="2:3" x14ac:dyDescent="0.25">
      <c r="B9960" s="15"/>
      <c r="C9960" s="45"/>
    </row>
    <row r="9961" spans="2:3" x14ac:dyDescent="0.25">
      <c r="B9961" s="15"/>
      <c r="C9961" s="45"/>
    </row>
    <row r="9962" spans="2:3" x14ac:dyDescent="0.25">
      <c r="B9962" s="15"/>
      <c r="C9962" s="45"/>
    </row>
    <row r="9963" spans="2:3" x14ac:dyDescent="0.25">
      <c r="B9963" s="15"/>
      <c r="C9963" s="45"/>
    </row>
    <row r="9964" spans="2:3" x14ac:dyDescent="0.25">
      <c r="B9964" s="15"/>
      <c r="C9964" s="45"/>
    </row>
    <row r="9965" spans="2:3" x14ac:dyDescent="0.25">
      <c r="B9965" s="15"/>
      <c r="C9965" s="45"/>
    </row>
    <row r="9966" spans="2:3" x14ac:dyDescent="0.25">
      <c r="B9966" s="15"/>
      <c r="C9966" s="45"/>
    </row>
    <row r="9967" spans="2:3" x14ac:dyDescent="0.25">
      <c r="B9967" s="15"/>
      <c r="C9967" s="45"/>
    </row>
    <row r="9968" spans="2:3" x14ac:dyDescent="0.25">
      <c r="B9968" s="15"/>
      <c r="C9968" s="45"/>
    </row>
    <row r="9969" spans="2:3" x14ac:dyDescent="0.25">
      <c r="B9969" s="15"/>
      <c r="C9969" s="45"/>
    </row>
    <row r="9970" spans="2:3" x14ac:dyDescent="0.25">
      <c r="B9970" s="15"/>
      <c r="C9970" s="45"/>
    </row>
    <row r="9971" spans="2:3" x14ac:dyDescent="0.25">
      <c r="B9971" s="15"/>
      <c r="C9971" s="45"/>
    </row>
    <row r="9972" spans="2:3" x14ac:dyDescent="0.25">
      <c r="B9972" s="15"/>
      <c r="C9972" s="45"/>
    </row>
    <row r="9973" spans="2:3" x14ac:dyDescent="0.25">
      <c r="B9973" s="15"/>
      <c r="C9973" s="45"/>
    </row>
    <row r="9974" spans="2:3" x14ac:dyDescent="0.25">
      <c r="B9974" s="15"/>
      <c r="C9974" s="45"/>
    </row>
    <row r="9975" spans="2:3" x14ac:dyDescent="0.25">
      <c r="B9975" s="15"/>
      <c r="C9975" s="45"/>
    </row>
    <row r="9976" spans="2:3" x14ac:dyDescent="0.25">
      <c r="B9976" s="15"/>
      <c r="C9976" s="45"/>
    </row>
    <row r="9977" spans="2:3" x14ac:dyDescent="0.25">
      <c r="B9977" s="15"/>
      <c r="C9977" s="45"/>
    </row>
    <row r="9978" spans="2:3" x14ac:dyDescent="0.25">
      <c r="B9978" s="15"/>
      <c r="C9978" s="45"/>
    </row>
    <row r="9979" spans="2:3" x14ac:dyDescent="0.25">
      <c r="B9979" s="15"/>
      <c r="C9979" s="45"/>
    </row>
    <row r="9980" spans="2:3" x14ac:dyDescent="0.25">
      <c r="B9980" s="15"/>
      <c r="C9980" s="45"/>
    </row>
    <row r="9981" spans="2:3" x14ac:dyDescent="0.25">
      <c r="B9981" s="15"/>
      <c r="C9981" s="45"/>
    </row>
    <row r="9982" spans="2:3" x14ac:dyDescent="0.25">
      <c r="B9982" s="15"/>
      <c r="C9982" s="45"/>
    </row>
    <row r="9983" spans="2:3" x14ac:dyDescent="0.25">
      <c r="B9983" s="15"/>
      <c r="C9983" s="45"/>
    </row>
    <row r="9984" spans="2:3" x14ac:dyDescent="0.25">
      <c r="B9984" s="15"/>
      <c r="C9984" s="45"/>
    </row>
    <row r="9985" spans="2:3" x14ac:dyDescent="0.25">
      <c r="B9985" s="15"/>
      <c r="C9985" s="45"/>
    </row>
    <row r="9986" spans="2:3" x14ac:dyDescent="0.25">
      <c r="B9986" s="15"/>
      <c r="C9986" s="45"/>
    </row>
    <row r="9987" spans="2:3" x14ac:dyDescent="0.25">
      <c r="B9987" s="15"/>
      <c r="C9987" s="45"/>
    </row>
    <row r="9988" spans="2:3" x14ac:dyDescent="0.25">
      <c r="B9988" s="15"/>
      <c r="C9988" s="45"/>
    </row>
    <row r="9989" spans="2:3" x14ac:dyDescent="0.25">
      <c r="B9989" s="15"/>
      <c r="C9989" s="45"/>
    </row>
    <row r="9990" spans="2:3" x14ac:dyDescent="0.25">
      <c r="B9990" s="15"/>
      <c r="C9990" s="45"/>
    </row>
    <row r="9991" spans="2:3" x14ac:dyDescent="0.25">
      <c r="B9991" s="15"/>
      <c r="C9991" s="45"/>
    </row>
    <row r="9992" spans="2:3" x14ac:dyDescent="0.25">
      <c r="B9992" s="15"/>
      <c r="C9992" s="45"/>
    </row>
    <row r="9993" spans="2:3" x14ac:dyDescent="0.25">
      <c r="B9993" s="15"/>
      <c r="C9993" s="45"/>
    </row>
    <row r="9994" spans="2:3" x14ac:dyDescent="0.25">
      <c r="B9994" s="15"/>
      <c r="C9994" s="45"/>
    </row>
    <row r="9995" spans="2:3" x14ac:dyDescent="0.25">
      <c r="B9995" s="15"/>
      <c r="C9995" s="45"/>
    </row>
    <row r="9996" spans="2:3" x14ac:dyDescent="0.25">
      <c r="B9996" s="15"/>
      <c r="C9996" s="45"/>
    </row>
    <row r="9997" spans="2:3" x14ac:dyDescent="0.25">
      <c r="B9997" s="15"/>
      <c r="C9997" s="45"/>
    </row>
    <row r="9998" spans="2:3" x14ac:dyDescent="0.25">
      <c r="B9998" s="15"/>
      <c r="C9998" s="45"/>
    </row>
    <row r="9999" spans="2:3" x14ac:dyDescent="0.25">
      <c r="B9999" s="15"/>
      <c r="C9999" s="45"/>
    </row>
    <row r="10000" spans="2:3" x14ac:dyDescent="0.25">
      <c r="B10000" s="15"/>
      <c r="C10000" s="4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"/>
  <sheetViews>
    <sheetView zoomScaleNormal="100" workbookViewId="0">
      <selection activeCell="B8" sqref="B8"/>
    </sheetView>
  </sheetViews>
  <sheetFormatPr defaultColWidth="9.140625" defaultRowHeight="15" x14ac:dyDescent="0.25"/>
  <cols>
    <col min="1" max="1" width="38.7109375" style="35" customWidth="1"/>
    <col min="2" max="2" width="16.140625" style="35" customWidth="1"/>
    <col min="3" max="4" width="10.7109375" style="35" customWidth="1"/>
    <col min="5" max="5" width="37.85546875" style="35" customWidth="1"/>
    <col min="6" max="7" width="10.7109375" style="74" customWidth="1"/>
    <col min="8" max="8" width="29.140625" style="16" bestFit="1" customWidth="1"/>
    <col min="9" max="9" width="12" style="15" bestFit="1" customWidth="1"/>
    <col min="10" max="16" width="9.140625" style="35"/>
    <col min="17" max="17" width="12" style="35" bestFit="1" customWidth="1"/>
    <col min="18" max="16384" width="9.140625" style="35"/>
  </cols>
  <sheetData>
    <row r="1" spans="1:17" ht="18.75" x14ac:dyDescent="0.3">
      <c r="A1" s="21" t="s">
        <v>609</v>
      </c>
      <c r="E1" s="16"/>
      <c r="F1" s="78"/>
    </row>
    <row r="2" spans="1:17" ht="15" customHeight="1" x14ac:dyDescent="0.3">
      <c r="A2" s="21"/>
      <c r="F2" s="80" t="s">
        <v>563</v>
      </c>
      <c r="G2" s="75"/>
    </row>
    <row r="3" spans="1:17" ht="18" x14ac:dyDescent="0.35">
      <c r="A3" s="22" t="s">
        <v>559</v>
      </c>
      <c r="B3" s="24">
        <v>1289.3499999999999</v>
      </c>
      <c r="D3" s="45"/>
      <c r="E3" s="45" t="s">
        <v>657</v>
      </c>
      <c r="F3" s="64">
        <f>Age*(UniverseAcceleration*Age+2*InitialTangentVelocity)/Gpc</f>
        <v>10.671446421303655</v>
      </c>
      <c r="G3" s="76"/>
    </row>
    <row r="4" spans="1:17" ht="18.75" x14ac:dyDescent="0.35">
      <c r="A4" s="16" t="s">
        <v>662</v>
      </c>
      <c r="B4" s="15">
        <v>0</v>
      </c>
      <c r="C4" s="16"/>
      <c r="D4" s="45"/>
      <c r="E4" s="15" t="s">
        <v>686</v>
      </c>
      <c r="F4" s="64">
        <f>DistanceSurfaceLastScattering/Gpc</f>
        <v>10.376677659838908</v>
      </c>
      <c r="G4" s="76"/>
    </row>
    <row r="5" spans="1:17" ht="18" x14ac:dyDescent="0.35">
      <c r="A5" s="45" t="s">
        <v>666</v>
      </c>
      <c r="B5" s="15">
        <v>1.9192237255189301E-27</v>
      </c>
      <c r="C5" s="3"/>
      <c r="D5" s="15"/>
      <c r="E5" s="35" t="s">
        <v>688</v>
      </c>
      <c r="F5" s="78">
        <f>F4/QESRedShift*1000</f>
        <v>8.0479913598626514</v>
      </c>
      <c r="G5" s="9"/>
      <c r="J5" s="16"/>
      <c r="K5" s="16"/>
    </row>
    <row r="6" spans="1:17" s="45" customFormat="1" ht="18" x14ac:dyDescent="0.35">
      <c r="A6" s="16" t="s">
        <v>670</v>
      </c>
      <c r="B6" s="15">
        <v>6.5279696785345696E+24</v>
      </c>
      <c r="C6" s="19">
        <f>SoundHorizon/Mpc</f>
        <v>211.55708946540585</v>
      </c>
      <c r="E6" s="35" t="s">
        <v>689</v>
      </c>
      <c r="F6" s="64">
        <f>AgeOfCMB*(UniverseAcceleration*AgeOfCMB+2*InitialTangentVelocity)/Mpc</f>
        <v>286.72700716565043</v>
      </c>
      <c r="G6" s="74"/>
      <c r="H6" s="20"/>
      <c r="I6" s="16"/>
      <c r="J6" s="16"/>
      <c r="K6" s="16"/>
    </row>
    <row r="7" spans="1:17" s="45" customFormat="1" ht="18" x14ac:dyDescent="0.35">
      <c r="A7" s="22" t="s">
        <v>687</v>
      </c>
      <c r="B7" s="30">
        <f>(Age*(UniverseAcceleration*Age*QESRedShift+2*InitialTangentVelocity*(1+QESRedShift-SQRT(1+QESRedShift))))/(2+QESRedShift)</f>
        <v>3.2019081609851778E+26</v>
      </c>
      <c r="C7" s="64">
        <f>DistanceSurfaceLastScattering/Gpc</f>
        <v>10.376677659838908</v>
      </c>
      <c r="E7" s="35" t="s">
        <v>684</v>
      </c>
      <c r="F7" s="78">
        <f>AgeOfCMB/Gyr</f>
        <v>0.5018419549038573</v>
      </c>
      <c r="G7" s="74"/>
      <c r="H7" s="16"/>
      <c r="I7" s="15"/>
      <c r="J7" s="16"/>
      <c r="K7" s="16"/>
    </row>
    <row r="8" spans="1:17" x14ac:dyDescent="0.25">
      <c r="A8" s="16" t="s">
        <v>661</v>
      </c>
      <c r="B8" s="15">
        <f>SQRT(Age^2/(1+QESRedShift))</f>
        <v>1.5836576386705536E+16</v>
      </c>
      <c r="C8" s="20">
        <f>AgeOfCMB/Myr</f>
        <v>501.84195490385736</v>
      </c>
      <c r="D8" s="45"/>
      <c r="E8" s="35" t="s">
        <v>658</v>
      </c>
      <c r="F8" s="64">
        <f>F3/QESRedShift*1000</f>
        <v>8.2766094708990234</v>
      </c>
      <c r="J8" s="16"/>
      <c r="K8" s="16"/>
    </row>
    <row r="9" spans="1:17" s="45" customFormat="1" x14ac:dyDescent="0.25">
      <c r="A9" s="16" t="s">
        <v>624</v>
      </c>
      <c r="B9" s="9">
        <f>IF(Curvature&gt;0,SQRT(Curvature)*_xlfn.CSC(DistanceSurfaceLastScattering*SQRT(Curvature))*SoundHorizon,IF(Curvature&lt;0,SoundHorizon*SQRT(ABS(Curvature))*_xlfn.CSCH(DistanceSurfaceLastScattering*SQRT(ABS(Curvature))),SoundHorizon/DistanceSurfaceLastScattering))</f>
        <v>2.0387748024996488E-2</v>
      </c>
      <c r="C9" s="9">
        <f>AngularScale*100</f>
        <v>2.038774802499649</v>
      </c>
      <c r="D9" s="35"/>
      <c r="E9" s="45" t="s">
        <v>685</v>
      </c>
      <c r="F9" s="64">
        <f>Age/Gyr</f>
        <v>18.026886708661625</v>
      </c>
      <c r="G9" s="74"/>
      <c r="H9" s="16"/>
      <c r="I9" s="15"/>
      <c r="J9" s="16"/>
      <c r="K9" s="16"/>
    </row>
    <row r="10" spans="1:17" s="3" customFormat="1" x14ac:dyDescent="0.25">
      <c r="A10" s="16" t="s">
        <v>660</v>
      </c>
      <c r="B10" s="67" t="str">
        <f>IF(Curvature=0,"Flat",1/SQRT(ABS(Curvature)))</f>
        <v>Flat</v>
      </c>
      <c r="C10" s="68" t="str">
        <f>IF(B10="Flat","Flat",B10/Gpc)</f>
        <v>Flat</v>
      </c>
      <c r="D10" s="30"/>
      <c r="E10" s="45"/>
      <c r="F10" s="74"/>
      <c r="G10" s="74"/>
      <c r="H10" s="7"/>
      <c r="I10" s="4"/>
      <c r="J10" s="7"/>
      <c r="K10" s="7"/>
    </row>
    <row r="11" spans="1:17" x14ac:dyDescent="0.25">
      <c r="A11" s="16"/>
      <c r="B11" s="15"/>
      <c r="C11" s="16"/>
      <c r="D11" s="16"/>
      <c r="F11" s="20"/>
      <c r="G11" s="20"/>
    </row>
    <row r="12" spans="1:17" x14ac:dyDescent="0.25">
      <c r="F12" s="79"/>
      <c r="G12" s="20"/>
      <c r="Q12" s="45"/>
    </row>
    <row r="13" spans="1:17" x14ac:dyDescent="0.25">
      <c r="F13" s="20"/>
      <c r="G13" s="20"/>
    </row>
    <row r="14" spans="1:17" x14ac:dyDescent="0.25">
      <c r="F14" s="20"/>
      <c r="G14" s="20"/>
    </row>
    <row r="15" spans="1:17" x14ac:dyDescent="0.25">
      <c r="F15" s="79"/>
      <c r="G15" s="20"/>
    </row>
    <row r="16" spans="1:17" x14ac:dyDescent="0.25">
      <c r="F16" s="20"/>
      <c r="G16" s="20"/>
    </row>
    <row r="17" spans="6:7" x14ac:dyDescent="0.25">
      <c r="F17" s="79"/>
      <c r="G17" s="20"/>
    </row>
    <row r="18" spans="6:7" x14ac:dyDescent="0.25">
      <c r="F18" s="20"/>
      <c r="G18" s="20"/>
    </row>
    <row r="19" spans="6:7" x14ac:dyDescent="0.25">
      <c r="F19" s="20"/>
      <c r="G19" s="20"/>
    </row>
    <row r="20" spans="6:7" x14ac:dyDescent="0.25">
      <c r="F20" s="20"/>
      <c r="G20" s="20"/>
    </row>
    <row r="21" spans="6:7" x14ac:dyDescent="0.25">
      <c r="F21" s="20"/>
      <c r="G21" s="20"/>
    </row>
    <row r="22" spans="6:7" x14ac:dyDescent="0.25">
      <c r="F22" s="20"/>
      <c r="G22" s="20"/>
    </row>
    <row r="23" spans="6:7" x14ac:dyDescent="0.25">
      <c r="F23" s="20"/>
      <c r="G23" s="20"/>
    </row>
    <row r="24" spans="6:7" x14ac:dyDescent="0.25">
      <c r="F24" s="20"/>
      <c r="G24" s="20"/>
    </row>
    <row r="25" spans="6:7" x14ac:dyDescent="0.25">
      <c r="F25" s="20"/>
      <c r="G25" s="20"/>
    </row>
    <row r="26" spans="6:7" x14ac:dyDescent="0.25">
      <c r="F26" s="7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R51"/>
  <sheetViews>
    <sheetView workbookViewId="0"/>
  </sheetViews>
  <sheetFormatPr defaultRowHeight="15" x14ac:dyDescent="0.25"/>
  <cols>
    <col min="6" max="6" width="9.140625" style="16"/>
    <col min="8" max="8" width="9.140625" style="16"/>
    <col min="9" max="9" width="9.140625" style="81"/>
    <col min="11" max="15" width="10.7109375" style="15" customWidth="1"/>
    <col min="16" max="18" width="10.7109375" style="16" customWidth="1"/>
  </cols>
  <sheetData>
    <row r="1" spans="1:18" s="35" customFormat="1" ht="18.75" x14ac:dyDescent="0.3">
      <c r="A1" s="21" t="s">
        <v>558</v>
      </c>
      <c r="F1" s="16"/>
      <c r="H1" s="16"/>
      <c r="I1" s="81"/>
      <c r="K1" s="15"/>
      <c r="L1" s="15"/>
      <c r="M1" s="15"/>
      <c r="N1" s="15"/>
      <c r="O1" s="15"/>
      <c r="P1" s="16"/>
      <c r="Q1" s="16"/>
      <c r="R1" s="16"/>
    </row>
    <row r="2" spans="1:18" s="31" customFormat="1" ht="45" x14ac:dyDescent="0.25">
      <c r="B2" s="3" t="s">
        <v>692</v>
      </c>
      <c r="C2" s="3" t="s">
        <v>693</v>
      </c>
      <c r="D2" s="31" t="s">
        <v>690</v>
      </c>
      <c r="E2" s="3" t="s">
        <v>694</v>
      </c>
      <c r="F2" s="42" t="s">
        <v>690</v>
      </c>
      <c r="G2" s="3" t="s">
        <v>695</v>
      </c>
      <c r="H2" s="42" t="s">
        <v>690</v>
      </c>
      <c r="I2" s="82" t="s">
        <v>691</v>
      </c>
      <c r="K2" s="4" t="s">
        <v>698</v>
      </c>
      <c r="L2" s="4" t="s">
        <v>697</v>
      </c>
      <c r="M2" s="4" t="s">
        <v>696</v>
      </c>
      <c r="N2" s="4" t="s">
        <v>702</v>
      </c>
      <c r="O2" s="83" t="s">
        <v>705</v>
      </c>
      <c r="P2" s="7" t="s">
        <v>699</v>
      </c>
      <c r="Q2" s="7" t="s">
        <v>700</v>
      </c>
      <c r="R2" s="7" t="s">
        <v>701</v>
      </c>
    </row>
    <row r="3" spans="1:18" x14ac:dyDescent="0.25">
      <c r="A3" t="s">
        <v>510</v>
      </c>
      <c r="B3">
        <v>0.94</v>
      </c>
      <c r="C3">
        <v>17</v>
      </c>
      <c r="D3">
        <v>4</v>
      </c>
      <c r="E3">
        <v>5.88</v>
      </c>
      <c r="F3" s="16">
        <v>0.15</v>
      </c>
      <c r="G3">
        <v>6.64</v>
      </c>
      <c r="H3" s="16">
        <v>0.2</v>
      </c>
      <c r="I3" s="81" t="s">
        <v>511</v>
      </c>
      <c r="K3" s="15">
        <f t="shared" ref="K3:K49" si="0">(POWER(10, E3)+POWER(10, G3))*SolarMass</f>
        <v>1.0191623073579696E+37</v>
      </c>
      <c r="L3" s="15">
        <f t="shared" ref="L3:L49" si="1">(velocity*km)^4/(4*UniverseAcceleration*GravitationalConstant)</f>
        <v>8.5793470667582605E+36</v>
      </c>
      <c r="M3" s="15">
        <f t="shared" ref="M3:M49" si="2">(POWER(10, F3)+POWER(10, H3))*SolarMass</f>
        <v>5.9621894791335216E+30</v>
      </c>
      <c r="N3" s="15">
        <f t="shared" ref="N3:N49" si="3">(predictedMass-observedMass)^2</f>
        <v>2.5994339221720736E+72</v>
      </c>
      <c r="O3" s="15">
        <f t="shared" ref="O3:O49" si="4">(predictedMass-observedMass)^2/(errorMass)^2</f>
        <v>73125228204.259674</v>
      </c>
      <c r="P3" s="16">
        <f t="shared" ref="P3:P49" si="5">LOG10(C3)</f>
        <v>1.2304489213782739</v>
      </c>
      <c r="Q3" s="16">
        <f t="shared" ref="Q3:Q49" si="6">LOG10(K3)</f>
        <v>37.008243353365344</v>
      </c>
      <c r="R3" s="16">
        <f t="shared" ref="R3:R49" si="7">LOG10(L3)</f>
        <v>36.933454237021891</v>
      </c>
    </row>
    <row r="4" spans="1:18" x14ac:dyDescent="0.25">
      <c r="A4" t="s">
        <v>512</v>
      </c>
      <c r="B4">
        <v>3.34</v>
      </c>
      <c r="C4">
        <v>20</v>
      </c>
      <c r="D4">
        <v>12</v>
      </c>
      <c r="E4">
        <v>6.99</v>
      </c>
      <c r="F4" s="16">
        <v>0.15</v>
      </c>
      <c r="G4">
        <v>7.33</v>
      </c>
      <c r="H4" s="16">
        <v>0.2</v>
      </c>
      <c r="I4" s="81" t="s">
        <v>511</v>
      </c>
      <c r="K4" s="15">
        <f t="shared" si="0"/>
        <v>6.1964429484320988E+37</v>
      </c>
      <c r="L4" s="15">
        <f t="shared" si="1"/>
        <v>1.6435333996016829E+37</v>
      </c>
      <c r="M4" s="15">
        <f t="shared" si="2"/>
        <v>5.9621894791335216E+30</v>
      </c>
      <c r="N4" s="15">
        <f t="shared" si="3"/>
        <v>2.0728985359831177E+75</v>
      </c>
      <c r="O4" s="15">
        <f t="shared" si="4"/>
        <v>58313149334213.82</v>
      </c>
      <c r="P4" s="16">
        <f t="shared" si="5"/>
        <v>1.3010299956639813</v>
      </c>
      <c r="Q4" s="16">
        <f t="shared" si="6"/>
        <v>37.792142455437066</v>
      </c>
      <c r="R4" s="16">
        <f t="shared" si="7"/>
        <v>37.21577853416472</v>
      </c>
    </row>
    <row r="5" spans="1:18" x14ac:dyDescent="0.25">
      <c r="A5" t="s">
        <v>513</v>
      </c>
      <c r="B5">
        <v>4.5</v>
      </c>
      <c r="C5">
        <v>20</v>
      </c>
      <c r="D5">
        <v>6</v>
      </c>
      <c r="E5">
        <v>6.81</v>
      </c>
      <c r="F5" s="16">
        <v>0.15</v>
      </c>
      <c r="G5">
        <v>7.45</v>
      </c>
      <c r="H5" s="16">
        <v>0.2</v>
      </c>
      <c r="I5" s="81">
        <v>1</v>
      </c>
      <c r="K5" s="15">
        <f t="shared" si="0"/>
        <v>6.8903163155509782E+37</v>
      </c>
      <c r="L5" s="15">
        <f t="shared" si="1"/>
        <v>1.6435333996016829E+37</v>
      </c>
      <c r="M5" s="15">
        <f t="shared" si="2"/>
        <v>5.9621894791335216E+30</v>
      </c>
      <c r="N5" s="15">
        <f t="shared" si="3"/>
        <v>2.7528730967097385E+75</v>
      </c>
      <c r="O5" s="15">
        <f t="shared" si="4"/>
        <v>77441658238443.578</v>
      </c>
      <c r="P5" s="16">
        <f t="shared" si="5"/>
        <v>1.3010299956639813</v>
      </c>
      <c r="Q5" s="16">
        <f t="shared" si="6"/>
        <v>37.838239159635499</v>
      </c>
      <c r="R5" s="16">
        <f t="shared" si="7"/>
        <v>37.21577853416472</v>
      </c>
    </row>
    <row r="6" spans="1:18" x14ac:dyDescent="0.25">
      <c r="A6" t="s">
        <v>514</v>
      </c>
      <c r="B6">
        <v>3.24</v>
      </c>
      <c r="C6">
        <v>25</v>
      </c>
      <c r="D6">
        <v>3</v>
      </c>
      <c r="E6">
        <v>7.24</v>
      </c>
      <c r="F6" s="16">
        <v>0.15</v>
      </c>
      <c r="G6">
        <v>7.54</v>
      </c>
      <c r="H6" s="16">
        <v>0.2</v>
      </c>
      <c r="I6" s="81">
        <v>1</v>
      </c>
      <c r="K6" s="15">
        <f t="shared" si="0"/>
        <v>1.0353602320816714E+38</v>
      </c>
      <c r="L6" s="15">
        <f t="shared" si="1"/>
        <v>4.0125327138712964E+37</v>
      </c>
      <c r="M6" s="15">
        <f t="shared" si="2"/>
        <v>5.9621894791335216E+30</v>
      </c>
      <c r="N6" s="15">
        <f t="shared" si="3"/>
        <v>4.0209163760126908E+75</v>
      </c>
      <c r="O6" s="15">
        <f t="shared" si="4"/>
        <v>113113253265727.38</v>
      </c>
      <c r="P6" s="16">
        <f t="shared" si="5"/>
        <v>1.3979400086720377</v>
      </c>
      <c r="Q6" s="16">
        <f t="shared" si="6"/>
        <v>38.015091479827632</v>
      </c>
      <c r="R6" s="16">
        <f t="shared" si="7"/>
        <v>37.603418586196945</v>
      </c>
    </row>
    <row r="7" spans="1:18" x14ac:dyDescent="0.25">
      <c r="A7" t="s">
        <v>515</v>
      </c>
      <c r="B7">
        <v>3.2</v>
      </c>
      <c r="C7">
        <v>27</v>
      </c>
      <c r="D7">
        <v>4</v>
      </c>
      <c r="E7">
        <v>6.94</v>
      </c>
      <c r="F7" s="16">
        <v>0.15</v>
      </c>
      <c r="G7">
        <v>7.3</v>
      </c>
      <c r="H7" s="16">
        <v>0.2</v>
      </c>
      <c r="I7" s="81">
        <v>1</v>
      </c>
      <c r="K7" s="15">
        <f t="shared" si="0"/>
        <v>5.7012099474862486E+37</v>
      </c>
      <c r="L7" s="15">
        <f t="shared" si="1"/>
        <v>5.4590064588607376E+37</v>
      </c>
      <c r="M7" s="15">
        <f t="shared" si="2"/>
        <v>5.9621894791335216E+30</v>
      </c>
      <c r="N7" s="15">
        <f t="shared" si="3"/>
        <v>5.8662529902368045E+72</v>
      </c>
      <c r="O7" s="15">
        <f t="shared" si="4"/>
        <v>165024809808.02966</v>
      </c>
      <c r="P7" s="16">
        <f t="shared" si="5"/>
        <v>1.4313637641589874</v>
      </c>
      <c r="Q7" s="16">
        <f t="shared" si="6"/>
        <v>37.755967034225655</v>
      </c>
      <c r="R7" s="16">
        <f t="shared" si="7"/>
        <v>37.737113608144746</v>
      </c>
    </row>
    <row r="8" spans="1:18" x14ac:dyDescent="0.25">
      <c r="A8" t="s">
        <v>516</v>
      </c>
      <c r="B8">
        <v>6.5</v>
      </c>
      <c r="C8">
        <v>29</v>
      </c>
      <c r="D8">
        <v>5</v>
      </c>
      <c r="E8">
        <v>6.76</v>
      </c>
      <c r="F8" s="16">
        <v>0.2</v>
      </c>
      <c r="G8">
        <v>7.32</v>
      </c>
      <c r="H8" s="16">
        <v>0.13</v>
      </c>
      <c r="I8" s="81">
        <v>3</v>
      </c>
      <c r="K8" s="15">
        <f t="shared" si="0"/>
        <v>5.3004265132391141E+37</v>
      </c>
      <c r="L8" s="15">
        <f t="shared" si="1"/>
        <v>7.2652496650229873E+37</v>
      </c>
      <c r="M8" s="15">
        <f t="shared" si="2"/>
        <v>5.8357331188874586E+30</v>
      </c>
      <c r="N8" s="15">
        <f t="shared" si="3"/>
        <v>3.8605300177859129E+74</v>
      </c>
      <c r="O8" s="15">
        <f t="shared" si="4"/>
        <v>11335902159553.928</v>
      </c>
      <c r="P8" s="16">
        <f t="shared" si="5"/>
        <v>1.4623979978989561</v>
      </c>
      <c r="Q8" s="16">
        <f t="shared" si="6"/>
        <v>37.724310817693883</v>
      </c>
      <c r="R8" s="16">
        <f t="shared" si="7"/>
        <v>37.861250543104617</v>
      </c>
    </row>
    <row r="9" spans="1:18" x14ac:dyDescent="0.25">
      <c r="A9" t="s">
        <v>517</v>
      </c>
      <c r="B9">
        <v>3.1</v>
      </c>
      <c r="C9">
        <v>30</v>
      </c>
      <c r="D9">
        <v>6</v>
      </c>
      <c r="E9">
        <v>7.26</v>
      </c>
      <c r="F9" s="16">
        <v>0.15</v>
      </c>
      <c r="G9">
        <v>7.56</v>
      </c>
      <c r="H9" s="16">
        <v>0.2</v>
      </c>
      <c r="I9" s="81">
        <v>1</v>
      </c>
      <c r="K9" s="15">
        <f t="shared" si="0"/>
        <v>1.0841552565293227E+38</v>
      </c>
      <c r="L9" s="15">
        <f t="shared" si="1"/>
        <v>8.3203878354835208E+37</v>
      </c>
      <c r="M9" s="15">
        <f t="shared" si="2"/>
        <v>5.9621894791335216E+30</v>
      </c>
      <c r="N9" s="15">
        <f t="shared" si="3"/>
        <v>6.3562715948364487E+74</v>
      </c>
      <c r="O9" s="15">
        <f t="shared" si="4"/>
        <v>17880962733312.383</v>
      </c>
      <c r="P9" s="16">
        <f t="shared" si="5"/>
        <v>1.4771212547196624</v>
      </c>
      <c r="Q9" s="16">
        <f t="shared" si="6"/>
        <v>38.035091479827635</v>
      </c>
      <c r="R9" s="16">
        <f t="shared" si="7"/>
        <v>37.920143570387445</v>
      </c>
    </row>
    <row r="10" spans="1:18" x14ac:dyDescent="0.25">
      <c r="A10" t="s">
        <v>518</v>
      </c>
      <c r="B10">
        <v>3.6</v>
      </c>
      <c r="C10">
        <v>31</v>
      </c>
      <c r="D10">
        <v>4</v>
      </c>
      <c r="E10">
        <v>6.67</v>
      </c>
      <c r="F10" s="16">
        <v>0.15</v>
      </c>
      <c r="G10">
        <v>7.85</v>
      </c>
      <c r="H10" s="16">
        <v>0.2</v>
      </c>
      <c r="I10" s="81">
        <v>1</v>
      </c>
      <c r="K10" s="15">
        <f t="shared" si="0"/>
        <v>1.5012121566719248E+38</v>
      </c>
      <c r="L10" s="15">
        <f t="shared" si="1"/>
        <v>9.4864850545846619E+37</v>
      </c>
      <c r="M10" s="15">
        <f t="shared" si="2"/>
        <v>5.9621894791335216E+30</v>
      </c>
      <c r="N10" s="15">
        <f t="shared" si="3"/>
        <v>3.0532658864234876E+75</v>
      </c>
      <c r="O10" s="15">
        <f t="shared" si="4"/>
        <v>85892071657830.344</v>
      </c>
      <c r="P10" s="16">
        <f t="shared" si="5"/>
        <v>1.4913616938342726</v>
      </c>
      <c r="Q10" s="16">
        <f t="shared" si="6"/>
        <v>38.176442072630309</v>
      </c>
      <c r="R10" s="16">
        <f t="shared" si="7"/>
        <v>37.977105326845887</v>
      </c>
    </row>
    <row r="11" spans="1:18" x14ac:dyDescent="0.25">
      <c r="A11" t="s">
        <v>519</v>
      </c>
      <c r="B11">
        <v>7.83</v>
      </c>
      <c r="C11">
        <v>35</v>
      </c>
      <c r="D11">
        <v>6</v>
      </c>
      <c r="E11">
        <v>7.72</v>
      </c>
      <c r="F11" s="16">
        <v>0.15</v>
      </c>
      <c r="G11">
        <v>7.93</v>
      </c>
      <c r="H11" s="16">
        <v>0.2</v>
      </c>
      <c r="I11" s="81">
        <v>1</v>
      </c>
      <c r="K11" s="15">
        <f t="shared" si="0"/>
        <v>2.7368931909711744E+38</v>
      </c>
      <c r="L11" s="15">
        <f t="shared" si="1"/>
        <v>1.5414545673607973E+38</v>
      </c>
      <c r="M11" s="15">
        <f t="shared" si="2"/>
        <v>5.9621894791335216E+30</v>
      </c>
      <c r="N11" s="15">
        <f t="shared" si="3"/>
        <v>1.4290735028194729E+76</v>
      </c>
      <c r="O11" s="15">
        <f t="shared" si="4"/>
        <v>402015704738568.31</v>
      </c>
      <c r="P11" s="16">
        <f t="shared" si="5"/>
        <v>1.5440680443502757</v>
      </c>
      <c r="Q11" s="16">
        <f t="shared" si="6"/>
        <v>38.437257849117486</v>
      </c>
      <c r="R11" s="16">
        <f t="shared" si="7"/>
        <v>38.187930728909897</v>
      </c>
    </row>
    <row r="12" spans="1:18" x14ac:dyDescent="0.25">
      <c r="A12" t="s">
        <v>520</v>
      </c>
      <c r="B12">
        <v>3.01</v>
      </c>
      <c r="C12">
        <v>37</v>
      </c>
      <c r="D12">
        <v>4</v>
      </c>
      <c r="E12">
        <v>7.78</v>
      </c>
      <c r="F12" s="16">
        <v>0.15</v>
      </c>
      <c r="G12">
        <v>8.32</v>
      </c>
      <c r="H12" s="16">
        <v>0.2</v>
      </c>
      <c r="I12" s="81">
        <v>1</v>
      </c>
      <c r="K12" s="15">
        <f t="shared" si="0"/>
        <v>5.3543702065422889E+38</v>
      </c>
      <c r="L12" s="15">
        <f t="shared" si="1"/>
        <v>1.9251538748318061E+38</v>
      </c>
      <c r="M12" s="15">
        <f t="shared" si="2"/>
        <v>5.9621894791335216E+30</v>
      </c>
      <c r="N12" s="15">
        <f t="shared" si="3"/>
        <v>1.17595246496699E+77</v>
      </c>
      <c r="O12" s="15">
        <f t="shared" si="4"/>
        <v>3308096875423497.5</v>
      </c>
      <c r="P12" s="16">
        <f t="shared" si="5"/>
        <v>1.568201724066995</v>
      </c>
      <c r="Q12" s="16">
        <f t="shared" si="6"/>
        <v>38.728708395446382</v>
      </c>
      <c r="R12" s="16">
        <f t="shared" si="7"/>
        <v>38.284465447776775</v>
      </c>
    </row>
    <row r="13" spans="1:18" x14ac:dyDescent="0.25">
      <c r="A13" t="s">
        <v>521</v>
      </c>
      <c r="B13">
        <v>14.1</v>
      </c>
      <c r="C13">
        <v>37</v>
      </c>
      <c r="D13">
        <v>7</v>
      </c>
      <c r="E13">
        <v>7.58</v>
      </c>
      <c r="F13" s="16">
        <v>0.2</v>
      </c>
      <c r="G13">
        <v>7.96</v>
      </c>
      <c r="H13" s="16">
        <v>0.06</v>
      </c>
      <c r="I13" s="81">
        <v>3</v>
      </c>
      <c r="K13" s="15">
        <f t="shared" si="0"/>
        <v>2.5703154887840735E+38</v>
      </c>
      <c r="L13" s="15">
        <f t="shared" si="1"/>
        <v>1.9251538748318061E+38</v>
      </c>
      <c r="M13" s="15">
        <f t="shared" si="2"/>
        <v>5.4363034176438505E+30</v>
      </c>
      <c r="N13" s="15">
        <f t="shared" si="3"/>
        <v>4.1623350811749461E+75</v>
      </c>
      <c r="O13" s="15">
        <f t="shared" si="4"/>
        <v>140841182628464.84</v>
      </c>
      <c r="P13" s="16">
        <f t="shared" si="5"/>
        <v>1.568201724066995</v>
      </c>
      <c r="Q13" s="16">
        <f t="shared" si="6"/>
        <v>38.409986433303608</v>
      </c>
      <c r="R13" s="16">
        <f t="shared" si="7"/>
        <v>38.284465447776775</v>
      </c>
    </row>
    <row r="14" spans="1:18" x14ac:dyDescent="0.25">
      <c r="A14" t="s">
        <v>522</v>
      </c>
      <c r="B14">
        <v>0.95</v>
      </c>
      <c r="C14">
        <v>38</v>
      </c>
      <c r="D14">
        <v>5</v>
      </c>
      <c r="E14">
        <v>7.34</v>
      </c>
      <c r="F14" s="16">
        <v>0.15</v>
      </c>
      <c r="G14">
        <v>7.75</v>
      </c>
      <c r="H14" s="16">
        <v>0.2</v>
      </c>
      <c r="I14" s="81">
        <v>2</v>
      </c>
      <c r="K14" s="15">
        <f t="shared" si="0"/>
        <v>1.5537207945559297E+38</v>
      </c>
      <c r="L14" s="15">
        <f t="shared" si="1"/>
        <v>2.1418691616949094E+38</v>
      </c>
      <c r="M14" s="15">
        <f t="shared" si="2"/>
        <v>5.9621894791335216E+30</v>
      </c>
      <c r="N14" s="15">
        <f t="shared" si="3"/>
        <v>3.4591850176824801E+75</v>
      </c>
      <c r="O14" s="15">
        <f t="shared" si="4"/>
        <v>97311069022066.391</v>
      </c>
      <c r="P14" s="16">
        <f t="shared" si="5"/>
        <v>1.5797835966168101</v>
      </c>
      <c r="Q14" s="16">
        <f t="shared" si="6"/>
        <v>38.191372978249923</v>
      </c>
      <c r="R14" s="16">
        <f t="shared" si="7"/>
        <v>38.330792937976035</v>
      </c>
    </row>
    <row r="15" spans="1:18" x14ac:dyDescent="0.25">
      <c r="A15" t="s">
        <v>523</v>
      </c>
      <c r="B15">
        <v>5.6</v>
      </c>
      <c r="C15">
        <v>38</v>
      </c>
      <c r="D15">
        <v>5</v>
      </c>
      <c r="E15">
        <v>7.34</v>
      </c>
      <c r="F15" s="16">
        <v>0.15</v>
      </c>
      <c r="G15">
        <v>8.02</v>
      </c>
      <c r="H15" s="16">
        <v>0.2</v>
      </c>
      <c r="I15" s="81">
        <v>1</v>
      </c>
      <c r="K15" s="15">
        <f t="shared" si="0"/>
        <v>2.5180110595478533E+38</v>
      </c>
      <c r="L15" s="15">
        <f t="shared" si="1"/>
        <v>2.1418691616949094E+38</v>
      </c>
      <c r="M15" s="15">
        <f t="shared" si="2"/>
        <v>5.9621894791335216E+30</v>
      </c>
      <c r="N15" s="15">
        <f t="shared" si="3"/>
        <v>1.4148272732041454E+75</v>
      </c>
      <c r="O15" s="15">
        <f t="shared" si="4"/>
        <v>39800806760347.773</v>
      </c>
      <c r="P15" s="16">
        <f t="shared" si="5"/>
        <v>1.5797835966168101</v>
      </c>
      <c r="Q15" s="16">
        <f t="shared" si="6"/>
        <v>38.401057633273851</v>
      </c>
      <c r="R15" s="16">
        <f t="shared" si="7"/>
        <v>38.330792937976035</v>
      </c>
    </row>
    <row r="16" spans="1:18" x14ac:dyDescent="0.25">
      <c r="A16" t="s">
        <v>524</v>
      </c>
      <c r="B16">
        <v>5.4</v>
      </c>
      <c r="C16">
        <v>40</v>
      </c>
      <c r="D16">
        <v>4</v>
      </c>
      <c r="E16">
        <v>7.57</v>
      </c>
      <c r="F16" s="16">
        <v>0.15</v>
      </c>
      <c r="G16">
        <v>7.78</v>
      </c>
      <c r="H16" s="16">
        <v>0.2</v>
      </c>
      <c r="I16" s="81">
        <v>1</v>
      </c>
      <c r="K16" s="15">
        <f t="shared" si="0"/>
        <v>1.9375719968576974E+38</v>
      </c>
      <c r="L16" s="15">
        <f t="shared" si="1"/>
        <v>2.6296534393626927E+38</v>
      </c>
      <c r="M16" s="15">
        <f t="shared" si="2"/>
        <v>5.9621894791335216E+30</v>
      </c>
      <c r="N16" s="15">
        <f t="shared" si="3"/>
        <v>4.7897672305979511E+75</v>
      </c>
      <c r="O16" s="15">
        <f t="shared" si="4"/>
        <v>134741960084175.03</v>
      </c>
      <c r="P16" s="16">
        <f t="shared" si="5"/>
        <v>1.6020599913279623</v>
      </c>
      <c r="Q16" s="16">
        <f t="shared" si="6"/>
        <v>38.287257849117481</v>
      </c>
      <c r="R16" s="16">
        <f t="shared" si="7"/>
        <v>38.419898516820645</v>
      </c>
    </row>
    <row r="17" spans="1:18" x14ac:dyDescent="0.25">
      <c r="A17" t="s">
        <v>525</v>
      </c>
      <c r="B17">
        <v>7.4</v>
      </c>
      <c r="C17">
        <v>41</v>
      </c>
      <c r="D17">
        <v>4</v>
      </c>
      <c r="E17">
        <v>7.2</v>
      </c>
      <c r="F17" s="16">
        <v>0.15</v>
      </c>
      <c r="G17">
        <v>7.56</v>
      </c>
      <c r="H17" s="16">
        <v>0.2</v>
      </c>
      <c r="I17" s="81">
        <v>1</v>
      </c>
      <c r="K17" s="15">
        <f t="shared" si="0"/>
        <v>1.0374496636556512E+38</v>
      </c>
      <c r="L17" s="15">
        <f t="shared" si="1"/>
        <v>2.9026453642449072E+38</v>
      </c>
      <c r="M17" s="15">
        <f t="shared" si="2"/>
        <v>5.9621894791335216E+30</v>
      </c>
      <c r="N17" s="15">
        <f t="shared" si="3"/>
        <v>3.4789550014966455E+76</v>
      </c>
      <c r="O17" s="15">
        <f t="shared" si="4"/>
        <v>978672226390805.75</v>
      </c>
      <c r="P17" s="16">
        <f t="shared" si="5"/>
        <v>1.6127838567197355</v>
      </c>
      <c r="Q17" s="16">
        <f t="shared" si="6"/>
        <v>38.015967034225653</v>
      </c>
      <c r="R17" s="16">
        <f t="shared" si="7"/>
        <v>38.462793978387737</v>
      </c>
    </row>
    <row r="18" spans="1:18" x14ac:dyDescent="0.25">
      <c r="A18" t="s">
        <v>526</v>
      </c>
      <c r="B18">
        <v>3</v>
      </c>
      <c r="C18">
        <v>44</v>
      </c>
      <c r="D18">
        <v>3</v>
      </c>
      <c r="E18">
        <v>7.24</v>
      </c>
      <c r="F18" s="16">
        <v>0.15</v>
      </c>
      <c r="G18">
        <v>8.4499999999999993</v>
      </c>
      <c r="H18" s="16">
        <v>0.2</v>
      </c>
      <c r="I18" s="81" t="s">
        <v>511</v>
      </c>
      <c r="K18" s="15">
        <f t="shared" si="0"/>
        <v>5.9517114514246687E+38</v>
      </c>
      <c r="L18" s="15">
        <f t="shared" si="1"/>
        <v>3.8500756005709183E+38</v>
      </c>
      <c r="M18" s="15">
        <f t="shared" si="2"/>
        <v>5.9621894791335216E+30</v>
      </c>
      <c r="N18" s="15">
        <f t="shared" si="3"/>
        <v>4.416873249593767E+76</v>
      </c>
      <c r="O18" s="15">
        <f t="shared" si="4"/>
        <v>1242520002416332.8</v>
      </c>
      <c r="P18" s="16">
        <f t="shared" si="5"/>
        <v>1.6434526764861874</v>
      </c>
      <c r="Q18" s="16">
        <f t="shared" si="6"/>
        <v>38.774641867750908</v>
      </c>
      <c r="R18" s="16">
        <f t="shared" si="7"/>
        <v>38.585469257453546</v>
      </c>
    </row>
    <row r="19" spans="1:18" x14ac:dyDescent="0.25">
      <c r="A19" t="s">
        <v>527</v>
      </c>
      <c r="B19">
        <v>18.5</v>
      </c>
      <c r="C19">
        <v>45</v>
      </c>
      <c r="D19">
        <v>6</v>
      </c>
      <c r="E19">
        <v>6.97</v>
      </c>
      <c r="F19" s="16">
        <v>0.2</v>
      </c>
      <c r="G19">
        <v>7.94</v>
      </c>
      <c r="H19" s="16">
        <v>0.05</v>
      </c>
      <c r="I19" s="81">
        <v>3</v>
      </c>
      <c r="K19" s="15">
        <f t="shared" si="0"/>
        <v>1.9180672897531734E+38</v>
      </c>
      <c r="L19" s="15">
        <f t="shared" si="1"/>
        <v>4.2121963417135322E+38</v>
      </c>
      <c r="M19" s="15">
        <f t="shared" si="2"/>
        <v>5.3843179565764366E+30</v>
      </c>
      <c r="N19" s="15">
        <f t="shared" si="3"/>
        <v>5.2630281070485347E+76</v>
      </c>
      <c r="O19" s="15">
        <f t="shared" si="4"/>
        <v>1815408201791743.5</v>
      </c>
      <c r="P19" s="16">
        <f t="shared" si="5"/>
        <v>1.6532125137753437</v>
      </c>
      <c r="Q19" s="16">
        <f t="shared" si="6"/>
        <v>38.282863839047302</v>
      </c>
      <c r="R19" s="16">
        <f t="shared" si="7"/>
        <v>38.624508606610171</v>
      </c>
    </row>
    <row r="20" spans="1:18" x14ac:dyDescent="0.25">
      <c r="A20" t="s">
        <v>528</v>
      </c>
      <c r="B20">
        <v>5.5</v>
      </c>
      <c r="C20">
        <v>53</v>
      </c>
      <c r="D20">
        <v>5</v>
      </c>
      <c r="E20">
        <v>6.88</v>
      </c>
      <c r="F20" s="16">
        <v>0.2</v>
      </c>
      <c r="G20">
        <v>8.2899999999999991</v>
      </c>
      <c r="H20" s="16">
        <v>0.15</v>
      </c>
      <c r="I20" s="81">
        <v>3</v>
      </c>
      <c r="K20" s="15">
        <f t="shared" si="0"/>
        <v>4.0293245588277787E+38</v>
      </c>
      <c r="L20" s="15">
        <f t="shared" si="1"/>
        <v>8.1051681640140554E+38</v>
      </c>
      <c r="M20" s="15">
        <f t="shared" si="2"/>
        <v>5.9621894791335216E+30</v>
      </c>
      <c r="N20" s="15">
        <f t="shared" si="3"/>
        <v>1.6612501093937864E+77</v>
      </c>
      <c r="O20" s="15">
        <f t="shared" si="4"/>
        <v>4673297994521227</v>
      </c>
      <c r="P20" s="16">
        <f t="shared" si="5"/>
        <v>1.7242758696007889</v>
      </c>
      <c r="Q20" s="16">
        <f t="shared" si="6"/>
        <v>38.605232250865896</v>
      </c>
      <c r="R20" s="16">
        <f t="shared" si="7"/>
        <v>38.908762029911955</v>
      </c>
    </row>
    <row r="21" spans="1:18" x14ac:dyDescent="0.25">
      <c r="A21" t="s">
        <v>529</v>
      </c>
      <c r="B21">
        <v>4.3</v>
      </c>
      <c r="C21">
        <v>54</v>
      </c>
      <c r="D21">
        <v>3</v>
      </c>
      <c r="E21">
        <v>8.07</v>
      </c>
      <c r="F21" s="16">
        <v>0.15</v>
      </c>
      <c r="G21">
        <v>8.74</v>
      </c>
      <c r="H21" s="16">
        <v>0.2</v>
      </c>
      <c r="I21" s="81">
        <v>2</v>
      </c>
      <c r="K21" s="15">
        <f t="shared" si="0"/>
        <v>1.3267906248432249E+39</v>
      </c>
      <c r="L21" s="15">
        <f t="shared" si="1"/>
        <v>8.7344103341771801E+38</v>
      </c>
      <c r="M21" s="15">
        <f t="shared" si="2"/>
        <v>5.9621894791335216E+30</v>
      </c>
      <c r="N21" s="15">
        <f t="shared" si="3"/>
        <v>2.0552585204567406E+77</v>
      </c>
      <c r="O21" s="15">
        <f t="shared" si="4"/>
        <v>5781691430785272</v>
      </c>
      <c r="P21" s="16">
        <f t="shared" si="5"/>
        <v>1.7323937598229686</v>
      </c>
      <c r="Q21" s="16">
        <f t="shared" si="6"/>
        <v>39.12280239411573</v>
      </c>
      <c r="R21" s="16">
        <f t="shared" si="7"/>
        <v>38.941233590800671</v>
      </c>
    </row>
    <row r="22" spans="1:18" x14ac:dyDescent="0.25">
      <c r="A22" t="s">
        <v>530</v>
      </c>
      <c r="B22">
        <v>3</v>
      </c>
      <c r="C22">
        <v>56</v>
      </c>
      <c r="D22">
        <v>5</v>
      </c>
      <c r="E22">
        <v>7.28</v>
      </c>
      <c r="F22" s="16">
        <v>0.15</v>
      </c>
      <c r="G22">
        <v>7.85</v>
      </c>
      <c r="H22" s="16">
        <v>0.2</v>
      </c>
      <c r="I22" s="81">
        <v>1</v>
      </c>
      <c r="K22" s="15">
        <f t="shared" si="0"/>
        <v>1.787190151128558E+38</v>
      </c>
      <c r="L22" s="15">
        <f t="shared" si="1"/>
        <v>1.0102076652655721E+39</v>
      </c>
      <c r="M22" s="15">
        <f t="shared" si="2"/>
        <v>5.9621894791335216E+30</v>
      </c>
      <c r="N22" s="15">
        <f t="shared" si="3"/>
        <v>6.913733753327862E+77</v>
      </c>
      <c r="O22" s="15">
        <f t="shared" si="4"/>
        <v>1.94491713808652E+16</v>
      </c>
      <c r="P22" s="16">
        <f t="shared" si="5"/>
        <v>1.7481880270062005</v>
      </c>
      <c r="Q22" s="16">
        <f t="shared" si="6"/>
        <v>38.252170762462278</v>
      </c>
      <c r="R22" s="16">
        <f t="shared" si="7"/>
        <v>39.004410659533598</v>
      </c>
    </row>
    <row r="23" spans="1:18" x14ac:dyDescent="0.25">
      <c r="A23" t="s">
        <v>531</v>
      </c>
      <c r="B23">
        <v>5.0999999999999996</v>
      </c>
      <c r="C23">
        <v>58</v>
      </c>
      <c r="D23">
        <v>3</v>
      </c>
      <c r="E23">
        <v>8.25</v>
      </c>
      <c r="F23" s="16">
        <v>0.37</v>
      </c>
      <c r="G23">
        <v>8.4600000000000009</v>
      </c>
      <c r="H23" s="16">
        <v>0.39</v>
      </c>
      <c r="I23" s="81">
        <v>2</v>
      </c>
      <c r="K23" s="15">
        <f t="shared" si="0"/>
        <v>9.2738026373775888E+38</v>
      </c>
      <c r="L23" s="15">
        <f t="shared" si="1"/>
        <v>1.162439946403678E+39</v>
      </c>
      <c r="M23" s="15">
        <f t="shared" si="2"/>
        <v>9.545567040741951E+30</v>
      </c>
      <c r="N23" s="15">
        <f t="shared" si="3"/>
        <v>5.5253054415002583E+76</v>
      </c>
      <c r="O23" s="15">
        <f t="shared" si="4"/>
        <v>606391111473732</v>
      </c>
      <c r="P23" s="16">
        <f t="shared" si="5"/>
        <v>1.7634279935629373</v>
      </c>
      <c r="Q23" s="16">
        <f t="shared" si="6"/>
        <v>38.96725784911748</v>
      </c>
      <c r="R23" s="16">
        <f t="shared" si="7"/>
        <v>39.065370525760542</v>
      </c>
    </row>
    <row r="24" spans="1:18" x14ac:dyDescent="0.25">
      <c r="A24" t="s">
        <v>532</v>
      </c>
      <c r="B24">
        <v>12.2</v>
      </c>
      <c r="C24">
        <v>59</v>
      </c>
      <c r="D24">
        <v>7</v>
      </c>
      <c r="E24">
        <v>7.63</v>
      </c>
      <c r="F24" s="16">
        <v>0.2</v>
      </c>
      <c r="G24">
        <v>8.6199999999999992</v>
      </c>
      <c r="H24" s="16">
        <v>7.0000000000000007E-2</v>
      </c>
      <c r="I24" s="81">
        <v>3</v>
      </c>
      <c r="K24" s="15">
        <f t="shared" si="0"/>
        <v>9.1404582274566838E+38</v>
      </c>
      <c r="L24" s="15">
        <f t="shared" si="1"/>
        <v>1.244705469908178E+39</v>
      </c>
      <c r="M24" s="15">
        <f t="shared" si="2"/>
        <v>5.4894997756546196E+30</v>
      </c>
      <c r="N24" s="15">
        <f t="shared" si="3"/>
        <v>1.093358022616354E+77</v>
      </c>
      <c r="O24" s="15">
        <f t="shared" si="4"/>
        <v>3628247065127606</v>
      </c>
      <c r="P24" s="16">
        <f t="shared" si="5"/>
        <v>1.7708520116421442</v>
      </c>
      <c r="Q24" s="16">
        <f t="shared" si="6"/>
        <v>38.960967968235749</v>
      </c>
      <c r="R24" s="16">
        <f t="shared" si="7"/>
        <v>39.095066598077373</v>
      </c>
    </row>
    <row r="25" spans="1:18" x14ac:dyDescent="0.25">
      <c r="A25" t="s">
        <v>533</v>
      </c>
      <c r="B25">
        <v>7.5</v>
      </c>
      <c r="C25">
        <v>59</v>
      </c>
      <c r="D25">
        <v>6</v>
      </c>
      <c r="E25">
        <v>7.77</v>
      </c>
      <c r="F25" s="16">
        <v>0.15</v>
      </c>
      <c r="G25">
        <v>8.58</v>
      </c>
      <c r="H25" s="16">
        <v>0.2</v>
      </c>
      <c r="I25" s="81">
        <v>1</v>
      </c>
      <c r="K25" s="15">
        <f t="shared" si="0"/>
        <v>8.7336161970801091E+38</v>
      </c>
      <c r="L25" s="15">
        <f t="shared" si="1"/>
        <v>1.244705469908178E+39</v>
      </c>
      <c r="M25" s="15">
        <f t="shared" si="2"/>
        <v>5.9621894791335216E+30</v>
      </c>
      <c r="N25" s="15">
        <f t="shared" si="3"/>
        <v>1.3789625508148418E+77</v>
      </c>
      <c r="O25" s="15">
        <f t="shared" si="4"/>
        <v>3879188863135420.5</v>
      </c>
      <c r="P25" s="16">
        <f t="shared" si="5"/>
        <v>1.7708520116421442</v>
      </c>
      <c r="Q25" s="16">
        <f t="shared" si="6"/>
        <v>38.941194102726989</v>
      </c>
      <c r="R25" s="16">
        <f t="shared" si="7"/>
        <v>39.095066598077373</v>
      </c>
    </row>
    <row r="26" spans="1:18" x14ac:dyDescent="0.25">
      <c r="A26" t="s">
        <v>534</v>
      </c>
      <c r="B26">
        <v>3.2</v>
      </c>
      <c r="C26">
        <v>60</v>
      </c>
      <c r="D26">
        <v>5</v>
      </c>
      <c r="E26">
        <v>8.4499999999999993</v>
      </c>
      <c r="F26" s="16">
        <v>0.15</v>
      </c>
      <c r="G26">
        <v>9.09</v>
      </c>
      <c r="H26" s="16">
        <v>0.2</v>
      </c>
      <c r="I26" s="81">
        <v>2</v>
      </c>
      <c r="K26" s="15">
        <f t="shared" si="0"/>
        <v>3.0077321608807254E+39</v>
      </c>
      <c r="L26" s="15">
        <f t="shared" si="1"/>
        <v>1.3312620536773633E+39</v>
      </c>
      <c r="M26" s="15">
        <f t="shared" si="2"/>
        <v>5.9621894791335216E+30</v>
      </c>
      <c r="N26" s="15">
        <f t="shared" si="3"/>
        <v>2.8105520203464521E+78</v>
      </c>
      <c r="O26" s="15">
        <f t="shared" si="4"/>
        <v>7.9064236299587904E+16</v>
      </c>
      <c r="P26" s="16">
        <f t="shared" si="5"/>
        <v>1.7781512503836436</v>
      </c>
      <c r="Q26" s="16">
        <f t="shared" si="6"/>
        <v>39.4782391596355</v>
      </c>
      <c r="R26" s="16">
        <f t="shared" si="7"/>
        <v>39.12426355304337</v>
      </c>
    </row>
    <row r="27" spans="1:18" x14ac:dyDescent="0.25">
      <c r="A27" t="s">
        <v>535</v>
      </c>
      <c r="B27">
        <v>12.6</v>
      </c>
      <c r="C27">
        <v>64</v>
      </c>
      <c r="D27">
        <v>5</v>
      </c>
      <c r="E27">
        <v>8.1199999999999992</v>
      </c>
      <c r="F27" s="16">
        <v>0.39</v>
      </c>
      <c r="G27">
        <v>9.2100000000000009</v>
      </c>
      <c r="H27" s="16">
        <v>0.41</v>
      </c>
      <c r="I27" s="81">
        <v>2</v>
      </c>
      <c r="K27" s="15">
        <f t="shared" si="0"/>
        <v>3.4881569125229167E+39</v>
      </c>
      <c r="L27" s="15">
        <f t="shared" si="1"/>
        <v>1.7233696780207345E+39</v>
      </c>
      <c r="M27" s="15">
        <f t="shared" si="2"/>
        <v>9.9954357556946407E+30</v>
      </c>
      <c r="N27" s="15">
        <f t="shared" si="3"/>
        <v>3.1144739830618603E+78</v>
      </c>
      <c r="O27" s="15">
        <f t="shared" si="4"/>
        <v>3.117318974727484E+16</v>
      </c>
      <c r="P27" s="16">
        <f t="shared" si="5"/>
        <v>1.8061799739838871</v>
      </c>
      <c r="Q27" s="16">
        <f t="shared" si="6"/>
        <v>39.542596013161351</v>
      </c>
      <c r="R27" s="16">
        <f t="shared" si="7"/>
        <v>39.236378447444345</v>
      </c>
    </row>
    <row r="28" spans="1:18" x14ac:dyDescent="0.25">
      <c r="A28" t="s">
        <v>536</v>
      </c>
      <c r="B28">
        <v>1.3</v>
      </c>
      <c r="C28">
        <v>66</v>
      </c>
      <c r="D28">
        <v>3</v>
      </c>
      <c r="E28">
        <v>7.41</v>
      </c>
      <c r="F28" s="16">
        <v>0.15</v>
      </c>
      <c r="G28">
        <v>8.7899999999999991</v>
      </c>
      <c r="H28" s="16">
        <v>0.2</v>
      </c>
      <c r="I28" s="81">
        <v>2</v>
      </c>
      <c r="K28" s="15">
        <f t="shared" si="0"/>
        <v>1.2775968607177313E+39</v>
      </c>
      <c r="L28" s="15">
        <f t="shared" si="1"/>
        <v>1.9491007727890276E+39</v>
      </c>
      <c r="M28" s="15">
        <f t="shared" si="2"/>
        <v>5.9621894791335216E+30</v>
      </c>
      <c r="N28" s="15">
        <f t="shared" si="3"/>
        <v>4.5091750392705535E+77</v>
      </c>
      <c r="O28" s="15">
        <f t="shared" si="4"/>
        <v>1.2684856150684008E+16</v>
      </c>
      <c r="P28" s="16">
        <f t="shared" si="5"/>
        <v>1.8195439355418688</v>
      </c>
      <c r="Q28" s="16">
        <f t="shared" si="6"/>
        <v>39.106393835993103</v>
      </c>
      <c r="R28" s="16">
        <f t="shared" si="7"/>
        <v>39.289834293676272</v>
      </c>
    </row>
    <row r="29" spans="1:18" x14ac:dyDescent="0.25">
      <c r="A29" t="s">
        <v>537</v>
      </c>
      <c r="B29">
        <v>17.399999999999999</v>
      </c>
      <c r="C29">
        <v>66</v>
      </c>
      <c r="D29">
        <v>7</v>
      </c>
      <c r="E29">
        <v>8.09</v>
      </c>
      <c r="F29" s="16">
        <v>0.15</v>
      </c>
      <c r="G29">
        <v>9.02</v>
      </c>
      <c r="H29" s="16">
        <v>0.2</v>
      </c>
      <c r="I29" s="81">
        <v>1</v>
      </c>
      <c r="K29" s="15">
        <f t="shared" si="0"/>
        <v>2.3275561561303407E+39</v>
      </c>
      <c r="L29" s="15">
        <f t="shared" si="1"/>
        <v>1.9491007727890276E+39</v>
      </c>
      <c r="M29" s="15">
        <f t="shared" si="2"/>
        <v>5.9621894791335216E+30</v>
      </c>
      <c r="N29" s="15">
        <f t="shared" si="3"/>
        <v>1.4322847718002021E+77</v>
      </c>
      <c r="O29" s="15">
        <f t="shared" si="4"/>
        <v>4029190736414595.5</v>
      </c>
      <c r="P29" s="16">
        <f t="shared" si="5"/>
        <v>1.8195439355418688</v>
      </c>
      <c r="Q29" s="16">
        <f t="shared" si="6"/>
        <v>39.366900167850297</v>
      </c>
      <c r="R29" s="16">
        <f t="shared" si="7"/>
        <v>39.289834293676272</v>
      </c>
    </row>
    <row r="30" spans="1:18" x14ac:dyDescent="0.25">
      <c r="A30" t="s">
        <v>538</v>
      </c>
      <c r="B30">
        <v>17.899999999999999</v>
      </c>
      <c r="C30">
        <v>68</v>
      </c>
      <c r="D30">
        <v>7</v>
      </c>
      <c r="E30">
        <v>7.41</v>
      </c>
      <c r="F30" s="16">
        <v>0.2</v>
      </c>
      <c r="G30">
        <v>9.06</v>
      </c>
      <c r="H30" s="16">
        <v>0.05</v>
      </c>
      <c r="I30" s="81">
        <v>3</v>
      </c>
      <c r="K30" s="15">
        <f t="shared" si="0"/>
        <v>2.3349201110345098E+39</v>
      </c>
      <c r="L30" s="15">
        <f t="shared" si="1"/>
        <v>2.1963128490901147E+39</v>
      </c>
      <c r="M30" s="15">
        <f t="shared" si="2"/>
        <v>5.3843179565764366E+30</v>
      </c>
      <c r="N30" s="15">
        <f t="shared" si="3"/>
        <v>1.9211973063722175E+76</v>
      </c>
      <c r="O30" s="15">
        <f t="shared" si="4"/>
        <v>662690237693645.13</v>
      </c>
      <c r="P30" s="16">
        <f t="shared" si="5"/>
        <v>1.8325089127062364</v>
      </c>
      <c r="Q30" s="16">
        <f t="shared" si="6"/>
        <v>39.368272025831288</v>
      </c>
      <c r="R30" s="16">
        <f t="shared" si="7"/>
        <v>39.341694202333741</v>
      </c>
    </row>
    <row r="31" spans="1:18" x14ac:dyDescent="0.25">
      <c r="A31" t="s">
        <v>539</v>
      </c>
      <c r="B31">
        <v>4</v>
      </c>
      <c r="C31">
        <v>68</v>
      </c>
      <c r="D31">
        <v>5</v>
      </c>
      <c r="E31">
        <v>8.94</v>
      </c>
      <c r="F31" s="16">
        <v>0.15</v>
      </c>
      <c r="G31">
        <v>9.1999999999999993</v>
      </c>
      <c r="H31" s="16">
        <v>0.2</v>
      </c>
      <c r="I31" s="81">
        <v>2</v>
      </c>
      <c r="K31" s="15">
        <f t="shared" si="0"/>
        <v>4.884944725906043E+39</v>
      </c>
      <c r="L31" s="15">
        <f t="shared" si="1"/>
        <v>2.1963128490901147E+39</v>
      </c>
      <c r="M31" s="15">
        <f t="shared" si="2"/>
        <v>5.9621894791335216E+30</v>
      </c>
      <c r="N31" s="15">
        <f t="shared" si="3"/>
        <v>7.2287413690307411E+78</v>
      </c>
      <c r="O31" s="15">
        <f t="shared" si="4"/>
        <v>2.0335326000448867E+17</v>
      </c>
      <c r="P31" s="16">
        <f t="shared" si="5"/>
        <v>1.8325089127062364</v>
      </c>
      <c r="Q31" s="16">
        <f t="shared" si="6"/>
        <v>39.68885965395657</v>
      </c>
      <c r="R31" s="16">
        <f t="shared" si="7"/>
        <v>39.341694202333741</v>
      </c>
    </row>
    <row r="32" spans="1:18" x14ac:dyDescent="0.25">
      <c r="A32" t="s">
        <v>540</v>
      </c>
      <c r="B32">
        <v>18.600000000000001</v>
      </c>
      <c r="C32">
        <v>72</v>
      </c>
      <c r="D32">
        <v>6</v>
      </c>
      <c r="E32">
        <v>9.2200000000000006</v>
      </c>
      <c r="F32" s="16">
        <v>0.16</v>
      </c>
      <c r="G32">
        <v>9.2799999999999994</v>
      </c>
      <c r="H32" s="16">
        <v>0.2</v>
      </c>
      <c r="I32" s="81">
        <v>2</v>
      </c>
      <c r="K32" s="15">
        <f t="shared" si="0"/>
        <v>7.0912362316847607E+39</v>
      </c>
      <c r="L32" s="15">
        <f t="shared" si="1"/>
        <v>2.7605049945053806E+39</v>
      </c>
      <c r="M32" s="15">
        <f t="shared" si="2"/>
        <v>6.0276352971151244E+30</v>
      </c>
      <c r="N32" s="15">
        <f t="shared" si="3"/>
        <v>1.8755233048681245E+79</v>
      </c>
      <c r="O32" s="15">
        <f t="shared" si="4"/>
        <v>5.1621251603172346E+17</v>
      </c>
      <c r="P32" s="16">
        <f t="shared" si="5"/>
        <v>1.8573324964312685</v>
      </c>
      <c r="Q32" s="16">
        <f t="shared" si="6"/>
        <v>39.850721953349186</v>
      </c>
      <c r="R32" s="16">
        <f t="shared" si="7"/>
        <v>39.440988537233871</v>
      </c>
    </row>
    <row r="33" spans="1:18" x14ac:dyDescent="0.25">
      <c r="A33" t="s">
        <v>541</v>
      </c>
      <c r="B33">
        <v>13</v>
      </c>
      <c r="C33">
        <v>74</v>
      </c>
      <c r="D33">
        <v>3</v>
      </c>
      <c r="E33">
        <v>8.75</v>
      </c>
      <c r="F33" s="16">
        <v>0.27</v>
      </c>
      <c r="G33">
        <v>9.32</v>
      </c>
      <c r="H33" s="16">
        <v>0.28999999999999998</v>
      </c>
      <c r="I33" s="81">
        <v>2</v>
      </c>
      <c r="K33" s="15">
        <f t="shared" si="0"/>
        <v>5.2743720638179087E+39</v>
      </c>
      <c r="L33" s="15">
        <f t="shared" si="1"/>
        <v>3.0802461997308897E+39</v>
      </c>
      <c r="M33" s="15">
        <f t="shared" si="2"/>
        <v>7.5823134169148373E+30</v>
      </c>
      <c r="N33" s="15">
        <f t="shared" si="3"/>
        <v>4.8141883074556073E+78</v>
      </c>
      <c r="O33" s="15">
        <f t="shared" si="4"/>
        <v>8.3737426474451632E+16</v>
      </c>
      <c r="P33" s="16">
        <f t="shared" si="5"/>
        <v>1.8692317197309762</v>
      </c>
      <c r="Q33" s="16">
        <f t="shared" si="6"/>
        <v>39.722170762462277</v>
      </c>
      <c r="R33" s="16">
        <f t="shared" si="7"/>
        <v>39.4885854304327</v>
      </c>
    </row>
    <row r="34" spans="1:18" x14ac:dyDescent="0.25">
      <c r="A34" t="s">
        <v>542</v>
      </c>
      <c r="B34">
        <v>3.45</v>
      </c>
      <c r="C34">
        <v>77</v>
      </c>
      <c r="D34">
        <v>3</v>
      </c>
      <c r="E34">
        <v>8.6999999999999993</v>
      </c>
      <c r="F34" s="16">
        <v>0.15</v>
      </c>
      <c r="G34">
        <v>9.23</v>
      </c>
      <c r="H34" s="16">
        <v>0.2</v>
      </c>
      <c r="I34" s="81">
        <v>2</v>
      </c>
      <c r="K34" s="15">
        <f t="shared" si="0"/>
        <v>4.3748879755196757E+39</v>
      </c>
      <c r="L34" s="15">
        <f t="shared" si="1"/>
        <v>3.6109498113167089E+39</v>
      </c>
      <c r="M34" s="15">
        <f t="shared" si="2"/>
        <v>5.9621894791335216E+30</v>
      </c>
      <c r="N34" s="15">
        <f t="shared" si="3"/>
        <v>5.8360151872579907E+77</v>
      </c>
      <c r="O34" s="15">
        <f t="shared" si="4"/>
        <v>1.6417418374503916E+16</v>
      </c>
      <c r="P34" s="16">
        <f t="shared" si="5"/>
        <v>1.8864907251724818</v>
      </c>
      <c r="Q34" s="16">
        <f t="shared" si="6"/>
        <v>39.640966936847128</v>
      </c>
      <c r="R34" s="16">
        <f t="shared" si="7"/>
        <v>39.557621452198724</v>
      </c>
    </row>
    <row r="35" spans="1:18" x14ac:dyDescent="0.25">
      <c r="A35" t="s">
        <v>543</v>
      </c>
      <c r="B35">
        <v>4.6500000000000004</v>
      </c>
      <c r="C35">
        <v>78</v>
      </c>
      <c r="D35">
        <v>3</v>
      </c>
      <c r="E35">
        <v>8.36</v>
      </c>
      <c r="F35" s="16">
        <v>0.15</v>
      </c>
      <c r="G35">
        <v>8.9600000000000009</v>
      </c>
      <c r="H35" s="16">
        <v>0.2</v>
      </c>
      <c r="I35" s="81">
        <v>2</v>
      </c>
      <c r="K35" s="15">
        <f t="shared" si="0"/>
        <v>2.2697572453748843E+39</v>
      </c>
      <c r="L35" s="15">
        <f t="shared" si="1"/>
        <v>3.8022175515079172E+39</v>
      </c>
      <c r="M35" s="15">
        <f t="shared" si="2"/>
        <v>5.9621894791335216E+30</v>
      </c>
      <c r="N35" s="15">
        <f t="shared" si="3"/>
        <v>2.3484345898733492E+78</v>
      </c>
      <c r="O35" s="15">
        <f t="shared" si="4"/>
        <v>6.6064312634563568E+16</v>
      </c>
      <c r="P35" s="16">
        <f t="shared" si="5"/>
        <v>1.8920946026904804</v>
      </c>
      <c r="Q35" s="16">
        <f t="shared" si="6"/>
        <v>39.355979411099845</v>
      </c>
      <c r="R35" s="16">
        <f t="shared" si="7"/>
        <v>39.580036962270718</v>
      </c>
    </row>
    <row r="36" spans="1:18" x14ac:dyDescent="0.25">
      <c r="A36" t="s">
        <v>544</v>
      </c>
      <c r="B36">
        <v>6.5</v>
      </c>
      <c r="C36">
        <v>79</v>
      </c>
      <c r="D36">
        <v>3</v>
      </c>
      <c r="E36">
        <v>8.17</v>
      </c>
      <c r="F36" s="16">
        <v>0.37</v>
      </c>
      <c r="G36">
        <v>9.0500000000000007</v>
      </c>
      <c r="H36" s="16">
        <v>0.39</v>
      </c>
      <c r="I36" s="81">
        <v>2</v>
      </c>
      <c r="K36" s="15">
        <f t="shared" si="0"/>
        <v>2.5260163569425791E+39</v>
      </c>
      <c r="L36" s="15">
        <f t="shared" si="1"/>
        <v>4.000984940043182E+39</v>
      </c>
      <c r="M36" s="15">
        <f t="shared" si="2"/>
        <v>9.545567040741951E+30</v>
      </c>
      <c r="N36" s="15">
        <f t="shared" si="3"/>
        <v>2.1755323211338003E+78</v>
      </c>
      <c r="O36" s="15">
        <f t="shared" si="4"/>
        <v>2.387602778211572E+16</v>
      </c>
      <c r="P36" s="16">
        <f t="shared" si="5"/>
        <v>1.8976270912904414</v>
      </c>
      <c r="Q36" s="16">
        <f t="shared" si="6"/>
        <v>39.402436158454826</v>
      </c>
      <c r="R36" s="16">
        <f t="shared" si="7"/>
        <v>39.602166916670562</v>
      </c>
    </row>
    <row r="37" spans="1:18" x14ac:dyDescent="0.25">
      <c r="A37" t="s">
        <v>545</v>
      </c>
      <c r="B37">
        <v>48</v>
      </c>
      <c r="C37">
        <v>83</v>
      </c>
      <c r="D37">
        <v>8</v>
      </c>
      <c r="E37">
        <v>8.3000000000000007</v>
      </c>
      <c r="F37" s="16">
        <v>0.21</v>
      </c>
      <c r="G37">
        <v>9.0399999999999991</v>
      </c>
      <c r="H37" s="16">
        <v>0.24</v>
      </c>
      <c r="I37" s="81">
        <v>2</v>
      </c>
      <c r="K37" s="15">
        <f t="shared" si="0"/>
        <v>2.5778824070188672E+39</v>
      </c>
      <c r="L37" s="15">
        <f t="shared" si="1"/>
        <v>4.8749584782823712E+39</v>
      </c>
      <c r="M37" s="15">
        <f t="shared" si="2"/>
        <v>6.6826020931220303E+30</v>
      </c>
      <c r="N37" s="15">
        <f t="shared" si="3"/>
        <v>5.2765584771713745E+78</v>
      </c>
      <c r="O37" s="15">
        <f t="shared" si="4"/>
        <v>1.1815702585555883E+17</v>
      </c>
      <c r="P37" s="16">
        <f t="shared" si="5"/>
        <v>1.919078092376074</v>
      </c>
      <c r="Q37" s="16">
        <f t="shared" si="6"/>
        <v>39.411263102642053</v>
      </c>
      <c r="R37" s="16">
        <f t="shared" si="7"/>
        <v>39.68797092101309</v>
      </c>
    </row>
    <row r="38" spans="1:18" x14ac:dyDescent="0.25">
      <c r="A38" t="s">
        <v>546</v>
      </c>
      <c r="B38">
        <v>79</v>
      </c>
      <c r="C38">
        <v>83</v>
      </c>
      <c r="D38">
        <v>5</v>
      </c>
      <c r="E38">
        <v>9</v>
      </c>
      <c r="F38" s="16">
        <v>0.19</v>
      </c>
      <c r="G38">
        <v>9.33</v>
      </c>
      <c r="H38" s="16">
        <v>0.22</v>
      </c>
      <c r="I38" s="81">
        <v>2</v>
      </c>
      <c r="K38" s="15">
        <f t="shared" si="0"/>
        <v>6.241720392228904E+39</v>
      </c>
      <c r="L38" s="15">
        <f t="shared" si="1"/>
        <v>4.8749584782823712E+39</v>
      </c>
      <c r="M38" s="15">
        <f t="shared" si="2"/>
        <v>6.3818354542628692E+30</v>
      </c>
      <c r="N38" s="15">
        <f t="shared" si="3"/>
        <v>1.8680381294147894E+78</v>
      </c>
      <c r="O38" s="15">
        <f t="shared" si="4"/>
        <v>4.5866387071900696E+16</v>
      </c>
      <c r="P38" s="16">
        <f t="shared" si="5"/>
        <v>1.919078092376074</v>
      </c>
      <c r="Q38" s="16">
        <f t="shared" si="6"/>
        <v>39.79530430985448</v>
      </c>
      <c r="R38" s="16">
        <f t="shared" si="7"/>
        <v>39.68797092101309</v>
      </c>
    </row>
    <row r="39" spans="1:18" x14ac:dyDescent="0.25">
      <c r="A39" t="s">
        <v>547</v>
      </c>
      <c r="B39">
        <v>10.4</v>
      </c>
      <c r="C39">
        <v>84</v>
      </c>
      <c r="D39">
        <v>5</v>
      </c>
      <c r="E39">
        <v>8.9600000000000009</v>
      </c>
      <c r="F39" s="16">
        <v>0.15</v>
      </c>
      <c r="G39">
        <v>9.32</v>
      </c>
      <c r="H39" s="16">
        <v>0.2</v>
      </c>
      <c r="I39" s="81">
        <v>2</v>
      </c>
      <c r="K39" s="15">
        <f t="shared" si="0"/>
        <v>5.969899694444629E+39</v>
      </c>
      <c r="L39" s="15">
        <f t="shared" si="1"/>
        <v>5.1141763054069587E+39</v>
      </c>
      <c r="M39" s="15">
        <f t="shared" si="2"/>
        <v>5.9621894791335216E+30</v>
      </c>
      <c r="N39" s="15">
        <f t="shared" si="3"/>
        <v>7.3226251854611615E+77</v>
      </c>
      <c r="O39" s="15">
        <f t="shared" si="4"/>
        <v>2.0599432560057996E+16</v>
      </c>
      <c r="P39" s="16">
        <f t="shared" si="5"/>
        <v>1.9242792860618816</v>
      </c>
      <c r="Q39" s="16">
        <f t="shared" si="6"/>
        <v>39.775967034225658</v>
      </c>
      <c r="R39" s="16">
        <f t="shared" si="7"/>
        <v>39.708775695756323</v>
      </c>
    </row>
    <row r="40" spans="1:18" x14ac:dyDescent="0.25">
      <c r="A40" t="s">
        <v>548</v>
      </c>
      <c r="B40">
        <v>3.78</v>
      </c>
      <c r="C40">
        <v>84</v>
      </c>
      <c r="D40">
        <v>10</v>
      </c>
      <c r="E40">
        <v>7.99</v>
      </c>
      <c r="F40" s="16">
        <v>0.15</v>
      </c>
      <c r="G40">
        <v>8.7799999999999994</v>
      </c>
      <c r="H40" s="16">
        <v>0.2</v>
      </c>
      <c r="I40" s="81">
        <v>2</v>
      </c>
      <c r="K40" s="15">
        <f t="shared" si="0"/>
        <v>1.3929335282808272E+39</v>
      </c>
      <c r="L40" s="15">
        <f t="shared" si="1"/>
        <v>5.1141763054069587E+39</v>
      </c>
      <c r="M40" s="15">
        <f t="shared" si="2"/>
        <v>5.9621894791335216E+30</v>
      </c>
      <c r="N40" s="15">
        <f t="shared" si="3"/>
        <v>1.3847647806313402E+79</v>
      </c>
      <c r="O40" s="15">
        <f t="shared" si="4"/>
        <v>3.8955112391652941E+17</v>
      </c>
      <c r="P40" s="16">
        <f t="shared" si="5"/>
        <v>1.9242792860618816</v>
      </c>
      <c r="Q40" s="16">
        <f t="shared" si="6"/>
        <v>39.143930392095442</v>
      </c>
      <c r="R40" s="16">
        <f t="shared" si="7"/>
        <v>39.708775695756323</v>
      </c>
    </row>
    <row r="41" spans="1:18" x14ac:dyDescent="0.25">
      <c r="A41" t="s">
        <v>549</v>
      </c>
      <c r="B41">
        <v>5.7</v>
      </c>
      <c r="C41">
        <v>90</v>
      </c>
      <c r="D41">
        <v>3</v>
      </c>
      <c r="E41">
        <v>8.98</v>
      </c>
      <c r="F41" s="16">
        <v>0.38</v>
      </c>
      <c r="G41">
        <v>9.27</v>
      </c>
      <c r="H41" s="16">
        <v>0.4</v>
      </c>
      <c r="I41" s="81">
        <v>2</v>
      </c>
      <c r="K41" s="15">
        <f t="shared" si="0"/>
        <v>5.6034532763913551E+39</v>
      </c>
      <c r="L41" s="15">
        <f t="shared" si="1"/>
        <v>6.7395141467416516E+39</v>
      </c>
      <c r="M41" s="15">
        <f t="shared" si="2"/>
        <v>9.7679118601373745E+30</v>
      </c>
      <c r="N41" s="15">
        <f t="shared" si="3"/>
        <v>1.2906343011410732E+78</v>
      </c>
      <c r="O41" s="15">
        <f t="shared" si="4"/>
        <v>1.3526945456962176E+16</v>
      </c>
      <c r="P41" s="16">
        <f t="shared" si="5"/>
        <v>1.954242509439325</v>
      </c>
      <c r="Q41" s="16">
        <f t="shared" si="6"/>
        <v>39.748455754981094</v>
      </c>
      <c r="R41" s="16">
        <f t="shared" si="7"/>
        <v>39.828628589266096</v>
      </c>
    </row>
    <row r="42" spans="1:18" x14ac:dyDescent="0.25">
      <c r="A42" t="s">
        <v>550</v>
      </c>
      <c r="B42">
        <v>7.9</v>
      </c>
      <c r="C42">
        <v>95</v>
      </c>
      <c r="D42">
        <v>3</v>
      </c>
      <c r="E42">
        <v>8.92</v>
      </c>
      <c r="F42" s="16">
        <v>0.15</v>
      </c>
      <c r="G42">
        <v>9.01</v>
      </c>
      <c r="H42" s="16">
        <v>0.17</v>
      </c>
      <c r="I42" s="81">
        <v>2</v>
      </c>
      <c r="K42" s="15">
        <f t="shared" si="0"/>
        <v>3.6898934080459768E+39</v>
      </c>
      <c r="L42" s="15">
        <f t="shared" si="1"/>
        <v>8.3666764128707388E+39</v>
      </c>
      <c r="M42" s="15">
        <f t="shared" si="2"/>
        <v>5.7517729249145015E+30</v>
      </c>
      <c r="N42" s="15">
        <f t="shared" si="3"/>
        <v>2.1872299274217731E+79</v>
      </c>
      <c r="O42" s="15">
        <f t="shared" si="4"/>
        <v>6.6113625797325926E+17</v>
      </c>
      <c r="P42" s="16">
        <f t="shared" si="5"/>
        <v>1.9777236052888478</v>
      </c>
      <c r="Q42" s="16">
        <f t="shared" si="6"/>
        <v>39.567013820639801</v>
      </c>
      <c r="R42" s="16">
        <f t="shared" si="7"/>
        <v>39.922552972664185</v>
      </c>
    </row>
    <row r="43" spans="1:18" x14ac:dyDescent="0.25">
      <c r="A43" t="s">
        <v>551</v>
      </c>
      <c r="B43">
        <v>18.600000000000001</v>
      </c>
      <c r="C43">
        <v>108</v>
      </c>
      <c r="D43">
        <v>3</v>
      </c>
      <c r="E43">
        <v>9.5299999999999994</v>
      </c>
      <c r="F43" s="16">
        <v>0.16</v>
      </c>
      <c r="G43">
        <v>9.74</v>
      </c>
      <c r="H43" s="16">
        <v>0.2</v>
      </c>
      <c r="I43" s="81">
        <v>2</v>
      </c>
      <c r="K43" s="15">
        <f t="shared" si="0"/>
        <v>1.767086663166693E+40</v>
      </c>
      <c r="L43" s="15">
        <f t="shared" si="1"/>
        <v>1.3975056534683488E+40</v>
      </c>
      <c r="M43" s="15">
        <f t="shared" si="2"/>
        <v>6.0276352971151244E+30</v>
      </c>
      <c r="N43" s="15">
        <f t="shared" si="3"/>
        <v>1.3659012272964758E+79</v>
      </c>
      <c r="O43" s="15">
        <f t="shared" si="4"/>
        <v>3.7594590659757798E+17</v>
      </c>
      <c r="P43" s="16">
        <f t="shared" si="5"/>
        <v>2.0334237554869499</v>
      </c>
      <c r="Q43" s="16">
        <f t="shared" si="6"/>
        <v>40.247257849117481</v>
      </c>
      <c r="R43" s="16">
        <f t="shared" si="7"/>
        <v>40.145353573456596</v>
      </c>
    </row>
    <row r="44" spans="1:18" x14ac:dyDescent="0.25">
      <c r="A44" t="s">
        <v>552</v>
      </c>
      <c r="B44">
        <v>61</v>
      </c>
      <c r="C44">
        <v>111</v>
      </c>
      <c r="D44">
        <v>5</v>
      </c>
      <c r="E44">
        <v>9.41</v>
      </c>
      <c r="F44" s="16">
        <v>0.17</v>
      </c>
      <c r="G44">
        <v>9.6300000000000008</v>
      </c>
      <c r="H44" s="16">
        <v>0.21</v>
      </c>
      <c r="I44" s="81">
        <v>2</v>
      </c>
      <c r="K44" s="15">
        <f t="shared" si="0"/>
        <v>1.3597867459988072E+40</v>
      </c>
      <c r="L44" s="15">
        <f t="shared" si="1"/>
        <v>1.559374638613763E+40</v>
      </c>
      <c r="M44" s="15">
        <f t="shared" si="2"/>
        <v>6.1680369595620288E+30</v>
      </c>
      <c r="N44" s="15">
        <f t="shared" si="3"/>
        <v>3.9835326878479102E+78</v>
      </c>
      <c r="O44" s="15">
        <f t="shared" si="4"/>
        <v>1.0470669472587941E+17</v>
      </c>
      <c r="P44" s="16">
        <f t="shared" si="5"/>
        <v>2.0453229787866576</v>
      </c>
      <c r="Q44" s="16">
        <f t="shared" si="6"/>
        <v>40.133470803739378</v>
      </c>
      <c r="R44" s="16">
        <f t="shared" si="7"/>
        <v>40.192950466655425</v>
      </c>
    </row>
    <row r="45" spans="1:18" x14ac:dyDescent="0.25">
      <c r="A45" t="s">
        <v>553</v>
      </c>
      <c r="B45">
        <v>85</v>
      </c>
      <c r="C45">
        <v>118</v>
      </c>
      <c r="D45">
        <v>4</v>
      </c>
      <c r="E45">
        <v>9.5</v>
      </c>
      <c r="F45" s="16">
        <v>0.18</v>
      </c>
      <c r="G45">
        <v>9.8699999999999992</v>
      </c>
      <c r="H45" s="16">
        <v>0.22</v>
      </c>
      <c r="I45" s="81">
        <v>2</v>
      </c>
      <c r="K45" s="15">
        <f t="shared" si="0"/>
        <v>2.1035488503557507E+40</v>
      </c>
      <c r="L45" s="15">
        <f t="shared" si="1"/>
        <v>1.9915287518530849E+40</v>
      </c>
      <c r="M45" s="15">
        <f t="shared" si="2"/>
        <v>6.311708996848513E+30</v>
      </c>
      <c r="N45" s="15">
        <f t="shared" si="3"/>
        <v>1.2548502468546951E+78</v>
      </c>
      <c r="O45" s="15">
        <f t="shared" si="4"/>
        <v>3.1499086978149432E+16</v>
      </c>
      <c r="P45" s="16">
        <f t="shared" si="5"/>
        <v>2.0718820073061255</v>
      </c>
      <c r="Q45" s="16">
        <f t="shared" si="6"/>
        <v>40.32295260201672</v>
      </c>
      <c r="R45" s="16">
        <f t="shared" si="7"/>
        <v>40.299186580733299</v>
      </c>
    </row>
    <row r="46" spans="1:18" x14ac:dyDescent="0.25">
      <c r="A46" t="s">
        <v>554</v>
      </c>
      <c r="B46">
        <v>77</v>
      </c>
      <c r="C46">
        <v>120</v>
      </c>
      <c r="D46">
        <v>6</v>
      </c>
      <c r="E46">
        <v>9.6199999999999992</v>
      </c>
      <c r="F46" s="16">
        <v>0.18</v>
      </c>
      <c r="G46">
        <v>9.7100000000000009</v>
      </c>
      <c r="H46" s="16">
        <v>0.22</v>
      </c>
      <c r="I46" s="81">
        <v>2</v>
      </c>
      <c r="K46" s="15">
        <f t="shared" si="0"/>
        <v>1.8493274695580712E+40</v>
      </c>
      <c r="L46" s="15">
        <f t="shared" si="1"/>
        <v>2.1300192858837813E+40</v>
      </c>
      <c r="M46" s="15">
        <f t="shared" si="2"/>
        <v>6.311708996848513E+30</v>
      </c>
      <c r="N46" s="15">
        <f t="shared" si="3"/>
        <v>7.8787895752226164E+78</v>
      </c>
      <c r="O46" s="15">
        <f t="shared" si="4"/>
        <v>1.9777234672784944E+17</v>
      </c>
      <c r="P46" s="16">
        <f t="shared" si="5"/>
        <v>2.0791812460476247</v>
      </c>
      <c r="Q46" s="16">
        <f t="shared" si="6"/>
        <v>40.267013820639797</v>
      </c>
      <c r="R46" s="16">
        <f t="shared" si="7"/>
        <v>40.328383535699295</v>
      </c>
    </row>
    <row r="47" spans="1:18" x14ac:dyDescent="0.25">
      <c r="A47" t="s">
        <v>555</v>
      </c>
      <c r="B47">
        <v>80</v>
      </c>
      <c r="C47">
        <v>124</v>
      </c>
      <c r="D47">
        <v>5</v>
      </c>
      <c r="E47">
        <v>9.3800000000000008</v>
      </c>
      <c r="F47" s="16">
        <v>0.18</v>
      </c>
      <c r="G47">
        <v>9.65</v>
      </c>
      <c r="H47" s="16">
        <v>0.22</v>
      </c>
      <c r="I47" s="81">
        <v>2</v>
      </c>
      <c r="K47" s="15">
        <f t="shared" si="0"/>
        <v>1.3656501890696522E+40</v>
      </c>
      <c r="L47" s="15">
        <f t="shared" si="1"/>
        <v>2.4285401739736734E+40</v>
      </c>
      <c r="M47" s="15">
        <f t="shared" si="2"/>
        <v>6.311708996848513E+30</v>
      </c>
      <c r="N47" s="15">
        <f t="shared" si="3"/>
        <v>1.1297351200092704E+80</v>
      </c>
      <c r="O47" s="15">
        <f t="shared" si="4"/>
        <v>2.8358463407596334E+18</v>
      </c>
      <c r="P47" s="16">
        <f t="shared" si="5"/>
        <v>2.0934216851622351</v>
      </c>
      <c r="Q47" s="16">
        <f t="shared" si="6"/>
        <v>40.135339469175413</v>
      </c>
      <c r="R47" s="16">
        <f t="shared" si="7"/>
        <v>40.385345292157737</v>
      </c>
    </row>
    <row r="48" spans="1:18" x14ac:dyDescent="0.25">
      <c r="A48" t="s">
        <v>556</v>
      </c>
      <c r="B48">
        <v>3.18</v>
      </c>
      <c r="C48">
        <v>134</v>
      </c>
      <c r="D48">
        <v>3</v>
      </c>
      <c r="E48">
        <v>9.61</v>
      </c>
      <c r="F48" s="16">
        <v>0.15</v>
      </c>
      <c r="G48">
        <v>9.77</v>
      </c>
      <c r="H48" s="16">
        <v>0.2</v>
      </c>
      <c r="I48" s="81">
        <v>2</v>
      </c>
      <c r="K48" s="15">
        <f t="shared" si="0"/>
        <v>1.9815890254479659E+40</v>
      </c>
      <c r="L48" s="15">
        <f t="shared" si="1"/>
        <v>3.3119040402914867E+40</v>
      </c>
      <c r="M48" s="15">
        <f t="shared" si="2"/>
        <v>5.9621894791335216E+30</v>
      </c>
      <c r="N48" s="15">
        <f t="shared" si="3"/>
        <v>1.7697380387181167E+80</v>
      </c>
      <c r="O48" s="15">
        <f t="shared" si="4"/>
        <v>4.9784876945394637E+18</v>
      </c>
      <c r="P48" s="16">
        <f t="shared" si="5"/>
        <v>2.1271047983648077</v>
      </c>
      <c r="Q48" s="16">
        <f t="shared" si="6"/>
        <v>40.297013588349387</v>
      </c>
      <c r="R48" s="16">
        <f t="shared" si="7"/>
        <v>40.520077744968027</v>
      </c>
    </row>
    <row r="49" spans="1:18" x14ac:dyDescent="0.25">
      <c r="A49" t="s">
        <v>557</v>
      </c>
      <c r="B49">
        <v>14.5</v>
      </c>
      <c r="C49">
        <v>149</v>
      </c>
      <c r="D49">
        <v>3</v>
      </c>
      <c r="E49">
        <v>10.119999999999999</v>
      </c>
      <c r="F49" s="16">
        <v>0.15</v>
      </c>
      <c r="G49">
        <v>10.29</v>
      </c>
      <c r="H49" s="16">
        <v>0.2</v>
      </c>
      <c r="I49" s="81">
        <v>2</v>
      </c>
      <c r="K49" s="15">
        <f t="shared" si="0"/>
        <v>6.5005803720412789E+40</v>
      </c>
      <c r="L49" s="15">
        <f t="shared" si="1"/>
        <v>5.0629498449135573E+40</v>
      </c>
      <c r="M49" s="15">
        <f t="shared" si="2"/>
        <v>5.9621894791335216E+30</v>
      </c>
      <c r="N49" s="15">
        <f t="shared" si="3"/>
        <v>2.0667815325295306E+80</v>
      </c>
      <c r="O49" s="15">
        <f t="shared" si="4"/>
        <v>5.8141070609821389E+18</v>
      </c>
      <c r="P49" s="16">
        <f t="shared" si="5"/>
        <v>2.173186268412274</v>
      </c>
      <c r="Q49" s="16">
        <f t="shared" si="6"/>
        <v>40.812952132200245</v>
      </c>
      <c r="R49" s="16">
        <f t="shared" si="7"/>
        <v>40.704403625157894</v>
      </c>
    </row>
    <row r="50" spans="1:18" x14ac:dyDescent="0.25">
      <c r="O50" s="30">
        <f>SUM(O3:O49)</f>
        <v>1.6671019039641053E+19</v>
      </c>
    </row>
    <row r="51" spans="1:18" x14ac:dyDescent="0.25">
      <c r="O51" s="30">
        <f>SUM(O3:O49)/COUNT(O3:O49)</f>
        <v>3.5470253275832026E+17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677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8" width="10.7109375" style="15" customWidth="1"/>
    <col min="9" max="10" width="10.7109375" style="16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0</v>
      </c>
      <c r="E2" s="55"/>
      <c r="F2" s="53" t="s">
        <v>620</v>
      </c>
      <c r="G2" s="53">
        <v>41304595513</v>
      </c>
      <c r="H2" s="53"/>
      <c r="I2" s="52"/>
      <c r="J2" s="52"/>
      <c r="K2" s="51" t="s">
        <v>1</v>
      </c>
      <c r="L2" s="60" t="s">
        <v>659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0</v>
      </c>
      <c r="E3" s="53"/>
      <c r="F3" s="53" t="s">
        <v>621</v>
      </c>
      <c r="G3" s="53">
        <f>H105/SolarMass</f>
        <v>144354216195.49765</v>
      </c>
      <c r="H3" s="53"/>
      <c r="I3" s="52"/>
      <c r="J3" s="52"/>
      <c r="K3" s="51" t="s">
        <v>562</v>
      </c>
      <c r="L3" s="57">
        <v>-1.0009999999999999E-3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3357.1228186104699</v>
      </c>
      <c r="E4" s="55"/>
      <c r="F4" s="53" t="s">
        <v>622</v>
      </c>
      <c r="G4" s="52">
        <f>G3/G2</f>
        <v>3.4948705925485779</v>
      </c>
      <c r="H4" s="53"/>
      <c r="I4" s="52"/>
      <c r="J4" s="52"/>
      <c r="K4" s="61" t="s">
        <v>614</v>
      </c>
      <c r="L4" s="52">
        <f>QEHModelChiSquare</f>
        <v>30.354420862386167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2038.81822165836</v>
      </c>
      <c r="F5" s="53"/>
      <c r="G5" s="52"/>
      <c r="H5" s="53"/>
      <c r="I5" s="52"/>
      <c r="J5" s="52"/>
      <c r="K5" s="61" t="s">
        <v>615</v>
      </c>
      <c r="L5" s="52">
        <f>LCDMModelChiSquare</f>
        <v>27.847309851484322</v>
      </c>
      <c r="M5" s="55"/>
      <c r="V5" s="52"/>
      <c r="W5" s="52"/>
    </row>
    <row r="6" spans="1:23" s="51" customFormat="1" ht="20.100000000000001" customHeight="1" x14ac:dyDescent="0.25">
      <c r="F6" s="53"/>
      <c r="G6" s="53"/>
      <c r="H6" s="53"/>
      <c r="I6" s="52"/>
      <c r="J6" s="52"/>
      <c r="K6" s="54"/>
      <c r="M6" s="55"/>
      <c r="V6" s="52"/>
      <c r="W6" s="52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45">
        <v>1.1399999999999999</v>
      </c>
      <c r="B8" s="45">
        <f t="shared" ref="B8:B71" si="0">RadiusKpc*1000</f>
        <v>1140</v>
      </c>
      <c r="C8" s="16">
        <f t="shared" ref="C8:C39" si="1">IF(QESBulgeEffectiveRadius=0,0,RadiusPc/QESBulgeEffectiveRadius)</f>
        <v>0</v>
      </c>
      <c r="D8" s="15">
        <f t="shared" ref="D8:D71" si="2">RadiusKpc*kpc</f>
        <v>3.5176724411999998E+19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0</v>
      </c>
      <c r="F8" s="15">
        <f t="shared" ref="F8:F71" si="3">2*PI()*QESDiskSurfaceDensity*QESDiskScaleLength*(QESDiskScaleLength-EXP(-RadiusPc/QESDiskScaleLength)*(RadiusPc+QESDiskScaleLength))*SolarMass</f>
        <v>1.3246125031409861E+40</v>
      </c>
      <c r="H8" s="15">
        <f t="shared" ref="H8:H71" si="4">BulgeMass+DiskMass+HaloMass</f>
        <v>1.3246125031409861E+40</v>
      </c>
      <c r="I8" s="16">
        <v>336.2</v>
      </c>
      <c r="J8" s="16">
        <v>171.7</v>
      </c>
      <c r="K8" s="19">
        <f t="shared" ref="K8:K39" si="5">SQRT(TotalMass*GravitationalConstant/RadiusKm+UniverseAcceleration*RadiusKm)/km</f>
        <v>162.52579309414429</v>
      </c>
      <c r="L8" s="16">
        <f t="shared" ref="L8:L71" si="6">(ObservedVelocity-ModelVelocity)^2/(VelocityError)^2</f>
        <v>1.0231282076076393</v>
      </c>
    </row>
    <row r="9" spans="1:23" x14ac:dyDescent="0.25">
      <c r="A9" s="45">
        <v>1.52</v>
      </c>
      <c r="B9" s="45">
        <f t="shared" si="0"/>
        <v>1520</v>
      </c>
      <c r="C9" s="16">
        <f t="shared" si="1"/>
        <v>0</v>
      </c>
      <c r="D9" s="15">
        <f t="shared" si="2"/>
        <v>4.6902299216E+19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0</v>
      </c>
      <c r="F9" s="15">
        <f t="shared" si="3"/>
        <v>2.1892911105938743E+40</v>
      </c>
      <c r="H9" s="15">
        <f t="shared" si="4"/>
        <v>2.1892911105938743E+40</v>
      </c>
      <c r="I9" s="16">
        <v>324.60000000000002</v>
      </c>
      <c r="J9" s="16">
        <v>125.1</v>
      </c>
      <c r="K9" s="19">
        <f t="shared" si="5"/>
        <v>181.28268629977549</v>
      </c>
      <c r="L9" s="16">
        <f t="shared" si="6"/>
        <v>1.3124497943610622</v>
      </c>
    </row>
    <row r="10" spans="1:23" x14ac:dyDescent="0.25">
      <c r="A10" s="45">
        <v>1.9</v>
      </c>
      <c r="B10" s="45">
        <f t="shared" si="0"/>
        <v>1900</v>
      </c>
      <c r="C10" s="16">
        <f t="shared" si="1"/>
        <v>0</v>
      </c>
      <c r="D10" s="15">
        <f t="shared" si="2"/>
        <v>5.8627874019999998E+19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0</v>
      </c>
      <c r="F10" s="15">
        <f t="shared" si="3"/>
        <v>3.182638418568871E+40</v>
      </c>
      <c r="H10" s="15">
        <f t="shared" si="4"/>
        <v>3.182638418568871E+40</v>
      </c>
      <c r="I10" s="16">
        <v>339</v>
      </c>
      <c r="J10" s="16">
        <v>52.8</v>
      </c>
      <c r="K10" s="19">
        <f t="shared" si="5"/>
        <v>195.8786694915116</v>
      </c>
      <c r="L10" s="16">
        <f t="shared" si="6"/>
        <v>7.3475218256858268</v>
      </c>
    </row>
    <row r="11" spans="1:23" x14ac:dyDescent="0.25">
      <c r="A11" s="45">
        <v>2.2799999999999998</v>
      </c>
      <c r="B11" s="45">
        <f t="shared" si="0"/>
        <v>2280</v>
      </c>
      <c r="C11" s="16">
        <f t="shared" si="1"/>
        <v>0</v>
      </c>
      <c r="D11" s="15">
        <f t="shared" si="2"/>
        <v>7.0353448823999996E+19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0</v>
      </c>
      <c r="F11" s="15">
        <f t="shared" si="3"/>
        <v>4.2672103490492698E+40</v>
      </c>
      <c r="H11" s="15">
        <f t="shared" si="4"/>
        <v>4.2672103490492698E+40</v>
      </c>
      <c r="I11" s="16">
        <v>243.6</v>
      </c>
      <c r="J11" s="16">
        <v>25.8</v>
      </c>
      <c r="K11" s="19">
        <f t="shared" si="5"/>
        <v>207.47629180344086</v>
      </c>
      <c r="L11" s="16">
        <f t="shared" si="6"/>
        <v>1.9604024605945463</v>
      </c>
    </row>
    <row r="12" spans="1:23" x14ac:dyDescent="0.25">
      <c r="A12" s="45">
        <v>2.66</v>
      </c>
      <c r="B12" s="45">
        <f t="shared" si="0"/>
        <v>2660</v>
      </c>
      <c r="C12" s="16">
        <f t="shared" si="1"/>
        <v>0</v>
      </c>
      <c r="D12" s="15">
        <f t="shared" si="2"/>
        <v>8.2079023628000002E+19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0</v>
      </c>
      <c r="F12" s="15">
        <f t="shared" si="3"/>
        <v>5.4121037210210126E+40</v>
      </c>
      <c r="H12" s="15">
        <f t="shared" si="4"/>
        <v>5.4121037210210126E+40</v>
      </c>
      <c r="I12" s="16">
        <v>235.2</v>
      </c>
      <c r="J12" s="16">
        <v>17</v>
      </c>
      <c r="K12" s="19">
        <f t="shared" si="5"/>
        <v>216.79591577939365</v>
      </c>
      <c r="L12" s="16">
        <f t="shared" si="6"/>
        <v>1.1720080138379625</v>
      </c>
    </row>
    <row r="13" spans="1:23" x14ac:dyDescent="0.25">
      <c r="A13" s="45">
        <v>3.04</v>
      </c>
      <c r="B13" s="45">
        <f t="shared" si="0"/>
        <v>3040</v>
      </c>
      <c r="C13" s="16">
        <f t="shared" si="1"/>
        <v>0</v>
      </c>
      <c r="D13" s="15">
        <f t="shared" si="2"/>
        <v>9.3804598432E+19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0</v>
      </c>
      <c r="F13" s="15">
        <f t="shared" si="3"/>
        <v>6.5919850895603789E+40</v>
      </c>
      <c r="H13" s="15">
        <f t="shared" si="4"/>
        <v>6.5919850895603789E+40</v>
      </c>
      <c r="I13" s="16">
        <v>238.9</v>
      </c>
      <c r="J13" s="16">
        <v>5.7</v>
      </c>
      <c r="K13" s="19">
        <f t="shared" si="5"/>
        <v>224.32530859851028</v>
      </c>
      <c r="L13" s="16">
        <f t="shared" si="6"/>
        <v>6.5380618482197193</v>
      </c>
    </row>
    <row r="14" spans="1:23" x14ac:dyDescent="0.25">
      <c r="A14" s="45">
        <v>3.43</v>
      </c>
      <c r="B14" s="45">
        <f t="shared" si="0"/>
        <v>3430</v>
      </c>
      <c r="C14" s="16">
        <f t="shared" si="1"/>
        <v>0</v>
      </c>
      <c r="D14" s="15">
        <f t="shared" si="2"/>
        <v>1.0583874099400001E+20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0</v>
      </c>
      <c r="F14" s="15">
        <f t="shared" si="3"/>
        <v>7.817715528154192E+40</v>
      </c>
      <c r="H14" s="15">
        <f t="shared" si="4"/>
        <v>7.817715528154192E+40</v>
      </c>
      <c r="I14" s="16">
        <v>239.3</v>
      </c>
      <c r="J14" s="16">
        <v>18.3</v>
      </c>
      <c r="K14" s="19">
        <f t="shared" si="5"/>
        <v>230.55851053037571</v>
      </c>
      <c r="L14" s="16">
        <f t="shared" si="6"/>
        <v>0.22817533562528736</v>
      </c>
    </row>
    <row r="15" spans="1:23" x14ac:dyDescent="0.25">
      <c r="A15" s="45">
        <v>3.81</v>
      </c>
      <c r="B15" s="45">
        <f t="shared" si="0"/>
        <v>3810</v>
      </c>
      <c r="C15" s="16">
        <f t="shared" si="1"/>
        <v>0</v>
      </c>
      <c r="D15" s="15">
        <f t="shared" si="2"/>
        <v>1.1756431579800001E+20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0</v>
      </c>
      <c r="F15" s="15">
        <f t="shared" si="3"/>
        <v>9.0095260791599651E+40</v>
      </c>
      <c r="H15" s="15">
        <f t="shared" si="4"/>
        <v>9.0095260791599651E+40</v>
      </c>
      <c r="I15" s="16">
        <v>226.3</v>
      </c>
      <c r="J15" s="16">
        <v>16.100000000000001</v>
      </c>
      <c r="K15" s="19">
        <f t="shared" si="5"/>
        <v>235.44393121358283</v>
      </c>
      <c r="L15" s="16">
        <f t="shared" si="6"/>
        <v>0.32256270220567929</v>
      </c>
    </row>
    <row r="16" spans="1:23" x14ac:dyDescent="0.25">
      <c r="A16" s="45">
        <v>4.1900000000000004</v>
      </c>
      <c r="B16" s="45">
        <f t="shared" si="0"/>
        <v>4190</v>
      </c>
      <c r="C16" s="16">
        <f t="shared" si="1"/>
        <v>0</v>
      </c>
      <c r="D16" s="15">
        <f t="shared" si="2"/>
        <v>1.2928989060200001E+20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0</v>
      </c>
      <c r="F16" s="15">
        <f t="shared" si="3"/>
        <v>1.0185616726399902E+41</v>
      </c>
      <c r="H16" s="15">
        <f t="shared" si="4"/>
        <v>1.0185616726399902E+41</v>
      </c>
      <c r="I16" s="16">
        <v>202.6</v>
      </c>
      <c r="J16" s="16">
        <v>4.7</v>
      </c>
      <c r="K16" s="19">
        <f t="shared" si="5"/>
        <v>239.36150436482905</v>
      </c>
      <c r="L16" s="16">
        <f t="shared" si="6"/>
        <v>61.177374520839528</v>
      </c>
    </row>
    <row r="17" spans="1:12" x14ac:dyDescent="0.25">
      <c r="A17" s="45">
        <v>4.57</v>
      </c>
      <c r="B17" s="45">
        <f t="shared" si="0"/>
        <v>4570</v>
      </c>
      <c r="C17" s="16">
        <f t="shared" si="1"/>
        <v>0</v>
      </c>
      <c r="D17" s="15">
        <f t="shared" si="2"/>
        <v>1.4101546540600001E+20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0</v>
      </c>
      <c r="F17" s="15">
        <f t="shared" si="3"/>
        <v>1.1335701803905843E+41</v>
      </c>
      <c r="H17" s="15">
        <f t="shared" si="4"/>
        <v>1.1335701803905843E+41</v>
      </c>
      <c r="I17" s="16">
        <v>207.3</v>
      </c>
      <c r="J17" s="16">
        <v>10.7</v>
      </c>
      <c r="K17" s="19">
        <f t="shared" si="5"/>
        <v>242.47207365038017</v>
      </c>
      <c r="L17" s="16">
        <f t="shared" si="6"/>
        <v>10.805090094049842</v>
      </c>
    </row>
    <row r="18" spans="1:12" x14ac:dyDescent="0.25">
      <c r="A18" s="45">
        <v>4.95</v>
      </c>
      <c r="B18" s="45">
        <f t="shared" si="0"/>
        <v>4950</v>
      </c>
      <c r="C18" s="16">
        <f t="shared" si="1"/>
        <v>0</v>
      </c>
      <c r="D18" s="15">
        <f t="shared" si="2"/>
        <v>1.5274104021000002E+20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0</v>
      </c>
      <c r="F18" s="15">
        <f t="shared" si="3"/>
        <v>1.2451877256994528E+41</v>
      </c>
      <c r="H18" s="15">
        <f t="shared" si="4"/>
        <v>1.2451877256994528E+41</v>
      </c>
      <c r="I18" s="16">
        <v>202.5</v>
      </c>
      <c r="J18" s="16">
        <v>21.7</v>
      </c>
      <c r="K18" s="19">
        <f t="shared" si="5"/>
        <v>244.90579463960233</v>
      </c>
      <c r="L18" s="16">
        <f t="shared" si="6"/>
        <v>3.8188354371851729</v>
      </c>
    </row>
    <row r="19" spans="1:12" x14ac:dyDescent="0.25">
      <c r="A19" s="45">
        <v>5.33</v>
      </c>
      <c r="B19" s="45">
        <f t="shared" si="0"/>
        <v>5330</v>
      </c>
      <c r="C19" s="16">
        <f t="shared" si="1"/>
        <v>0</v>
      </c>
      <c r="D19" s="15">
        <f t="shared" si="2"/>
        <v>1.64466615014E+20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0</v>
      </c>
      <c r="F19" s="15">
        <f t="shared" si="3"/>
        <v>1.352822868435645E+41</v>
      </c>
      <c r="H19" s="15">
        <f t="shared" si="4"/>
        <v>1.352822868435645E+41</v>
      </c>
      <c r="I19" s="16">
        <v>208.9</v>
      </c>
      <c r="J19" s="16">
        <v>15.6</v>
      </c>
      <c r="K19" s="19">
        <f t="shared" si="5"/>
        <v>246.76957228311466</v>
      </c>
      <c r="L19" s="16">
        <f t="shared" si="6"/>
        <v>5.8929343561228036</v>
      </c>
    </row>
    <row r="20" spans="1:12" x14ac:dyDescent="0.25">
      <c r="A20" s="45">
        <v>5.71</v>
      </c>
      <c r="B20" s="45">
        <f t="shared" si="0"/>
        <v>5710</v>
      </c>
      <c r="C20" s="16">
        <f t="shared" si="1"/>
        <v>0</v>
      </c>
      <c r="D20" s="15">
        <f t="shared" si="2"/>
        <v>1.7619218981799998E+20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0</v>
      </c>
      <c r="F20" s="15">
        <f t="shared" si="3"/>
        <v>1.4560495997816192E+41</v>
      </c>
      <c r="H20" s="15">
        <f t="shared" si="4"/>
        <v>1.4560495997816192E+41</v>
      </c>
      <c r="I20" s="16">
        <v>221.6</v>
      </c>
      <c r="J20" s="16">
        <v>13.4</v>
      </c>
      <c r="K20" s="19">
        <f t="shared" si="5"/>
        <v>248.15227038811236</v>
      </c>
      <c r="L20" s="16">
        <f t="shared" si="6"/>
        <v>3.9263926418101391</v>
      </c>
    </row>
    <row r="21" spans="1:12" x14ac:dyDescent="0.25">
      <c r="A21" s="45">
        <v>6.09</v>
      </c>
      <c r="B21" s="45">
        <f t="shared" si="0"/>
        <v>6090</v>
      </c>
      <c r="C21" s="16">
        <f t="shared" si="1"/>
        <v>0</v>
      </c>
      <c r="D21" s="15">
        <f t="shared" si="2"/>
        <v>1.87917764622E+20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0</v>
      </c>
      <c r="F21" s="15">
        <f t="shared" si="3"/>
        <v>1.5545787070493584E+41</v>
      </c>
      <c r="H21" s="15">
        <f t="shared" si="4"/>
        <v>1.5545787070493584E+41</v>
      </c>
      <c r="I21" s="16">
        <v>232.2</v>
      </c>
      <c r="J21" s="16">
        <v>13.7</v>
      </c>
      <c r="K21" s="19">
        <f t="shared" si="5"/>
        <v>249.12847339770144</v>
      </c>
      <c r="L21" s="16">
        <f t="shared" si="6"/>
        <v>1.5268432605716118</v>
      </c>
    </row>
    <row r="22" spans="1:12" x14ac:dyDescent="0.25">
      <c r="A22" s="45">
        <v>6.47</v>
      </c>
      <c r="B22" s="45">
        <f t="shared" si="0"/>
        <v>6470</v>
      </c>
      <c r="C22" s="16">
        <f t="shared" si="1"/>
        <v>0</v>
      </c>
      <c r="D22" s="15">
        <f t="shared" si="2"/>
        <v>1.9964333942599998E+20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0</v>
      </c>
      <c r="F22" s="15">
        <f t="shared" si="3"/>
        <v>1.6482333728609249E+41</v>
      </c>
      <c r="H22" s="15">
        <f t="shared" si="4"/>
        <v>1.6482333728609249E+41</v>
      </c>
      <c r="I22" s="16">
        <v>237.6</v>
      </c>
      <c r="J22" s="16">
        <v>8.3000000000000007</v>
      </c>
      <c r="K22" s="19">
        <f t="shared" si="5"/>
        <v>249.76127400600456</v>
      </c>
      <c r="L22" s="16">
        <f t="shared" si="6"/>
        <v>2.1468512911761097</v>
      </c>
    </row>
    <row r="23" spans="1:12" x14ac:dyDescent="0.25">
      <c r="A23" s="45">
        <v>6.85</v>
      </c>
      <c r="B23" s="45">
        <f t="shared" si="0"/>
        <v>6850</v>
      </c>
      <c r="C23" s="16">
        <f t="shared" si="1"/>
        <v>0</v>
      </c>
      <c r="D23" s="15">
        <f t="shared" si="2"/>
        <v>2.1136891422999999E+20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0</v>
      </c>
      <c r="F23" s="15">
        <f t="shared" si="3"/>
        <v>1.7369284303346283E+41</v>
      </c>
      <c r="H23" s="15">
        <f t="shared" si="4"/>
        <v>1.7369284303346283E+41</v>
      </c>
      <c r="I23" s="16">
        <v>239.8</v>
      </c>
      <c r="J23" s="16">
        <v>2.2000000000000002</v>
      </c>
      <c r="K23" s="19">
        <f t="shared" si="5"/>
        <v>250.10438531565671</v>
      </c>
      <c r="L23" s="16">
        <f t="shared" si="6"/>
        <v>21.938090234198651</v>
      </c>
    </row>
    <row r="24" spans="1:12" x14ac:dyDescent="0.25">
      <c r="A24" s="45">
        <v>7.23</v>
      </c>
      <c r="B24" s="45">
        <f t="shared" si="0"/>
        <v>7230</v>
      </c>
      <c r="C24" s="16">
        <f t="shared" si="1"/>
        <v>0</v>
      </c>
      <c r="D24" s="15">
        <f t="shared" si="2"/>
        <v>2.2309448903400001E+20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0</v>
      </c>
      <c r="F24" s="15">
        <f t="shared" si="3"/>
        <v>1.8206527712128127E+41</v>
      </c>
      <c r="H24" s="15">
        <f t="shared" si="4"/>
        <v>1.8206527712128127E+41</v>
      </c>
      <c r="I24" s="16">
        <v>235.6</v>
      </c>
      <c r="J24" s="16">
        <v>6.1</v>
      </c>
      <c r="K24" s="19">
        <f t="shared" si="5"/>
        <v>250.20377233667682</v>
      </c>
      <c r="L24" s="16">
        <f t="shared" si="6"/>
        <v>5.7315282574976445</v>
      </c>
    </row>
    <row r="25" spans="1:12" x14ac:dyDescent="0.25">
      <c r="A25" s="45">
        <v>7.61</v>
      </c>
      <c r="B25" s="45">
        <f t="shared" si="0"/>
        <v>7610</v>
      </c>
      <c r="C25" s="16">
        <f t="shared" si="1"/>
        <v>0</v>
      </c>
      <c r="D25" s="15">
        <f t="shared" si="2"/>
        <v>2.3482006383800002E+20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0</v>
      </c>
      <c r="F25" s="15">
        <f t="shared" si="3"/>
        <v>1.8994544696700078E+41</v>
      </c>
      <c r="H25" s="15">
        <f t="shared" si="4"/>
        <v>1.8994544696700078E+41</v>
      </c>
      <c r="I25" s="16">
        <v>241.7</v>
      </c>
      <c r="J25" s="16">
        <v>3.3</v>
      </c>
      <c r="K25" s="19">
        <f t="shared" si="5"/>
        <v>250.09893359011394</v>
      </c>
      <c r="L25" s="16">
        <f t="shared" si="6"/>
        <v>6.477693797166622</v>
      </c>
    </row>
    <row r="26" spans="1:12" x14ac:dyDescent="0.25">
      <c r="A26" s="45">
        <v>7.99</v>
      </c>
      <c r="B26" s="45">
        <f t="shared" si="0"/>
        <v>7990</v>
      </c>
      <c r="C26" s="16">
        <f t="shared" si="1"/>
        <v>0</v>
      </c>
      <c r="D26" s="15">
        <f t="shared" si="2"/>
        <v>2.46545638642E+20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0</v>
      </c>
      <c r="F26" s="15">
        <f t="shared" si="3"/>
        <v>1.9734282420202905E+41</v>
      </c>
      <c r="H26" s="15">
        <f t="shared" si="4"/>
        <v>1.9734282420202905E+41</v>
      </c>
      <c r="I26" s="16">
        <v>244.3</v>
      </c>
      <c r="J26" s="16">
        <v>6.4</v>
      </c>
      <c r="K26" s="19">
        <f t="shared" si="5"/>
        <v>249.82392285102108</v>
      </c>
      <c r="L26" s="16">
        <f t="shared" si="6"/>
        <v>0.74496395664142412</v>
      </c>
    </row>
    <row r="27" spans="1:12" x14ac:dyDescent="0.25">
      <c r="A27" s="45">
        <v>8.3699999999999992</v>
      </c>
      <c r="B27" s="45">
        <f t="shared" si="0"/>
        <v>8370</v>
      </c>
      <c r="C27" s="16">
        <f t="shared" si="1"/>
        <v>0</v>
      </c>
      <c r="D27" s="15">
        <f t="shared" si="2"/>
        <v>2.5827121344599998E+20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0</v>
      </c>
      <c r="F27" s="15">
        <f t="shared" si="3"/>
        <v>2.0427049127277489E+41</v>
      </c>
      <c r="H27" s="15">
        <f t="shared" si="4"/>
        <v>2.0427049127277489E+41</v>
      </c>
      <c r="I27" s="16">
        <v>248.8</v>
      </c>
      <c r="J27" s="16">
        <v>6.4</v>
      </c>
      <c r="K27" s="19">
        <f t="shared" si="5"/>
        <v>249.40817443085862</v>
      </c>
      <c r="L27" s="16">
        <f t="shared" si="6"/>
        <v>9.0301791589403151E-3</v>
      </c>
    </row>
    <row r="28" spans="1:12" x14ac:dyDescent="0.25">
      <c r="A28" s="45">
        <v>8.75</v>
      </c>
      <c r="B28" s="45">
        <f t="shared" si="0"/>
        <v>8750</v>
      </c>
      <c r="C28" s="16">
        <f t="shared" si="1"/>
        <v>0</v>
      </c>
      <c r="D28" s="15">
        <f t="shared" si="2"/>
        <v>2.6999678825E+20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0</v>
      </c>
      <c r="F28" s="15">
        <f t="shared" si="3"/>
        <v>2.1074426009171573E+41</v>
      </c>
      <c r="H28" s="15">
        <f t="shared" si="4"/>
        <v>2.1074426009171573E+41</v>
      </c>
      <c r="I28" s="16">
        <v>251.8</v>
      </c>
      <c r="J28" s="16">
        <v>5.5</v>
      </c>
      <c r="K28" s="19">
        <f t="shared" si="5"/>
        <v>248.87717754743213</v>
      </c>
      <c r="L28" s="16">
        <f t="shared" si="6"/>
        <v>0.28240962278462645</v>
      </c>
    </row>
    <row r="29" spans="1:12" x14ac:dyDescent="0.25">
      <c r="A29" s="45">
        <v>9.1300000000000008</v>
      </c>
      <c r="B29" s="45">
        <f t="shared" si="0"/>
        <v>9130</v>
      </c>
      <c r="C29" s="16">
        <f t="shared" si="1"/>
        <v>0</v>
      </c>
      <c r="D29" s="15">
        <f t="shared" si="2"/>
        <v>2.8172236305400001E+20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0</v>
      </c>
      <c r="F29" s="15">
        <f t="shared" si="3"/>
        <v>2.1678193797766061E+41</v>
      </c>
      <c r="H29" s="15">
        <f t="shared" si="4"/>
        <v>2.1678193797766061E+41</v>
      </c>
      <c r="I29" s="16">
        <v>253</v>
      </c>
      <c r="J29" s="16">
        <v>9.1999999999999993</v>
      </c>
      <c r="K29" s="19">
        <f t="shared" si="5"/>
        <v>248.25303309854002</v>
      </c>
      <c r="L29" s="16">
        <f t="shared" si="6"/>
        <v>0.26622985306659513</v>
      </c>
    </row>
    <row r="30" spans="1:12" x14ac:dyDescent="0.25">
      <c r="A30" s="45">
        <v>9.51</v>
      </c>
      <c r="B30" s="45">
        <f t="shared" si="0"/>
        <v>9510</v>
      </c>
      <c r="C30" s="16">
        <f t="shared" si="1"/>
        <v>0</v>
      </c>
      <c r="D30" s="15">
        <f t="shared" si="2"/>
        <v>2.9344793785799999E+20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0</v>
      </c>
      <c r="F30" s="15">
        <f t="shared" si="3"/>
        <v>2.2240271945366262E+41</v>
      </c>
      <c r="H30" s="15">
        <f t="shared" si="4"/>
        <v>2.2240271945366262E+41</v>
      </c>
      <c r="I30" s="16">
        <v>258.8</v>
      </c>
      <c r="J30" s="16">
        <v>9.6</v>
      </c>
      <c r="K30" s="19">
        <f t="shared" si="5"/>
        <v>247.55491760669267</v>
      </c>
      <c r="L30" s="16">
        <f t="shared" si="6"/>
        <v>1.3720906904543271</v>
      </c>
    </row>
    <row r="31" spans="1:12" x14ac:dyDescent="0.25">
      <c r="A31" s="45">
        <v>9.9</v>
      </c>
      <c r="B31" s="45">
        <f t="shared" si="0"/>
        <v>9900</v>
      </c>
      <c r="C31" s="16">
        <f t="shared" si="1"/>
        <v>0</v>
      </c>
      <c r="D31" s="15">
        <f t="shared" si="2"/>
        <v>3.0548208042000004E+20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0</v>
      </c>
      <c r="F31" s="15">
        <f t="shared" si="3"/>
        <v>2.2775898642925361E+41</v>
      </c>
      <c r="H31" s="15">
        <f t="shared" si="4"/>
        <v>2.2775898642925361E+41</v>
      </c>
      <c r="I31" s="16">
        <v>259</v>
      </c>
      <c r="J31" s="16">
        <v>9.5</v>
      </c>
      <c r="K31" s="19">
        <f t="shared" si="5"/>
        <v>246.77895490183317</v>
      </c>
      <c r="L31" s="16">
        <f t="shared" si="6"/>
        <v>1.6548913384091679</v>
      </c>
    </row>
    <row r="32" spans="1:12" x14ac:dyDescent="0.25">
      <c r="A32" s="45">
        <v>10.28</v>
      </c>
      <c r="B32" s="45">
        <f t="shared" si="0"/>
        <v>10280</v>
      </c>
      <c r="C32" s="16">
        <f t="shared" si="1"/>
        <v>0</v>
      </c>
      <c r="D32" s="15">
        <f t="shared" si="2"/>
        <v>3.1720765522399999E+20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0</v>
      </c>
      <c r="F32" s="15">
        <f t="shared" si="3"/>
        <v>2.3259707246616902E+41</v>
      </c>
      <c r="H32" s="15">
        <f t="shared" si="4"/>
        <v>2.3259707246616902E+41</v>
      </c>
      <c r="I32" s="16">
        <v>262.2</v>
      </c>
      <c r="J32" s="16">
        <v>10.8</v>
      </c>
      <c r="K32" s="19">
        <f t="shared" si="5"/>
        <v>245.97966665517143</v>
      </c>
      <c r="L32" s="16">
        <f t="shared" si="6"/>
        <v>2.255651695964997</v>
      </c>
    </row>
    <row r="33" spans="1:12" x14ac:dyDescent="0.25">
      <c r="A33" s="45">
        <v>10.66</v>
      </c>
      <c r="B33" s="45">
        <f t="shared" si="0"/>
        <v>10660</v>
      </c>
      <c r="C33" s="16">
        <f t="shared" si="1"/>
        <v>0</v>
      </c>
      <c r="D33" s="15">
        <f t="shared" si="2"/>
        <v>3.28933230028E+20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0</v>
      </c>
      <c r="F33" s="15">
        <f t="shared" si="3"/>
        <v>2.3708014711323485E+41</v>
      </c>
      <c r="H33" s="15">
        <f t="shared" si="4"/>
        <v>2.3708014711323485E+41</v>
      </c>
      <c r="I33" s="16">
        <v>266.8</v>
      </c>
      <c r="J33" s="16">
        <v>13</v>
      </c>
      <c r="K33" s="19">
        <f t="shared" si="5"/>
        <v>245.15030606269565</v>
      </c>
      <c r="L33" s="16">
        <f t="shared" si="6"/>
        <v>2.7734275004671791</v>
      </c>
    </row>
    <row r="34" spans="1:12" x14ac:dyDescent="0.25">
      <c r="A34" s="45">
        <v>11.04</v>
      </c>
      <c r="B34" s="45">
        <f t="shared" si="0"/>
        <v>11040</v>
      </c>
      <c r="C34" s="16">
        <f t="shared" si="1"/>
        <v>0</v>
      </c>
      <c r="D34" s="15">
        <f t="shared" si="2"/>
        <v>3.4065880483199995E+20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0</v>
      </c>
      <c r="F34" s="15">
        <f t="shared" si="3"/>
        <v>2.4122878474125317E+41</v>
      </c>
      <c r="H34" s="15">
        <f t="shared" si="4"/>
        <v>2.4122878474125317E+41</v>
      </c>
      <c r="I34" s="16">
        <v>266.8</v>
      </c>
      <c r="J34" s="16">
        <v>11.7</v>
      </c>
      <c r="K34" s="19">
        <f t="shared" si="5"/>
        <v>244.30166310580216</v>
      </c>
      <c r="L34" s="16">
        <f t="shared" si="6"/>
        <v>3.6976781576800652</v>
      </c>
    </row>
    <row r="35" spans="1:12" x14ac:dyDescent="0.25">
      <c r="A35" s="45">
        <v>11.42</v>
      </c>
      <c r="B35" s="45">
        <f t="shared" si="0"/>
        <v>11420</v>
      </c>
      <c r="C35" s="16">
        <f t="shared" si="1"/>
        <v>0</v>
      </c>
      <c r="D35" s="15">
        <f t="shared" si="2"/>
        <v>3.5238437963599997E+20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0</v>
      </c>
      <c r="F35" s="15">
        <f t="shared" si="3"/>
        <v>2.4506322206098737E+41</v>
      </c>
      <c r="H35" s="15">
        <f t="shared" si="4"/>
        <v>2.4506322206098737E+41</v>
      </c>
      <c r="I35" s="16">
        <v>265.89999999999998</v>
      </c>
      <c r="J35" s="16">
        <v>9.9</v>
      </c>
      <c r="K35" s="19">
        <f t="shared" si="5"/>
        <v>243.44305802108062</v>
      </c>
      <c r="L35" s="16">
        <f t="shared" si="6"/>
        <v>5.1455386495719884</v>
      </c>
    </row>
    <row r="36" spans="1:12" x14ac:dyDescent="0.25">
      <c r="A36" s="45">
        <v>11.8</v>
      </c>
      <c r="B36" s="45">
        <f t="shared" si="0"/>
        <v>11800</v>
      </c>
      <c r="C36" s="16">
        <f t="shared" si="1"/>
        <v>0</v>
      </c>
      <c r="D36" s="15">
        <f t="shared" si="2"/>
        <v>3.6410995444000005E+20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0</v>
      </c>
      <c r="F36" s="15">
        <f t="shared" si="3"/>
        <v>2.486031947483154E+41</v>
      </c>
      <c r="H36" s="15">
        <f t="shared" si="4"/>
        <v>2.486031947483154E+41</v>
      </c>
      <c r="I36" s="16">
        <v>264.39999999999998</v>
      </c>
      <c r="J36" s="16">
        <v>7.2</v>
      </c>
      <c r="K36" s="19">
        <f t="shared" si="5"/>
        <v>242.58252048014086</v>
      </c>
      <c r="L36" s="16">
        <f t="shared" si="6"/>
        <v>9.1821453047737673</v>
      </c>
    </row>
    <row r="37" spans="1:12" x14ac:dyDescent="0.25">
      <c r="A37" s="45">
        <v>12.18</v>
      </c>
      <c r="B37" s="45">
        <f t="shared" si="0"/>
        <v>12180</v>
      </c>
      <c r="C37" s="16">
        <f t="shared" si="1"/>
        <v>0</v>
      </c>
      <c r="D37" s="15">
        <f t="shared" si="2"/>
        <v>3.7583552924399999E+20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0</v>
      </c>
      <c r="F37" s="15">
        <f t="shared" si="3"/>
        <v>2.5186781290583237E+41</v>
      </c>
      <c r="H37" s="15">
        <f t="shared" si="4"/>
        <v>2.5186781290583237E+41</v>
      </c>
      <c r="I37" s="16">
        <v>264.7</v>
      </c>
      <c r="J37" s="16">
        <v>5.3</v>
      </c>
      <c r="K37" s="19">
        <f t="shared" si="5"/>
        <v>241.72694543603899</v>
      </c>
      <c r="L37" s="16">
        <f t="shared" si="6"/>
        <v>18.788224848655371</v>
      </c>
    </row>
    <row r="38" spans="1:12" x14ac:dyDescent="0.25">
      <c r="A38" s="45">
        <v>12.56</v>
      </c>
      <c r="B38" s="45">
        <f t="shared" si="0"/>
        <v>12560</v>
      </c>
      <c r="C38" s="16">
        <f t="shared" si="1"/>
        <v>0</v>
      </c>
      <c r="D38" s="15">
        <f t="shared" si="2"/>
        <v>3.8756110404800001E+20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0</v>
      </c>
      <c r="F38" s="15">
        <f t="shared" si="3"/>
        <v>2.548754689194847E+41</v>
      </c>
      <c r="H38" s="15">
        <f t="shared" si="4"/>
        <v>2.548754689194847E+41</v>
      </c>
      <c r="I38" s="16">
        <v>265.3</v>
      </c>
      <c r="J38" s="16">
        <v>5.4</v>
      </c>
      <c r="K38" s="19">
        <f t="shared" si="5"/>
        <v>240.88222919285488</v>
      </c>
      <c r="L38" s="16">
        <f t="shared" si="6"/>
        <v>20.446760328884395</v>
      </c>
    </row>
    <row r="39" spans="1:12" x14ac:dyDescent="0.25">
      <c r="A39" s="45">
        <v>12.94</v>
      </c>
      <c r="B39" s="45">
        <f t="shared" si="0"/>
        <v>12940</v>
      </c>
      <c r="C39" s="16">
        <f t="shared" si="1"/>
        <v>0</v>
      </c>
      <c r="D39" s="15">
        <f t="shared" si="2"/>
        <v>3.9928667885199996E+20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0</v>
      </c>
      <c r="F39" s="15">
        <f t="shared" si="3"/>
        <v>2.5764377220274097E+41</v>
      </c>
      <c r="H39" s="15">
        <f t="shared" si="4"/>
        <v>2.5764377220274097E+41</v>
      </c>
      <c r="I39" s="16">
        <v>265.2</v>
      </c>
      <c r="J39" s="16">
        <v>3.9</v>
      </c>
      <c r="K39" s="19">
        <f t="shared" si="5"/>
        <v>240.05338861041764</v>
      </c>
      <c r="L39" s="16">
        <f t="shared" si="6"/>
        <v>41.574757684330876</v>
      </c>
    </row>
    <row r="40" spans="1:12" x14ac:dyDescent="0.25">
      <c r="A40" s="45">
        <v>13.32</v>
      </c>
      <c r="B40" s="45">
        <f t="shared" si="0"/>
        <v>13320</v>
      </c>
      <c r="C40" s="16">
        <f t="shared" ref="C40:C71" si="7">IF(QESBulgeEffectiveRadius=0,0,RadiusPc/QESBulgeEffectiveRadius)</f>
        <v>0</v>
      </c>
      <c r="D40" s="15">
        <f t="shared" si="2"/>
        <v>4.1101225365600004E+20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0</v>
      </c>
      <c r="F40" s="15">
        <f t="shared" si="3"/>
        <v>2.6018950612860189E+41</v>
      </c>
      <c r="H40" s="15">
        <f t="shared" si="4"/>
        <v>2.6018950612860189E+41</v>
      </c>
      <c r="I40" s="16">
        <v>262</v>
      </c>
      <c r="J40" s="16">
        <v>2.4</v>
      </c>
      <c r="K40" s="19">
        <f t="shared" ref="K40:K71" si="8">SQRT(TotalMass*GravitationalConstant/RadiusKm+UniverseAcceleration*RadiusKm)/km</f>
        <v>239.24466584589857</v>
      </c>
      <c r="L40" s="16">
        <f t="shared" si="6"/>
        <v>89.896741747363748</v>
      </c>
    </row>
    <row r="41" spans="1:12" x14ac:dyDescent="0.25">
      <c r="A41" s="45">
        <v>13.7</v>
      </c>
      <c r="B41" s="45">
        <f t="shared" si="0"/>
        <v>13700</v>
      </c>
      <c r="C41" s="16">
        <f t="shared" si="7"/>
        <v>0</v>
      </c>
      <c r="D41" s="15">
        <f t="shared" si="2"/>
        <v>4.2273782845999999E+20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0</v>
      </c>
      <c r="F41" s="15">
        <f t="shared" si="3"/>
        <v>2.6252860314772865E+41</v>
      </c>
      <c r="H41" s="15">
        <f t="shared" si="4"/>
        <v>2.6252860314772865E+41</v>
      </c>
      <c r="I41" s="16">
        <v>260.8</v>
      </c>
      <c r="J41" s="16">
        <v>4.5</v>
      </c>
      <c r="K41" s="19">
        <f t="shared" si="8"/>
        <v>238.4596206268503</v>
      </c>
      <c r="L41" s="16">
        <f t="shared" si="6"/>
        <v>24.646545705493988</v>
      </c>
    </row>
    <row r="42" spans="1:12" x14ac:dyDescent="0.25">
      <c r="A42" s="45">
        <v>14.08</v>
      </c>
      <c r="B42" s="45">
        <f t="shared" si="0"/>
        <v>14080</v>
      </c>
      <c r="C42" s="16">
        <f t="shared" si="7"/>
        <v>0</v>
      </c>
      <c r="D42" s="15">
        <f t="shared" si="2"/>
        <v>4.34463403264E+20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0</v>
      </c>
      <c r="F42" s="15">
        <f t="shared" si="3"/>
        <v>2.6467613469337648E+41</v>
      </c>
      <c r="H42" s="15">
        <f t="shared" si="4"/>
        <v>2.6467613469337648E+41</v>
      </c>
      <c r="I42" s="16">
        <v>259.2</v>
      </c>
      <c r="J42" s="16">
        <v>5.4</v>
      </c>
      <c r="K42" s="19">
        <f t="shared" si="8"/>
        <v>237.70121172302953</v>
      </c>
      <c r="L42" s="16">
        <f t="shared" si="6"/>
        <v>15.850408003360849</v>
      </c>
    </row>
    <row r="43" spans="1:12" x14ac:dyDescent="0.25">
      <c r="A43" s="45">
        <v>14.46</v>
      </c>
      <c r="B43" s="45">
        <f t="shared" si="0"/>
        <v>14460</v>
      </c>
      <c r="C43" s="16">
        <f t="shared" si="7"/>
        <v>0</v>
      </c>
      <c r="D43" s="15">
        <f t="shared" si="2"/>
        <v>4.4618897806800001E+20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0</v>
      </c>
      <c r="F43" s="15">
        <f t="shared" si="3"/>
        <v>2.6664631299312253E+41</v>
      </c>
      <c r="H43" s="15">
        <f t="shared" si="4"/>
        <v>2.6664631299312253E+41</v>
      </c>
      <c r="I43" s="16">
        <v>258.10000000000002</v>
      </c>
      <c r="J43" s="16">
        <v>6.8</v>
      </c>
      <c r="K43" s="19">
        <f t="shared" si="8"/>
        <v>236.97186901951017</v>
      </c>
      <c r="L43" s="16">
        <f t="shared" si="6"/>
        <v>9.6539342285626155</v>
      </c>
    </row>
    <row r="44" spans="1:12" x14ac:dyDescent="0.25">
      <c r="A44" s="45">
        <v>14.84</v>
      </c>
      <c r="B44" s="45">
        <f t="shared" si="0"/>
        <v>14840</v>
      </c>
      <c r="C44" s="16">
        <f t="shared" si="7"/>
        <v>0</v>
      </c>
      <c r="D44" s="15">
        <f t="shared" si="2"/>
        <v>4.5791455287199996E+20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0</v>
      </c>
      <c r="F44" s="15">
        <f t="shared" si="3"/>
        <v>2.6845250235445683E+41</v>
      </c>
      <c r="H44" s="15">
        <f t="shared" si="4"/>
        <v>2.6845250235445683E+41</v>
      </c>
      <c r="I44" s="16">
        <v>258.39999999999998</v>
      </c>
      <c r="J44" s="16">
        <v>6.1</v>
      </c>
      <c r="K44" s="19">
        <f t="shared" si="8"/>
        <v>236.27355737786857</v>
      </c>
      <c r="L44" s="16">
        <f t="shared" si="6"/>
        <v>13.157201373568219</v>
      </c>
    </row>
    <row r="45" spans="1:12" x14ac:dyDescent="0.25">
      <c r="A45" s="45">
        <v>15.23</v>
      </c>
      <c r="B45" s="45">
        <f t="shared" si="0"/>
        <v>15230</v>
      </c>
      <c r="C45" s="16">
        <f t="shared" si="7"/>
        <v>0</v>
      </c>
      <c r="D45" s="15">
        <f t="shared" si="2"/>
        <v>4.6994869543400001E+20</v>
      </c>
      <c r="E45" s="15">
        <f>IF($C45=0,0,FORECAST($C45, OFFSET('De Vaucouleurs Deprojection'!$F$2:$F$127, MATCH($C45, 'De Vaucouleurs Deprojection'!$A$2:$A$127,1)-1,0,2), OFFSET('De Vaucouleurs Deprojection'!$A$2:$A$127, MATCH($C45, 'De Vaucouleurs Deprojection'!$A$2:$A$127,1)-1,0,2))*QESTotalBulgeMass)</f>
        <v>0</v>
      </c>
      <c r="F45" s="15">
        <f t="shared" si="3"/>
        <v>2.7014884703582942E+41</v>
      </c>
      <c r="H45" s="15">
        <f t="shared" si="4"/>
        <v>2.7014884703582942E+41</v>
      </c>
      <c r="I45" s="16">
        <v>259.2</v>
      </c>
      <c r="J45" s="16">
        <v>4.5999999999999996</v>
      </c>
      <c r="K45" s="19">
        <f t="shared" si="8"/>
        <v>235.5907659719974</v>
      </c>
      <c r="L45" s="16">
        <f t="shared" si="6"/>
        <v>26.341962731048934</v>
      </c>
    </row>
    <row r="46" spans="1:12" x14ac:dyDescent="0.25">
      <c r="A46" s="45">
        <v>15.61</v>
      </c>
      <c r="B46" s="45">
        <f t="shared" si="0"/>
        <v>15610</v>
      </c>
      <c r="C46" s="16">
        <f t="shared" si="7"/>
        <v>0</v>
      </c>
      <c r="D46" s="15">
        <f t="shared" si="2"/>
        <v>4.8167427023799996E+20</v>
      </c>
      <c r="E46" s="15">
        <f>IF($C46=0,0,FORECAST($C46, OFFSET('De Vaucouleurs Deprojection'!$F$2:$F$127, MATCH($C46, 'De Vaucouleurs Deprojection'!$A$2:$A$127,1)-1,0,2), OFFSET('De Vaucouleurs Deprojection'!$A$2:$A$127, MATCH($C46, 'De Vaucouleurs Deprojection'!$A$2:$A$127,1)-1,0,2))*QESTotalBulgeMass)</f>
        <v>0</v>
      </c>
      <c r="F46" s="15">
        <f t="shared" si="3"/>
        <v>2.7166033334916967E+41</v>
      </c>
      <c r="H46" s="15">
        <f t="shared" si="4"/>
        <v>2.7166033334916967E+41</v>
      </c>
      <c r="I46" s="16">
        <v>262.7</v>
      </c>
      <c r="J46" s="16">
        <v>4.2</v>
      </c>
      <c r="K46" s="19">
        <f t="shared" si="8"/>
        <v>234.95973024277245</v>
      </c>
      <c r="L46" s="16">
        <f t="shared" si="6"/>
        <v>43.623728242843121</v>
      </c>
    </row>
    <row r="47" spans="1:12" x14ac:dyDescent="0.25">
      <c r="A47" s="45">
        <v>15.99</v>
      </c>
      <c r="B47" s="45">
        <f t="shared" si="0"/>
        <v>15990</v>
      </c>
      <c r="C47" s="16">
        <f t="shared" si="7"/>
        <v>0</v>
      </c>
      <c r="D47" s="15">
        <f t="shared" si="2"/>
        <v>4.9339984504200004E+20</v>
      </c>
      <c r="E47" s="15">
        <f>IF($C47=0,0,FORECAST($C47, OFFSET('De Vaucouleurs Deprojection'!$F$2:$F$127, MATCH($C47, 'De Vaucouleurs Deprojection'!$A$2:$A$127,1)-1,0,2), OFFSET('De Vaucouleurs Deprojection'!$A$2:$A$127, MATCH($C47, 'De Vaucouleurs Deprojection'!$A$2:$A$127,1)-1,0,2))*QESTotalBulgeMass)</f>
        <v>0</v>
      </c>
      <c r="F47" s="15">
        <f t="shared" si="3"/>
        <v>2.7304332840511634E+41</v>
      </c>
      <c r="H47" s="15">
        <f t="shared" si="4"/>
        <v>2.7304332840511634E+41</v>
      </c>
      <c r="I47" s="16">
        <v>266.10000000000002</v>
      </c>
      <c r="J47" s="16">
        <v>4</v>
      </c>
      <c r="K47" s="19">
        <f t="shared" si="8"/>
        <v>234.36338510109329</v>
      </c>
      <c r="L47" s="16">
        <f t="shared" si="6"/>
        <v>62.950795327594314</v>
      </c>
    </row>
    <row r="48" spans="1:12" x14ac:dyDescent="0.25">
      <c r="A48" s="45">
        <v>16.37</v>
      </c>
      <c r="B48" s="45">
        <f t="shared" si="0"/>
        <v>16370.000000000002</v>
      </c>
      <c r="C48" s="16">
        <f t="shared" si="7"/>
        <v>0</v>
      </c>
      <c r="D48" s="15">
        <f t="shared" si="2"/>
        <v>5.0512541984600005E+20</v>
      </c>
      <c r="E48" s="15">
        <f>IF($C48=0,0,FORECAST($C48, OFFSET('De Vaucouleurs Deprojection'!$F$2:$F$127, MATCH($C48, 'De Vaucouleurs Deprojection'!$A$2:$A$127,1)-1,0,2), OFFSET('De Vaucouleurs Deprojection'!$A$2:$A$127, MATCH($C48, 'De Vaucouleurs Deprojection'!$A$2:$A$127,1)-1,0,2))*QESTotalBulgeMass)</f>
        <v>0</v>
      </c>
      <c r="F48" s="15">
        <f t="shared" si="3"/>
        <v>2.7430802293224554E+41</v>
      </c>
      <c r="H48" s="15">
        <f t="shared" si="4"/>
        <v>2.7430802293224554E+41</v>
      </c>
      <c r="I48" s="16">
        <v>270</v>
      </c>
      <c r="J48" s="16">
        <v>2.2999999999999998</v>
      </c>
      <c r="K48" s="19">
        <f t="shared" si="8"/>
        <v>233.80233544260756</v>
      </c>
      <c r="L48" s="16">
        <f t="shared" si="6"/>
        <v>247.68826453865884</v>
      </c>
    </row>
    <row r="49" spans="1:12" x14ac:dyDescent="0.25">
      <c r="A49" s="45">
        <v>16.75</v>
      </c>
      <c r="B49" s="45">
        <f t="shared" si="0"/>
        <v>16750</v>
      </c>
      <c r="C49" s="16">
        <f t="shared" si="7"/>
        <v>0</v>
      </c>
      <c r="D49" s="15">
        <f t="shared" si="2"/>
        <v>5.1685099465E+20</v>
      </c>
      <c r="E49" s="15">
        <f>IF($C49=0,0,FORECAST($C49, OFFSET('De Vaucouleurs Deprojection'!$F$2:$F$127, MATCH($C49, 'De Vaucouleurs Deprojection'!$A$2:$A$127,1)-1,0,2), OFFSET('De Vaucouleurs Deprojection'!$A$2:$A$127, MATCH($C49, 'De Vaucouleurs Deprojection'!$A$2:$A$127,1)-1,0,2))*QESTotalBulgeMass)</f>
        <v>0</v>
      </c>
      <c r="F49" s="15">
        <f t="shared" si="3"/>
        <v>2.7546389808879411E+41</v>
      </c>
      <c r="H49" s="15">
        <f t="shared" si="4"/>
        <v>2.7546389808879411E+41</v>
      </c>
      <c r="I49" s="16">
        <v>269.8</v>
      </c>
      <c r="J49" s="16">
        <v>1</v>
      </c>
      <c r="K49" s="19">
        <f t="shared" si="8"/>
        <v>233.27694887999399</v>
      </c>
      <c r="L49" s="16">
        <f t="shared" si="6"/>
        <v>1333.9332631145728</v>
      </c>
    </row>
    <row r="50" spans="1:12" x14ac:dyDescent="0.25">
      <c r="A50" s="45">
        <v>17.13</v>
      </c>
      <c r="B50" s="45">
        <f t="shared" si="0"/>
        <v>17130</v>
      </c>
      <c r="C50" s="16">
        <f t="shared" si="7"/>
        <v>0</v>
      </c>
      <c r="D50" s="15">
        <f t="shared" si="2"/>
        <v>5.2857656945399995E+20</v>
      </c>
      <c r="E50" s="15">
        <f>IF($C50=0,0,FORECAST($C50, OFFSET('De Vaucouleurs Deprojection'!$F$2:$F$127, MATCH($C50, 'De Vaucouleurs Deprojection'!$A$2:$A$127,1)-1,0,2), OFFSET('De Vaucouleurs Deprojection'!$A$2:$A$127, MATCH($C50, 'De Vaucouleurs Deprojection'!$A$2:$A$127,1)-1,0,2))*QESTotalBulgeMass)</f>
        <v>0</v>
      </c>
      <c r="F50" s="15">
        <f t="shared" si="3"/>
        <v>2.7651976062109497E+41</v>
      </c>
      <c r="H50" s="15">
        <f t="shared" si="4"/>
        <v>2.7651976062109497E+41</v>
      </c>
      <c r="I50" s="16">
        <v>269.10000000000002</v>
      </c>
      <c r="J50" s="16">
        <v>3.9</v>
      </c>
      <c r="K50" s="19">
        <f t="shared" si="8"/>
        <v>232.78738712042241</v>
      </c>
      <c r="L50" s="16">
        <f t="shared" si="6"/>
        <v>86.69335004221341</v>
      </c>
    </row>
    <row r="51" spans="1:12" x14ac:dyDescent="0.25">
      <c r="A51" s="45">
        <v>17.510000000000002</v>
      </c>
      <c r="B51" s="45">
        <f t="shared" si="0"/>
        <v>17510</v>
      </c>
      <c r="C51" s="16">
        <f t="shared" si="7"/>
        <v>0</v>
      </c>
      <c r="D51" s="15">
        <f t="shared" si="2"/>
        <v>5.4030214425800003E+20</v>
      </c>
      <c r="E51" s="15">
        <f>IF($C51=0,0,FORECAST($C51, OFFSET('De Vaucouleurs Deprojection'!$F$2:$F$127, MATCH($C51, 'De Vaucouleurs Deprojection'!$A$2:$A$127,1)-1,0,2), OFFSET('De Vaucouleurs Deprojection'!$A$2:$A$127, MATCH($C51, 'De Vaucouleurs Deprojection'!$A$2:$A$127,1)-1,0,2))*QESTotalBulgeMass)</f>
        <v>0</v>
      </c>
      <c r="F51" s="15">
        <f t="shared" si="3"/>
        <v>2.7748377862368677E+41</v>
      </c>
      <c r="H51" s="15">
        <f t="shared" si="4"/>
        <v>2.7748377862368677E+41</v>
      </c>
      <c r="I51" s="16">
        <v>268.5</v>
      </c>
      <c r="J51" s="16">
        <v>7.1</v>
      </c>
      <c r="K51" s="19">
        <f t="shared" si="8"/>
        <v>232.33363387297476</v>
      </c>
      <c r="L51" s="16">
        <f t="shared" si="6"/>
        <v>25.947352486293173</v>
      </c>
    </row>
    <row r="52" spans="1:12" x14ac:dyDescent="0.25">
      <c r="A52" s="45">
        <v>17.89</v>
      </c>
      <c r="B52" s="45">
        <f t="shared" si="0"/>
        <v>17890</v>
      </c>
      <c r="C52" s="16">
        <f t="shared" si="7"/>
        <v>0</v>
      </c>
      <c r="D52" s="15">
        <f t="shared" si="2"/>
        <v>5.5202771906200004E+20</v>
      </c>
      <c r="E52" s="15">
        <f>IF($C52=0,0,FORECAST($C52, OFFSET('De Vaucouleurs Deprojection'!$F$2:$F$127, MATCH($C52, 'De Vaucouleurs Deprojection'!$A$2:$A$127,1)-1,0,2), OFFSET('De Vaucouleurs Deprojection'!$A$2:$A$127, MATCH($C52, 'De Vaucouleurs Deprojection'!$A$2:$A$127,1)-1,0,2))*QESTotalBulgeMass)</f>
        <v>0</v>
      </c>
      <c r="F52" s="15">
        <f t="shared" si="3"/>
        <v>2.783635173696282E+41</v>
      </c>
      <c r="H52" s="15">
        <f t="shared" si="4"/>
        <v>2.783635173696282E+41</v>
      </c>
      <c r="I52" s="16">
        <v>263</v>
      </c>
      <c r="J52" s="16">
        <v>15</v>
      </c>
      <c r="K52" s="19">
        <f t="shared" si="8"/>
        <v>231.91551965987645</v>
      </c>
      <c r="L52" s="16">
        <f t="shared" si="6"/>
        <v>4.2944218578467881</v>
      </c>
    </row>
    <row r="53" spans="1:12" x14ac:dyDescent="0.25">
      <c r="A53" s="45">
        <v>18.27</v>
      </c>
      <c r="B53" s="45">
        <f t="shared" si="0"/>
        <v>18270</v>
      </c>
      <c r="C53" s="16">
        <f t="shared" si="7"/>
        <v>0</v>
      </c>
      <c r="D53" s="15">
        <f t="shared" si="2"/>
        <v>5.6375329386599999E+20</v>
      </c>
      <c r="E53" s="15">
        <f>IF($C53=0,0,FORECAST($C53, OFFSET('De Vaucouleurs Deprojection'!$F$2:$F$127, MATCH($C53, 'De Vaucouleurs Deprojection'!$A$2:$A$127,1)-1,0,2), OFFSET('De Vaucouleurs Deprojection'!$A$2:$A$127, MATCH($C53, 'De Vaucouleurs Deprojection'!$A$2:$A$127,1)-1,0,2))*QESTotalBulgeMass)</f>
        <v>0</v>
      </c>
      <c r="F53" s="15">
        <f t="shared" si="3"/>
        <v>2.7916597478641173E+41</v>
      </c>
      <c r="H53" s="15">
        <f t="shared" si="4"/>
        <v>2.7916597478641173E+41</v>
      </c>
      <c r="I53" s="16">
        <v>257.10000000000002</v>
      </c>
      <c r="J53" s="16">
        <v>13.5</v>
      </c>
      <c r="K53" s="19">
        <f t="shared" si="8"/>
        <v>231.53274386156554</v>
      </c>
      <c r="L53" s="16">
        <f t="shared" si="6"/>
        <v>3.586746702048373</v>
      </c>
    </row>
    <row r="54" spans="1:12" x14ac:dyDescent="0.25">
      <c r="A54" s="45">
        <v>18.649999999999999</v>
      </c>
      <c r="B54" s="45">
        <f t="shared" si="0"/>
        <v>18650</v>
      </c>
      <c r="C54" s="16">
        <f t="shared" si="7"/>
        <v>0</v>
      </c>
      <c r="D54" s="15">
        <f t="shared" si="2"/>
        <v>5.7547886866999994E+20</v>
      </c>
      <c r="E54" s="15">
        <f>IF($C54=0,0,FORECAST($C54, OFFSET('De Vaucouleurs Deprojection'!$F$2:$F$127, MATCH($C54, 'De Vaucouleurs Deprojection'!$A$2:$A$127,1)-1,0,2), OFFSET('De Vaucouleurs Deprojection'!$A$2:$A$127, MATCH($C54, 'De Vaucouleurs Deprojection'!$A$2:$A$127,1)-1,0,2))*QESTotalBulgeMass)</f>
        <v>0</v>
      </c>
      <c r="F54" s="15">
        <f t="shared" si="3"/>
        <v>2.798976162429517E+41</v>
      </c>
      <c r="H54" s="15">
        <f t="shared" si="4"/>
        <v>2.798976162429517E+41</v>
      </c>
      <c r="I54" s="16">
        <v>254.1</v>
      </c>
      <c r="J54" s="16">
        <v>10.6</v>
      </c>
      <c r="K54" s="19">
        <f t="shared" si="8"/>
        <v>231.18489428790923</v>
      </c>
      <c r="L54" s="16">
        <f t="shared" si="6"/>
        <v>4.6733897276281127</v>
      </c>
    </row>
    <row r="55" spans="1:12" x14ac:dyDescent="0.25">
      <c r="A55" s="45">
        <v>19.03</v>
      </c>
      <c r="B55" s="45">
        <f t="shared" si="0"/>
        <v>19030</v>
      </c>
      <c r="C55" s="16">
        <f t="shared" si="7"/>
        <v>0</v>
      </c>
      <c r="D55" s="15">
        <f t="shared" si="2"/>
        <v>5.8720444347400002E+20</v>
      </c>
      <c r="E55" s="15">
        <f>IF($C55=0,0,FORECAST($C55, OFFSET('De Vaucouleurs Deprojection'!$F$2:$F$127, MATCH($C55, 'De Vaucouleurs Deprojection'!$A$2:$A$127,1)-1,0,2), OFFSET('De Vaucouleurs Deprojection'!$A$2:$A$127, MATCH($C55, 'De Vaucouleurs Deprojection'!$A$2:$A$127,1)-1,0,2))*QESTotalBulgeMass)</f>
        <v>0</v>
      </c>
      <c r="F55" s="15">
        <f t="shared" si="3"/>
        <v>2.8056440838878341E+41</v>
      </c>
      <c r="H55" s="15">
        <f t="shared" si="4"/>
        <v>2.8056440838878341E+41</v>
      </c>
      <c r="I55" s="16">
        <v>251.9</v>
      </c>
      <c r="J55" s="16">
        <v>11.1</v>
      </c>
      <c r="K55" s="19">
        <f t="shared" si="8"/>
        <v>230.87146453525509</v>
      </c>
      <c r="L55" s="16">
        <f t="shared" si="6"/>
        <v>3.5889887492251833</v>
      </c>
    </row>
    <row r="56" spans="1:12" x14ac:dyDescent="0.25">
      <c r="A56" s="45">
        <v>19.41</v>
      </c>
      <c r="B56" s="45">
        <f t="shared" si="0"/>
        <v>19410</v>
      </c>
      <c r="C56" s="16">
        <f t="shared" si="7"/>
        <v>0</v>
      </c>
      <c r="D56" s="15">
        <f t="shared" si="2"/>
        <v>5.9893001827800003E+20</v>
      </c>
      <c r="E56" s="15">
        <f>IF($C56=0,0,FORECAST($C56, OFFSET('De Vaucouleurs Deprojection'!$F$2:$F$127, MATCH($C56, 'De Vaucouleurs Deprojection'!$A$2:$A$127,1)-1,0,2), OFFSET('De Vaucouleurs Deprojection'!$A$2:$A$127, MATCH($C56, 'De Vaucouleurs Deprojection'!$A$2:$A$127,1)-1,0,2))*QESTotalBulgeMass)</f>
        <v>0</v>
      </c>
      <c r="F56" s="15">
        <f t="shared" si="3"/>
        <v>2.811718518499062E+41</v>
      </c>
      <c r="H56" s="15">
        <f t="shared" si="4"/>
        <v>2.811718518499062E+41</v>
      </c>
      <c r="I56" s="16">
        <v>249.5</v>
      </c>
      <c r="J56" s="16">
        <v>8.1</v>
      </c>
      <c r="K56" s="19">
        <f t="shared" si="8"/>
        <v>230.59186936064609</v>
      </c>
      <c r="L56" s="16">
        <f t="shared" si="6"/>
        <v>5.4491297709933582</v>
      </c>
    </row>
    <row r="57" spans="1:12" x14ac:dyDescent="0.25">
      <c r="A57" s="45">
        <v>19.79</v>
      </c>
      <c r="B57" s="45">
        <f t="shared" si="0"/>
        <v>19790</v>
      </c>
      <c r="C57" s="16">
        <f t="shared" si="7"/>
        <v>0</v>
      </c>
      <c r="D57" s="15">
        <f t="shared" si="2"/>
        <v>6.1065559308199998E+20</v>
      </c>
      <c r="E57" s="15">
        <f>IF($C57=0,0,FORECAST($C57, OFFSET('De Vaucouleurs Deprojection'!$F$2:$F$127, MATCH($C57, 'De Vaucouleurs Deprojection'!$A$2:$A$127,1)-1,0,2), OFFSET('De Vaucouleurs Deprojection'!$A$2:$A$127, MATCH($C57, 'De Vaucouleurs Deprojection'!$A$2:$A$127,1)-1,0,2))*QESTotalBulgeMass)</f>
        <v>0</v>
      </c>
      <c r="F57" s="15">
        <f t="shared" si="3"/>
        <v>2.8172501263842164E+41</v>
      </c>
      <c r="H57" s="15">
        <f t="shared" si="4"/>
        <v>2.8172501263842164E+41</v>
      </c>
      <c r="I57" s="16">
        <v>245.7</v>
      </c>
      <c r="J57" s="16">
        <v>7.4</v>
      </c>
      <c r="K57" s="19">
        <f t="shared" si="8"/>
        <v>230.34545827976496</v>
      </c>
      <c r="L57" s="16">
        <f t="shared" si="6"/>
        <v>4.3053679955887176</v>
      </c>
    </row>
    <row r="58" spans="1:12" x14ac:dyDescent="0.25">
      <c r="A58" s="45">
        <v>20.18</v>
      </c>
      <c r="B58" s="45">
        <f t="shared" si="0"/>
        <v>20180</v>
      </c>
      <c r="C58" s="16">
        <f t="shared" si="7"/>
        <v>0</v>
      </c>
      <c r="D58" s="15">
        <f t="shared" si="2"/>
        <v>6.2268973564400003E+20</v>
      </c>
      <c r="E58" s="15">
        <f>IF($C58=0,0,FORECAST($C58, OFFSET('De Vaucouleurs Deprojection'!$F$2:$F$127, MATCH($C58, 'De Vaucouleurs Deprojection'!$A$2:$A$127,1)-1,0,2), OFFSET('De Vaucouleurs Deprojection'!$A$2:$A$127, MATCH($C58, 'De Vaucouleurs Deprojection'!$A$2:$A$127,1)-1,0,2))*QESTotalBulgeMass)</f>
        <v>0</v>
      </c>
      <c r="F58" s="15">
        <f t="shared" si="3"/>
        <v>2.8224117301018879E+41</v>
      </c>
      <c r="H58" s="15">
        <f t="shared" si="4"/>
        <v>2.8224117301018879E+41</v>
      </c>
      <c r="I58" s="16">
        <v>243.7</v>
      </c>
      <c r="J58" s="16">
        <v>6.6</v>
      </c>
      <c r="K58" s="19">
        <f t="shared" si="8"/>
        <v>230.12632971186062</v>
      </c>
      <c r="L58" s="16">
        <f t="shared" si="6"/>
        <v>4.2296722931845157</v>
      </c>
    </row>
    <row r="59" spans="1:12" x14ac:dyDescent="0.25">
      <c r="A59" s="45">
        <v>20.56</v>
      </c>
      <c r="B59" s="45">
        <f t="shared" si="0"/>
        <v>20560</v>
      </c>
      <c r="C59" s="16">
        <f t="shared" si="7"/>
        <v>0</v>
      </c>
      <c r="D59" s="15">
        <f t="shared" si="2"/>
        <v>6.3441531044799998E+20</v>
      </c>
      <c r="E59" s="15">
        <f>IF($C59=0,0,FORECAST($C59, OFFSET('De Vaucouleurs Deprojection'!$F$2:$F$127, MATCH($C59, 'De Vaucouleurs Deprojection'!$A$2:$A$127,1)-1,0,2), OFFSET('De Vaucouleurs Deprojection'!$A$2:$A$127, MATCH($C59, 'De Vaucouleurs Deprojection'!$A$2:$A$127,1)-1,0,2))*QESTotalBulgeMass)</f>
        <v>0</v>
      </c>
      <c r="F59" s="15">
        <f t="shared" si="3"/>
        <v>2.8269823828847894E+41</v>
      </c>
      <c r="H59" s="15">
        <f t="shared" si="4"/>
        <v>2.8269823828847894E+41</v>
      </c>
      <c r="I59" s="16">
        <v>245.9</v>
      </c>
      <c r="J59" s="16">
        <v>7.5</v>
      </c>
      <c r="K59" s="19">
        <f t="shared" si="8"/>
        <v>229.94495770972918</v>
      </c>
      <c r="L59" s="16">
        <f t="shared" si="6"/>
        <v>4.5255711019436529</v>
      </c>
    </row>
    <row r="60" spans="1:12" x14ac:dyDescent="0.25">
      <c r="A60" s="45">
        <v>20.94</v>
      </c>
      <c r="B60" s="45">
        <f t="shared" si="0"/>
        <v>20940</v>
      </c>
      <c r="C60" s="16">
        <f t="shared" si="7"/>
        <v>0</v>
      </c>
      <c r="D60" s="15">
        <f t="shared" si="2"/>
        <v>6.4614088525200006E+20</v>
      </c>
      <c r="E60" s="15">
        <f>IF($C60=0,0,FORECAST($C60, OFFSET('De Vaucouleurs Deprojection'!$F$2:$F$127, MATCH($C60, 'De Vaucouleurs Deprojection'!$A$2:$A$127,1)-1,0,2), OFFSET('De Vaucouleurs Deprojection'!$A$2:$A$127, MATCH($C60, 'De Vaucouleurs Deprojection'!$A$2:$A$127,1)-1,0,2))*QESTotalBulgeMass)</f>
        <v>0</v>
      </c>
      <c r="F60" s="15">
        <f t="shared" si="3"/>
        <v>2.8311400332947766E+41</v>
      </c>
      <c r="H60" s="15">
        <f t="shared" si="4"/>
        <v>2.8311400332947766E+41</v>
      </c>
      <c r="I60" s="16">
        <v>242.3</v>
      </c>
      <c r="J60" s="16">
        <v>6.1</v>
      </c>
      <c r="K60" s="19">
        <f t="shared" si="8"/>
        <v>229.79451909270094</v>
      </c>
      <c r="L60" s="16">
        <f t="shared" si="6"/>
        <v>4.2028232389901019</v>
      </c>
    </row>
    <row r="61" spans="1:12" x14ac:dyDescent="0.25">
      <c r="A61" s="45">
        <v>21.32</v>
      </c>
      <c r="B61" s="45">
        <f t="shared" si="0"/>
        <v>21320</v>
      </c>
      <c r="C61" s="16">
        <f t="shared" si="7"/>
        <v>0</v>
      </c>
      <c r="D61" s="15">
        <f t="shared" si="2"/>
        <v>6.57866460056E+20</v>
      </c>
      <c r="E61" s="15">
        <f>IF($C61=0,0,FORECAST($C61, OFFSET('De Vaucouleurs Deprojection'!$F$2:$F$127, MATCH($C61, 'De Vaucouleurs Deprojection'!$A$2:$A$127,1)-1,0,2), OFFSET('De Vaucouleurs Deprojection'!$A$2:$A$127, MATCH($C61, 'De Vaucouleurs Deprojection'!$A$2:$A$127,1)-1,0,2))*QESTotalBulgeMass)</f>
        <v>0</v>
      </c>
      <c r="F61" s="15">
        <f t="shared" si="3"/>
        <v>2.834920731246263E+41</v>
      </c>
      <c r="H61" s="15">
        <f t="shared" si="4"/>
        <v>2.834920731246263E+41</v>
      </c>
      <c r="I61" s="16">
        <v>239.2</v>
      </c>
      <c r="J61" s="16">
        <v>6.3</v>
      </c>
      <c r="K61" s="19">
        <f t="shared" si="8"/>
        <v>229.67420838506314</v>
      </c>
      <c r="L61" s="16">
        <f t="shared" si="6"/>
        <v>2.2862359760947646</v>
      </c>
    </row>
    <row r="62" spans="1:12" x14ac:dyDescent="0.25">
      <c r="A62" s="45">
        <v>21.7</v>
      </c>
      <c r="B62" s="45">
        <f t="shared" si="0"/>
        <v>21700</v>
      </c>
      <c r="C62" s="16">
        <f t="shared" si="7"/>
        <v>0</v>
      </c>
      <c r="D62" s="15">
        <f t="shared" si="2"/>
        <v>6.6959203485999995E+20</v>
      </c>
      <c r="E62" s="15">
        <f>IF($C62=0,0,FORECAST($C62, OFFSET('De Vaucouleurs Deprojection'!$F$2:$F$127, MATCH($C62, 'De Vaucouleurs Deprojection'!$A$2:$A$127,1)-1,0,2), OFFSET('De Vaucouleurs Deprojection'!$A$2:$A$127, MATCH($C62, 'De Vaucouleurs Deprojection'!$A$2:$A$127,1)-1,0,2))*QESTotalBulgeMass)</f>
        <v>0</v>
      </c>
      <c r="F62" s="15">
        <f t="shared" si="3"/>
        <v>2.8383575407775376E+41</v>
      </c>
      <c r="H62" s="15">
        <f t="shared" si="4"/>
        <v>2.8383575407775376E+41</v>
      </c>
      <c r="I62" s="16">
        <v>239.5</v>
      </c>
      <c r="J62" s="16">
        <v>4.7</v>
      </c>
      <c r="K62" s="19">
        <f t="shared" si="8"/>
        <v>229.58320223375699</v>
      </c>
      <c r="L62" s="16">
        <f t="shared" si="6"/>
        <v>4.4519184217547441</v>
      </c>
    </row>
    <row r="63" spans="1:12" x14ac:dyDescent="0.25">
      <c r="A63" s="45">
        <v>22.08</v>
      </c>
      <c r="B63" s="45">
        <f t="shared" si="0"/>
        <v>22080</v>
      </c>
      <c r="C63" s="16">
        <f t="shared" si="7"/>
        <v>0</v>
      </c>
      <c r="D63" s="15">
        <f t="shared" si="2"/>
        <v>6.813176096639999E+20</v>
      </c>
      <c r="E63" s="15">
        <f>IF($C63=0,0,FORECAST($C63, OFFSET('De Vaucouleurs Deprojection'!$F$2:$F$127, MATCH($C63, 'De Vaucouleurs Deprojection'!$A$2:$A$127,1)-1,0,2), OFFSET('De Vaucouleurs Deprojection'!$A$2:$A$127, MATCH($C63, 'De Vaucouleurs Deprojection'!$A$2:$A$127,1)-1,0,2))*QESTotalBulgeMass)</f>
        <v>0</v>
      </c>
      <c r="F63" s="15">
        <f t="shared" si="3"/>
        <v>2.8414807662562522E+41</v>
      </c>
      <c r="H63" s="15">
        <f t="shared" si="4"/>
        <v>2.8414807662562522E+41</v>
      </c>
      <c r="I63" s="16">
        <v>236.1</v>
      </c>
      <c r="J63" s="16">
        <v>1.8</v>
      </c>
      <c r="K63" s="19">
        <f t="shared" si="8"/>
        <v>229.52066560846981</v>
      </c>
      <c r="L63" s="16">
        <f t="shared" si="6"/>
        <v>13.360383035670317</v>
      </c>
    </row>
    <row r="64" spans="1:12" x14ac:dyDescent="0.25">
      <c r="A64" s="45">
        <v>22.46</v>
      </c>
      <c r="B64" s="45">
        <f t="shared" si="0"/>
        <v>22460</v>
      </c>
      <c r="C64" s="16">
        <f t="shared" si="7"/>
        <v>0</v>
      </c>
      <c r="D64" s="15">
        <f t="shared" si="2"/>
        <v>6.9304318446799998E+20</v>
      </c>
      <c r="E64" s="15">
        <f>IF($C64=0,0,FORECAST($C64, OFFSET('De Vaucouleurs Deprojection'!$F$2:$F$127, MATCH($C64, 'De Vaucouleurs Deprojection'!$A$2:$A$127,1)-1,0,2), OFFSET('De Vaucouleurs Deprojection'!$A$2:$A$127, MATCH($C64, 'De Vaucouleurs Deprojection'!$A$2:$A$127,1)-1,0,2))*QESTotalBulgeMass)</f>
        <v>0</v>
      </c>
      <c r="F64" s="15">
        <f t="shared" si="3"/>
        <v>2.8443181643661277E+41</v>
      </c>
      <c r="H64" s="15">
        <f t="shared" si="4"/>
        <v>2.8443181643661277E+41</v>
      </c>
      <c r="I64" s="16">
        <v>233.8</v>
      </c>
      <c r="J64" s="16">
        <v>1.7</v>
      </c>
      <c r="K64" s="19">
        <f t="shared" si="8"/>
        <v>229.48575718704842</v>
      </c>
      <c r="L64" s="16">
        <f t="shared" si="6"/>
        <v>6.4403775256416793</v>
      </c>
    </row>
    <row r="65" spans="1:12" x14ac:dyDescent="0.25">
      <c r="A65" s="45">
        <v>22.84</v>
      </c>
      <c r="B65" s="45">
        <f t="shared" si="0"/>
        <v>22840</v>
      </c>
      <c r="C65" s="16">
        <f t="shared" si="7"/>
        <v>0</v>
      </c>
      <c r="D65" s="15">
        <f t="shared" si="2"/>
        <v>7.0476875927199993E+20</v>
      </c>
      <c r="E65" s="15">
        <f>IF($C65=0,0,FORECAST($C65, OFFSET('De Vaucouleurs Deprojection'!$F$2:$F$127, MATCH($C65, 'De Vaucouleurs Deprojection'!$A$2:$A$127,1)-1,0,2), OFFSET('De Vaucouleurs Deprojection'!$A$2:$A$127, MATCH($C65, 'De Vaucouleurs Deprojection'!$A$2:$A$127,1)-1,0,2))*QESTotalBulgeMass)</f>
        <v>0</v>
      </c>
      <c r="F65" s="15">
        <f t="shared" si="3"/>
        <v>2.8468951423274804E+41</v>
      </c>
      <c r="H65" s="15">
        <f t="shared" si="4"/>
        <v>2.8468951423274804E+41</v>
      </c>
      <c r="I65" s="16">
        <v>233.1</v>
      </c>
      <c r="J65" s="16">
        <v>3.3</v>
      </c>
      <c r="K65" s="19">
        <f t="shared" si="8"/>
        <v>229.4776340139081</v>
      </c>
      <c r="L65" s="16">
        <f t="shared" si="6"/>
        <v>1.204916008925206</v>
      </c>
    </row>
    <row r="66" spans="1:12" x14ac:dyDescent="0.25">
      <c r="A66" s="45">
        <v>23.22</v>
      </c>
      <c r="B66" s="45">
        <f t="shared" si="0"/>
        <v>23220</v>
      </c>
      <c r="C66" s="16">
        <f t="shared" si="7"/>
        <v>0</v>
      </c>
      <c r="D66" s="15">
        <f t="shared" si="2"/>
        <v>7.1649433407600001E+20</v>
      </c>
      <c r="E66" s="15">
        <f>IF($C66=0,0,FORECAST($C66, OFFSET('De Vaucouleurs Deprojection'!$F$2:$F$127, MATCH($C66, 'De Vaucouleurs Deprojection'!$A$2:$A$127,1)-1,0,2), OFFSET('De Vaucouleurs Deprojection'!$A$2:$A$127, MATCH($C66, 'De Vaucouleurs Deprojection'!$A$2:$A$127,1)-1,0,2))*QESTotalBulgeMass)</f>
        <v>0</v>
      </c>
      <c r="F66" s="15">
        <f t="shared" si="3"/>
        <v>2.8492349428700915E+41</v>
      </c>
      <c r="H66" s="15">
        <f t="shared" si="4"/>
        <v>2.8492349428700915E+41</v>
      </c>
      <c r="I66" s="16">
        <v>230.1</v>
      </c>
      <c r="J66" s="16">
        <v>5.5</v>
      </c>
      <c r="K66" s="19">
        <f t="shared" si="8"/>
        <v>229.49545551044108</v>
      </c>
      <c r="L66" s="16">
        <f t="shared" si="6"/>
        <v>1.2081786441522423E-2</v>
      </c>
    </row>
    <row r="67" spans="1:12" x14ac:dyDescent="0.25">
      <c r="A67" s="45">
        <v>23.6</v>
      </c>
      <c r="B67" s="45">
        <f t="shared" si="0"/>
        <v>23600</v>
      </c>
      <c r="C67" s="16">
        <f t="shared" si="7"/>
        <v>0</v>
      </c>
      <c r="D67" s="15">
        <f t="shared" si="2"/>
        <v>7.2821990888000009E+20</v>
      </c>
      <c r="E67" s="15">
        <f>IF($C67=0,0,FORECAST($C67, OFFSET('De Vaucouleurs Deprojection'!$F$2:$F$127, MATCH($C67, 'De Vaucouleurs Deprojection'!$A$2:$A$127,1)-1,0,2), OFFSET('De Vaucouleurs Deprojection'!$A$2:$A$127, MATCH($C67, 'De Vaucouleurs Deprojection'!$A$2:$A$127,1)-1,0,2))*QESTotalBulgeMass)</f>
        <v>0</v>
      </c>
      <c r="F67" s="15">
        <f t="shared" si="3"/>
        <v>2.8513588165236929E+41</v>
      </c>
      <c r="H67" s="15">
        <f t="shared" si="4"/>
        <v>2.8513588165236929E+41</v>
      </c>
      <c r="I67" s="16">
        <v>232.1</v>
      </c>
      <c r="J67" s="16">
        <v>5</v>
      </c>
      <c r="K67" s="19">
        <f t="shared" si="8"/>
        <v>229.53838690860906</v>
      </c>
      <c r="L67" s="16">
        <f t="shared" si="6"/>
        <v>0.26247446519941769</v>
      </c>
    </row>
    <row r="68" spans="1:12" x14ac:dyDescent="0.25">
      <c r="A68" s="45">
        <v>23.98</v>
      </c>
      <c r="B68" s="45">
        <f t="shared" si="0"/>
        <v>23980</v>
      </c>
      <c r="C68" s="16">
        <f t="shared" si="7"/>
        <v>0</v>
      </c>
      <c r="D68" s="15">
        <f t="shared" si="2"/>
        <v>7.3994548368400004E+20</v>
      </c>
      <c r="E68" s="15">
        <f>IF($C68=0,0,FORECAST($C68, OFFSET('De Vaucouleurs Deprojection'!$F$2:$F$127, MATCH($C68, 'De Vaucouleurs Deprojection'!$A$2:$A$127,1)-1,0,2), OFFSET('De Vaucouleurs Deprojection'!$A$2:$A$127, MATCH($C68, 'De Vaucouleurs Deprojection'!$A$2:$A$127,1)-1,0,2))*QESTotalBulgeMass)</f>
        <v>0</v>
      </c>
      <c r="F68" s="15">
        <f t="shared" si="3"/>
        <v>2.8532861818220082E+41</v>
      </c>
      <c r="H68" s="15">
        <f t="shared" si="4"/>
        <v>2.8532861818220082E+41</v>
      </c>
      <c r="I68" s="16">
        <v>228.7</v>
      </c>
      <c r="J68" s="16">
        <v>1.7</v>
      </c>
      <c r="K68" s="19">
        <f t="shared" si="8"/>
        <v>229.60560217183999</v>
      </c>
      <c r="L68" s="16">
        <f t="shared" si="6"/>
        <v>0.28377691821499246</v>
      </c>
    </row>
    <row r="69" spans="1:12" x14ac:dyDescent="0.25">
      <c r="A69" s="45">
        <v>24.36</v>
      </c>
      <c r="B69" s="45">
        <f t="shared" si="0"/>
        <v>24360</v>
      </c>
      <c r="C69" s="16">
        <f t="shared" si="7"/>
        <v>0</v>
      </c>
      <c r="D69" s="15">
        <f t="shared" si="2"/>
        <v>7.5167105848799999E+20</v>
      </c>
      <c r="E69" s="15">
        <f>IF($C69=0,0,FORECAST($C69, OFFSET('De Vaucouleurs Deprojection'!$F$2:$F$127, MATCH($C69, 'De Vaucouleurs Deprojection'!$A$2:$A$127,1)-1,0,2), OFFSET('De Vaucouleurs Deprojection'!$A$2:$A$127, MATCH($C69, 'De Vaucouleurs Deprojection'!$A$2:$A$127,1)-1,0,2))*QESTotalBulgeMass)</f>
        <v>0</v>
      </c>
      <c r="F69" s="15">
        <f t="shared" si="3"/>
        <v>2.8550347740340646E+41</v>
      </c>
      <c r="H69" s="15">
        <f t="shared" si="4"/>
        <v>2.8550347740340646E+41</v>
      </c>
      <c r="I69" s="16">
        <v>229.1</v>
      </c>
      <c r="J69" s="16">
        <v>1.8</v>
      </c>
      <c r="K69" s="19">
        <f t="shared" si="8"/>
        <v>229.69628646096288</v>
      </c>
      <c r="L69" s="16">
        <f t="shared" si="6"/>
        <v>0.10973998257026052</v>
      </c>
    </row>
    <row r="70" spans="1:12" x14ac:dyDescent="0.25">
      <c r="A70" s="45">
        <v>24.75</v>
      </c>
      <c r="B70" s="45">
        <f t="shared" si="0"/>
        <v>24750</v>
      </c>
      <c r="C70" s="16">
        <f t="shared" si="7"/>
        <v>0</v>
      </c>
      <c r="D70" s="15">
        <f t="shared" si="2"/>
        <v>7.6370520105000003E+20</v>
      </c>
      <c r="E70" s="15">
        <f>IF($C70=0,0,FORECAST($C70, OFFSET('De Vaucouleurs Deprojection'!$F$2:$F$127, MATCH($C70, 'De Vaucouleurs Deprojection'!$A$2:$A$127,1)-1,0,2), OFFSET('De Vaucouleurs Deprojection'!$A$2:$A$127, MATCH($C70, 'De Vaucouleurs Deprojection'!$A$2:$A$127,1)-1,0,2))*QESTotalBulgeMass)</f>
        <v>0</v>
      </c>
      <c r="F70" s="15">
        <f t="shared" si="3"/>
        <v>2.8566604622990929E+41</v>
      </c>
      <c r="H70" s="15">
        <f t="shared" si="4"/>
        <v>2.8566604622990929E+41</v>
      </c>
      <c r="I70" s="16">
        <v>227.9</v>
      </c>
      <c r="J70" s="16">
        <v>5</v>
      </c>
      <c r="K70" s="19">
        <f t="shared" si="8"/>
        <v>229.81292003218164</v>
      </c>
      <c r="L70" s="16">
        <f t="shared" si="6"/>
        <v>0.14637052198087094</v>
      </c>
    </row>
    <row r="71" spans="1:12" x14ac:dyDescent="0.25">
      <c r="A71" s="45">
        <v>25.13</v>
      </c>
      <c r="B71" s="45">
        <f t="shared" si="0"/>
        <v>25130</v>
      </c>
      <c r="C71" s="16">
        <f t="shared" si="7"/>
        <v>0</v>
      </c>
      <c r="D71" s="15">
        <f t="shared" si="2"/>
        <v>7.7543077585399998E+20</v>
      </c>
      <c r="E71" s="15">
        <f>IF($C71=0,0,FORECAST($C71, OFFSET('De Vaucouleurs Deprojection'!$F$2:$F$127, MATCH($C71, 'De Vaucouleurs Deprojection'!$A$2:$A$127,1)-1,0,2), OFFSET('De Vaucouleurs Deprojection'!$A$2:$A$127, MATCH($C71, 'De Vaucouleurs Deprojection'!$A$2:$A$127,1)-1,0,2))*QESTotalBulgeMass)</f>
        <v>0</v>
      </c>
      <c r="F71" s="15">
        <f t="shared" si="3"/>
        <v>2.8580949578667618E+41</v>
      </c>
      <c r="H71" s="15">
        <f t="shared" si="4"/>
        <v>2.8580949578667618E+41</v>
      </c>
      <c r="I71" s="16">
        <v>226.9</v>
      </c>
      <c r="J71" s="16">
        <v>2</v>
      </c>
      <c r="K71" s="19">
        <f t="shared" si="8"/>
        <v>229.94871793894657</v>
      </c>
      <c r="L71" s="16">
        <f t="shared" si="6"/>
        <v>2.3236702678136503</v>
      </c>
    </row>
    <row r="72" spans="1:12" x14ac:dyDescent="0.25">
      <c r="A72" s="45">
        <v>25.51</v>
      </c>
      <c r="B72" s="45">
        <f t="shared" ref="B72:B105" si="9">RadiusKpc*1000</f>
        <v>25510</v>
      </c>
      <c r="C72" s="16">
        <f t="shared" ref="C72:C105" si="10">IF(QESBulgeEffectiveRadius=0,0,RadiusPc/QESBulgeEffectiveRadius)</f>
        <v>0</v>
      </c>
      <c r="D72" s="15">
        <f t="shared" ref="D72:D105" si="11">RadiusKpc*kpc</f>
        <v>7.8715635065800006E+20</v>
      </c>
      <c r="E72" s="15">
        <f>IF($C72=0,0,FORECAST($C72, OFFSET('De Vaucouleurs Deprojection'!$F$2:$F$127, MATCH($C72, 'De Vaucouleurs Deprojection'!$A$2:$A$127,1)-1,0,2), OFFSET('De Vaucouleurs Deprojection'!$A$2:$A$127, MATCH($C72, 'De Vaucouleurs Deprojection'!$A$2:$A$127,1)-1,0,2))*QESTotalBulgeMass)</f>
        <v>0</v>
      </c>
      <c r="F72" s="15">
        <f t="shared" ref="F72:F105" si="12">2*PI()*QESDiskSurfaceDensity*QESDiskScaleLength*(QESDiskScaleLength-EXP(-RadiusPc/QESDiskScaleLength)*(RadiusPc+QESDiskScaleLength))*SolarMass</f>
        <v>2.8593954528072452E+41</v>
      </c>
      <c r="H72" s="15">
        <f t="shared" ref="H72:H105" si="13">BulgeMass+DiskMass+HaloMass</f>
        <v>2.8593954528072452E+41</v>
      </c>
      <c r="I72" s="16">
        <v>225.1</v>
      </c>
      <c r="J72" s="16">
        <v>1.6</v>
      </c>
      <c r="K72" s="19">
        <f t="shared" ref="K72:K105" si="14">SQRT(TotalMass*GravitationalConstant/RadiusKm+UniverseAcceleration*RadiusKm)/km</f>
        <v>230.10560639012226</v>
      </c>
      <c r="L72" s="16">
        <f t="shared" ref="L72:L105" si="15">(ObservedVelocity-ModelVelocity)^2/(VelocityError)^2</f>
        <v>9.7875372393878397</v>
      </c>
    </row>
    <row r="73" spans="1:12" x14ac:dyDescent="0.25">
      <c r="A73" s="45">
        <v>25.89</v>
      </c>
      <c r="B73" s="45">
        <f t="shared" si="9"/>
        <v>25890</v>
      </c>
      <c r="C73" s="16">
        <f t="shared" si="10"/>
        <v>0</v>
      </c>
      <c r="D73" s="15">
        <f t="shared" si="11"/>
        <v>7.9888192546200001E+20</v>
      </c>
      <c r="E73" s="15">
        <f>IF($C73=0,0,FORECAST($C73, OFFSET('De Vaucouleurs Deprojection'!$F$2:$F$127, MATCH($C73, 'De Vaucouleurs Deprojection'!$A$2:$A$127,1)-1,0,2), OFFSET('De Vaucouleurs Deprojection'!$A$2:$A$127, MATCH($C73, 'De Vaucouleurs Deprojection'!$A$2:$A$127,1)-1,0,2))*QESTotalBulgeMass)</f>
        <v>0</v>
      </c>
      <c r="F73" s="15">
        <f t="shared" si="12"/>
        <v>2.8605741988975081E+41</v>
      </c>
      <c r="H73" s="15">
        <f t="shared" si="13"/>
        <v>2.8605741988975081E+41</v>
      </c>
      <c r="I73" s="16">
        <v>225.4</v>
      </c>
      <c r="J73" s="16">
        <v>1.8</v>
      </c>
      <c r="K73" s="19">
        <f t="shared" si="14"/>
        <v>230.28283308072434</v>
      </c>
      <c r="L73" s="16">
        <f t="shared" si="15"/>
        <v>7.3586601525357827</v>
      </c>
    </row>
    <row r="74" spans="1:12" x14ac:dyDescent="0.25">
      <c r="A74" s="45">
        <v>26.27</v>
      </c>
      <c r="B74" s="45">
        <f t="shared" si="9"/>
        <v>26270</v>
      </c>
      <c r="C74" s="16">
        <f t="shared" si="10"/>
        <v>0</v>
      </c>
      <c r="D74" s="15">
        <f t="shared" si="11"/>
        <v>8.1060750026599996E+20</v>
      </c>
      <c r="E74" s="15">
        <f>IF($C74=0,0,FORECAST($C74, OFFSET('De Vaucouleurs Deprojection'!$F$2:$F$127, MATCH($C74, 'De Vaucouleurs Deprojection'!$A$2:$A$127,1)-1,0,2), OFFSET('De Vaucouleurs Deprojection'!$A$2:$A$127, MATCH($C74, 'De Vaucouleurs Deprojection'!$A$2:$A$127,1)-1,0,2))*QESTotalBulgeMass)</f>
        <v>0</v>
      </c>
      <c r="F74" s="15">
        <f t="shared" si="12"/>
        <v>2.8616423602949219E+41</v>
      </c>
      <c r="H74" s="15">
        <f t="shared" si="13"/>
        <v>2.8616423602949219E+41</v>
      </c>
      <c r="I74" s="16">
        <v>230.3</v>
      </c>
      <c r="J74" s="16">
        <v>2</v>
      </c>
      <c r="K74" s="19">
        <f t="shared" si="14"/>
        <v>230.47966407357359</v>
      </c>
      <c r="L74" s="16">
        <f t="shared" si="15"/>
        <v>8.0697948332628666E-3</v>
      </c>
    </row>
    <row r="75" spans="1:12" x14ac:dyDescent="0.25">
      <c r="A75" s="45">
        <v>26.65</v>
      </c>
      <c r="B75" s="45">
        <f t="shared" si="9"/>
        <v>26650</v>
      </c>
      <c r="C75" s="16">
        <f t="shared" si="10"/>
        <v>0</v>
      </c>
      <c r="D75" s="15">
        <f t="shared" si="11"/>
        <v>8.2233307506999991E+20</v>
      </c>
      <c r="E75" s="15">
        <f>IF($C75=0,0,FORECAST($C75, OFFSET('De Vaucouleurs Deprojection'!$F$2:$F$127, MATCH($C75, 'De Vaucouleurs Deprojection'!$A$2:$A$127,1)-1,0,2), OFFSET('De Vaucouleurs Deprojection'!$A$2:$A$127, MATCH($C75, 'De Vaucouleurs Deprojection'!$A$2:$A$127,1)-1,0,2))*QESTotalBulgeMass)</f>
        <v>0</v>
      </c>
      <c r="F75" s="15">
        <f t="shared" si="12"/>
        <v>2.862610106007901E+41</v>
      </c>
      <c r="H75" s="15">
        <f t="shared" si="13"/>
        <v>2.862610106007901E+41</v>
      </c>
      <c r="I75" s="16">
        <v>229</v>
      </c>
      <c r="J75" s="16">
        <v>2.2999999999999998</v>
      </c>
      <c r="K75" s="19">
        <f t="shared" si="14"/>
        <v>230.69538445437959</v>
      </c>
      <c r="L75" s="16">
        <f t="shared" si="15"/>
        <v>0.54335131345028143</v>
      </c>
    </row>
    <row r="76" spans="1:12" x14ac:dyDescent="0.25">
      <c r="A76" s="45">
        <v>27.03</v>
      </c>
      <c r="B76" s="45">
        <f t="shared" si="9"/>
        <v>27030</v>
      </c>
      <c r="C76" s="16">
        <f t="shared" si="10"/>
        <v>0</v>
      </c>
      <c r="D76" s="15">
        <f t="shared" si="11"/>
        <v>8.3405864987399999E+20</v>
      </c>
      <c r="E76" s="15">
        <f>IF($C76=0,0,FORECAST($C76, OFFSET('De Vaucouleurs Deprojection'!$F$2:$F$127, MATCH($C76, 'De Vaucouleurs Deprojection'!$A$2:$A$127,1)-1,0,2), OFFSET('De Vaucouleurs Deprojection'!$A$2:$A$127, MATCH($C76, 'De Vaucouleurs Deprojection'!$A$2:$A$127,1)-1,0,2))*QESTotalBulgeMass)</f>
        <v>0</v>
      </c>
      <c r="F76" s="15">
        <f t="shared" si="12"/>
        <v>2.8634866950309786E+41</v>
      </c>
      <c r="H76" s="15">
        <f t="shared" si="13"/>
        <v>2.8634866950309786E+41</v>
      </c>
      <c r="I76" s="16">
        <v>229.9</v>
      </c>
      <c r="J76" s="16">
        <v>4.8</v>
      </c>
      <c r="K76" s="19">
        <f t="shared" si="14"/>
        <v>230.92929880202277</v>
      </c>
      <c r="L76" s="16">
        <f t="shared" si="15"/>
        <v>4.5983334368294271E-2</v>
      </c>
    </row>
    <row r="77" spans="1:12" x14ac:dyDescent="0.25">
      <c r="A77" s="45">
        <v>27.41</v>
      </c>
      <c r="B77" s="45">
        <f t="shared" si="9"/>
        <v>27410</v>
      </c>
      <c r="C77" s="16">
        <f t="shared" si="10"/>
        <v>0</v>
      </c>
      <c r="D77" s="15">
        <f t="shared" si="11"/>
        <v>8.4578422467800007E+20</v>
      </c>
      <c r="E77" s="15">
        <f>IF($C77=0,0,FORECAST($C77, OFFSET('De Vaucouleurs Deprojection'!$F$2:$F$127, MATCH($C77, 'De Vaucouleurs Deprojection'!$A$2:$A$127,1)-1,0,2), OFFSET('De Vaucouleurs Deprojection'!$A$2:$A$127, MATCH($C77, 'De Vaucouleurs Deprojection'!$A$2:$A$127,1)-1,0,2))*QESTotalBulgeMass)</f>
        <v>0</v>
      </c>
      <c r="F77" s="15">
        <f t="shared" si="12"/>
        <v>2.8642805546553295E+41</v>
      </c>
      <c r="H77" s="15">
        <f t="shared" si="13"/>
        <v>2.8642805546553295E+41</v>
      </c>
      <c r="I77" s="16">
        <v>230.1</v>
      </c>
      <c r="J77" s="16">
        <v>6.6</v>
      </c>
      <c r="K77" s="19">
        <f t="shared" si="14"/>
        <v>231.18073149816553</v>
      </c>
      <c r="L77" s="16">
        <f t="shared" si="15"/>
        <v>2.6813144424405862E-2</v>
      </c>
    </row>
    <row r="78" spans="1:12" x14ac:dyDescent="0.25">
      <c r="A78" s="45">
        <v>27.79</v>
      </c>
      <c r="B78" s="45">
        <f t="shared" si="9"/>
        <v>27790</v>
      </c>
      <c r="C78" s="16">
        <f t="shared" si="10"/>
        <v>0</v>
      </c>
      <c r="D78" s="15">
        <f t="shared" si="11"/>
        <v>8.5750979948200002E+20</v>
      </c>
      <c r="E78" s="15">
        <f>IF($C78=0,0,FORECAST($C78, OFFSET('De Vaucouleurs Deprojection'!$F$2:$F$127, MATCH($C78, 'De Vaucouleurs Deprojection'!$A$2:$A$127,1)-1,0,2), OFFSET('De Vaucouleurs Deprojection'!$A$2:$A$127, MATCH($C78, 'De Vaucouleurs Deprojection'!$A$2:$A$127,1)-1,0,2))*QESTotalBulgeMass)</f>
        <v>0</v>
      </c>
      <c r="F78" s="15">
        <f t="shared" si="12"/>
        <v>2.8649993524403958E+41</v>
      </c>
      <c r="H78" s="15">
        <f t="shared" si="13"/>
        <v>2.8649993524403958E+41</v>
      </c>
      <c r="I78" s="16">
        <v>229.8</v>
      </c>
      <c r="J78" s="16">
        <v>3</v>
      </c>
      <c r="K78" s="19">
        <f t="shared" si="14"/>
        <v>231.44902689772459</v>
      </c>
      <c r="L78" s="16">
        <f t="shared" si="15"/>
        <v>0.30214330104657322</v>
      </c>
    </row>
    <row r="79" spans="1:12" x14ac:dyDescent="0.25">
      <c r="A79" s="45">
        <v>28.17</v>
      </c>
      <c r="B79" s="45">
        <f t="shared" si="9"/>
        <v>28170</v>
      </c>
      <c r="C79" s="16">
        <f t="shared" si="10"/>
        <v>0</v>
      </c>
      <c r="D79" s="15">
        <f t="shared" si="11"/>
        <v>8.692353742860001E+20</v>
      </c>
      <c r="E79" s="15">
        <f>IF($C79=0,0,FORECAST($C79, OFFSET('De Vaucouleurs Deprojection'!$F$2:$F$127, MATCH($C79, 'De Vaucouleurs Deprojection'!$A$2:$A$127,1)-1,0,2), OFFSET('De Vaucouleurs Deprojection'!$A$2:$A$127, MATCH($C79, 'De Vaucouleurs Deprojection'!$A$2:$A$127,1)-1,0,2))*QESTotalBulgeMass)</f>
        <v>0</v>
      </c>
      <c r="F79" s="15">
        <f t="shared" si="12"/>
        <v>2.8656500623064649E+41</v>
      </c>
      <c r="H79" s="15">
        <f t="shared" si="13"/>
        <v>2.8656500623064649E+41</v>
      </c>
      <c r="I79" s="16">
        <v>230.4</v>
      </c>
      <c r="J79" s="16">
        <v>5.2</v>
      </c>
      <c r="K79" s="19">
        <f t="shared" si="14"/>
        <v>231.73354937938726</v>
      </c>
      <c r="L79" s="16">
        <f t="shared" si="15"/>
        <v>6.5767527635507389E-2</v>
      </c>
    </row>
    <row r="80" spans="1:12" x14ac:dyDescent="0.25">
      <c r="A80" s="45">
        <v>28.56</v>
      </c>
      <c r="B80" s="45">
        <f t="shared" si="9"/>
        <v>28560</v>
      </c>
      <c r="C80" s="16">
        <f t="shared" si="10"/>
        <v>0</v>
      </c>
      <c r="D80" s="15">
        <f t="shared" si="11"/>
        <v>8.8126951684800001E+20</v>
      </c>
      <c r="E80" s="15">
        <f>IF($C80=0,0,FORECAST($C80, OFFSET('De Vaucouleurs Deprojection'!$F$2:$F$127, MATCH($C80, 'De Vaucouleurs Deprojection'!$A$2:$A$127,1)-1,0,2), OFFSET('De Vaucouleurs Deprojection'!$A$2:$A$127, MATCH($C80, 'De Vaucouleurs Deprojection'!$A$2:$A$127,1)-1,0,2))*QESTotalBulgeMass)</f>
        <v>0</v>
      </c>
      <c r="F80" s="15">
        <f t="shared" si="12"/>
        <v>2.8662537441465013E+41</v>
      </c>
      <c r="H80" s="15">
        <f t="shared" si="13"/>
        <v>2.8662537441465013E+41</v>
      </c>
      <c r="I80" s="16">
        <v>230.9</v>
      </c>
      <c r="J80" s="16">
        <v>2.9</v>
      </c>
      <c r="K80" s="19">
        <f t="shared" si="14"/>
        <v>232.04178689495964</v>
      </c>
      <c r="L80" s="16">
        <f t="shared" si="15"/>
        <v>0.15501513834739222</v>
      </c>
    </row>
    <row r="81" spans="1:12" x14ac:dyDescent="0.25">
      <c r="A81" s="45">
        <v>28.94</v>
      </c>
      <c r="B81" s="45">
        <f t="shared" si="9"/>
        <v>28940</v>
      </c>
      <c r="C81" s="16">
        <f t="shared" si="10"/>
        <v>0</v>
      </c>
      <c r="D81" s="15">
        <f t="shared" si="11"/>
        <v>8.9299509165200009E+20</v>
      </c>
      <c r="E81" s="15">
        <f>IF($C81=0,0,FORECAST($C81, OFFSET('De Vaucouleurs Deprojection'!$F$2:$F$127, MATCH($C81, 'De Vaucouleurs Deprojection'!$A$2:$A$127,1)-1,0,2), OFFSET('De Vaucouleurs Deprojection'!$A$2:$A$127, MATCH($C81, 'De Vaucouleurs Deprojection'!$A$2:$A$127,1)-1,0,2))*QESTotalBulgeMass)</f>
        <v>0</v>
      </c>
      <c r="F81" s="15">
        <f t="shared" si="12"/>
        <v>2.8667853232546806E+41</v>
      </c>
      <c r="H81" s="15">
        <f t="shared" si="13"/>
        <v>2.8667853232546806E+41</v>
      </c>
      <c r="I81" s="16">
        <v>229.8</v>
      </c>
      <c r="J81" s="16">
        <v>2.1</v>
      </c>
      <c r="K81" s="19">
        <f t="shared" si="14"/>
        <v>232.35732370355777</v>
      </c>
      <c r="L81" s="16">
        <f t="shared" si="15"/>
        <v>1.482971547568789</v>
      </c>
    </row>
    <row r="82" spans="1:12" x14ac:dyDescent="0.25">
      <c r="A82" s="45">
        <v>29.32</v>
      </c>
      <c r="B82" s="45">
        <f t="shared" si="9"/>
        <v>29320</v>
      </c>
      <c r="C82" s="16">
        <f t="shared" si="10"/>
        <v>0</v>
      </c>
      <c r="D82" s="15">
        <f t="shared" si="11"/>
        <v>9.0472066645600004E+20</v>
      </c>
      <c r="E82" s="15">
        <f>IF($C82=0,0,FORECAST($C82, OFFSET('De Vaucouleurs Deprojection'!$F$2:$F$127, MATCH($C82, 'De Vaucouleurs Deprojection'!$A$2:$A$127,1)-1,0,2), OFFSET('De Vaucouleurs Deprojection'!$A$2:$A$127, MATCH($C82, 'De Vaucouleurs Deprojection'!$A$2:$A$127,1)-1,0,2))*QESTotalBulgeMass)</f>
        <v>0</v>
      </c>
      <c r="F82" s="15">
        <f t="shared" si="12"/>
        <v>2.867266287191155E+41</v>
      </c>
      <c r="H82" s="15">
        <f t="shared" si="13"/>
        <v>2.867266287191155E+41</v>
      </c>
      <c r="I82" s="16">
        <v>228.8</v>
      </c>
      <c r="J82" s="16">
        <v>1.8</v>
      </c>
      <c r="K82" s="19">
        <f t="shared" si="14"/>
        <v>232.68728502325405</v>
      </c>
      <c r="L82" s="16">
        <f t="shared" si="15"/>
        <v>4.6638842135849199</v>
      </c>
    </row>
    <row r="83" spans="1:12" x14ac:dyDescent="0.25">
      <c r="A83" s="45">
        <v>29.7</v>
      </c>
      <c r="B83" s="45">
        <f t="shared" si="9"/>
        <v>29700</v>
      </c>
      <c r="C83" s="16">
        <f t="shared" si="10"/>
        <v>0</v>
      </c>
      <c r="D83" s="15">
        <f t="shared" si="11"/>
        <v>9.1644624125999999E+20</v>
      </c>
      <c r="E83" s="15">
        <f>IF($C83=0,0,FORECAST($C83, OFFSET('De Vaucouleurs Deprojection'!$F$2:$F$127, MATCH($C83, 'De Vaucouleurs Deprojection'!$A$2:$A$127,1)-1,0,2), OFFSET('De Vaucouleurs Deprojection'!$A$2:$A$127, MATCH($C83, 'De Vaucouleurs Deprojection'!$A$2:$A$127,1)-1,0,2))*QESTotalBulgeMass)</f>
        <v>0</v>
      </c>
      <c r="F83" s="15">
        <f t="shared" si="12"/>
        <v>2.8677013812907023E+41</v>
      </c>
      <c r="H83" s="15">
        <f t="shared" si="13"/>
        <v>2.8677013812907023E+41</v>
      </c>
      <c r="I83" s="16">
        <v>238.3</v>
      </c>
      <c r="J83" s="16">
        <v>3.3</v>
      </c>
      <c r="K83" s="19">
        <f t="shared" si="14"/>
        <v>233.0311144970388</v>
      </c>
      <c r="L83" s="16">
        <f t="shared" si="15"/>
        <v>2.5492336495238588</v>
      </c>
    </row>
    <row r="84" spans="1:12" x14ac:dyDescent="0.25">
      <c r="A84" s="45">
        <v>30.08</v>
      </c>
      <c r="B84" s="45">
        <f t="shared" si="9"/>
        <v>30080</v>
      </c>
      <c r="C84" s="16">
        <f t="shared" si="10"/>
        <v>0</v>
      </c>
      <c r="D84" s="15">
        <f t="shared" si="11"/>
        <v>9.2817181606399993E+20</v>
      </c>
      <c r="E84" s="15">
        <f>IF($C84=0,0,FORECAST($C84, OFFSET('De Vaucouleurs Deprojection'!$F$2:$F$127, MATCH($C84, 'De Vaucouleurs Deprojection'!$A$2:$A$127,1)-1,0,2), OFFSET('De Vaucouleurs Deprojection'!$A$2:$A$127, MATCH($C84, 'De Vaucouleurs Deprojection'!$A$2:$A$127,1)-1,0,2))*QESTotalBulgeMass)</f>
        <v>0</v>
      </c>
      <c r="F84" s="15">
        <f t="shared" si="12"/>
        <v>2.8680949149076829E+41</v>
      </c>
      <c r="H84" s="15">
        <f t="shared" si="13"/>
        <v>2.8680949149076829E+41</v>
      </c>
      <c r="I84" s="16">
        <v>243.6</v>
      </c>
      <c r="J84" s="16">
        <v>1.4</v>
      </c>
      <c r="K84" s="19">
        <f t="shared" si="14"/>
        <v>233.38827476991557</v>
      </c>
      <c r="L84" s="16">
        <f t="shared" si="15"/>
        <v>53.203740905481034</v>
      </c>
    </row>
    <row r="85" spans="1:12" x14ac:dyDescent="0.25">
      <c r="A85" s="45">
        <v>30.46</v>
      </c>
      <c r="B85" s="45">
        <f t="shared" si="9"/>
        <v>30460</v>
      </c>
      <c r="C85" s="16">
        <f t="shared" si="10"/>
        <v>0</v>
      </c>
      <c r="D85" s="15">
        <f t="shared" si="11"/>
        <v>9.3989739086800001E+20</v>
      </c>
      <c r="E85" s="15">
        <f>IF($C85=0,0,FORECAST($C85, OFFSET('De Vaucouleurs Deprojection'!$F$2:$F$127, MATCH($C85, 'De Vaucouleurs Deprojection'!$A$2:$A$127,1)-1,0,2), OFFSET('De Vaucouleurs Deprojection'!$A$2:$A$127, MATCH($C85, 'De Vaucouleurs Deprojection'!$A$2:$A$127,1)-1,0,2))*QESTotalBulgeMass)</f>
        <v>0</v>
      </c>
      <c r="F85" s="15">
        <f t="shared" si="12"/>
        <v>2.8684508003834977E+41</v>
      </c>
      <c r="H85" s="15">
        <f t="shared" si="13"/>
        <v>2.8684508003834977E+41</v>
      </c>
      <c r="I85" s="16">
        <v>247.3</v>
      </c>
      <c r="J85" s="16">
        <v>3.1</v>
      </c>
      <c r="K85" s="19">
        <f t="shared" si="14"/>
        <v>233.75824711645407</v>
      </c>
      <c r="L85" s="16">
        <f t="shared" si="15"/>
        <v>19.082109381792378</v>
      </c>
    </row>
    <row r="86" spans="1:12" x14ac:dyDescent="0.25">
      <c r="A86" s="45">
        <v>30.84</v>
      </c>
      <c r="B86" s="45">
        <f t="shared" si="9"/>
        <v>30840</v>
      </c>
      <c r="C86" s="16">
        <f t="shared" si="10"/>
        <v>0</v>
      </c>
      <c r="D86" s="15">
        <f t="shared" si="11"/>
        <v>9.5162296567199996E+20</v>
      </c>
      <c r="E86" s="15">
        <f>IF($C86=0,0,FORECAST($C86, OFFSET('De Vaucouleurs Deprojection'!$F$2:$F$127, MATCH($C86, 'De Vaucouleurs Deprojection'!$A$2:$A$127,1)-1,0,2), OFFSET('De Vaucouleurs Deprojection'!$A$2:$A$127, MATCH($C86, 'De Vaucouleurs Deprojection'!$A$2:$A$127,1)-1,0,2))*QESTotalBulgeMass)</f>
        <v>0</v>
      </c>
      <c r="F86" s="15">
        <f t="shared" si="12"/>
        <v>2.8687725886668805E+41</v>
      </c>
      <c r="H86" s="15">
        <f t="shared" si="13"/>
        <v>2.8687725886668805E+41</v>
      </c>
      <c r="I86" s="16">
        <v>247.8</v>
      </c>
      <c r="J86" s="16">
        <v>1.3</v>
      </c>
      <c r="K86" s="19">
        <f t="shared" si="14"/>
        <v>234.14053103398768</v>
      </c>
      <c r="L86" s="16">
        <f t="shared" si="15"/>
        <v>110.40301327423303</v>
      </c>
    </row>
    <row r="87" spans="1:12" x14ac:dyDescent="0.25">
      <c r="A87" s="45">
        <v>31.22</v>
      </c>
      <c r="B87" s="45">
        <f t="shared" si="9"/>
        <v>31220</v>
      </c>
      <c r="C87" s="16">
        <f t="shared" si="10"/>
        <v>0</v>
      </c>
      <c r="D87" s="15">
        <f t="shared" si="11"/>
        <v>9.6334854047599991E+20</v>
      </c>
      <c r="E87" s="15">
        <f>IF($C87=0,0,FORECAST($C87, OFFSET('De Vaucouleurs Deprojection'!$F$2:$F$127, MATCH($C87, 'De Vaucouleurs Deprojection'!$A$2:$A$127,1)-1,0,2), OFFSET('De Vaucouleurs Deprojection'!$A$2:$A$127, MATCH($C87, 'De Vaucouleurs Deprojection'!$A$2:$A$127,1)-1,0,2))*QESTotalBulgeMass)</f>
        <v>0</v>
      </c>
      <c r="F87" s="15">
        <f t="shared" si="12"/>
        <v>2.8690635018571285E+41</v>
      </c>
      <c r="H87" s="15">
        <f t="shared" si="13"/>
        <v>2.8690635018571285E+41</v>
      </c>
      <c r="I87" s="16">
        <v>248.4</v>
      </c>
      <c r="J87" s="16">
        <v>2</v>
      </c>
      <c r="K87" s="19">
        <f t="shared" si="14"/>
        <v>234.53464380855226</v>
      </c>
      <c r="L87" s="16">
        <f t="shared" si="15"/>
        <v>48.062025578929578</v>
      </c>
    </row>
    <row r="88" spans="1:12" x14ac:dyDescent="0.25">
      <c r="A88" s="45">
        <v>31.61</v>
      </c>
      <c r="B88" s="45">
        <f t="shared" si="9"/>
        <v>31610</v>
      </c>
      <c r="C88" s="16">
        <f t="shared" si="10"/>
        <v>0</v>
      </c>
      <c r="D88" s="15">
        <f t="shared" si="11"/>
        <v>9.7538268303799996E+20</v>
      </c>
      <c r="E88" s="15">
        <f>IF($C88=0,0,FORECAST($C88, OFFSET('De Vaucouleurs Deprojection'!$F$2:$F$127, MATCH($C88, 'De Vaucouleurs Deprojection'!$A$2:$A$127,1)-1,0,2), OFFSET('De Vaucouleurs Deprojection'!$A$2:$A$127, MATCH($C88, 'De Vaucouleurs Deprojection'!$A$2:$A$127,1)-1,0,2))*QESTotalBulgeMass)</f>
        <v>0</v>
      </c>
      <c r="F88" s="15">
        <f t="shared" si="12"/>
        <v>2.8693330302287419E+41</v>
      </c>
      <c r="H88" s="15">
        <f t="shared" si="13"/>
        <v>2.8693330302287419E+41</v>
      </c>
      <c r="I88" s="16">
        <v>248.1</v>
      </c>
      <c r="J88" s="16">
        <v>1.5</v>
      </c>
      <c r="K88" s="19">
        <f t="shared" si="14"/>
        <v>234.95093981375751</v>
      </c>
      <c r="L88" s="16">
        <f t="shared" si="15"/>
        <v>76.843459458412042</v>
      </c>
    </row>
    <row r="89" spans="1:12" x14ac:dyDescent="0.25">
      <c r="A89" s="45">
        <v>31.99</v>
      </c>
      <c r="B89" s="45">
        <f t="shared" si="9"/>
        <v>31990</v>
      </c>
      <c r="C89" s="16">
        <f t="shared" si="10"/>
        <v>0</v>
      </c>
      <c r="D89" s="15">
        <f t="shared" si="11"/>
        <v>9.871082578419999E+20</v>
      </c>
      <c r="E89" s="15">
        <f>IF($C89=0,0,FORECAST($C89, OFFSET('De Vaucouleurs Deprojection'!$F$2:$F$127, MATCH($C89, 'De Vaucouleurs Deprojection'!$A$2:$A$127,1)-1,0,2), OFFSET('De Vaucouleurs Deprojection'!$A$2:$A$127, MATCH($C89, 'De Vaucouleurs Deprojection'!$A$2:$A$127,1)-1,0,2))*QESTotalBulgeMass)</f>
        <v>0</v>
      </c>
      <c r="F89" s="15">
        <f t="shared" si="12"/>
        <v>2.8695700577941918E+41</v>
      </c>
      <c r="H89" s="15">
        <f t="shared" si="13"/>
        <v>2.8695700577941918E+41</v>
      </c>
      <c r="I89" s="16">
        <v>244.5</v>
      </c>
      <c r="J89" s="16">
        <v>1.6</v>
      </c>
      <c r="K89" s="19">
        <f t="shared" si="14"/>
        <v>235.36761235348223</v>
      </c>
      <c r="L89" s="16">
        <f t="shared" si="15"/>
        <v>32.578321924324356</v>
      </c>
    </row>
    <row r="90" spans="1:12" x14ac:dyDescent="0.25">
      <c r="A90" s="45">
        <v>32.369999999999997</v>
      </c>
      <c r="B90" s="45">
        <f t="shared" si="9"/>
        <v>32369.999999999996</v>
      </c>
      <c r="C90" s="16">
        <f t="shared" si="10"/>
        <v>0</v>
      </c>
      <c r="D90" s="15">
        <f t="shared" si="11"/>
        <v>9.9883383264599998E+20</v>
      </c>
      <c r="E90" s="15">
        <f>IF($C90=0,0,FORECAST($C90, OFFSET('De Vaucouleurs Deprojection'!$F$2:$F$127, MATCH($C90, 'De Vaucouleurs Deprojection'!$A$2:$A$127,1)-1,0,2), OFFSET('De Vaucouleurs Deprojection'!$A$2:$A$127, MATCH($C90, 'De Vaucouleurs Deprojection'!$A$2:$A$127,1)-1,0,2))*QESTotalBulgeMass)</f>
        <v>0</v>
      </c>
      <c r="F90" s="15">
        <f t="shared" si="12"/>
        <v>2.869784248006323E+41</v>
      </c>
      <c r="H90" s="15">
        <f t="shared" si="13"/>
        <v>2.869784248006323E+41</v>
      </c>
      <c r="I90" s="16">
        <v>244.4</v>
      </c>
      <c r="J90" s="16">
        <v>3</v>
      </c>
      <c r="K90" s="19">
        <f t="shared" si="14"/>
        <v>235.79475656059782</v>
      </c>
      <c r="L90" s="16">
        <f t="shared" si="15"/>
        <v>8.2278016279304875</v>
      </c>
    </row>
    <row r="91" spans="1:12" x14ac:dyDescent="0.25">
      <c r="A91" s="45">
        <v>32.75</v>
      </c>
      <c r="B91" s="45">
        <f t="shared" si="9"/>
        <v>32750</v>
      </c>
      <c r="C91" s="16">
        <f t="shared" si="10"/>
        <v>0</v>
      </c>
      <c r="D91" s="15">
        <f t="shared" si="11"/>
        <v>1.0105594074500001E+21</v>
      </c>
      <c r="E91" s="15">
        <f>IF($C91=0,0,FORECAST($C91, OFFSET('De Vaucouleurs Deprojection'!$F$2:$F$127, MATCH($C91, 'De Vaucouleurs Deprojection'!$A$2:$A$127,1)-1,0,2), OFFSET('De Vaucouleurs Deprojection'!$A$2:$A$127, MATCH($C91, 'De Vaucouleurs Deprojection'!$A$2:$A$127,1)-1,0,2))*QESTotalBulgeMass)</f>
        <v>0</v>
      </c>
      <c r="F91" s="15">
        <f t="shared" si="12"/>
        <v>2.8699777742242341E+41</v>
      </c>
      <c r="H91" s="15">
        <f t="shared" si="13"/>
        <v>2.8699777742242341E+41</v>
      </c>
      <c r="I91" s="16">
        <v>241.7</v>
      </c>
      <c r="J91" s="16">
        <v>4.3</v>
      </c>
      <c r="K91" s="19">
        <f t="shared" si="14"/>
        <v>236.23195660271134</v>
      </c>
      <c r="L91" s="16">
        <f t="shared" si="15"/>
        <v>1.6170632014403481</v>
      </c>
    </row>
    <row r="92" spans="1:12" x14ac:dyDescent="0.25">
      <c r="A92" s="45">
        <v>33.130000000000003</v>
      </c>
      <c r="B92" s="45">
        <f t="shared" si="9"/>
        <v>33130</v>
      </c>
      <c r="C92" s="16">
        <f t="shared" si="10"/>
        <v>0</v>
      </c>
      <c r="D92" s="15">
        <f t="shared" si="11"/>
        <v>1.0222849822540001E+21</v>
      </c>
      <c r="E92" s="15">
        <f>IF($C92=0,0,FORECAST($C92, OFFSET('De Vaucouleurs Deprojection'!$F$2:$F$127, MATCH($C92, 'De Vaucouleurs Deprojection'!$A$2:$A$127,1)-1,0,2), OFFSET('De Vaucouleurs Deprojection'!$A$2:$A$127, MATCH($C92, 'De Vaucouleurs Deprojection'!$A$2:$A$127,1)-1,0,2))*QESTotalBulgeMass)</f>
        <v>0</v>
      </c>
      <c r="F92" s="15">
        <f t="shared" si="12"/>
        <v>2.8701526061843735E+41</v>
      </c>
      <c r="H92" s="15">
        <f t="shared" si="13"/>
        <v>2.8701526061843735E+41</v>
      </c>
      <c r="I92" s="16">
        <v>237.7</v>
      </c>
      <c r="J92" s="16">
        <v>1.9</v>
      </c>
      <c r="K92" s="19">
        <f t="shared" si="14"/>
        <v>236.67881203492695</v>
      </c>
      <c r="L92" s="16">
        <f t="shared" si="15"/>
        <v>0.28887115235734501</v>
      </c>
    </row>
    <row r="93" spans="1:12" x14ac:dyDescent="0.25">
      <c r="A93" s="45">
        <v>33.51</v>
      </c>
      <c r="B93" s="45">
        <f t="shared" si="9"/>
        <v>33510</v>
      </c>
      <c r="C93" s="16">
        <f t="shared" si="10"/>
        <v>0</v>
      </c>
      <c r="D93" s="15">
        <f t="shared" si="11"/>
        <v>1.034010557058E+21</v>
      </c>
      <c r="E93" s="15">
        <f>IF($C93=0,0,FORECAST($C93, OFFSET('De Vaucouleurs Deprojection'!$F$2:$F$127, MATCH($C93, 'De Vaucouleurs Deprojection'!$A$2:$A$127,1)-1,0,2), OFFSET('De Vaucouleurs Deprojection'!$A$2:$A$127, MATCH($C93, 'De Vaucouleurs Deprojection'!$A$2:$A$127,1)-1,0,2))*QESTotalBulgeMass)</f>
        <v>0</v>
      </c>
      <c r="F93" s="15">
        <f t="shared" si="12"/>
        <v>2.8703105286917797E+41</v>
      </c>
      <c r="H93" s="15">
        <f t="shared" si="13"/>
        <v>2.8703105286917797E+41</v>
      </c>
      <c r="I93" s="16">
        <v>237.6</v>
      </c>
      <c r="J93" s="16">
        <v>6.1</v>
      </c>
      <c r="K93" s="19">
        <f t="shared" si="14"/>
        <v>237.13493730745222</v>
      </c>
      <c r="L93" s="16">
        <f t="shared" si="15"/>
        <v>5.8125049180270498E-3</v>
      </c>
    </row>
    <row r="94" spans="1:12" x14ac:dyDescent="0.25">
      <c r="A94" s="45">
        <v>33.89</v>
      </c>
      <c r="B94" s="45">
        <f t="shared" si="9"/>
        <v>33890</v>
      </c>
      <c r="C94" s="16">
        <f t="shared" si="10"/>
        <v>0</v>
      </c>
      <c r="D94" s="15">
        <f t="shared" si="11"/>
        <v>1.045736131862E+21</v>
      </c>
      <c r="E94" s="15">
        <f>IF($C94=0,0,FORECAST($C94, OFFSET('De Vaucouleurs Deprojection'!$F$2:$F$127, MATCH($C94, 'De Vaucouleurs Deprojection'!$A$2:$A$127,1)-1,0,2), OFFSET('De Vaucouleurs Deprojection'!$A$2:$A$127, MATCH($C94, 'De Vaucouleurs Deprojection'!$A$2:$A$127,1)-1,0,2))*QESTotalBulgeMass)</f>
        <v>0</v>
      </c>
      <c r="F94" s="15">
        <f t="shared" si="12"/>
        <v>2.8704531586428117E+41</v>
      </c>
      <c r="H94" s="15">
        <f t="shared" si="13"/>
        <v>2.8704531586428117E+41</v>
      </c>
      <c r="I94" s="16">
        <v>244.9</v>
      </c>
      <c r="J94" s="16">
        <v>3.6</v>
      </c>
      <c r="K94" s="19">
        <f t="shared" si="14"/>
        <v>237.59996127541982</v>
      </c>
      <c r="L94" s="16">
        <f t="shared" si="15"/>
        <v>4.111926341077961</v>
      </c>
    </row>
    <row r="95" spans="1:12" x14ac:dyDescent="0.25">
      <c r="A95" s="45">
        <v>34.270000000000003</v>
      </c>
      <c r="B95" s="45">
        <f t="shared" si="9"/>
        <v>34270</v>
      </c>
      <c r="C95" s="16">
        <f t="shared" si="10"/>
        <v>0</v>
      </c>
      <c r="D95" s="15">
        <f t="shared" si="11"/>
        <v>1.0574617066660001E+21</v>
      </c>
      <c r="E95" s="15">
        <f>IF($C95=0,0,FORECAST($C95, OFFSET('De Vaucouleurs Deprojection'!$F$2:$F$127, MATCH($C95, 'De Vaucouleurs Deprojection'!$A$2:$A$127,1)-1,0,2), OFFSET('De Vaucouleurs Deprojection'!$A$2:$A$127, MATCH($C95, 'De Vaucouleurs Deprojection'!$A$2:$A$127,1)-1,0,2))*QESTotalBulgeMass)</f>
        <v>0</v>
      </c>
      <c r="F95" s="15">
        <f t="shared" si="12"/>
        <v>2.8705819605224017E+41</v>
      </c>
      <c r="H95" s="15">
        <f t="shared" si="13"/>
        <v>2.8705819605224017E+41</v>
      </c>
      <c r="I95" s="16">
        <v>247.9</v>
      </c>
      <c r="J95" s="16">
        <v>3.2</v>
      </c>
      <c r="K95" s="19">
        <f t="shared" si="14"/>
        <v>238.07352671307737</v>
      </c>
      <c r="L95" s="16">
        <f t="shared" si="15"/>
        <v>9.4296462166605579</v>
      </c>
    </row>
    <row r="96" spans="1:12" x14ac:dyDescent="0.25">
      <c r="A96" s="45">
        <v>34.659999999999997</v>
      </c>
      <c r="B96" s="45">
        <f t="shared" si="9"/>
        <v>34660</v>
      </c>
      <c r="C96" s="16">
        <f t="shared" si="10"/>
        <v>0</v>
      </c>
      <c r="D96" s="15">
        <f t="shared" si="11"/>
        <v>1.0694958492279999E+21</v>
      </c>
      <c r="E96" s="15">
        <f>IF($C96=0,0,FORECAST($C96, OFFSET('De Vaucouleurs Deprojection'!$F$2:$F$127, MATCH($C96, 'De Vaucouleurs Deprojection'!$A$2:$A$127,1)-1,0,2), OFFSET('De Vaucouleurs Deprojection'!$A$2:$A$127, MATCH($C96, 'De Vaucouleurs Deprojection'!$A$2:$A$127,1)-1,0,2))*QESTotalBulgeMass)</f>
        <v>0</v>
      </c>
      <c r="F96" s="15">
        <f t="shared" si="12"/>
        <v>2.8707011634200708E+41</v>
      </c>
      <c r="H96" s="15">
        <f t="shared" si="13"/>
        <v>2.8707011634200708E+41</v>
      </c>
      <c r="I96" s="16">
        <v>256.3</v>
      </c>
      <c r="J96" s="16">
        <v>3.1</v>
      </c>
      <c r="K96" s="19">
        <f t="shared" si="14"/>
        <v>238.56807546817672</v>
      </c>
      <c r="L96" s="16">
        <f t="shared" si="15"/>
        <v>32.718121498676041</v>
      </c>
    </row>
    <row r="97" spans="1:23" x14ac:dyDescent="0.25">
      <c r="A97" s="45">
        <v>35.04</v>
      </c>
      <c r="B97" s="45">
        <f t="shared" si="9"/>
        <v>35040</v>
      </c>
      <c r="C97" s="16">
        <f t="shared" si="10"/>
        <v>0</v>
      </c>
      <c r="D97" s="15">
        <f t="shared" si="11"/>
        <v>1.081221424032E+21</v>
      </c>
      <c r="E97" s="15">
        <f>IF($C97=0,0,FORECAST($C97, OFFSET('De Vaucouleurs Deprojection'!$F$2:$F$127, MATCH($C97, 'De Vaucouleurs Deprojection'!$A$2:$A$127,1)-1,0,2), OFFSET('De Vaucouleurs Deprojection'!$A$2:$A$127, MATCH($C97, 'De Vaucouleurs Deprojection'!$A$2:$A$127,1)-1,0,2))*QESTotalBulgeMass)</f>
        <v>0</v>
      </c>
      <c r="F97" s="15">
        <f t="shared" si="12"/>
        <v>2.8708058799615104E+41</v>
      </c>
      <c r="H97" s="15">
        <f t="shared" si="13"/>
        <v>2.8708058799615104E+41</v>
      </c>
      <c r="I97" s="16">
        <v>253.5</v>
      </c>
      <c r="J97" s="16">
        <v>4.0999999999999996</v>
      </c>
      <c r="K97" s="19">
        <f t="shared" si="14"/>
        <v>239.05790812434259</v>
      </c>
      <c r="L97" s="16">
        <f t="shared" si="15"/>
        <v>12.407734547586545</v>
      </c>
    </row>
    <row r="98" spans="1:23" x14ac:dyDescent="0.25">
      <c r="A98" s="45">
        <v>35.42</v>
      </c>
      <c r="B98" s="45">
        <f t="shared" si="9"/>
        <v>35420</v>
      </c>
      <c r="C98" s="16">
        <f t="shared" si="10"/>
        <v>0</v>
      </c>
      <c r="D98" s="15">
        <f t="shared" si="11"/>
        <v>1.0929469988360001E+21</v>
      </c>
      <c r="E98" s="15">
        <f>IF($C98=0,0,FORECAST($C98, OFFSET('De Vaucouleurs Deprojection'!$F$2:$F$127, MATCH($C98, 'De Vaucouleurs Deprojection'!$A$2:$A$127,1)-1,0,2), OFFSET('De Vaucouleurs Deprojection'!$A$2:$A$127, MATCH($C98, 'De Vaucouleurs Deprojection'!$A$2:$A$127,1)-1,0,2))*QESTotalBulgeMass)</f>
        <v>0</v>
      </c>
      <c r="F98" s="15">
        <f t="shared" si="12"/>
        <v>2.8709004093611803E+41</v>
      </c>
      <c r="H98" s="15">
        <f t="shared" si="13"/>
        <v>2.8709004093611803E+41</v>
      </c>
      <c r="I98" s="16">
        <v>244.3</v>
      </c>
      <c r="J98" s="16">
        <v>4.7</v>
      </c>
      <c r="K98" s="19">
        <f t="shared" si="14"/>
        <v>239.55528111899466</v>
      </c>
      <c r="L98" s="16">
        <f t="shared" si="15"/>
        <v>1.0191198397360208</v>
      </c>
    </row>
    <row r="99" spans="1:23" x14ac:dyDescent="0.25">
      <c r="A99" s="45">
        <v>35.799999999999997</v>
      </c>
      <c r="B99" s="45">
        <f t="shared" si="9"/>
        <v>35800</v>
      </c>
      <c r="C99" s="16">
        <f t="shared" si="10"/>
        <v>0</v>
      </c>
      <c r="D99" s="15">
        <f t="shared" si="11"/>
        <v>1.1046725736399999E+21</v>
      </c>
      <c r="E99" s="15">
        <f>IF($C99=0,0,FORECAST($C99, OFFSET('De Vaucouleurs Deprojection'!$F$2:$F$127, MATCH($C99, 'De Vaucouleurs Deprojection'!$A$2:$A$127,1)-1,0,2), OFFSET('De Vaucouleurs Deprojection'!$A$2:$A$127, MATCH($C99, 'De Vaucouleurs Deprojection'!$A$2:$A$127,1)-1,0,2))*QESTotalBulgeMass)</f>
        <v>0</v>
      </c>
      <c r="F99" s="15">
        <f t="shared" si="12"/>
        <v>2.8709857327250449E+41</v>
      </c>
      <c r="H99" s="15">
        <f t="shared" si="13"/>
        <v>2.8709857327250449E+41</v>
      </c>
      <c r="I99" s="16">
        <v>249.3</v>
      </c>
      <c r="J99" s="16">
        <v>5.8</v>
      </c>
      <c r="K99" s="19">
        <f t="shared" si="14"/>
        <v>240.05988850045708</v>
      </c>
      <c r="L99" s="16">
        <f t="shared" si="15"/>
        <v>2.5380398491077751</v>
      </c>
    </row>
    <row r="100" spans="1:23" x14ac:dyDescent="0.25">
      <c r="A100" s="45">
        <v>36.18</v>
      </c>
      <c r="B100" s="45">
        <f t="shared" si="9"/>
        <v>36180</v>
      </c>
      <c r="C100" s="16">
        <f t="shared" si="10"/>
        <v>0</v>
      </c>
      <c r="D100" s="15">
        <f t="shared" si="11"/>
        <v>1.116398148444E+21</v>
      </c>
      <c r="E100" s="15">
        <f>IF($C100=0,0,FORECAST($C100, OFFSET('De Vaucouleurs Deprojection'!$F$2:$F$127, MATCH($C100, 'De Vaucouleurs Deprojection'!$A$2:$A$127,1)-1,0,2), OFFSET('De Vaucouleurs Deprojection'!$A$2:$A$127, MATCH($C100, 'De Vaucouleurs Deprojection'!$A$2:$A$127,1)-1,0,2))*QESTotalBulgeMass)</f>
        <v>0</v>
      </c>
      <c r="F100" s="15">
        <f t="shared" si="12"/>
        <v>2.8710627378395463E+41</v>
      </c>
      <c r="H100" s="15">
        <f t="shared" si="13"/>
        <v>2.8710627378395463E+41</v>
      </c>
      <c r="I100" s="16">
        <v>255.7</v>
      </c>
      <c r="J100" s="16">
        <v>4.5</v>
      </c>
      <c r="K100" s="19">
        <f t="shared" si="14"/>
        <v>240.57143591462926</v>
      </c>
      <c r="L100" s="16">
        <f t="shared" si="15"/>
        <v>11.302392656057728</v>
      </c>
    </row>
    <row r="101" spans="1:23" x14ac:dyDescent="0.25">
      <c r="A101" s="45">
        <v>36.56</v>
      </c>
      <c r="B101" s="45">
        <f t="shared" si="9"/>
        <v>36560</v>
      </c>
      <c r="C101" s="16">
        <f t="shared" si="10"/>
        <v>0</v>
      </c>
      <c r="D101" s="15">
        <f t="shared" si="11"/>
        <v>1.128123723248E+21</v>
      </c>
      <c r="E101" s="15">
        <f>IF($C101=0,0,FORECAST($C101, OFFSET('De Vaucouleurs Deprojection'!$F$2:$F$127, MATCH($C101, 'De Vaucouleurs Deprojection'!$A$2:$A$127,1)-1,0,2), OFFSET('De Vaucouleurs Deprojection'!$A$2:$A$127, MATCH($C101, 'De Vaucouleurs Deprojection'!$A$2:$A$127,1)-1,0,2))*QESTotalBulgeMass)</f>
        <v>0</v>
      </c>
      <c r="F101" s="15">
        <f t="shared" si="12"/>
        <v>2.8711322279088142E+41</v>
      </c>
      <c r="H101" s="15">
        <f t="shared" si="13"/>
        <v>2.8711322279088142E+41</v>
      </c>
      <c r="I101" s="16">
        <v>255</v>
      </c>
      <c r="J101" s="16">
        <v>5.8</v>
      </c>
      <c r="K101" s="19">
        <f t="shared" si="14"/>
        <v>241.08964017429247</v>
      </c>
      <c r="L101" s="16">
        <f t="shared" si="15"/>
        <v>5.7520246872966121</v>
      </c>
    </row>
    <row r="102" spans="1:23" x14ac:dyDescent="0.25">
      <c r="A102" s="45">
        <v>36.94</v>
      </c>
      <c r="B102" s="45">
        <f t="shared" si="9"/>
        <v>36940</v>
      </c>
      <c r="C102" s="16">
        <f t="shared" si="10"/>
        <v>0</v>
      </c>
      <c r="D102" s="15">
        <f t="shared" si="11"/>
        <v>1.139849298052E+21</v>
      </c>
      <c r="E102" s="15">
        <f>IF($C102=0,0,FORECAST($C102, OFFSET('De Vaucouleurs Deprojection'!$F$2:$F$127, MATCH($C102, 'De Vaucouleurs Deprojection'!$A$2:$A$127,1)-1,0,2), OFFSET('De Vaucouleurs Deprojection'!$A$2:$A$127, MATCH($C102, 'De Vaucouleurs Deprojection'!$A$2:$A$127,1)-1,0,2))*QESTotalBulgeMass)</f>
        <v>0</v>
      </c>
      <c r="F102" s="15">
        <f t="shared" si="12"/>
        <v>2.8711949294905727E+41</v>
      </c>
      <c r="H102" s="15">
        <f t="shared" si="13"/>
        <v>2.8711949294905727E+41</v>
      </c>
      <c r="I102" s="16">
        <v>271.10000000000002</v>
      </c>
      <c r="J102" s="16">
        <v>7.8</v>
      </c>
      <c r="K102" s="19">
        <f t="shared" si="14"/>
        <v>241.61422884025495</v>
      </c>
      <c r="L102" s="16">
        <f t="shared" si="15"/>
        <v>14.29011671408373</v>
      </c>
    </row>
    <row r="103" spans="1:23" x14ac:dyDescent="0.25">
      <c r="A103" s="45">
        <v>37.32</v>
      </c>
      <c r="B103" s="45">
        <f t="shared" si="9"/>
        <v>37320</v>
      </c>
      <c r="C103" s="16">
        <f t="shared" si="10"/>
        <v>0</v>
      </c>
      <c r="D103" s="15">
        <f t="shared" si="11"/>
        <v>1.1515748728560001E+21</v>
      </c>
      <c r="E103" s="15">
        <f>IF($C103=0,0,FORECAST($C103, OFFSET('De Vaucouleurs Deprojection'!$F$2:$F$127, MATCH($C103, 'De Vaucouleurs Deprojection'!$A$2:$A$127,1)-1,0,2), OFFSET('De Vaucouleurs Deprojection'!$A$2:$A$127, MATCH($C103, 'De Vaucouleurs Deprojection'!$A$2:$A$127,1)-1,0,2))*QESTotalBulgeMass)</f>
        <v>0</v>
      </c>
      <c r="F103" s="15">
        <f t="shared" si="12"/>
        <v>2.8712514997022021E+41</v>
      </c>
      <c r="H103" s="15">
        <f t="shared" si="13"/>
        <v>2.8712514997022021E+41</v>
      </c>
      <c r="I103" s="16">
        <v>269.8</v>
      </c>
      <c r="J103" s="16">
        <v>4.7</v>
      </c>
      <c r="K103" s="19">
        <f t="shared" si="14"/>
        <v>242.14493981466757</v>
      </c>
      <c r="L103" s="16">
        <f t="shared" si="15"/>
        <v>34.622107462850146</v>
      </c>
    </row>
    <row r="104" spans="1:23" x14ac:dyDescent="0.25">
      <c r="A104" s="45">
        <v>37.71</v>
      </c>
      <c r="B104" s="45">
        <f t="shared" si="9"/>
        <v>37710</v>
      </c>
      <c r="C104" s="16">
        <f t="shared" si="10"/>
        <v>0</v>
      </c>
      <c r="D104" s="15">
        <f t="shared" si="11"/>
        <v>1.163609015418E+21</v>
      </c>
      <c r="E104" s="15">
        <f>IF($C104=0,0,FORECAST($C104, OFFSET('De Vaucouleurs Deprojection'!$F$2:$F$127, MATCH($C104, 'De Vaucouleurs Deprojection'!$A$2:$A$127,1)-1,0,2), OFFSET('De Vaucouleurs Deprojection'!$A$2:$A$127, MATCH($C104, 'De Vaucouleurs Deprojection'!$A$2:$A$127,1)-1,0,2))*QESTotalBulgeMass)</f>
        <v>0</v>
      </c>
      <c r="F104" s="15">
        <f t="shared" si="12"/>
        <v>2.8713038059824131E+41</v>
      </c>
      <c r="H104" s="15">
        <f t="shared" si="13"/>
        <v>2.8713038059824131E+41</v>
      </c>
      <c r="I104" s="16">
        <v>258.2</v>
      </c>
      <c r="J104" s="16">
        <v>10.7</v>
      </c>
      <c r="K104" s="19">
        <f t="shared" si="14"/>
        <v>242.69571854093962</v>
      </c>
      <c r="L104" s="16">
        <f t="shared" si="15"/>
        <v>2.0995959783541189</v>
      </c>
    </row>
    <row r="105" spans="1:23" x14ac:dyDescent="0.25">
      <c r="A105" s="45">
        <v>38.090000000000003</v>
      </c>
      <c r="B105" s="45">
        <f t="shared" si="9"/>
        <v>38090</v>
      </c>
      <c r="C105" s="16">
        <f t="shared" si="10"/>
        <v>0</v>
      </c>
      <c r="D105" s="15">
        <f t="shared" si="11"/>
        <v>1.1753345902220001E+21</v>
      </c>
      <c r="E105" s="15">
        <f>IF($C105=0,0,FORECAST($C105, OFFSET('De Vaucouleurs Deprojection'!$F$2:$F$127, MATCH($C105, 'De Vaucouleurs Deprojection'!$A$2:$A$127,1)-1,0,2), OFFSET('De Vaucouleurs Deprojection'!$A$2:$A$127, MATCH($C105, 'De Vaucouleurs Deprojection'!$A$2:$A$127,1)-1,0,2))*QESTotalBulgeMass)</f>
        <v>0</v>
      </c>
      <c r="F105" s="15">
        <f t="shared" si="12"/>
        <v>2.8713497143446434E+41</v>
      </c>
      <c r="H105" s="15">
        <f t="shared" si="13"/>
        <v>2.8713497143446434E+41</v>
      </c>
      <c r="I105" s="16">
        <v>275.10000000000002</v>
      </c>
      <c r="J105" s="16">
        <v>4.8</v>
      </c>
      <c r="K105" s="19">
        <f t="shared" si="14"/>
        <v>243.23807214787084</v>
      </c>
      <c r="L105" s="16">
        <f t="shared" si="15"/>
        <v>44.061738127356143</v>
      </c>
    </row>
    <row r="106" spans="1:23" x14ac:dyDescent="0.25">
      <c r="L106" s="16">
        <f>SUM(L8:L105)/(COUNT(L8:L105)-4)</f>
        <v>30.354420862386167</v>
      </c>
      <c r="V106" s="45"/>
      <c r="W106" s="45"/>
    </row>
    <row r="107" spans="1:23" x14ac:dyDescent="0.25">
      <c r="L107" s="16"/>
      <c r="V107" s="45"/>
      <c r="W107" s="45"/>
    </row>
    <row r="108" spans="1:23" ht="21" x14ac:dyDescent="0.35">
      <c r="A108" s="48" t="s">
        <v>564</v>
      </c>
      <c r="L108" s="16"/>
      <c r="V108" s="45"/>
      <c r="W108" s="45"/>
    </row>
    <row r="109" spans="1:23" x14ac:dyDescent="0.25">
      <c r="A109" s="16" t="s">
        <v>30</v>
      </c>
      <c r="D109" s="16">
        <v>1.3</v>
      </c>
      <c r="E109" s="17">
        <f>$D$109*1000</f>
        <v>1300</v>
      </c>
      <c r="F109" s="17"/>
      <c r="G109" s="17"/>
      <c r="K109" s="15"/>
      <c r="L109" s="17"/>
      <c r="M109" s="45"/>
      <c r="V109" s="45"/>
      <c r="W109" s="45"/>
    </row>
    <row r="110" spans="1:23" x14ac:dyDescent="0.25">
      <c r="A110" s="16" t="s">
        <v>16</v>
      </c>
      <c r="D110" s="16">
        <v>3.36</v>
      </c>
      <c r="E110" s="15">
        <f>D110*10000000000*SolarMass</f>
        <v>6.6833759999999992E+40</v>
      </c>
      <c r="F110" s="43"/>
      <c r="G110" s="43"/>
      <c r="K110" s="15"/>
      <c r="L110" s="17"/>
      <c r="M110" s="45"/>
      <c r="V110" s="45"/>
      <c r="W110" s="45"/>
    </row>
    <row r="111" spans="1:23" x14ac:dyDescent="0.25">
      <c r="A111" s="16" t="s">
        <v>569</v>
      </c>
      <c r="D111" s="16">
        <v>4.3</v>
      </c>
      <c r="E111" s="15">
        <f>D111*1000</f>
        <v>4300</v>
      </c>
      <c r="K111" s="15"/>
      <c r="L111" s="17"/>
      <c r="M111" s="45"/>
    </row>
    <row r="112" spans="1:23" x14ac:dyDescent="0.25">
      <c r="A112" s="16" t="s">
        <v>17</v>
      </c>
      <c r="D112" s="16">
        <v>7.7</v>
      </c>
      <c r="G112" s="16"/>
      <c r="K112" s="15"/>
      <c r="L112" s="17"/>
      <c r="M112" s="45"/>
    </row>
    <row r="113" spans="1:29" x14ac:dyDescent="0.25">
      <c r="A113" s="16" t="s">
        <v>570</v>
      </c>
      <c r="D113" s="16">
        <v>30.5</v>
      </c>
      <c r="E113" s="17">
        <f>D113*1000</f>
        <v>30500</v>
      </c>
      <c r="K113" s="15"/>
      <c r="L113" s="17"/>
      <c r="M113" s="45"/>
    </row>
    <row r="114" spans="1:29" x14ac:dyDescent="0.25">
      <c r="A114" s="16" t="s">
        <v>571</v>
      </c>
      <c r="D114" s="16">
        <v>27.9</v>
      </c>
      <c r="G114" s="9"/>
      <c r="H114" s="16"/>
      <c r="K114" s="15"/>
      <c r="L114" s="17"/>
      <c r="M114" s="45"/>
    </row>
    <row r="115" spans="1:29" x14ac:dyDescent="0.25">
      <c r="D115" s="12"/>
      <c r="K115" s="15"/>
      <c r="L115" s="17"/>
      <c r="M115" s="45"/>
    </row>
    <row r="116" spans="1:29" x14ac:dyDescent="0.25">
      <c r="A116" s="16" t="s">
        <v>567</v>
      </c>
      <c r="D116" s="17">
        <f>(D112*10000000000)/(2*PI()*DiskScaleLengthPc^2)</f>
        <v>662.78694527181938</v>
      </c>
      <c r="K116" s="15"/>
      <c r="L116" s="17"/>
      <c r="M116" s="45"/>
    </row>
    <row r="117" spans="1:29" x14ac:dyDescent="0.25">
      <c r="A117" s="16" t="s">
        <v>565</v>
      </c>
      <c r="D117" s="9">
        <f>(D114*10000000000)/(4*PI()*(LCDMHaloScaleLengthPc)^3*(LN(2)-1/2))</f>
        <v>4.0514123556774882E-3</v>
      </c>
      <c r="K117" s="15"/>
      <c r="L117" s="17"/>
      <c r="M117" s="45"/>
    </row>
    <row r="118" spans="1:29" x14ac:dyDescent="0.25">
      <c r="K118" s="15"/>
      <c r="L118" s="17"/>
      <c r="M118" s="45"/>
    </row>
    <row r="119" spans="1:29" ht="45" x14ac:dyDescent="0.25">
      <c r="A119" s="7" t="s">
        <v>20</v>
      </c>
      <c r="B119" s="3" t="s">
        <v>19</v>
      </c>
      <c r="C119" s="7" t="s">
        <v>27</v>
      </c>
      <c r="D119" s="4" t="s">
        <v>649</v>
      </c>
      <c r="E119" s="4" t="s">
        <v>21</v>
      </c>
      <c r="F119" s="4" t="s">
        <v>22</v>
      </c>
      <c r="G119" s="4" t="s">
        <v>28</v>
      </c>
      <c r="H119" s="4" t="s">
        <v>23</v>
      </c>
      <c r="I119" s="7" t="s">
        <v>645</v>
      </c>
      <c r="J119" s="7" t="s">
        <v>646</v>
      </c>
      <c r="K119" s="25" t="s">
        <v>647</v>
      </c>
      <c r="L119" s="3" t="s">
        <v>648</v>
      </c>
      <c r="M119" s="3"/>
      <c r="N119" s="3"/>
      <c r="O119" s="3"/>
      <c r="P119" s="3"/>
      <c r="Q119" s="3"/>
      <c r="R119" s="3"/>
      <c r="S119" s="3"/>
      <c r="T119" s="3"/>
      <c r="U119" s="3"/>
      <c r="V119" s="7"/>
      <c r="W119" s="7"/>
      <c r="X119" s="3"/>
      <c r="Y119" s="3"/>
      <c r="Z119" s="3"/>
      <c r="AA119" s="3"/>
      <c r="AB119" s="3"/>
      <c r="AC119" s="3"/>
    </row>
    <row r="120" spans="1:29" x14ac:dyDescent="0.25">
      <c r="A120" s="45">
        <v>1.1399999999999999</v>
      </c>
      <c r="B120" s="45">
        <f>A120*1000</f>
        <v>1140</v>
      </c>
      <c r="C120" s="16">
        <f>B120/LCDMBulgeEffectiveRadius</f>
        <v>0.87692307692307692</v>
      </c>
      <c r="D120" s="15">
        <f>A120*kpc</f>
        <v>3.5176724411999998E+19</v>
      </c>
      <c r="E120" s="15">
        <f>FORECAST($C120, OFFSET('De Vaucouleurs Deprojection'!$F$3:$F$126, MATCH($C120, 'De Vaucouleurs Deprojection'!$A$3:$A$126,1)-1,0,2), OFFSET('De Vaucouleurs Deprojection'!$A$3:$A$126, MATCH($C120, 'De Vaucouleurs Deprojection'!$A$3:$A$126,1)-1,0,2))*LCDMTotalBulgeMass</f>
        <v>2.5364234489353839E+40</v>
      </c>
      <c r="F120" s="15">
        <f t="shared" ref="F120:F183" si="16">2*PI()*LCDMDiskSurfaceDensity*LCDMScaleLength*(LCDMScaleLength-EXP(-RadiusPc/LCDMScaleLength)*(RadiusPc+LCDMScaleLength))*SolarMass</f>
        <v>4.5194839688669635E+39</v>
      </c>
      <c r="G120" s="15">
        <f t="shared" ref="G120:G183" si="17">4*PI()*LCDMHaloRepresentativeDensity*LCDMHaloScaleLengthPc^3*(LN(1+RadiusPc/LCDMHaloScaleLengthPc)-RadiusPc/(RadiusPc+LCDMHaloScaleLengthPc))*SolarMass</f>
        <v>1.9110458802380045E+39</v>
      </c>
      <c r="H120" s="15">
        <f t="shared" ref="H120:H183" si="18">BulgeMass+DiskMass+HaloMass</f>
        <v>3.1794764338458807E+40</v>
      </c>
      <c r="I120" s="16">
        <v>336.2</v>
      </c>
      <c r="J120" s="16">
        <v>171.7</v>
      </c>
      <c r="K120" s="19">
        <f t="shared" ref="K120:K151" si="19">SQRT(TotalMass*GravitationalConstant/RadiusKm)/km</f>
        <v>245.60986763186398</v>
      </c>
      <c r="L120" s="16">
        <f t="shared" ref="L120:L183" si="20">(ObservedVelocity-ModelVelocity)^2/(VelocityError)^2</f>
        <v>0.2783692107828632</v>
      </c>
      <c r="M120" s="45"/>
    </row>
    <row r="121" spans="1:29" x14ac:dyDescent="0.25">
      <c r="A121" s="45">
        <v>1.52</v>
      </c>
      <c r="B121" s="45">
        <f t="shared" ref="B121:B184" si="21">A121*1000</f>
        <v>1520</v>
      </c>
      <c r="C121" s="16">
        <f t="shared" ref="C121:C184" si="22">B121/LCDMBulgeEffectiveRadius</f>
        <v>1.1692307692307693</v>
      </c>
      <c r="D121" s="15">
        <f t="shared" ref="D121:D184" si="23">A121*kpc</f>
        <v>4.6902299216E+19</v>
      </c>
      <c r="E121" s="15">
        <f>FORECAST($C121, OFFSET('De Vaucouleurs Deprojection'!$F$3:$F$126, MATCH($C121, 'De Vaucouleurs Deprojection'!$A$3:$A$126,1)-1,0,2), OFFSET('De Vaucouleurs Deprojection'!$A$3:$A$126, MATCH($C121, 'De Vaucouleurs Deprojection'!$A$3:$A$126,1)-1,0,2))*LCDMTotalBulgeMass</f>
        <v>3.067551339655384E+40</v>
      </c>
      <c r="F121" s="15">
        <f t="shared" si="16"/>
        <v>7.5866977370332263E+39</v>
      </c>
      <c r="G121" s="15">
        <f t="shared" si="17"/>
        <v>3.3435732096482763E+39</v>
      </c>
      <c r="H121" s="15">
        <f t="shared" si="18"/>
        <v>4.1605784343235339E+40</v>
      </c>
      <c r="I121" s="16">
        <v>324.60000000000002</v>
      </c>
      <c r="J121" s="16">
        <v>125.1</v>
      </c>
      <c r="K121" s="19">
        <f t="shared" si="19"/>
        <v>243.3187038877669</v>
      </c>
      <c r="L121" s="16">
        <f t="shared" si="20"/>
        <v>0.4221498323441662</v>
      </c>
      <c r="M121" s="45"/>
    </row>
    <row r="122" spans="1:29" x14ac:dyDescent="0.25">
      <c r="A122" s="45">
        <v>1.9</v>
      </c>
      <c r="B122" s="45">
        <f t="shared" si="21"/>
        <v>1900</v>
      </c>
      <c r="C122" s="16">
        <f t="shared" si="22"/>
        <v>1.4615384615384615</v>
      </c>
      <c r="D122" s="15">
        <f t="shared" si="23"/>
        <v>5.8627874019999998E+19</v>
      </c>
      <c r="E122" s="15">
        <f>FORECAST($C122, OFFSET('De Vaucouleurs Deprojection'!$F$3:$F$126, MATCH($C122, 'De Vaucouleurs Deprojection'!$A$3:$A$126,1)-1,0,2), OFFSET('De Vaucouleurs Deprojection'!$A$3:$A$126, MATCH($C122, 'De Vaucouleurs Deprojection'!$A$3:$A$126,1)-1,0,2))*LCDMTotalBulgeMass</f>
        <v>3.49714332576E+40</v>
      </c>
      <c r="F122" s="15">
        <f t="shared" si="16"/>
        <v>1.1198403999959209E+40</v>
      </c>
      <c r="G122" s="15">
        <f t="shared" si="17"/>
        <v>5.1424275992967165E+39</v>
      </c>
      <c r="H122" s="15">
        <f t="shared" si="18"/>
        <v>5.1312264856855926E+40</v>
      </c>
      <c r="I122" s="16">
        <v>339</v>
      </c>
      <c r="J122" s="16">
        <v>52.8</v>
      </c>
      <c r="K122" s="19">
        <f t="shared" si="19"/>
        <v>241.68751880142835</v>
      </c>
      <c r="L122" s="16">
        <f t="shared" si="20"/>
        <v>3.396794291287291</v>
      </c>
      <c r="M122" s="45"/>
    </row>
    <row r="123" spans="1:29" x14ac:dyDescent="0.25">
      <c r="A123" s="45">
        <v>2.2799999999999998</v>
      </c>
      <c r="B123" s="45">
        <f t="shared" si="21"/>
        <v>2280</v>
      </c>
      <c r="C123" s="16">
        <f t="shared" si="22"/>
        <v>1.7538461538461538</v>
      </c>
      <c r="D123" s="15">
        <f t="shared" si="23"/>
        <v>7.0353448823999996E+19</v>
      </c>
      <c r="E123" s="15">
        <f>FORECAST($C123, OFFSET('De Vaucouleurs Deprojection'!$F$3:$F$126, MATCH($C123, 'De Vaucouleurs Deprojection'!$A$3:$A$126,1)-1,0,2), OFFSET('De Vaucouleurs Deprojection'!$A$3:$A$126, MATCH($C123, 'De Vaucouleurs Deprojection'!$A$3:$A$126,1)-1,0,2))*LCDMTotalBulgeMass</f>
        <v>3.8514445106953844E+40</v>
      </c>
      <c r="F123" s="15">
        <f t="shared" si="16"/>
        <v>1.5240554554269814E+40</v>
      </c>
      <c r="G123" s="15">
        <f t="shared" si="17"/>
        <v>7.2902328109553655E+39</v>
      </c>
      <c r="H123" s="15">
        <f t="shared" si="18"/>
        <v>6.1045232472179028E+40</v>
      </c>
      <c r="I123" s="16">
        <v>243.6</v>
      </c>
      <c r="J123" s="16">
        <v>25.8</v>
      </c>
      <c r="K123" s="19">
        <f t="shared" si="19"/>
        <v>240.64613118759516</v>
      </c>
      <c r="L123" s="16">
        <f t="shared" si="20"/>
        <v>1.3108198066369132E-2</v>
      </c>
      <c r="M123" s="45"/>
    </row>
    <row r="124" spans="1:29" x14ac:dyDescent="0.25">
      <c r="A124" s="45">
        <v>2.66</v>
      </c>
      <c r="B124" s="45">
        <f t="shared" si="21"/>
        <v>2660</v>
      </c>
      <c r="C124" s="16">
        <f t="shared" si="22"/>
        <v>2.046153846153846</v>
      </c>
      <c r="D124" s="15">
        <f t="shared" si="23"/>
        <v>8.2079023628000002E+19</v>
      </c>
      <c r="E124" s="15">
        <f>FORECAST($C124, OFFSET('De Vaucouleurs Deprojection'!$F$3:$F$126, MATCH($C124, 'De Vaucouleurs Deprojection'!$A$3:$A$126,1)-1,0,2), OFFSET('De Vaucouleurs Deprojection'!$A$3:$A$126, MATCH($C124, 'De Vaucouleurs Deprojection'!$A$3:$A$126,1)-1,0,2))*LCDMTotalBulgeMass</f>
        <v>4.148268662030769E+40</v>
      </c>
      <c r="F124" s="15">
        <f t="shared" si="16"/>
        <v>1.9614498387020369E+40</v>
      </c>
      <c r="G124" s="15">
        <f t="shared" si="17"/>
        <v>9.7705153736971105E+39</v>
      </c>
      <c r="H124" s="15">
        <f t="shared" si="18"/>
        <v>7.0867700381025169E+40</v>
      </c>
      <c r="I124" s="16">
        <v>235.2</v>
      </c>
      <c r="J124" s="16">
        <v>17</v>
      </c>
      <c r="K124" s="19">
        <f t="shared" si="19"/>
        <v>240.05114588096134</v>
      </c>
      <c r="L124" s="16">
        <f t="shared" si="20"/>
        <v>8.143119847186267E-2</v>
      </c>
      <c r="M124" s="45"/>
    </row>
    <row r="125" spans="1:29" x14ac:dyDescent="0.25">
      <c r="A125" s="45">
        <v>3.04</v>
      </c>
      <c r="B125" s="45">
        <f t="shared" si="21"/>
        <v>3040</v>
      </c>
      <c r="C125" s="16">
        <f t="shared" si="22"/>
        <v>2.3384615384615386</v>
      </c>
      <c r="D125" s="15">
        <f t="shared" si="23"/>
        <v>9.3804598432E+19</v>
      </c>
      <c r="E125" s="15">
        <f>FORECAST($C125, OFFSET('De Vaucouleurs Deprojection'!$F$3:$F$126, MATCH($C125, 'De Vaucouleurs Deprojection'!$A$3:$A$126,1)-1,0,2), OFFSET('De Vaucouleurs Deprojection'!$A$3:$A$126, MATCH($C125, 'De Vaucouleurs Deprojection'!$A$3:$A$126,1)-1,0,2))*LCDMTotalBulgeMass</f>
        <v>4.4001342571199993E+40</v>
      </c>
      <c r="F125" s="15">
        <f t="shared" si="16"/>
        <v>2.4235192964516325E+40</v>
      </c>
      <c r="G125" s="15">
        <f t="shared" si="17"/>
        <v>1.2567649830900149E+40</v>
      </c>
      <c r="H125" s="15">
        <f t="shared" si="18"/>
        <v>8.0804185366616471E+40</v>
      </c>
      <c r="I125" s="16">
        <v>238.9</v>
      </c>
      <c r="J125" s="16">
        <v>5.7</v>
      </c>
      <c r="K125" s="19">
        <f t="shared" si="19"/>
        <v>239.77316051217454</v>
      </c>
      <c r="L125" s="16">
        <f t="shared" si="20"/>
        <v>2.3465967375220009E-2</v>
      </c>
      <c r="M125" s="45"/>
    </row>
    <row r="126" spans="1:29" x14ac:dyDescent="0.25">
      <c r="A126" s="45">
        <v>3.43</v>
      </c>
      <c r="B126" s="45">
        <f t="shared" si="21"/>
        <v>3430</v>
      </c>
      <c r="C126" s="16">
        <f t="shared" si="22"/>
        <v>2.6384615384615384</v>
      </c>
      <c r="D126" s="15">
        <f t="shared" si="23"/>
        <v>1.0583874099400001E+20</v>
      </c>
      <c r="E126" s="15">
        <f>FORECAST($C126, OFFSET('De Vaucouleurs Deprojection'!$F$3:$F$126, MATCH($C126, 'De Vaucouleurs Deprojection'!$A$3:$A$126,1)-1,0,2), OFFSET('De Vaucouleurs Deprojection'!$A$3:$A$126, MATCH($C126, 'De Vaucouleurs Deprojection'!$A$3:$A$126,1)-1,0,2))*LCDMTotalBulgeMass</f>
        <v>4.6213385795446133E+40</v>
      </c>
      <c r="F126" s="15">
        <f t="shared" si="16"/>
        <v>2.9157531428104157E+40</v>
      </c>
      <c r="G126" s="15">
        <f t="shared" si="17"/>
        <v>1.5752313173368525E+40</v>
      </c>
      <c r="H126" s="15">
        <f t="shared" si="18"/>
        <v>9.1123230396918824E+40</v>
      </c>
      <c r="I126" s="16">
        <v>239.3</v>
      </c>
      <c r="J126" s="16">
        <v>18.3</v>
      </c>
      <c r="K126" s="19">
        <f t="shared" si="19"/>
        <v>239.71097880259268</v>
      </c>
      <c r="L126" s="16">
        <f t="shared" si="20"/>
        <v>5.0435538887545653E-4</v>
      </c>
      <c r="M126" s="45"/>
    </row>
    <row r="127" spans="1:29" x14ac:dyDescent="0.25">
      <c r="A127" s="45">
        <v>3.81</v>
      </c>
      <c r="B127" s="45">
        <f t="shared" si="21"/>
        <v>3810</v>
      </c>
      <c r="C127" s="16">
        <f t="shared" si="22"/>
        <v>2.9307692307692306</v>
      </c>
      <c r="D127" s="15">
        <f t="shared" si="23"/>
        <v>1.1756431579800001E+20</v>
      </c>
      <c r="E127" s="15">
        <f>FORECAST($C127, OFFSET('De Vaucouleurs Deprojection'!$F$3:$F$126, MATCH($C127, 'De Vaucouleurs Deprojection'!$A$3:$A$126,1)-1,0,2), OFFSET('De Vaucouleurs Deprojection'!$A$3:$A$126, MATCH($C127, 'De Vaucouleurs Deprojection'!$A$3:$A$126,1)-1,0,2))*LCDMTotalBulgeMass</f>
        <v>4.8076248328984607E+40</v>
      </c>
      <c r="F127" s="15">
        <f t="shared" si="16"/>
        <v>3.4065397875778631E+40</v>
      </c>
      <c r="G127" s="15">
        <f t="shared" si="17"/>
        <v>1.914680999598031E+40</v>
      </c>
      <c r="H127" s="15">
        <f t="shared" si="18"/>
        <v>1.0128845620074355E+41</v>
      </c>
      <c r="I127" s="16">
        <v>226.3</v>
      </c>
      <c r="J127" s="16">
        <v>16.100000000000001</v>
      </c>
      <c r="K127" s="19">
        <f t="shared" si="19"/>
        <v>239.79378323424805</v>
      </c>
      <c r="L127" s="16">
        <f t="shared" si="20"/>
        <v>0.70245046862726568</v>
      </c>
      <c r="M127" s="45"/>
      <c r="V127" s="45"/>
      <c r="W127" s="45"/>
    </row>
    <row r="128" spans="1:29" x14ac:dyDescent="0.25">
      <c r="A128" s="45">
        <v>4.1900000000000004</v>
      </c>
      <c r="B128" s="45">
        <f t="shared" si="21"/>
        <v>4190</v>
      </c>
      <c r="C128" s="16">
        <f t="shared" si="22"/>
        <v>3.2230769230769232</v>
      </c>
      <c r="D128" s="15">
        <f t="shared" si="23"/>
        <v>1.2928989060200001E+20</v>
      </c>
      <c r="E128" s="15">
        <f>FORECAST($C128, OFFSET('De Vaucouleurs Deprojection'!$F$3:$F$126, MATCH($C128, 'De Vaucouleurs Deprojection'!$A$3:$A$126,1)-1,0,2), OFFSET('De Vaucouleurs Deprojection'!$A$3:$A$126, MATCH($C128, 'De Vaucouleurs Deprojection'!$A$3:$A$126,1)-1,0,2))*LCDMTotalBulgeMass</f>
        <v>4.9701902425107692E+40</v>
      </c>
      <c r="F128" s="15">
        <f t="shared" si="16"/>
        <v>3.9030138434550022E+40</v>
      </c>
      <c r="G128" s="15">
        <f t="shared" si="17"/>
        <v>2.2815535944061287E+40</v>
      </c>
      <c r="H128" s="15">
        <f t="shared" si="18"/>
        <v>1.1154757680371901E+41</v>
      </c>
      <c r="I128" s="16">
        <v>202.6</v>
      </c>
      <c r="J128" s="16">
        <v>4.7</v>
      </c>
      <c r="K128" s="19">
        <f t="shared" si="19"/>
        <v>239.96256207118407</v>
      </c>
      <c r="L128" s="16">
        <f t="shared" si="20"/>
        <v>63.194252807744789</v>
      </c>
      <c r="M128" s="45"/>
      <c r="V128" s="45"/>
      <c r="W128" s="45"/>
    </row>
    <row r="129" spans="1:23" x14ac:dyDescent="0.25">
      <c r="A129" s="45">
        <v>4.57</v>
      </c>
      <c r="B129" s="45">
        <f t="shared" si="21"/>
        <v>4570</v>
      </c>
      <c r="C129" s="16">
        <f t="shared" si="22"/>
        <v>3.5153846153846153</v>
      </c>
      <c r="D129" s="15">
        <f t="shared" si="23"/>
        <v>1.4101546540600001E+20</v>
      </c>
      <c r="E129" s="15">
        <f>FORECAST($C129, OFFSET('De Vaucouleurs Deprojection'!$F$3:$F$126, MATCH($C129, 'De Vaucouleurs Deprojection'!$A$3:$A$126,1)-1,0,2), OFFSET('De Vaucouleurs Deprojection'!$A$3:$A$126, MATCH($C129, 'De Vaucouleurs Deprojection'!$A$3:$A$126,1)-1,0,2))*LCDMTotalBulgeMass</f>
        <v>5.1129831412799995E+40</v>
      </c>
      <c r="F129" s="15">
        <f t="shared" si="16"/>
        <v>4.4007022681742297E+40</v>
      </c>
      <c r="G129" s="15">
        <f t="shared" si="17"/>
        <v>2.6745799447963252E+40</v>
      </c>
      <c r="H129" s="15">
        <f t="shared" si="18"/>
        <v>1.2188265354250555E+41</v>
      </c>
      <c r="I129" s="16">
        <v>207.3</v>
      </c>
      <c r="J129" s="16">
        <v>10.7</v>
      </c>
      <c r="K129" s="19">
        <f t="shared" si="19"/>
        <v>240.1780319890994</v>
      </c>
      <c r="L129" s="16">
        <f t="shared" si="20"/>
        <v>9.4415668396911752</v>
      </c>
      <c r="M129" s="45"/>
      <c r="V129" s="45"/>
      <c r="W129" s="45"/>
    </row>
    <row r="130" spans="1:23" x14ac:dyDescent="0.25">
      <c r="A130" s="45">
        <v>4.95</v>
      </c>
      <c r="B130" s="45">
        <f t="shared" si="21"/>
        <v>4950</v>
      </c>
      <c r="C130" s="16">
        <f t="shared" si="22"/>
        <v>3.8076923076923075</v>
      </c>
      <c r="D130" s="15">
        <f t="shared" si="23"/>
        <v>1.5274104021000002E+20</v>
      </c>
      <c r="E130" s="15">
        <f>FORECAST($C130, OFFSET('De Vaucouleurs Deprojection'!$F$3:$F$126, MATCH($C130, 'De Vaucouleurs Deprojection'!$A$3:$A$126,1)-1,0,2), OFFSET('De Vaucouleurs Deprojection'!$A$3:$A$126, MATCH($C130, 'De Vaucouleurs Deprojection'!$A$3:$A$126,1)-1,0,2))*LCDMTotalBulgeMass</f>
        <v>5.2392321139199994E+40</v>
      </c>
      <c r="F130" s="15">
        <f t="shared" si="16"/>
        <v>4.8958479912986101E+40</v>
      </c>
      <c r="G130" s="15">
        <f t="shared" si="17"/>
        <v>3.0925534104545114E+40</v>
      </c>
      <c r="H130" s="15">
        <f t="shared" si="18"/>
        <v>1.3227633515673119E+41</v>
      </c>
      <c r="I130" s="16">
        <v>202.5</v>
      </c>
      <c r="J130" s="16">
        <v>21.7</v>
      </c>
      <c r="K130" s="19">
        <f t="shared" si="19"/>
        <v>240.41353207516255</v>
      </c>
      <c r="L130" s="16">
        <f t="shared" si="20"/>
        <v>3.0525938423291632</v>
      </c>
      <c r="M130" s="45"/>
      <c r="V130" s="45"/>
      <c r="W130" s="45"/>
    </row>
    <row r="131" spans="1:23" x14ac:dyDescent="0.25">
      <c r="A131" s="45">
        <v>5.33</v>
      </c>
      <c r="B131" s="45">
        <f t="shared" si="21"/>
        <v>5330</v>
      </c>
      <c r="C131" s="16">
        <f t="shared" si="22"/>
        <v>4.0999999999999996</v>
      </c>
      <c r="D131" s="15">
        <f t="shared" si="23"/>
        <v>1.64466615014E+20</v>
      </c>
      <c r="E131" s="15">
        <f>FORECAST($C131, OFFSET('De Vaucouleurs Deprojection'!$F$3:$F$126, MATCH($C131, 'De Vaucouleurs Deprojection'!$A$3:$A$126,1)-1,0,2), OFFSET('De Vaucouleurs Deprojection'!$A$3:$A$126, MATCH($C131, 'De Vaucouleurs Deprojection'!$A$3:$A$126,1)-1,0,2))*LCDMTotalBulgeMass</f>
        <v>5.3514459969599992E+40</v>
      </c>
      <c r="F131" s="15">
        <f t="shared" si="16"/>
        <v>5.385320799700777E+40</v>
      </c>
      <c r="G131" s="15">
        <f t="shared" si="17"/>
        <v>3.534326294878827E+40</v>
      </c>
      <c r="H131" s="15">
        <f t="shared" si="18"/>
        <v>1.4271093091539604E+41</v>
      </c>
      <c r="I131" s="16">
        <v>208.9</v>
      </c>
      <c r="J131" s="16">
        <v>15.6</v>
      </c>
      <c r="K131" s="19">
        <f t="shared" si="19"/>
        <v>240.64976758057375</v>
      </c>
      <c r="L131" s="16">
        <f t="shared" si="20"/>
        <v>4.1422080104390684</v>
      </c>
      <c r="M131" s="45"/>
      <c r="V131" s="45"/>
      <c r="W131" s="45"/>
    </row>
    <row r="132" spans="1:23" x14ac:dyDescent="0.25">
      <c r="A132" s="45">
        <v>5.71</v>
      </c>
      <c r="B132" s="45">
        <f t="shared" si="21"/>
        <v>5710</v>
      </c>
      <c r="C132" s="16">
        <f t="shared" si="22"/>
        <v>4.3923076923076927</v>
      </c>
      <c r="D132" s="15">
        <f t="shared" si="23"/>
        <v>1.7619218981799998E+20</v>
      </c>
      <c r="E132" s="15">
        <f>FORECAST($C132, OFFSET('De Vaucouleurs Deprojection'!$F$3:$F$126, MATCH($C132, 'De Vaucouleurs Deprojection'!$A$3:$A$126,1)-1,0,2), OFFSET('De Vaucouleurs Deprojection'!$A$3:$A$126, MATCH($C132, 'De Vaucouleurs Deprojection'!$A$3:$A$126,1)-1,0,2))*LCDMTotalBulgeMass</f>
        <v>5.4515064177969225E+40</v>
      </c>
      <c r="F132" s="15">
        <f t="shared" si="16"/>
        <v>5.8665381757408865E+40</v>
      </c>
      <c r="G132" s="15">
        <f t="shared" si="17"/>
        <v>3.9988065083270096E+40</v>
      </c>
      <c r="H132" s="15">
        <f t="shared" si="18"/>
        <v>1.5316851101864819E+41</v>
      </c>
      <c r="I132" s="16">
        <v>221.6</v>
      </c>
      <c r="J132" s="16">
        <v>13.4</v>
      </c>
      <c r="K132" s="19">
        <f t="shared" si="19"/>
        <v>240.87244592552699</v>
      </c>
      <c r="L132" s="16">
        <f t="shared" si="20"/>
        <v>2.068540721499009</v>
      </c>
      <c r="M132" s="45"/>
      <c r="V132" s="45"/>
      <c r="W132" s="45"/>
    </row>
    <row r="133" spans="1:23" x14ac:dyDescent="0.25">
      <c r="A133" s="45">
        <v>6.09</v>
      </c>
      <c r="B133" s="45">
        <f t="shared" si="21"/>
        <v>6090</v>
      </c>
      <c r="C133" s="16">
        <f t="shared" si="22"/>
        <v>4.6846153846153848</v>
      </c>
      <c r="D133" s="15">
        <f t="shared" si="23"/>
        <v>1.87917764622E+20</v>
      </c>
      <c r="E133" s="15">
        <f>FORECAST($C133, OFFSET('De Vaucouleurs Deprojection'!$F$3:$F$126, MATCH($C133, 'De Vaucouleurs Deprojection'!$A$3:$A$126,1)-1,0,2), OFFSET('De Vaucouleurs Deprojection'!$A$3:$A$126, MATCH($C133, 'De Vaucouleurs Deprojection'!$A$3:$A$126,1)-1,0,2))*LCDMTotalBulgeMass</f>
        <v>5.5413309912369216E+40</v>
      </c>
      <c r="F133" s="15">
        <f t="shared" si="16"/>
        <v>6.3373950420513323E+40</v>
      </c>
      <c r="G133" s="15">
        <f t="shared" si="17"/>
        <v>4.484954448846674E+40</v>
      </c>
      <c r="H133" s="15">
        <f t="shared" si="18"/>
        <v>1.6363680482134929E+41</v>
      </c>
      <c r="I133" s="16">
        <v>232.2</v>
      </c>
      <c r="J133" s="16">
        <v>13.7</v>
      </c>
      <c r="K133" s="19">
        <f t="shared" si="19"/>
        <v>241.07505840745483</v>
      </c>
      <c r="L133" s="16">
        <f t="shared" si="20"/>
        <v>0.41966360347240089</v>
      </c>
      <c r="M133" s="45"/>
      <c r="V133" s="45"/>
      <c r="W133" s="45"/>
    </row>
    <row r="134" spans="1:23" x14ac:dyDescent="0.25">
      <c r="A134" s="45">
        <v>6.47</v>
      </c>
      <c r="B134" s="45">
        <f t="shared" si="21"/>
        <v>6470</v>
      </c>
      <c r="C134" s="16">
        <f t="shared" si="22"/>
        <v>4.976923076923077</v>
      </c>
      <c r="D134" s="15">
        <f t="shared" si="23"/>
        <v>1.9964333942599998E+20</v>
      </c>
      <c r="E134" s="15">
        <f>FORECAST($C134, OFFSET('De Vaucouleurs Deprojection'!$F$3:$F$126, MATCH($C134, 'De Vaucouleurs Deprojection'!$A$3:$A$126,1)-1,0,2), OFFSET('De Vaucouleurs Deprojection'!$A$3:$A$126, MATCH($C134, 'De Vaucouleurs Deprojection'!$A$3:$A$126,1)-1,0,2))*LCDMTotalBulgeMass</f>
        <v>5.6222152640123071E+40</v>
      </c>
      <c r="F134" s="15">
        <f t="shared" si="16"/>
        <v>6.7962014725934187E+40</v>
      </c>
      <c r="G134" s="15">
        <f t="shared" si="17"/>
        <v>4.991780085176106E+40</v>
      </c>
      <c r="H134" s="15">
        <f t="shared" si="18"/>
        <v>1.7410196821781831E+41</v>
      </c>
      <c r="I134" s="16">
        <v>237.6</v>
      </c>
      <c r="J134" s="16">
        <v>8.3000000000000007</v>
      </c>
      <c r="K134" s="19">
        <f t="shared" si="19"/>
        <v>241.25156073802927</v>
      </c>
      <c r="L134" s="16">
        <f t="shared" si="20"/>
        <v>0.19355343044733489</v>
      </c>
      <c r="M134" s="45"/>
      <c r="V134" s="45"/>
      <c r="W134" s="45"/>
    </row>
    <row r="135" spans="1:23" x14ac:dyDescent="0.25">
      <c r="A135" s="45">
        <v>6.85</v>
      </c>
      <c r="B135" s="45">
        <f t="shared" si="21"/>
        <v>6850</v>
      </c>
      <c r="C135" s="16">
        <f t="shared" si="22"/>
        <v>5.2692307692307692</v>
      </c>
      <c r="D135" s="15">
        <f t="shared" si="23"/>
        <v>2.1136891422999999E+20</v>
      </c>
      <c r="E135" s="15">
        <f>FORECAST($C135, OFFSET('De Vaucouleurs Deprojection'!$F$3:$F$126, MATCH($C135, 'De Vaucouleurs Deprojection'!$A$3:$A$126,1)-1,0,2), OFFSET('De Vaucouleurs Deprojection'!$A$3:$A$126, MATCH($C135, 'De Vaucouleurs Deprojection'!$A$3:$A$126,1)-1,0,2))*LCDMTotalBulgeMass</f>
        <v>5.6880413765538447E+40</v>
      </c>
      <c r="F135" s="15">
        <f t="shared" si="16"/>
        <v>7.2416275250023568E+40</v>
      </c>
      <c r="G135" s="15">
        <f t="shared" si="17"/>
        <v>5.5183402266540942E+40</v>
      </c>
      <c r="H135" s="15">
        <f t="shared" si="18"/>
        <v>1.8448009128210296E+41</v>
      </c>
      <c r="I135" s="16">
        <v>239.8</v>
      </c>
      <c r="J135" s="16">
        <v>2.2000000000000002</v>
      </c>
      <c r="K135" s="19">
        <f t="shared" si="19"/>
        <v>241.35144215519639</v>
      </c>
      <c r="L135" s="16">
        <f t="shared" si="20"/>
        <v>0.49730842167776834</v>
      </c>
      <c r="M135" s="45"/>
      <c r="V135" s="45"/>
      <c r="W135" s="45"/>
    </row>
    <row r="136" spans="1:23" x14ac:dyDescent="0.25">
      <c r="A136" s="45">
        <v>7.23</v>
      </c>
      <c r="B136" s="45">
        <f t="shared" si="21"/>
        <v>7230</v>
      </c>
      <c r="C136" s="16">
        <f t="shared" si="22"/>
        <v>5.5615384615384613</v>
      </c>
      <c r="D136" s="15">
        <f t="shared" si="23"/>
        <v>2.2309448903400001E+20</v>
      </c>
      <c r="E136" s="15">
        <f>FORECAST($C136, OFFSET('De Vaucouleurs Deprojection'!$F$3:$F$126, MATCH($C136, 'De Vaucouleurs Deprojection'!$A$3:$A$126,1)-1,0,2), OFFSET('De Vaucouleurs Deprojection'!$A$3:$A$126, MATCH($C136, 'De Vaucouleurs Deprojection'!$A$3:$A$126,1)-1,0,2))*LCDMTotalBulgeMass</f>
        <v>5.7528618980603072E+40</v>
      </c>
      <c r="F136" s="15">
        <f t="shared" si="16"/>
        <v>7.6726544351852968E+40</v>
      </c>
      <c r="G136" s="15">
        <f t="shared" si="17"/>
        <v>6.0637359665051054E+40</v>
      </c>
      <c r="H136" s="15">
        <f t="shared" si="18"/>
        <v>1.9489252299750709E+41</v>
      </c>
      <c r="I136" s="16">
        <v>235.6</v>
      </c>
      <c r="J136" s="16">
        <v>6.1</v>
      </c>
      <c r="K136" s="19">
        <f t="shared" si="19"/>
        <v>241.46204353083851</v>
      </c>
      <c r="L136" s="16">
        <f t="shared" si="20"/>
        <v>0.92350320767121052</v>
      </c>
      <c r="M136" s="45"/>
      <c r="V136" s="45"/>
      <c r="W136" s="45"/>
    </row>
    <row r="137" spans="1:23" x14ac:dyDescent="0.25">
      <c r="A137" s="45">
        <v>7.61</v>
      </c>
      <c r="B137" s="45">
        <f t="shared" si="21"/>
        <v>7610</v>
      </c>
      <c r="C137" s="16">
        <f t="shared" si="22"/>
        <v>5.8538461538461535</v>
      </c>
      <c r="D137" s="15">
        <f t="shared" si="23"/>
        <v>2.3482006383800002E+20</v>
      </c>
      <c r="E137" s="15">
        <f>FORECAST($C137, OFFSET('De Vaucouleurs Deprojection'!$F$3:$F$126, MATCH($C137, 'De Vaucouleurs Deprojection'!$A$3:$A$126,1)-1,0,2), OFFSET('De Vaucouleurs Deprojection'!$A$3:$A$126, MATCH($C137, 'De Vaucouleurs Deprojection'!$A$3:$A$126,1)-1,0,2))*LCDMTotalBulgeMass</f>
        <v>5.8176824195667679E+40</v>
      </c>
      <c r="F137" s="15">
        <f t="shared" si="16"/>
        <v>8.0885314925913876E+40</v>
      </c>
      <c r="G137" s="15">
        <f t="shared" si="17"/>
        <v>6.6271102859790004E+40</v>
      </c>
      <c r="H137" s="15">
        <f t="shared" si="18"/>
        <v>2.0533324198137156E+41</v>
      </c>
      <c r="I137" s="16">
        <v>241.7</v>
      </c>
      <c r="J137" s="16">
        <v>3.3</v>
      </c>
      <c r="K137" s="19">
        <f t="shared" si="19"/>
        <v>241.57819680551489</v>
      </c>
      <c r="L137" s="16">
        <f t="shared" si="20"/>
        <v>1.3623524505761439E-3</v>
      </c>
      <c r="M137" s="45"/>
      <c r="V137" s="45"/>
      <c r="W137" s="45"/>
    </row>
    <row r="138" spans="1:23" x14ac:dyDescent="0.25">
      <c r="A138" s="45">
        <v>7.99</v>
      </c>
      <c r="B138" s="45">
        <f t="shared" si="21"/>
        <v>7990</v>
      </c>
      <c r="C138" s="16">
        <f t="shared" si="22"/>
        <v>6.1461538461538465</v>
      </c>
      <c r="D138" s="15">
        <f t="shared" si="23"/>
        <v>2.46545638642E+20</v>
      </c>
      <c r="E138" s="15">
        <f>FORECAST($C138, OFFSET('De Vaucouleurs Deprojection'!$F$3:$F$126, MATCH($C138, 'De Vaucouleurs Deprojection'!$A$3:$A$126,1)-1,0,2), OFFSET('De Vaucouleurs Deprojection'!$A$3:$A$126, MATCH($C138, 'De Vaucouleurs Deprojection'!$A$3:$A$126,1)-1,0,2))*LCDMTotalBulgeMass</f>
        <v>5.8738289472369225E+40</v>
      </c>
      <c r="F138" s="15">
        <f t="shared" si="16"/>
        <v>8.488737984354942E+40</v>
      </c>
      <c r="G138" s="15">
        <f t="shared" si="17"/>
        <v>7.2076458078396252E+40</v>
      </c>
      <c r="H138" s="15">
        <f t="shared" si="18"/>
        <v>2.157021273943149E+41</v>
      </c>
      <c r="I138" s="16">
        <v>244.3</v>
      </c>
      <c r="J138" s="16">
        <v>6.4</v>
      </c>
      <c r="K138" s="19">
        <f t="shared" si="19"/>
        <v>241.64302071624246</v>
      </c>
      <c r="L138" s="16">
        <f t="shared" si="20"/>
        <v>0.17235202427531213</v>
      </c>
      <c r="M138" s="45"/>
      <c r="V138" s="45"/>
      <c r="W138" s="45"/>
    </row>
    <row r="139" spans="1:23" x14ac:dyDescent="0.25">
      <c r="A139" s="45">
        <v>8.3699999999999992</v>
      </c>
      <c r="B139" s="45">
        <f t="shared" si="21"/>
        <v>8370</v>
      </c>
      <c r="C139" s="16">
        <f t="shared" si="22"/>
        <v>6.4384615384615387</v>
      </c>
      <c r="D139" s="15">
        <f t="shared" si="23"/>
        <v>2.5827121344599998E+20</v>
      </c>
      <c r="E139" s="15">
        <f>FORECAST($C139, OFFSET('De Vaucouleurs Deprojection'!$F$3:$F$126, MATCH($C139, 'De Vaucouleurs Deprojection'!$A$3:$A$126,1)-1,0,2), OFFSET('De Vaucouleurs Deprojection'!$A$3:$A$126, MATCH($C139, 'De Vaucouleurs Deprojection'!$A$3:$A$126,1)-1,0,2))*LCDMTotalBulgeMass</f>
        <v>5.9213014810707681E+40</v>
      </c>
      <c r="F139" s="15">
        <f t="shared" si="16"/>
        <v>8.872949659366334E+40</v>
      </c>
      <c r="G139" s="15">
        <f t="shared" si="17"/>
        <v>7.8045626886186303E+40</v>
      </c>
      <c r="H139" s="15">
        <f t="shared" si="18"/>
        <v>2.2598813829055732E+41</v>
      </c>
      <c r="I139" s="16">
        <v>248.8</v>
      </c>
      <c r="J139" s="16">
        <v>6.4</v>
      </c>
      <c r="K139" s="19">
        <f t="shared" si="19"/>
        <v>241.65763713443701</v>
      </c>
      <c r="L139" s="16">
        <f t="shared" si="20"/>
        <v>1.2454430493987625</v>
      </c>
      <c r="M139" s="45"/>
      <c r="V139" s="45"/>
      <c r="W139" s="45"/>
    </row>
    <row r="140" spans="1:23" x14ac:dyDescent="0.25">
      <c r="A140" s="45">
        <v>8.75</v>
      </c>
      <c r="B140" s="45">
        <f t="shared" si="21"/>
        <v>8750</v>
      </c>
      <c r="C140" s="16">
        <f t="shared" si="22"/>
        <v>6.7307692307692308</v>
      </c>
      <c r="D140" s="15">
        <f t="shared" si="23"/>
        <v>2.6999678825E+20</v>
      </c>
      <c r="E140" s="15">
        <f>FORECAST($C140, OFFSET('De Vaucouleurs Deprojection'!$F$3:$F$126, MATCH($C140, 'De Vaucouleurs Deprojection'!$A$3:$A$126,1)-1,0,2), OFFSET('De Vaucouleurs Deprojection'!$A$3:$A$126, MATCH($C140, 'De Vaucouleurs Deprojection'!$A$3:$A$126,1)-1,0,2))*LCDMTotalBulgeMass</f>
        <v>5.9687740149046148E+40</v>
      </c>
      <c r="F140" s="15">
        <f t="shared" si="16"/>
        <v>9.2410092199232452E+40</v>
      </c>
      <c r="G140" s="15">
        <f t="shared" si="17"/>
        <v>8.4171166398917609E+40</v>
      </c>
      <c r="H140" s="15">
        <f t="shared" si="18"/>
        <v>2.3626899874719621E+41</v>
      </c>
      <c r="I140" s="16">
        <v>251.8</v>
      </c>
      <c r="J140" s="16">
        <v>5.5</v>
      </c>
      <c r="K140" s="19">
        <f t="shared" si="19"/>
        <v>241.66834918433659</v>
      </c>
      <c r="L140" s="16">
        <f t="shared" si="20"/>
        <v>3.3933999421663881</v>
      </c>
      <c r="M140" s="45"/>
      <c r="V140" s="45"/>
      <c r="W140" s="45"/>
    </row>
    <row r="141" spans="1:23" x14ac:dyDescent="0.25">
      <c r="A141" s="45">
        <v>9.1300000000000008</v>
      </c>
      <c r="B141" s="45">
        <f t="shared" si="21"/>
        <v>9130</v>
      </c>
      <c r="C141" s="16">
        <f t="shared" si="22"/>
        <v>7.023076923076923</v>
      </c>
      <c r="D141" s="15">
        <f t="shared" si="23"/>
        <v>2.8172236305400001E+20</v>
      </c>
      <c r="E141" s="15">
        <f>FORECAST($C141, OFFSET('De Vaucouleurs Deprojection'!$F$3:$F$126, MATCH($C141, 'De Vaucouleurs Deprojection'!$A$3:$A$126,1)-1,0,2), OFFSET('De Vaucouleurs Deprojection'!$A$3:$A$126, MATCH($C141, 'De Vaucouleurs Deprojection'!$A$3:$A$126,1)-1,0,2))*LCDMTotalBulgeMass</f>
        <v>6.0153227005329222E+40</v>
      </c>
      <c r="F141" s="15">
        <f t="shared" si="16"/>
        <v>9.5929003995657575E+40</v>
      </c>
      <c r="G141" s="15">
        <f t="shared" si="17"/>
        <v>9.0445970696018116E+40</v>
      </c>
      <c r="H141" s="15">
        <f t="shared" si="18"/>
        <v>2.4652820169700489E+41</v>
      </c>
      <c r="I141" s="16">
        <v>253</v>
      </c>
      <c r="J141" s="16">
        <v>9.1999999999999993</v>
      </c>
      <c r="K141" s="19">
        <f t="shared" si="19"/>
        <v>241.66755410768769</v>
      </c>
      <c r="L141" s="16">
        <f t="shared" si="20"/>
        <v>1.5173006840995524</v>
      </c>
      <c r="M141" s="45"/>
      <c r="V141" s="45"/>
      <c r="W141" s="45"/>
    </row>
    <row r="142" spans="1:23" x14ac:dyDescent="0.25">
      <c r="A142" s="45">
        <v>9.51</v>
      </c>
      <c r="B142" s="45">
        <f t="shared" si="21"/>
        <v>9510</v>
      </c>
      <c r="C142" s="16">
        <f t="shared" si="22"/>
        <v>7.3153846153846152</v>
      </c>
      <c r="D142" s="15">
        <f t="shared" si="23"/>
        <v>2.9344793785799999E+20</v>
      </c>
      <c r="E142" s="15">
        <f>FORECAST($C142, OFFSET('De Vaucouleurs Deprojection'!$F$3:$F$126, MATCH($C142, 'De Vaucouleurs Deprojection'!$A$3:$A$126,1)-1,0,2), OFFSET('De Vaucouleurs Deprojection'!$A$3:$A$126, MATCH($C142, 'De Vaucouleurs Deprojection'!$A$3:$A$126,1)-1,0,2))*LCDMTotalBulgeMass</f>
        <v>6.0510931570966149E+40</v>
      </c>
      <c r="F142" s="15">
        <f t="shared" si="16"/>
        <v>9.9287252315530038E+40</v>
      </c>
      <c r="G142" s="15">
        <f t="shared" si="17"/>
        <v>9.686325335152439E+40</v>
      </c>
      <c r="H142" s="15">
        <f t="shared" si="18"/>
        <v>2.5666143723802059E+41</v>
      </c>
      <c r="I142" s="16">
        <v>258.8</v>
      </c>
      <c r="J142" s="16">
        <v>9.6</v>
      </c>
      <c r="K142" s="19">
        <f t="shared" si="19"/>
        <v>241.60754030343841</v>
      </c>
      <c r="L142" s="16">
        <f t="shared" si="20"/>
        <v>3.2072555383886172</v>
      </c>
      <c r="M142" s="45"/>
      <c r="V142" s="45"/>
      <c r="W142" s="45"/>
    </row>
    <row r="143" spans="1:23" x14ac:dyDescent="0.25">
      <c r="A143" s="45">
        <v>9.9</v>
      </c>
      <c r="B143" s="45">
        <f t="shared" si="21"/>
        <v>9900</v>
      </c>
      <c r="C143" s="16">
        <f t="shared" si="22"/>
        <v>7.615384615384615</v>
      </c>
      <c r="D143" s="15">
        <f t="shared" si="23"/>
        <v>3.0548208042000004E+20</v>
      </c>
      <c r="E143" s="15">
        <f>FORECAST($C143, OFFSET('De Vaucouleurs Deprojection'!$F$3:$F$126, MATCH($C143, 'De Vaucouleurs Deprojection'!$A$3:$A$126,1)-1,0,2), OFFSET('De Vaucouleurs Deprojection'!$A$3:$A$126, MATCH($C143, 'De Vaucouleurs Deprojection'!$A$3:$A$126,1)-1,0,2))*LCDMTotalBulgeMass</f>
        <v>6.0878049414646147E+40</v>
      </c>
      <c r="F143" s="15">
        <f t="shared" si="16"/>
        <v>1.0256892278300802E+41</v>
      </c>
      <c r="G143" s="15">
        <f t="shared" si="17"/>
        <v>1.0359076504758041E+41</v>
      </c>
      <c r="H143" s="15">
        <f t="shared" si="18"/>
        <v>2.6703773724523457E+41</v>
      </c>
      <c r="I143" s="16">
        <v>259</v>
      </c>
      <c r="J143" s="16">
        <v>9.5</v>
      </c>
      <c r="K143" s="19">
        <f t="shared" si="19"/>
        <v>241.54005113829905</v>
      </c>
      <c r="L143" s="16">
        <f t="shared" si="20"/>
        <v>3.3778372770439042</v>
      </c>
      <c r="M143" s="45"/>
      <c r="V143" s="45"/>
      <c r="W143" s="45"/>
    </row>
    <row r="144" spans="1:23" x14ac:dyDescent="0.25">
      <c r="A144" s="45">
        <v>10.28</v>
      </c>
      <c r="B144" s="45">
        <f t="shared" si="21"/>
        <v>10280</v>
      </c>
      <c r="C144" s="16">
        <f t="shared" si="22"/>
        <v>7.907692307692308</v>
      </c>
      <c r="D144" s="15">
        <f t="shared" si="23"/>
        <v>3.1720765522399999E+20</v>
      </c>
      <c r="E144" s="15">
        <f>FORECAST($C144, OFFSET('De Vaucouleurs Deprojection'!$F$3:$F$126, MATCH($C144, 'De Vaucouleurs Deprojection'!$A$3:$A$126,1)-1,0,2), OFFSET('De Vaucouleurs Deprojection'!$A$3:$A$126, MATCH($C144, 'De Vaucouleurs Deprojection'!$A$3:$A$126,1)-1,0,2))*LCDMTotalBulgeMass</f>
        <v>6.1235753980283065E+40</v>
      </c>
      <c r="F144" s="15">
        <f t="shared" si="16"/>
        <v>1.0560861072818525E+41</v>
      </c>
      <c r="G144" s="15">
        <f t="shared" si="17"/>
        <v>1.1027717657584787E+41</v>
      </c>
      <c r="H144" s="15">
        <f t="shared" si="18"/>
        <v>2.7712154128431618E+41</v>
      </c>
      <c r="I144" s="16">
        <v>262.2</v>
      </c>
      <c r="J144" s="16">
        <v>10.8</v>
      </c>
      <c r="K144" s="19">
        <f t="shared" si="19"/>
        <v>241.46768424598071</v>
      </c>
      <c r="L144" s="16">
        <f t="shared" si="20"/>
        <v>3.6850901622458512</v>
      </c>
      <c r="M144" s="45"/>
      <c r="V144" s="45"/>
      <c r="W144" s="45"/>
    </row>
    <row r="145" spans="1:23" x14ac:dyDescent="0.25">
      <c r="A145" s="45">
        <v>10.66</v>
      </c>
      <c r="B145" s="45">
        <f t="shared" si="21"/>
        <v>10660</v>
      </c>
      <c r="C145" s="16">
        <f t="shared" si="22"/>
        <v>8.1999999999999993</v>
      </c>
      <c r="D145" s="15">
        <f t="shared" si="23"/>
        <v>3.28933230028E+20</v>
      </c>
      <c r="E145" s="15">
        <f>FORECAST($C145, OFFSET('De Vaucouleurs Deprojection'!$F$3:$F$126, MATCH($C145, 'De Vaucouleurs Deprojection'!$A$3:$A$126,1)-1,0,2), OFFSET('De Vaucouleurs Deprojection'!$A$3:$A$126, MATCH($C145, 'De Vaucouleurs Deprojection'!$A$3:$A$126,1)-1,0,2))*LCDMTotalBulgeMass</f>
        <v>6.1537050852479995E+40</v>
      </c>
      <c r="F145" s="15">
        <f t="shared" si="16"/>
        <v>1.0849602684683528E+41</v>
      </c>
      <c r="G145" s="15">
        <f t="shared" si="17"/>
        <v>1.1708731236443162E+41</v>
      </c>
      <c r="H145" s="15">
        <f t="shared" si="18"/>
        <v>2.871203900637469E+41</v>
      </c>
      <c r="I145" s="16">
        <v>266.8</v>
      </c>
      <c r="J145" s="16">
        <v>13</v>
      </c>
      <c r="K145" s="19">
        <f t="shared" si="19"/>
        <v>241.36475155609551</v>
      </c>
      <c r="L145" s="16">
        <f t="shared" si="20"/>
        <v>3.8281175349298597</v>
      </c>
      <c r="M145" s="45"/>
      <c r="V145" s="45"/>
      <c r="W145" s="45"/>
    </row>
    <row r="146" spans="1:23" x14ac:dyDescent="0.25">
      <c r="A146" s="45">
        <v>11.04</v>
      </c>
      <c r="B146" s="45">
        <f t="shared" si="21"/>
        <v>11040</v>
      </c>
      <c r="C146" s="16">
        <f t="shared" si="22"/>
        <v>8.4923076923076923</v>
      </c>
      <c r="D146" s="15">
        <f t="shared" si="23"/>
        <v>3.4065880483199995E+20</v>
      </c>
      <c r="E146" s="15">
        <f>FORECAST($C146, OFFSET('De Vaucouleurs Deprojection'!$F$3:$F$126, MATCH($C146, 'De Vaucouleurs Deprojection'!$A$3:$A$126,1)-1,0,2), OFFSET('De Vaucouleurs Deprojection'!$A$3:$A$126, MATCH($C146, 'De Vaucouleurs Deprojection'!$A$3:$A$126,1)-1,0,2))*LCDMTotalBulgeMass</f>
        <v>6.181231340462768E+40</v>
      </c>
      <c r="F146" s="15">
        <f t="shared" si="16"/>
        <v>1.112351842334749E+41</v>
      </c>
      <c r="G146" s="15">
        <f t="shared" si="17"/>
        <v>1.2401551572331886E+41</v>
      </c>
      <c r="H146" s="15">
        <f t="shared" si="18"/>
        <v>2.9706301336142144E+41</v>
      </c>
      <c r="I146" s="16">
        <v>266.8</v>
      </c>
      <c r="J146" s="16">
        <v>11.7</v>
      </c>
      <c r="K146" s="19">
        <f t="shared" si="19"/>
        <v>241.24603594186129</v>
      </c>
      <c r="L146" s="16">
        <f t="shared" si="20"/>
        <v>4.7702905916038096</v>
      </c>
      <c r="M146" s="45"/>
      <c r="V146" s="45"/>
      <c r="W146" s="45"/>
    </row>
    <row r="147" spans="1:23" x14ac:dyDescent="0.25">
      <c r="A147" s="45">
        <v>11.42</v>
      </c>
      <c r="B147" s="45">
        <f t="shared" si="21"/>
        <v>11420</v>
      </c>
      <c r="C147" s="16">
        <f t="shared" si="22"/>
        <v>8.7846153846153854</v>
      </c>
      <c r="D147" s="15">
        <f t="shared" si="23"/>
        <v>3.5238437963599997E+20</v>
      </c>
      <c r="E147" s="15">
        <f>FORECAST($C147, OFFSET('De Vaucouleurs Deprojection'!$F$3:$F$126, MATCH($C147, 'De Vaucouleurs Deprojection'!$A$3:$A$126,1)-1,0,2), OFFSET('De Vaucouleurs Deprojection'!$A$3:$A$126, MATCH($C147, 'De Vaucouleurs Deprojection'!$A$3:$A$126,1)-1,0,2))*LCDMTotalBulgeMass</f>
        <v>6.2087575956775375E+40</v>
      </c>
      <c r="F147" s="15">
        <f t="shared" si="16"/>
        <v>1.1383050644274896E+41</v>
      </c>
      <c r="G147" s="15">
        <f t="shared" si="17"/>
        <v>1.3105637606956111E+41</v>
      </c>
      <c r="H147" s="15">
        <f t="shared" si="18"/>
        <v>3.0697445846908546E+41</v>
      </c>
      <c r="I147" s="16">
        <v>265.89999999999998</v>
      </c>
      <c r="J147" s="16">
        <v>9.9</v>
      </c>
      <c r="K147" s="19">
        <f t="shared" si="19"/>
        <v>241.1229234570387</v>
      </c>
      <c r="L147" s="16">
        <f t="shared" si="20"/>
        <v>6.263682501946354</v>
      </c>
      <c r="M147" s="45"/>
      <c r="V147" s="45"/>
      <c r="W147" s="45"/>
    </row>
    <row r="148" spans="1:23" x14ac:dyDescent="0.25">
      <c r="A148" s="45">
        <v>11.8</v>
      </c>
      <c r="B148" s="45">
        <f t="shared" si="21"/>
        <v>11800</v>
      </c>
      <c r="C148" s="16">
        <f t="shared" si="22"/>
        <v>9.0769230769230766</v>
      </c>
      <c r="D148" s="15">
        <f t="shared" si="23"/>
        <v>3.6410995444000005E+20</v>
      </c>
      <c r="E148" s="15">
        <f>FORECAST($C148, OFFSET('De Vaucouleurs Deprojection'!$F$3:$F$126, MATCH($C148, 'De Vaucouleurs Deprojection'!$A$3:$A$126,1)-1,0,2), OFFSET('De Vaucouleurs Deprojection'!$A$3:$A$126, MATCH($C148, 'De Vaucouleurs Deprojection'!$A$3:$A$126,1)-1,0,2))*LCDMTotalBulgeMass</f>
        <v>6.2347261101784604E+40</v>
      </c>
      <c r="F148" s="15">
        <f t="shared" si="16"/>
        <v>1.1628672934750212E+41</v>
      </c>
      <c r="G148" s="15">
        <f t="shared" si="17"/>
        <v>1.3820471676785284E+41</v>
      </c>
      <c r="H148" s="15">
        <f t="shared" si="18"/>
        <v>3.1683870721713958E+41</v>
      </c>
      <c r="I148" s="16">
        <v>264.39999999999998</v>
      </c>
      <c r="J148" s="16">
        <v>7.2</v>
      </c>
      <c r="K148" s="19">
        <f t="shared" si="19"/>
        <v>240.98973503525235</v>
      </c>
      <c r="L148" s="16">
        <f t="shared" si="20"/>
        <v>10.571769014654516</v>
      </c>
      <c r="M148" s="45"/>
      <c r="V148" s="45"/>
      <c r="W148" s="45"/>
    </row>
    <row r="149" spans="1:23" x14ac:dyDescent="0.25">
      <c r="A149" s="45">
        <v>12.18</v>
      </c>
      <c r="B149" s="45">
        <f t="shared" si="21"/>
        <v>12180</v>
      </c>
      <c r="C149" s="16">
        <f t="shared" si="22"/>
        <v>9.3692307692307697</v>
      </c>
      <c r="D149" s="15">
        <f t="shared" si="23"/>
        <v>3.7583552924399999E+20</v>
      </c>
      <c r="E149" s="15">
        <f>FORECAST($C149, OFFSET('De Vaucouleurs Deprojection'!$F$3:$F$126, MATCH($C149, 'De Vaucouleurs Deprojection'!$A$3:$A$126,1)-1,0,2), OFFSET('De Vaucouleurs Deprojection'!$A$3:$A$126, MATCH($C149, 'De Vaucouleurs Deprojection'!$A$3:$A$126,1)-1,0,2))*LCDMTotalBulgeMass</f>
        <v>6.2563329506806143E+40</v>
      </c>
      <c r="F149" s="15">
        <f t="shared" si="16"/>
        <v>1.1860881666217486E+41</v>
      </c>
      <c r="G149" s="15">
        <f t="shared" si="17"/>
        <v>1.4545558366001578E+41</v>
      </c>
      <c r="H149" s="15">
        <f t="shared" si="18"/>
        <v>3.2662772982899676E+41</v>
      </c>
      <c r="I149" s="16">
        <v>264.7</v>
      </c>
      <c r="J149" s="16">
        <v>5.3</v>
      </c>
      <c r="K149" s="19">
        <f t="shared" si="19"/>
        <v>240.83705814259349</v>
      </c>
      <c r="L149" s="16">
        <f t="shared" si="20"/>
        <v>20.271982701671877</v>
      </c>
      <c r="M149" s="45"/>
      <c r="V149" s="45"/>
      <c r="W149" s="45"/>
    </row>
    <row r="150" spans="1:23" x14ac:dyDescent="0.25">
      <c r="A150" s="45">
        <v>12.56</v>
      </c>
      <c r="B150" s="45">
        <f t="shared" si="21"/>
        <v>12560</v>
      </c>
      <c r="C150" s="16">
        <f t="shared" si="22"/>
        <v>9.661538461538461</v>
      </c>
      <c r="D150" s="15">
        <f t="shared" si="23"/>
        <v>3.8756110404800001E+20</v>
      </c>
      <c r="E150" s="15">
        <f>FORECAST($C150, OFFSET('De Vaucouleurs Deprojection'!$F$3:$F$126, MATCH($C150, 'De Vaucouleurs Deprojection'!$A$3:$A$126,1)-1,0,2), OFFSET('De Vaucouleurs Deprojection'!$A$3:$A$126, MATCH($C150, 'De Vaucouleurs Deprojection'!$A$3:$A$126,1)-1,0,2))*LCDMTotalBulgeMass</f>
        <v>6.2779397911827691E+40</v>
      </c>
      <c r="F150" s="15">
        <f t="shared" si="16"/>
        <v>1.2080188752198473E+41</v>
      </c>
      <c r="G150" s="15">
        <f t="shared" si="17"/>
        <v>1.528042342391262E+41</v>
      </c>
      <c r="H150" s="15">
        <f t="shared" si="18"/>
        <v>3.3638551967293863E+41</v>
      </c>
      <c r="I150" s="16">
        <v>265.3</v>
      </c>
      <c r="J150" s="16">
        <v>5.4</v>
      </c>
      <c r="K150" s="19">
        <f t="shared" si="19"/>
        <v>240.68235823279713</v>
      </c>
      <c r="L150" s="16">
        <f t="shared" si="20"/>
        <v>20.782863037665699</v>
      </c>
      <c r="M150" s="45"/>
      <c r="V150" s="45"/>
      <c r="W150" s="45"/>
    </row>
    <row r="151" spans="1:23" x14ac:dyDescent="0.25">
      <c r="A151" s="45">
        <v>12.94</v>
      </c>
      <c r="B151" s="45">
        <f t="shared" si="21"/>
        <v>12940</v>
      </c>
      <c r="C151" s="16">
        <f t="shared" si="22"/>
        <v>9.953846153846154</v>
      </c>
      <c r="D151" s="15">
        <f t="shared" si="23"/>
        <v>3.9928667885199996E+20</v>
      </c>
      <c r="E151" s="15">
        <f>FORECAST($C151, OFFSET('De Vaucouleurs Deprojection'!$F$3:$F$126, MATCH($C151, 'De Vaucouleurs Deprojection'!$A$3:$A$126,1)-1,0,2), OFFSET('De Vaucouleurs Deprojection'!$A$3:$A$126, MATCH($C151, 'De Vaucouleurs Deprojection'!$A$3:$A$126,1)-1,0,2))*LCDMTotalBulgeMass</f>
        <v>6.299546631684922E+40</v>
      </c>
      <c r="F151" s="15">
        <f t="shared" si="16"/>
        <v>1.2287115468286538E+41</v>
      </c>
      <c r="G151" s="15">
        <f t="shared" si="17"/>
        <v>1.6024612742715443E+41</v>
      </c>
      <c r="H151" s="15">
        <f t="shared" si="18"/>
        <v>3.4611274842686901E+41</v>
      </c>
      <c r="I151" s="16">
        <v>265.2</v>
      </c>
      <c r="J151" s="16">
        <v>3.9</v>
      </c>
      <c r="K151" s="19">
        <f t="shared" si="19"/>
        <v>240.52603459337621</v>
      </c>
      <c r="L151" s="16">
        <f t="shared" si="20"/>
        <v>40.026598874902497</v>
      </c>
      <c r="M151" s="45"/>
      <c r="V151" s="45"/>
      <c r="W151" s="45"/>
    </row>
    <row r="152" spans="1:23" x14ac:dyDescent="0.25">
      <c r="A152" s="45">
        <v>13.32</v>
      </c>
      <c r="B152" s="45">
        <f t="shared" si="21"/>
        <v>13320</v>
      </c>
      <c r="C152" s="16">
        <f t="shared" si="22"/>
        <v>10.246153846153845</v>
      </c>
      <c r="D152" s="15">
        <f t="shared" si="23"/>
        <v>4.1101225365600004E+20</v>
      </c>
      <c r="E152" s="15">
        <f>FORECAST($C152, OFFSET('De Vaucouleurs Deprojection'!$F$3:$F$126, MATCH($C152, 'De Vaucouleurs Deprojection'!$A$3:$A$126,1)-1,0,2), OFFSET('De Vaucouleurs Deprojection'!$A$3:$A$126, MATCH($C152, 'De Vaucouleurs Deprojection'!$A$3:$A$126,1)-1,0,2))*LCDMTotalBulgeMass</f>
        <v>6.3174354587076915E+40</v>
      </c>
      <c r="F152" s="15">
        <f t="shared" si="16"/>
        <v>1.2482187206363956E+41</v>
      </c>
      <c r="G152" s="15">
        <f t="shared" si="17"/>
        <v>1.6777691391796865E+41</v>
      </c>
      <c r="H152" s="15">
        <f t="shared" si="18"/>
        <v>3.557731405686851E+41</v>
      </c>
      <c r="I152" s="16">
        <v>262</v>
      </c>
      <c r="J152" s="16">
        <v>2.4</v>
      </c>
      <c r="K152" s="19">
        <f t="shared" ref="K152:K183" si="24">SQRT(TotalMass*GravitationalConstant/RadiusKm)/km</f>
        <v>240.35596125857538</v>
      </c>
      <c r="L152" s="16">
        <f t="shared" si="20"/>
        <v>81.330627263939235</v>
      </c>
      <c r="M152" s="45"/>
      <c r="V152" s="45"/>
      <c r="W152" s="45"/>
    </row>
    <row r="153" spans="1:23" x14ac:dyDescent="0.25">
      <c r="A153" s="45">
        <v>13.7</v>
      </c>
      <c r="B153" s="45">
        <f t="shared" si="21"/>
        <v>13700</v>
      </c>
      <c r="C153" s="16">
        <f t="shared" si="22"/>
        <v>10.538461538461538</v>
      </c>
      <c r="D153" s="15">
        <f t="shared" si="23"/>
        <v>4.2273782845999999E+20</v>
      </c>
      <c r="E153" s="15">
        <f>FORECAST($C153, OFFSET('De Vaucouleurs Deprojection'!$F$3:$F$126, MATCH($C153, 'De Vaucouleurs Deprojection'!$A$3:$A$126,1)-1,0,2), OFFSET('De Vaucouleurs Deprojection'!$A$3:$A$126, MATCH($C153, 'De Vaucouleurs Deprojection'!$A$3:$A$126,1)-1,0,2))*LCDMTotalBulgeMass</f>
        <v>6.3346271582030763E+40</v>
      </c>
      <c r="F153" s="15">
        <f t="shared" si="16"/>
        <v>1.2665929049219934E+41</v>
      </c>
      <c r="G153" s="15">
        <f t="shared" si="17"/>
        <v>1.7539242705022897E+41</v>
      </c>
      <c r="H153" s="15">
        <f t="shared" si="18"/>
        <v>3.6539798912445906E+41</v>
      </c>
      <c r="I153" s="16">
        <v>260.8</v>
      </c>
      <c r="J153" s="16">
        <v>4.5</v>
      </c>
      <c r="K153" s="19">
        <f t="shared" si="24"/>
        <v>240.18353058461634</v>
      </c>
      <c r="L153" s="16">
        <f t="shared" si="20"/>
        <v>20.989570921256817</v>
      </c>
      <c r="M153" s="45"/>
      <c r="V153" s="45"/>
      <c r="W153" s="45"/>
    </row>
    <row r="154" spans="1:23" x14ac:dyDescent="0.25">
      <c r="A154" s="45">
        <v>14.08</v>
      </c>
      <c r="B154" s="45">
        <f t="shared" si="21"/>
        <v>14080</v>
      </c>
      <c r="C154" s="16">
        <f t="shared" si="22"/>
        <v>10.830769230769231</v>
      </c>
      <c r="D154" s="15">
        <f t="shared" si="23"/>
        <v>4.34463403264E+20</v>
      </c>
      <c r="E154" s="15">
        <f>FORECAST($C154, OFFSET('De Vaucouleurs Deprojection'!$F$3:$F$126, MATCH($C154, 'De Vaucouleurs Deprojection'!$A$3:$A$126,1)-1,0,2), OFFSET('De Vaucouleurs Deprojection'!$A$3:$A$126, MATCH($C154, 'De Vaucouleurs Deprojection'!$A$3:$A$126,1)-1,0,2))*LCDMTotalBulgeMass</f>
        <v>6.3518188576984602E+40</v>
      </c>
      <c r="F154" s="15">
        <f t="shared" si="16"/>
        <v>1.2838862064317692E+41</v>
      </c>
      <c r="G154" s="15">
        <f t="shared" si="17"/>
        <v>1.8308867417720532E+41</v>
      </c>
      <c r="H154" s="15">
        <f t="shared" si="18"/>
        <v>3.7499548339736682E+41</v>
      </c>
      <c r="I154" s="16">
        <v>259.2</v>
      </c>
      <c r="J154" s="16">
        <v>5.4</v>
      </c>
      <c r="K154" s="19">
        <f t="shared" si="24"/>
        <v>240.01153948588012</v>
      </c>
      <c r="L154" s="16">
        <f t="shared" si="20"/>
        <v>12.626783844373705</v>
      </c>
      <c r="M154" s="45"/>
      <c r="V154" s="45"/>
      <c r="W154" s="45"/>
    </row>
    <row r="155" spans="1:23" x14ac:dyDescent="0.25">
      <c r="A155" s="45">
        <v>14.46</v>
      </c>
      <c r="B155" s="45">
        <f t="shared" si="21"/>
        <v>14460</v>
      </c>
      <c r="C155" s="16">
        <f t="shared" si="22"/>
        <v>11.123076923076923</v>
      </c>
      <c r="D155" s="15">
        <f t="shared" si="23"/>
        <v>4.4618897806800001E+20</v>
      </c>
      <c r="E155" s="15">
        <f>FORECAST($C155, OFFSET('De Vaucouleurs Deprojection'!$F$3:$F$126, MATCH($C155, 'De Vaucouleurs Deprojection'!$A$3:$A$126,1)-1,0,2), OFFSET('De Vaucouleurs Deprojection'!$A$3:$A$126, MATCH($C155, 'De Vaucouleurs Deprojection'!$A$3:$A$126,1)-1,0,2))*LCDMTotalBulgeMass</f>
        <v>6.3676204149858446E+40</v>
      </c>
      <c r="F155" s="15">
        <f t="shared" si="16"/>
        <v>1.3001500226717638E+41</v>
      </c>
      <c r="G155" s="15">
        <f t="shared" si="17"/>
        <v>1.9086182850284647E+41</v>
      </c>
      <c r="H155" s="15">
        <f t="shared" si="18"/>
        <v>3.8455303491988125E+41</v>
      </c>
      <c r="I155" s="16">
        <v>258.10000000000002</v>
      </c>
      <c r="J155" s="16">
        <v>6.8</v>
      </c>
      <c r="K155" s="19">
        <f t="shared" si="24"/>
        <v>239.83601893204406</v>
      </c>
      <c r="L155" s="16">
        <f t="shared" si="20"/>
        <v>7.2139490581888843</v>
      </c>
      <c r="M155" s="45"/>
      <c r="V155" s="45"/>
      <c r="W155" s="45"/>
    </row>
    <row r="156" spans="1:23" x14ac:dyDescent="0.25">
      <c r="A156" s="45">
        <v>14.84</v>
      </c>
      <c r="B156" s="45">
        <f t="shared" si="21"/>
        <v>14840</v>
      </c>
      <c r="C156" s="16">
        <f t="shared" si="22"/>
        <v>11.415384615384616</v>
      </c>
      <c r="D156" s="15">
        <f t="shared" si="23"/>
        <v>4.5791455287199996E+20</v>
      </c>
      <c r="E156" s="15">
        <f>FORECAST($C156, OFFSET('De Vaucouleurs Deprojection'!$F$3:$F$126, MATCH($C156, 'De Vaucouleurs Deprojection'!$A$3:$A$126,1)-1,0,2), OFFSET('De Vaucouleurs Deprojection'!$A$3:$A$126, MATCH($C156, 'De Vaucouleurs Deprojection'!$A$3:$A$126,1)-1,0,2))*LCDMTotalBulgeMass</f>
        <v>6.3815105267372298E+40</v>
      </c>
      <c r="F156" s="15">
        <f t="shared" si="16"/>
        <v>1.3154347891242294E+41</v>
      </c>
      <c r="G156" s="15">
        <f t="shared" si="17"/>
        <v>1.987082213555452E+41</v>
      </c>
      <c r="H156" s="15">
        <f t="shared" si="18"/>
        <v>3.9406680553534042E+41</v>
      </c>
      <c r="I156" s="16">
        <v>258.39999999999998</v>
      </c>
      <c r="J156" s="16">
        <v>6.1</v>
      </c>
      <c r="K156" s="19">
        <f t="shared" si="24"/>
        <v>239.65605591588209</v>
      </c>
      <c r="L156" s="16">
        <f t="shared" si="20"/>
        <v>9.4419629085874206</v>
      </c>
      <c r="M156" s="45"/>
      <c r="V156" s="45"/>
      <c r="W156" s="45"/>
    </row>
    <row r="157" spans="1:23" x14ac:dyDescent="0.25">
      <c r="A157" s="45">
        <v>15.23</v>
      </c>
      <c r="B157" s="45">
        <f t="shared" si="21"/>
        <v>15230</v>
      </c>
      <c r="C157" s="16">
        <f t="shared" si="22"/>
        <v>11.715384615384615</v>
      </c>
      <c r="D157" s="15">
        <f t="shared" si="23"/>
        <v>4.6994869543400001E+20</v>
      </c>
      <c r="E157" s="15">
        <f>FORECAST($C157, OFFSET('De Vaucouleurs Deprojection'!$F$3:$F$126, MATCH($C157, 'De Vaucouleurs Deprojection'!$A$3:$A$126,1)-1,0,2), OFFSET('De Vaucouleurs Deprojection'!$A$3:$A$126, MATCH($C157, 'De Vaucouleurs Deprojection'!$A$3:$A$126,1)-1,0,2))*LCDMTotalBulgeMass</f>
        <v>6.3957661677452299E+40</v>
      </c>
      <c r="F157" s="15">
        <f t="shared" si="16"/>
        <v>1.3301554215500599E+41</v>
      </c>
      <c r="G157" s="15">
        <f t="shared" si="17"/>
        <v>2.0683356408311963E+41</v>
      </c>
      <c r="H157" s="15">
        <f t="shared" si="18"/>
        <v>4.0380676791557787E+41</v>
      </c>
      <c r="I157" s="16">
        <v>259.2</v>
      </c>
      <c r="J157" s="16">
        <v>4.5999999999999996</v>
      </c>
      <c r="K157" s="19">
        <f t="shared" si="24"/>
        <v>239.47339800348254</v>
      </c>
      <c r="L157" s="16">
        <f t="shared" si="20"/>
        <v>18.390303701748874</v>
      </c>
      <c r="M157" s="45"/>
      <c r="V157" s="45"/>
      <c r="W157" s="45"/>
    </row>
    <row r="158" spans="1:23" x14ac:dyDescent="0.25">
      <c r="A158" s="45">
        <v>15.61</v>
      </c>
      <c r="B158" s="45">
        <f t="shared" si="21"/>
        <v>15610</v>
      </c>
      <c r="C158" s="16">
        <f t="shared" si="22"/>
        <v>12.007692307692308</v>
      </c>
      <c r="D158" s="15">
        <f t="shared" si="23"/>
        <v>4.8167427023799996E+20</v>
      </c>
      <c r="E158" s="15">
        <f>FORECAST($C158, OFFSET('De Vaucouleurs Deprojection'!$F$3:$F$126, MATCH($C158, 'De Vaucouleurs Deprojection'!$A$3:$A$126,1)-1,0,2), OFFSET('De Vaucouleurs Deprojection'!$A$3:$A$126, MATCH($C158, 'De Vaucouleurs Deprojection'!$A$3:$A$126,1)-1,0,2))*LCDMTotalBulgeMass</f>
        <v>6.4095889316307689E+40</v>
      </c>
      <c r="F158" s="15">
        <f t="shared" si="16"/>
        <v>1.3436059914931572E+41</v>
      </c>
      <c r="G158" s="15">
        <f t="shared" si="17"/>
        <v>2.148177259527106E+41</v>
      </c>
      <c r="H158" s="15">
        <f t="shared" si="18"/>
        <v>4.1327421441833401E+41</v>
      </c>
      <c r="I158" s="16">
        <v>262.7</v>
      </c>
      <c r="J158" s="16">
        <v>4.2</v>
      </c>
      <c r="K158" s="19">
        <f t="shared" si="24"/>
        <v>239.29748515836386</v>
      </c>
      <c r="L158" s="16">
        <f t="shared" si="20"/>
        <v>31.04748871388886</v>
      </c>
      <c r="M158" s="45"/>
      <c r="V158" s="45"/>
      <c r="W158" s="45"/>
    </row>
    <row r="159" spans="1:23" x14ac:dyDescent="0.25">
      <c r="A159" s="45">
        <v>15.99</v>
      </c>
      <c r="B159" s="45">
        <f t="shared" si="21"/>
        <v>15990</v>
      </c>
      <c r="C159" s="16">
        <f t="shared" si="22"/>
        <v>12.3</v>
      </c>
      <c r="D159" s="15">
        <f t="shared" si="23"/>
        <v>4.9339984504200004E+20</v>
      </c>
      <c r="E159" s="15">
        <f>FORECAST($C159, OFFSET('De Vaucouleurs Deprojection'!$F$3:$F$126, MATCH($C159, 'De Vaucouleurs Deprojection'!$A$3:$A$126,1)-1,0,2), OFFSET('De Vaucouleurs Deprojection'!$A$3:$A$126, MATCH($C159, 'De Vaucouleurs Deprojection'!$A$3:$A$126,1)-1,0,2))*LCDMTotalBulgeMass</f>
        <v>6.4209198244799993E+40</v>
      </c>
      <c r="F159" s="15">
        <f t="shared" si="16"/>
        <v>1.3562224011953556E+41</v>
      </c>
      <c r="G159" s="15">
        <f t="shared" si="17"/>
        <v>2.2286491445975251E+41</v>
      </c>
      <c r="H159" s="15">
        <f t="shared" si="18"/>
        <v>4.2269635282408806E+41</v>
      </c>
      <c r="I159" s="16">
        <v>266.10000000000002</v>
      </c>
      <c r="J159" s="16">
        <v>4</v>
      </c>
      <c r="K159" s="19">
        <f t="shared" si="24"/>
        <v>239.11699814389982</v>
      </c>
      <c r="L159" s="16">
        <f t="shared" si="20"/>
        <v>45.505149322894184</v>
      </c>
      <c r="M159" s="45"/>
      <c r="V159" s="45"/>
      <c r="W159" s="45"/>
    </row>
    <row r="160" spans="1:23" x14ac:dyDescent="0.25">
      <c r="A160" s="45">
        <v>16.37</v>
      </c>
      <c r="B160" s="45">
        <f t="shared" si="21"/>
        <v>16370.000000000002</v>
      </c>
      <c r="C160" s="16">
        <f t="shared" si="22"/>
        <v>12.592307692307694</v>
      </c>
      <c r="D160" s="15">
        <f t="shared" si="23"/>
        <v>5.0512541984600005E+20</v>
      </c>
      <c r="E160" s="15">
        <f>FORECAST($C160, OFFSET('De Vaucouleurs Deprojection'!$F$3:$F$126, MATCH($C160, 'De Vaucouleurs Deprojection'!$A$3:$A$126,1)-1,0,2), OFFSET('De Vaucouleurs Deprojection'!$A$3:$A$126, MATCH($C160, 'De Vaucouleurs Deprojection'!$A$3:$A$126,1)-1,0,2))*LCDMTotalBulgeMass</f>
        <v>6.4322507173292298E+40</v>
      </c>
      <c r="F160" s="15">
        <f t="shared" si="16"/>
        <v>1.368049534949645E+41</v>
      </c>
      <c r="G160" s="15">
        <f t="shared" si="17"/>
        <v>2.3097202739697524E+41</v>
      </c>
      <c r="H160" s="15">
        <f t="shared" si="18"/>
        <v>4.3209948806523205E+41</v>
      </c>
      <c r="I160" s="16">
        <v>270</v>
      </c>
      <c r="J160" s="16">
        <v>2.2999999999999998</v>
      </c>
      <c r="K160" s="19">
        <f t="shared" si="24"/>
        <v>238.93950944191093</v>
      </c>
      <c r="L160" s="16">
        <f t="shared" si="20"/>
        <v>182.37317083348591</v>
      </c>
      <c r="M160" s="45"/>
      <c r="V160" s="45"/>
      <c r="W160" s="45"/>
    </row>
    <row r="161" spans="1:23" x14ac:dyDescent="0.25">
      <c r="A161" s="45">
        <v>16.75</v>
      </c>
      <c r="B161" s="45">
        <f t="shared" si="21"/>
        <v>16750</v>
      </c>
      <c r="C161" s="16">
        <f t="shared" si="22"/>
        <v>12.884615384615385</v>
      </c>
      <c r="D161" s="15">
        <f t="shared" si="23"/>
        <v>5.1685099465E+20</v>
      </c>
      <c r="E161" s="15">
        <f>FORECAST($C161, OFFSET('De Vaucouleurs Deprojection'!$F$3:$F$126, MATCH($C161, 'De Vaucouleurs Deprojection'!$A$3:$A$126,1)-1,0,2), OFFSET('De Vaucouleurs Deprojection'!$A$3:$A$126, MATCH($C161, 'De Vaucouleurs Deprojection'!$A$3:$A$126,1)-1,0,2))*LCDMTotalBulgeMass</f>
        <v>6.4435816101784613E+40</v>
      </c>
      <c r="F161" s="15">
        <f t="shared" si="16"/>
        <v>1.3791306518080072E+41</v>
      </c>
      <c r="G161" s="15">
        <f t="shared" si="17"/>
        <v>2.3913608759443822E+41</v>
      </c>
      <c r="H161" s="15">
        <f t="shared" si="18"/>
        <v>4.4148496887702354E+41</v>
      </c>
      <c r="I161" s="16">
        <v>269.8</v>
      </c>
      <c r="J161" s="16">
        <v>1</v>
      </c>
      <c r="K161" s="19">
        <f t="shared" si="24"/>
        <v>238.76517695479657</v>
      </c>
      <c r="L161" s="16">
        <f t="shared" si="20"/>
        <v>963.16024144709047</v>
      </c>
      <c r="M161" s="45"/>
      <c r="V161" s="45"/>
      <c r="W161" s="45"/>
    </row>
    <row r="162" spans="1:23" x14ac:dyDescent="0.25">
      <c r="A162" s="45">
        <v>17.13</v>
      </c>
      <c r="B162" s="45">
        <f t="shared" si="21"/>
        <v>17130</v>
      </c>
      <c r="C162" s="16">
        <f t="shared" si="22"/>
        <v>13.176923076923076</v>
      </c>
      <c r="D162" s="15">
        <f t="shared" si="23"/>
        <v>5.2857656945399995E+20</v>
      </c>
      <c r="E162" s="15">
        <f>FORECAST($C162, OFFSET('De Vaucouleurs Deprojection'!$F$3:$F$126, MATCH($C162, 'De Vaucouleurs Deprojection'!$A$3:$A$126,1)-1,0,2), OFFSET('De Vaucouleurs Deprojection'!$A$3:$A$126, MATCH($C162, 'De Vaucouleurs Deprojection'!$A$3:$A$126,1)-1,0,2))*LCDMTotalBulgeMass</f>
        <v>6.4537182351470752E+40</v>
      </c>
      <c r="F162" s="15">
        <f t="shared" si="16"/>
        <v>1.3895073394158229E+41</v>
      </c>
      <c r="G162" s="15">
        <f t="shared" si="17"/>
        <v>2.4735423732752133E+41</v>
      </c>
      <c r="H162" s="15">
        <f t="shared" si="18"/>
        <v>4.5084215362057435E+41</v>
      </c>
      <c r="I162" s="16">
        <v>269.10000000000002</v>
      </c>
      <c r="J162" s="16">
        <v>3.9</v>
      </c>
      <c r="K162" s="19">
        <f t="shared" si="24"/>
        <v>238.5909727953316</v>
      </c>
      <c r="L162" s="16">
        <f t="shared" si="20"/>
        <v>61.196629912899297</v>
      </c>
      <c r="M162" s="45"/>
      <c r="V162" s="45"/>
      <c r="W162" s="45"/>
    </row>
    <row r="163" spans="1:23" x14ac:dyDescent="0.25">
      <c r="A163" s="45">
        <v>17.510000000000002</v>
      </c>
      <c r="B163" s="45">
        <f t="shared" si="21"/>
        <v>17510</v>
      </c>
      <c r="C163" s="16">
        <f t="shared" si="22"/>
        <v>13.469230769230769</v>
      </c>
      <c r="D163" s="15">
        <f t="shared" si="23"/>
        <v>5.4030214425800003E+20</v>
      </c>
      <c r="E163" s="15">
        <f>FORECAST($C163, OFFSET('De Vaucouleurs Deprojection'!$F$3:$F$126, MATCH($C163, 'De Vaucouleurs Deprojection'!$A$3:$A$126,1)-1,0,2), OFFSET('De Vaucouleurs Deprojection'!$A$3:$A$126, MATCH($C163, 'De Vaucouleurs Deprojection'!$A$3:$A$126,1)-1,0,2))*LCDMTotalBulgeMass</f>
        <v>6.4630759897587678E+40</v>
      </c>
      <c r="F163" s="15">
        <f t="shared" si="16"/>
        <v>1.3992194872821907E+41</v>
      </c>
      <c r="G163" s="15">
        <f t="shared" si="17"/>
        <v>2.5562373300961015E+41</v>
      </c>
      <c r="H163" s="15">
        <f t="shared" si="18"/>
        <v>4.6017644163541686E+41</v>
      </c>
      <c r="I163" s="16">
        <v>268.5</v>
      </c>
      <c r="J163" s="16">
        <v>7.1</v>
      </c>
      <c r="K163" s="19">
        <f t="shared" si="24"/>
        <v>238.41827929270013</v>
      </c>
      <c r="L163" s="16">
        <f t="shared" si="20"/>
        <v>17.951000212497394</v>
      </c>
      <c r="M163" s="45"/>
      <c r="V163" s="45"/>
      <c r="W163" s="45"/>
    </row>
    <row r="164" spans="1:23" x14ac:dyDescent="0.25">
      <c r="A164" s="45">
        <v>17.89</v>
      </c>
      <c r="B164" s="45">
        <f t="shared" si="21"/>
        <v>17890</v>
      </c>
      <c r="C164" s="16">
        <f t="shared" si="22"/>
        <v>13.761538461538462</v>
      </c>
      <c r="D164" s="15">
        <f t="shared" si="23"/>
        <v>5.5202771906200004E+20</v>
      </c>
      <c r="E164" s="15">
        <f>FORECAST($C164, OFFSET('De Vaucouleurs Deprojection'!$F$3:$F$126, MATCH($C164, 'De Vaucouleurs Deprojection'!$A$3:$A$126,1)-1,0,2), OFFSET('De Vaucouleurs Deprojection'!$A$3:$A$126, MATCH($C164, 'De Vaucouleurs Deprojection'!$A$3:$A$126,1)-1,0,2))*LCDMTotalBulgeMass</f>
        <v>6.4724337443704595E+40</v>
      </c>
      <c r="F164" s="15">
        <f t="shared" si="16"/>
        <v>1.4083052765286396E+41</v>
      </c>
      <c r="G164" s="15">
        <f t="shared" si="17"/>
        <v>2.639419401530715E+41</v>
      </c>
      <c r="H164" s="15">
        <f t="shared" si="18"/>
        <v>4.6949680524964004E+41</v>
      </c>
      <c r="I164" s="16">
        <v>263</v>
      </c>
      <c r="J164" s="16">
        <v>15</v>
      </c>
      <c r="K164" s="19">
        <f t="shared" si="24"/>
        <v>238.24927182764389</v>
      </c>
      <c r="L164" s="16">
        <f t="shared" si="20"/>
        <v>2.7226602002749432</v>
      </c>
      <c r="M164" s="45"/>
      <c r="V164" s="45"/>
      <c r="W164" s="45"/>
    </row>
    <row r="165" spans="1:23" x14ac:dyDescent="0.25">
      <c r="A165" s="45">
        <v>18.27</v>
      </c>
      <c r="B165" s="45">
        <f t="shared" si="21"/>
        <v>18270</v>
      </c>
      <c r="C165" s="16">
        <f t="shared" si="22"/>
        <v>14.053846153846154</v>
      </c>
      <c r="D165" s="15">
        <f t="shared" si="23"/>
        <v>5.6375329386599999E+20</v>
      </c>
      <c r="E165" s="15">
        <f>FORECAST($C165, OFFSET('De Vaucouleurs Deprojection'!$F$3:$F$126, MATCH($C165, 'De Vaucouleurs Deprojection'!$A$3:$A$126,1)-1,0,2), OFFSET('De Vaucouleurs Deprojection'!$A$3:$A$126, MATCH($C165, 'De Vaucouleurs Deprojection'!$A$3:$A$126,1)-1,0,2))*LCDMTotalBulgeMass</f>
        <v>6.4815000009673843E+40</v>
      </c>
      <c r="F165" s="15">
        <f t="shared" si="16"/>
        <v>1.4168011835199837E+41</v>
      </c>
      <c r="G165" s="15">
        <f t="shared" si="17"/>
        <v>2.7230632858318205E+41</v>
      </c>
      <c r="H165" s="15">
        <f t="shared" si="18"/>
        <v>4.7880144694485424E+41</v>
      </c>
      <c r="I165" s="16">
        <v>257.10000000000002</v>
      </c>
      <c r="J165" s="16">
        <v>13.5</v>
      </c>
      <c r="K165" s="19">
        <f t="shared" si="24"/>
        <v>238.08327337057642</v>
      </c>
      <c r="L165" s="16">
        <f t="shared" si="20"/>
        <v>1.9842847281109943</v>
      </c>
      <c r="M165" s="45"/>
      <c r="V165" s="45"/>
      <c r="W165" s="45"/>
    </row>
    <row r="166" spans="1:23" x14ac:dyDescent="0.25">
      <c r="A166" s="45">
        <v>18.649999999999999</v>
      </c>
      <c r="B166" s="45">
        <f t="shared" si="21"/>
        <v>18650</v>
      </c>
      <c r="C166" s="16">
        <f t="shared" si="22"/>
        <v>14.346153846153847</v>
      </c>
      <c r="D166" s="15">
        <f t="shared" si="23"/>
        <v>5.7547886866999994E+20</v>
      </c>
      <c r="E166" s="15">
        <f>FORECAST($C166, OFFSET('De Vaucouleurs Deprojection'!$F$3:$F$126, MATCH($C166, 'De Vaucouleurs Deprojection'!$A$3:$A$126,1)-1,0,2), OFFSET('De Vaucouleurs Deprojection'!$A$3:$A$126, MATCH($C166, 'De Vaucouleurs Deprojection'!$A$3:$A$126,1)-1,0,2))*LCDMTotalBulgeMass</f>
        <v>6.4892753377846152E+40</v>
      </c>
      <c r="F166" s="15">
        <f t="shared" si="16"/>
        <v>1.4247419951023461E+41</v>
      </c>
      <c r="G166" s="15">
        <f t="shared" si="17"/>
        <v>2.8071446789064366E+41</v>
      </c>
      <c r="H166" s="15">
        <f t="shared" si="18"/>
        <v>4.8808142077872445E+41</v>
      </c>
      <c r="I166" s="16">
        <v>254.1</v>
      </c>
      <c r="J166" s="16">
        <v>10.6</v>
      </c>
      <c r="K166" s="19">
        <f t="shared" si="24"/>
        <v>237.91791846376918</v>
      </c>
      <c r="L166" s="16">
        <f t="shared" si="20"/>
        <v>2.3305425671522082</v>
      </c>
      <c r="M166" s="45"/>
      <c r="V166" s="45"/>
      <c r="W166" s="45"/>
    </row>
    <row r="167" spans="1:23" x14ac:dyDescent="0.25">
      <c r="A167" s="45">
        <v>19.03</v>
      </c>
      <c r="B167" s="45">
        <f t="shared" si="21"/>
        <v>19030</v>
      </c>
      <c r="C167" s="16">
        <f t="shared" si="22"/>
        <v>14.638461538461538</v>
      </c>
      <c r="D167" s="15">
        <f t="shared" si="23"/>
        <v>5.8720444347400002E+20</v>
      </c>
      <c r="E167" s="15">
        <f>FORECAST($C167, OFFSET('De Vaucouleurs Deprojection'!$F$3:$F$126, MATCH($C167, 'De Vaucouleurs Deprojection'!$A$3:$A$126,1)-1,0,2), OFFSET('De Vaucouleurs Deprojection'!$A$3:$A$126, MATCH($C167, 'De Vaucouleurs Deprojection'!$A$3:$A$126,1)-1,0,2))*LCDMTotalBulgeMass</f>
        <v>6.4970506746018462E+40</v>
      </c>
      <c r="F167" s="15">
        <f t="shared" si="16"/>
        <v>1.4321608334589176E+41</v>
      </c>
      <c r="G167" s="15">
        <f t="shared" si="17"/>
        <v>2.8916402310923994E+41</v>
      </c>
      <c r="H167" s="15">
        <f t="shared" si="18"/>
        <v>4.9735061320115013E+41</v>
      </c>
      <c r="I167" s="16">
        <v>251.9</v>
      </c>
      <c r="J167" s="16">
        <v>11.1</v>
      </c>
      <c r="K167" s="19">
        <f t="shared" si="24"/>
        <v>237.75648213239134</v>
      </c>
      <c r="L167" s="16">
        <f t="shared" si="20"/>
        <v>1.6235621919597889</v>
      </c>
      <c r="M167" s="45"/>
      <c r="V167" s="45"/>
      <c r="W167" s="45"/>
    </row>
    <row r="168" spans="1:23" x14ac:dyDescent="0.25">
      <c r="A168" s="45">
        <v>19.41</v>
      </c>
      <c r="B168" s="45">
        <f t="shared" si="21"/>
        <v>19410</v>
      </c>
      <c r="C168" s="16">
        <f t="shared" si="22"/>
        <v>14.930769230769231</v>
      </c>
      <c r="D168" s="15">
        <f t="shared" si="23"/>
        <v>5.9893001827800003E+20</v>
      </c>
      <c r="E168" s="15">
        <f>FORECAST($C168, OFFSET('De Vaucouleurs Deprojection'!$F$3:$F$126, MATCH($C168, 'De Vaucouleurs Deprojection'!$A$3:$A$126,1)-1,0,2), OFFSET('De Vaucouleurs Deprojection'!$A$3:$A$126, MATCH($C168, 'De Vaucouleurs Deprojection'!$A$3:$A$126,1)-1,0,2))*LCDMTotalBulgeMass</f>
        <v>6.5048260114190761E+40</v>
      </c>
      <c r="F168" s="15">
        <f t="shared" si="16"/>
        <v>1.439089188847511E+41</v>
      </c>
      <c r="G168" s="15">
        <f t="shared" si="17"/>
        <v>2.9765275060602945E+41</v>
      </c>
      <c r="H168" s="15">
        <f t="shared" si="18"/>
        <v>5.0660992960497131E+41</v>
      </c>
      <c r="I168" s="16">
        <v>249.5</v>
      </c>
      <c r="J168" s="16">
        <v>8.1</v>
      </c>
      <c r="K168" s="19">
        <f t="shared" si="24"/>
        <v>237.59894761983037</v>
      </c>
      <c r="L168" s="16">
        <f t="shared" si="20"/>
        <v>2.158741773442177</v>
      </c>
      <c r="M168" s="45"/>
      <c r="V168" s="45"/>
      <c r="W168" s="45"/>
    </row>
    <row r="169" spans="1:23" x14ac:dyDescent="0.25">
      <c r="A169" s="45">
        <v>19.79</v>
      </c>
      <c r="B169" s="45">
        <f t="shared" si="21"/>
        <v>19790</v>
      </c>
      <c r="C169" s="16">
        <f t="shared" si="22"/>
        <v>15.223076923076922</v>
      </c>
      <c r="D169" s="15">
        <f t="shared" si="23"/>
        <v>6.1065559308199998E+20</v>
      </c>
      <c r="E169" s="15">
        <f>FORECAST($C169, OFFSET('De Vaucouleurs Deprojection'!$F$3:$F$126, MATCH($C169, 'De Vaucouleurs Deprojection'!$A$3:$A$126,1)-1,0,2), OFFSET('De Vaucouleurs Deprojection'!$A$3:$A$126, MATCH($C169, 'De Vaucouleurs Deprojection'!$A$3:$A$126,1)-1,0,2))*LCDMTotalBulgeMass</f>
        <v>6.5103590241777225E+40</v>
      </c>
      <c r="F169" s="15">
        <f t="shared" si="16"/>
        <v>1.4455569587088138E+41</v>
      </c>
      <c r="G169" s="15">
        <f t="shared" si="17"/>
        <v>3.0617849417227078E+41</v>
      </c>
      <c r="H169" s="15">
        <f t="shared" si="18"/>
        <v>5.1583778028492938E+41</v>
      </c>
      <c r="I169" s="16">
        <v>245.7</v>
      </c>
      <c r="J169" s="16">
        <v>7.4</v>
      </c>
      <c r="K169" s="19">
        <f t="shared" si="24"/>
        <v>237.44012264361515</v>
      </c>
      <c r="L169" s="16">
        <f t="shared" si="20"/>
        <v>1.2459016424857361</v>
      </c>
      <c r="M169" s="45"/>
      <c r="V169" s="45"/>
      <c r="W169" s="45"/>
    </row>
    <row r="170" spans="1:23" x14ac:dyDescent="0.25">
      <c r="A170" s="45">
        <v>20.18</v>
      </c>
      <c r="B170" s="45">
        <f t="shared" si="21"/>
        <v>20180</v>
      </c>
      <c r="C170" s="16">
        <f t="shared" si="22"/>
        <v>15.523076923076923</v>
      </c>
      <c r="D170" s="15">
        <f t="shared" si="23"/>
        <v>6.2268973564400003E+20</v>
      </c>
      <c r="E170" s="15">
        <f>FORECAST($C170, OFFSET('De Vaucouleurs Deprojection'!$F$3:$F$126, MATCH($C170, 'De Vaucouleurs Deprojection'!$A$3:$A$126,1)-1,0,2), OFFSET('De Vaucouleurs Deprojection'!$A$3:$A$126, MATCH($C170, 'De Vaucouleurs Deprojection'!$A$3:$A$126,1)-1,0,2))*LCDMTotalBulgeMass</f>
        <v>6.5153234358705228E+40</v>
      </c>
      <c r="F170" s="15">
        <f t="shared" si="16"/>
        <v>1.4517457328136177E+41</v>
      </c>
      <c r="G170" s="15">
        <f t="shared" si="17"/>
        <v>3.1496491608165691E+41</v>
      </c>
      <c r="H170" s="15">
        <f t="shared" si="18"/>
        <v>5.2529272372172394E+41</v>
      </c>
      <c r="I170" s="16">
        <v>243.7</v>
      </c>
      <c r="J170" s="16">
        <v>6.6</v>
      </c>
      <c r="K170" s="19">
        <f t="shared" si="24"/>
        <v>237.2796773417902</v>
      </c>
      <c r="L170" s="16">
        <f t="shared" si="20"/>
        <v>0.94629345811574728</v>
      </c>
      <c r="M170" s="45"/>
      <c r="V170" s="45"/>
      <c r="W170" s="45"/>
    </row>
    <row r="171" spans="1:23" x14ac:dyDescent="0.25">
      <c r="A171" s="45">
        <v>20.56</v>
      </c>
      <c r="B171" s="45">
        <f t="shared" si="21"/>
        <v>20560</v>
      </c>
      <c r="C171" s="16">
        <f t="shared" si="22"/>
        <v>15.815384615384616</v>
      </c>
      <c r="D171" s="15">
        <f t="shared" si="23"/>
        <v>6.3441531044799998E+20</v>
      </c>
      <c r="E171" s="15">
        <f>FORECAST($C171, OFFSET('De Vaucouleurs Deprojection'!$F$3:$F$126, MATCH($C171, 'De Vaucouleurs Deprojection'!$A$3:$A$126,1)-1,0,2), OFFSET('De Vaucouleurs Deprojection'!$A$3:$A$126, MATCH($C171, 'De Vaucouleurs Deprojection'!$A$3:$A$126,1)-1,0,2))*LCDMTotalBulgeMass</f>
        <v>6.5201605549558151E+40</v>
      </c>
      <c r="F171" s="15">
        <f t="shared" si="16"/>
        <v>1.4573655585388625E+41</v>
      </c>
      <c r="G171" s="15">
        <f t="shared" si="17"/>
        <v>3.2355939537985946E+41</v>
      </c>
      <c r="H171" s="15">
        <f t="shared" si="18"/>
        <v>5.3449755678330383E+41</v>
      </c>
      <c r="I171" s="16">
        <v>245.9</v>
      </c>
      <c r="J171" s="16">
        <v>7.5</v>
      </c>
      <c r="K171" s="19">
        <f t="shared" si="24"/>
        <v>237.12739950200353</v>
      </c>
      <c r="L171" s="16">
        <f t="shared" si="20"/>
        <v>1.3681514577324101</v>
      </c>
      <c r="M171" s="45"/>
      <c r="V171" s="45"/>
      <c r="W171" s="45"/>
    </row>
    <row r="172" spans="1:23" x14ac:dyDescent="0.25">
      <c r="A172" s="45">
        <v>20.94</v>
      </c>
      <c r="B172" s="45">
        <f t="shared" si="21"/>
        <v>20940</v>
      </c>
      <c r="C172" s="16">
        <f t="shared" si="22"/>
        <v>16.107692307692307</v>
      </c>
      <c r="D172" s="15">
        <f t="shared" si="23"/>
        <v>6.4614088525200006E+20</v>
      </c>
      <c r="E172" s="15">
        <f>FORECAST($C172, OFFSET('De Vaucouleurs Deprojection'!$F$3:$F$126, MATCH($C172, 'De Vaucouleurs Deprojection'!$A$3:$A$126,1)-1,0,2), OFFSET('De Vaucouleurs Deprojection'!$A$3:$A$126, MATCH($C172, 'De Vaucouleurs Deprojection'!$A$3:$A$126,1)-1,0,2))*LCDMTotalBulgeMass</f>
        <v>6.5249976740411064E+40</v>
      </c>
      <c r="F172" s="15">
        <f t="shared" si="16"/>
        <v>1.4626060437573998E+41</v>
      </c>
      <c r="G172" s="15">
        <f t="shared" si="17"/>
        <v>3.321848609570233E+41</v>
      </c>
      <c r="H172" s="15">
        <f t="shared" si="18"/>
        <v>5.4369544207317435E+41</v>
      </c>
      <c r="I172" s="16">
        <v>242.3</v>
      </c>
      <c r="J172" s="16">
        <v>6.1</v>
      </c>
      <c r="K172" s="19">
        <f t="shared" si="24"/>
        <v>236.9790417250141</v>
      </c>
      <c r="L172" s="16">
        <f t="shared" si="20"/>
        <v>0.76088677678422623</v>
      </c>
      <c r="M172" s="45"/>
      <c r="V172" s="45"/>
      <c r="W172" s="45"/>
    </row>
    <row r="173" spans="1:23" x14ac:dyDescent="0.25">
      <c r="A173" s="45">
        <v>21.32</v>
      </c>
      <c r="B173" s="45">
        <f t="shared" si="21"/>
        <v>21320</v>
      </c>
      <c r="C173" s="16">
        <f t="shared" si="22"/>
        <v>16.399999999999999</v>
      </c>
      <c r="D173" s="15">
        <f t="shared" si="23"/>
        <v>6.57866460056E+20</v>
      </c>
      <c r="E173" s="15">
        <f>FORECAST($C173, OFFSET('De Vaucouleurs Deprojection'!$F$3:$F$126, MATCH($C173, 'De Vaucouleurs Deprojection'!$A$3:$A$126,1)-1,0,2), OFFSET('De Vaucouleurs Deprojection'!$A$3:$A$126, MATCH($C173, 'De Vaucouleurs Deprojection'!$A$3:$A$126,1)-1,0,2))*LCDMTotalBulgeMass</f>
        <v>6.5298347931263987E+40</v>
      </c>
      <c r="F173" s="15">
        <f t="shared" si="16"/>
        <v>1.4674911547695331E+41</v>
      </c>
      <c r="G173" s="15">
        <f t="shared" si="17"/>
        <v>3.4083947274573396E+41</v>
      </c>
      <c r="H173" s="15">
        <f t="shared" si="18"/>
        <v>5.5288693615395121E+41</v>
      </c>
      <c r="I173" s="16">
        <v>239.2</v>
      </c>
      <c r="J173" s="16">
        <v>6.3</v>
      </c>
      <c r="K173" s="19">
        <f t="shared" si="24"/>
        <v>236.8345156112718</v>
      </c>
      <c r="L173" s="16">
        <f t="shared" si="20"/>
        <v>0.14098050877593313</v>
      </c>
      <c r="M173" s="45"/>
      <c r="V173" s="45"/>
      <c r="W173" s="45"/>
    </row>
    <row r="174" spans="1:23" x14ac:dyDescent="0.25">
      <c r="A174" s="45">
        <v>21.7</v>
      </c>
      <c r="B174" s="45">
        <f t="shared" si="21"/>
        <v>21700</v>
      </c>
      <c r="C174" s="16">
        <f t="shared" si="22"/>
        <v>16.692307692307693</v>
      </c>
      <c r="D174" s="15">
        <f t="shared" si="23"/>
        <v>6.6959203485999995E+20</v>
      </c>
      <c r="E174" s="15">
        <f>FORECAST($C174, OFFSET('De Vaucouleurs Deprojection'!$F$3:$F$126, MATCH($C174, 'De Vaucouleurs Deprojection'!$A$3:$A$126,1)-1,0,2), OFFSET('De Vaucouleurs Deprojection'!$A$3:$A$126, MATCH($C174, 'De Vaucouleurs Deprojection'!$A$3:$A$126,1)-1,0,2))*LCDMTotalBulgeMass</f>
        <v>6.5346719122116909E+40</v>
      </c>
      <c r="F174" s="15">
        <f t="shared" si="16"/>
        <v>1.4720435174502555E+41</v>
      </c>
      <c r="G174" s="15">
        <f t="shared" si="17"/>
        <v>3.4952146112503919E+41</v>
      </c>
      <c r="H174" s="15">
        <f t="shared" si="18"/>
        <v>5.6207253199218161E+41</v>
      </c>
      <c r="I174" s="16">
        <v>239.5</v>
      </c>
      <c r="J174" s="16">
        <v>4.7</v>
      </c>
      <c r="K174" s="19">
        <f t="shared" si="24"/>
        <v>236.69372567795469</v>
      </c>
      <c r="L174" s="16">
        <f t="shared" si="20"/>
        <v>0.35650410007111233</v>
      </c>
      <c r="M174" s="45"/>
      <c r="V174" s="45"/>
      <c r="W174" s="45"/>
    </row>
    <row r="175" spans="1:23" x14ac:dyDescent="0.25">
      <c r="A175" s="45">
        <v>22.08</v>
      </c>
      <c r="B175" s="45">
        <f t="shared" si="21"/>
        <v>22080</v>
      </c>
      <c r="C175" s="16">
        <f t="shared" si="22"/>
        <v>16.984615384615385</v>
      </c>
      <c r="D175" s="15">
        <f t="shared" si="23"/>
        <v>6.813176096639999E+20</v>
      </c>
      <c r="E175" s="15">
        <f>FORECAST($C175, OFFSET('De Vaucouleurs Deprojection'!$F$3:$F$126, MATCH($C175, 'De Vaucouleurs Deprojection'!$A$3:$A$126,1)-1,0,2), OFFSET('De Vaucouleurs Deprojection'!$A$3:$A$126, MATCH($C175, 'De Vaucouleurs Deprojection'!$A$3:$A$126,1)-1,0,2))*LCDMTotalBulgeMass</f>
        <v>6.5395090312969842E+40</v>
      </c>
      <c r="F175" s="15">
        <f t="shared" si="16"/>
        <v>1.4762844725463053E+41</v>
      </c>
      <c r="G175" s="15">
        <f t="shared" si="17"/>
        <v>3.5822912400914237E+41</v>
      </c>
      <c r="H175" s="15">
        <f t="shared" si="18"/>
        <v>5.712526615767427E+41</v>
      </c>
      <c r="I175" s="16">
        <v>236.1</v>
      </c>
      <c r="J175" s="16">
        <v>1.8</v>
      </c>
      <c r="K175" s="19">
        <f t="shared" si="24"/>
        <v>236.55657046974451</v>
      </c>
      <c r="L175" s="16">
        <f t="shared" si="20"/>
        <v>6.4338454889731958E-2</v>
      </c>
      <c r="M175" s="45"/>
      <c r="V175" s="45"/>
      <c r="W175" s="45"/>
    </row>
    <row r="176" spans="1:23" x14ac:dyDescent="0.25">
      <c r="A176" s="45">
        <v>22.46</v>
      </c>
      <c r="B176" s="45">
        <f t="shared" si="21"/>
        <v>22460</v>
      </c>
      <c r="C176" s="16">
        <f t="shared" si="22"/>
        <v>17.276923076923076</v>
      </c>
      <c r="D176" s="15">
        <f t="shared" si="23"/>
        <v>6.9304318446799998E+20</v>
      </c>
      <c r="E176" s="15">
        <f>FORECAST($C176, OFFSET('De Vaucouleurs Deprojection'!$F$3:$F$126, MATCH($C176, 'De Vaucouleurs Deprojection'!$A$3:$A$126,1)-1,0,2), OFFSET('De Vaucouleurs Deprojection'!$A$3:$A$126, MATCH($C176, 'De Vaucouleurs Deprojection'!$A$3:$A$126,1)-1,0,2))*LCDMTotalBulgeMass</f>
        <v>6.5443461503822764E+40</v>
      </c>
      <c r="F176" s="15">
        <f t="shared" si="16"/>
        <v>1.4802341312082522E+41</v>
      </c>
      <c r="G176" s="15">
        <f t="shared" si="17"/>
        <v>3.6696082407193948E+41</v>
      </c>
      <c r="H176" s="15">
        <f t="shared" si="18"/>
        <v>5.8042769869658745E+41</v>
      </c>
      <c r="I176" s="16">
        <v>233.8</v>
      </c>
      <c r="J176" s="16">
        <v>1.7</v>
      </c>
      <c r="K176" s="19">
        <f t="shared" si="24"/>
        <v>236.42294359361409</v>
      </c>
      <c r="L176" s="16">
        <f t="shared" si="20"/>
        <v>2.3805650848723716</v>
      </c>
      <c r="M176" s="45"/>
      <c r="V176" s="45"/>
      <c r="W176" s="45"/>
    </row>
    <row r="177" spans="1:23" x14ac:dyDescent="0.25">
      <c r="A177" s="45">
        <v>22.84</v>
      </c>
      <c r="B177" s="45">
        <f t="shared" si="21"/>
        <v>22840</v>
      </c>
      <c r="C177" s="16">
        <f t="shared" si="22"/>
        <v>17.569230769230771</v>
      </c>
      <c r="D177" s="15">
        <f t="shared" si="23"/>
        <v>7.0476875927199993E+20</v>
      </c>
      <c r="E177" s="15">
        <f>FORECAST($C177, OFFSET('De Vaucouleurs Deprojection'!$F$3:$F$126, MATCH($C177, 'De Vaucouleurs Deprojection'!$A$3:$A$126,1)-1,0,2), OFFSET('De Vaucouleurs Deprojection'!$A$3:$A$126, MATCH($C177, 'De Vaucouleurs Deprojection'!$A$3:$A$126,1)-1,0,2))*LCDMTotalBulgeMass</f>
        <v>6.5491832694675687E+40</v>
      </c>
      <c r="F177" s="15">
        <f t="shared" si="16"/>
        <v>1.4839114303222764E+41</v>
      </c>
      <c r="G177" s="15">
        <f t="shared" si="17"/>
        <v>3.7571498610023172E+41</v>
      </c>
      <c r="H177" s="15">
        <f t="shared" si="18"/>
        <v>5.8959796182713502E+41</v>
      </c>
      <c r="I177" s="16">
        <v>233.1</v>
      </c>
      <c r="J177" s="16">
        <v>3.3</v>
      </c>
      <c r="K177" s="19">
        <f t="shared" si="24"/>
        <v>236.29273467617017</v>
      </c>
      <c r="L177" s="16">
        <f t="shared" si="20"/>
        <v>0.936047264684984</v>
      </c>
      <c r="M177" s="45"/>
      <c r="V177" s="45"/>
      <c r="W177" s="45"/>
    </row>
    <row r="178" spans="1:23" x14ac:dyDescent="0.25">
      <c r="A178" s="45">
        <v>23.22</v>
      </c>
      <c r="B178" s="45">
        <f t="shared" si="21"/>
        <v>23220</v>
      </c>
      <c r="C178" s="16">
        <f t="shared" si="22"/>
        <v>17.861538461538462</v>
      </c>
      <c r="D178" s="15">
        <f t="shared" si="23"/>
        <v>7.1649433407600001E+20</v>
      </c>
      <c r="E178" s="15">
        <f>FORECAST($C178, OFFSET('De Vaucouleurs Deprojection'!$F$3:$F$126, MATCH($C178, 'De Vaucouleurs Deprojection'!$A$3:$A$126,1)-1,0,2), OFFSET('De Vaucouleurs Deprojection'!$A$3:$A$126, MATCH($C178, 'De Vaucouleurs Deprojection'!$A$3:$A$126,1)-1,0,2))*LCDMTotalBulgeMass</f>
        <v>6.554020388552861E+40</v>
      </c>
      <c r="F178" s="15">
        <f t="shared" si="16"/>
        <v>1.4873341872782583E+41</v>
      </c>
      <c r="G178" s="15">
        <f t="shared" si="17"/>
        <v>3.8449009446889789E+41</v>
      </c>
      <c r="H178" s="15">
        <f t="shared" si="18"/>
        <v>5.9876371708225237E+41</v>
      </c>
      <c r="I178" s="16">
        <v>230.1</v>
      </c>
      <c r="J178" s="16">
        <v>5.5</v>
      </c>
      <c r="K178" s="19">
        <f t="shared" si="24"/>
        <v>236.16583024374381</v>
      </c>
      <c r="L178" s="16">
        <f t="shared" si="20"/>
        <v>1.2163403816832128</v>
      </c>
      <c r="M178" s="45"/>
      <c r="V178" s="45"/>
      <c r="W178" s="45"/>
    </row>
    <row r="179" spans="1:23" x14ac:dyDescent="0.25">
      <c r="A179" s="45">
        <v>23.6</v>
      </c>
      <c r="B179" s="45">
        <f t="shared" si="21"/>
        <v>23600</v>
      </c>
      <c r="C179" s="16">
        <f t="shared" si="22"/>
        <v>18.153846153846153</v>
      </c>
      <c r="D179" s="15">
        <f t="shared" si="23"/>
        <v>7.2821990888000009E+20</v>
      </c>
      <c r="E179" s="15">
        <f>FORECAST($C179, OFFSET('De Vaucouleurs Deprojection'!$F$3:$F$126, MATCH($C179, 'De Vaucouleurs Deprojection'!$A$3:$A$126,1)-1,0,2), OFFSET('De Vaucouleurs Deprojection'!$A$3:$A$126, MATCH($C179, 'De Vaucouleurs Deprojection'!$A$3:$A$126,1)-1,0,2))*LCDMTotalBulgeMass</f>
        <v>6.5588575076381533E+40</v>
      </c>
      <c r="F179" s="15">
        <f t="shared" si="16"/>
        <v>1.4905191538737106E+41</v>
      </c>
      <c r="G179" s="15">
        <f t="shared" si="17"/>
        <v>3.9328469073169083E+41</v>
      </c>
      <c r="H179" s="15">
        <f t="shared" si="18"/>
        <v>6.079251811954434E+41</v>
      </c>
      <c r="I179" s="16">
        <v>232.1</v>
      </c>
      <c r="J179" s="16">
        <v>5</v>
      </c>
      <c r="K179" s="19">
        <f t="shared" si="24"/>
        <v>236.04211452665791</v>
      </c>
      <c r="L179" s="16">
        <f t="shared" si="20"/>
        <v>0.62161067765149502</v>
      </c>
      <c r="M179" s="45"/>
      <c r="V179" s="45"/>
      <c r="W179" s="45"/>
    </row>
    <row r="180" spans="1:23" x14ac:dyDescent="0.25">
      <c r="A180" s="45">
        <v>23.98</v>
      </c>
      <c r="B180" s="45">
        <f t="shared" si="21"/>
        <v>23980</v>
      </c>
      <c r="C180" s="16">
        <f t="shared" si="22"/>
        <v>18.446153846153845</v>
      </c>
      <c r="D180" s="15">
        <f t="shared" si="23"/>
        <v>7.3994548368400004E+20</v>
      </c>
      <c r="E180" s="15">
        <f>FORECAST($C180, OFFSET('De Vaucouleurs Deprojection'!$F$3:$F$126, MATCH($C180, 'De Vaucouleurs Deprojection'!$A$3:$A$126,1)-1,0,2), OFFSET('De Vaucouleurs Deprojection'!$A$3:$A$126, MATCH($C180, 'De Vaucouleurs Deprojection'!$A$3:$A$126,1)-1,0,2))*LCDMTotalBulgeMass</f>
        <v>6.5636946267234455E+40</v>
      </c>
      <c r="F180" s="15">
        <f t="shared" si="16"/>
        <v>1.4934820691079287E+41</v>
      </c>
      <c r="G180" s="15">
        <f t="shared" si="17"/>
        <v>4.0209737132168219E+41</v>
      </c>
      <c r="H180" s="15">
        <f t="shared" si="18"/>
        <v>6.1708252449970956E+41</v>
      </c>
      <c r="I180" s="16">
        <v>228.7</v>
      </c>
      <c r="J180" s="16">
        <v>1.7</v>
      </c>
      <c r="K180" s="19">
        <f t="shared" si="24"/>
        <v>235.92147019001308</v>
      </c>
      <c r="L180" s="16">
        <f t="shared" si="20"/>
        <v>18.044855261331399</v>
      </c>
      <c r="M180" s="45"/>
      <c r="V180" s="45"/>
      <c r="W180" s="45"/>
    </row>
    <row r="181" spans="1:23" x14ac:dyDescent="0.25">
      <c r="A181" s="45">
        <v>24.36</v>
      </c>
      <c r="B181" s="45">
        <f t="shared" si="21"/>
        <v>24360</v>
      </c>
      <c r="C181" s="16">
        <f t="shared" si="22"/>
        <v>18.738461538461539</v>
      </c>
      <c r="D181" s="15">
        <f t="shared" si="23"/>
        <v>7.5167105848799999E+20</v>
      </c>
      <c r="E181" s="15">
        <f>FORECAST($C181, OFFSET('De Vaucouleurs Deprojection'!$F$3:$F$126, MATCH($C181, 'De Vaucouleurs Deprojection'!$A$3:$A$126,1)-1,0,2), OFFSET('De Vaucouleurs Deprojection'!$A$3:$A$126, MATCH($C181, 'De Vaucouleurs Deprojection'!$A$3:$A$126,1)-1,0,2))*LCDMTotalBulgeMass</f>
        <v>6.5685317458087378E+40</v>
      </c>
      <c r="F181" s="15">
        <f t="shared" si="16"/>
        <v>1.4962377106684777E+41</v>
      </c>
      <c r="G181" s="15">
        <f t="shared" si="17"/>
        <v>4.1092678535575163E+41</v>
      </c>
      <c r="H181" s="15">
        <f t="shared" si="18"/>
        <v>6.2623587388068678E+41</v>
      </c>
      <c r="I181" s="16">
        <v>229.1</v>
      </c>
      <c r="J181" s="16">
        <v>1.8</v>
      </c>
      <c r="K181" s="19">
        <f t="shared" si="24"/>
        <v>235.80377899399687</v>
      </c>
      <c r="L181" s="16">
        <f t="shared" si="20"/>
        <v>13.870571851961046</v>
      </c>
      <c r="M181" s="45"/>
      <c r="V181" s="45"/>
      <c r="W181" s="45"/>
    </row>
    <row r="182" spans="1:23" x14ac:dyDescent="0.25">
      <c r="A182" s="45">
        <v>24.75</v>
      </c>
      <c r="B182" s="45">
        <f t="shared" si="21"/>
        <v>24750</v>
      </c>
      <c r="C182" s="16">
        <f t="shared" si="22"/>
        <v>19.03846153846154</v>
      </c>
      <c r="D182" s="15">
        <f t="shared" si="23"/>
        <v>7.6370520105000003E+20</v>
      </c>
      <c r="E182" s="15">
        <f>FORECAST($C182, OFFSET('De Vaucouleurs Deprojection'!$F$3:$F$126, MATCH($C182, 'De Vaucouleurs Deprojection'!$A$3:$A$126,1)-1,0,2), OFFSET('De Vaucouleurs Deprojection'!$A$3:$A$126, MATCH($C182, 'De Vaucouleurs Deprojection'!$A$3:$A$126,1)-1,0,2))*LCDMTotalBulgeMass</f>
        <v>6.5734961575015381E+40</v>
      </c>
      <c r="F182" s="15">
        <f t="shared" si="16"/>
        <v>1.4988648808302158E+41</v>
      </c>
      <c r="G182" s="15">
        <f t="shared" si="17"/>
        <v>4.2000458856337835E+41</v>
      </c>
      <c r="H182" s="15">
        <f t="shared" si="18"/>
        <v>6.3562603822141529E+41</v>
      </c>
      <c r="I182" s="16">
        <v>227.9</v>
      </c>
      <c r="J182" s="16">
        <v>5</v>
      </c>
      <c r="K182" s="19">
        <f t="shared" si="24"/>
        <v>235.68593704312866</v>
      </c>
      <c r="L182" s="16">
        <f t="shared" si="20"/>
        <v>2.4248326255825194</v>
      </c>
      <c r="M182" s="45"/>
      <c r="V182" s="45"/>
      <c r="W182" s="45"/>
    </row>
    <row r="183" spans="1:23" x14ac:dyDescent="0.25">
      <c r="A183" s="45">
        <v>25.13</v>
      </c>
      <c r="B183" s="45">
        <f t="shared" si="21"/>
        <v>25130</v>
      </c>
      <c r="C183" s="16">
        <f t="shared" si="22"/>
        <v>19.330769230769231</v>
      </c>
      <c r="D183" s="15">
        <f t="shared" si="23"/>
        <v>7.7543077585399998E+20</v>
      </c>
      <c r="E183" s="15">
        <f>FORECAST($C183, OFFSET('De Vaucouleurs Deprojection'!$F$3:$F$126, MATCH($C183, 'De Vaucouleurs Deprojection'!$A$3:$A$126,1)-1,0,2), OFFSET('De Vaucouleurs Deprojection'!$A$3:$A$126, MATCH($C183, 'De Vaucouleurs Deprojection'!$A$3:$A$126,1)-1,0,2))*LCDMTotalBulgeMass</f>
        <v>6.5783332765868304E+40</v>
      </c>
      <c r="F183" s="15">
        <f t="shared" si="16"/>
        <v>1.5012421319762877E+41</v>
      </c>
      <c r="G183" s="15">
        <f t="shared" si="17"/>
        <v>4.2886397390344891E+41</v>
      </c>
      <c r="H183" s="15">
        <f t="shared" si="18"/>
        <v>6.4477151986694599E+41</v>
      </c>
      <c r="I183" s="16">
        <v>226.9</v>
      </c>
      <c r="J183" s="16">
        <v>2</v>
      </c>
      <c r="K183" s="19">
        <f t="shared" si="24"/>
        <v>235.57386658017055</v>
      </c>
      <c r="L183" s="16">
        <f t="shared" si="20"/>
        <v>18.808990362649844</v>
      </c>
      <c r="M183" s="45"/>
      <c r="V183" s="45"/>
      <c r="W183" s="45"/>
    </row>
    <row r="184" spans="1:23" x14ac:dyDescent="0.25">
      <c r="A184" s="45">
        <v>25.51</v>
      </c>
      <c r="B184" s="45">
        <f t="shared" si="21"/>
        <v>25510</v>
      </c>
      <c r="C184" s="16">
        <f t="shared" si="22"/>
        <v>19.623076923076923</v>
      </c>
      <c r="D184" s="15">
        <f t="shared" si="23"/>
        <v>7.8715635065800006E+20</v>
      </c>
      <c r="E184" s="15">
        <f>FORECAST($C184, OFFSET('De Vaucouleurs Deprojection'!$F$3:$F$126, MATCH($C184, 'De Vaucouleurs Deprojection'!$A$3:$A$126,1)-1,0,2), OFFSET('De Vaucouleurs Deprojection'!$A$3:$A$126, MATCH($C184, 'De Vaucouleurs Deprojection'!$A$3:$A$126,1)-1,0,2))*LCDMTotalBulgeMass</f>
        <v>6.5831703956721227E+40</v>
      </c>
      <c r="F184" s="15">
        <f t="shared" ref="F184:F217" si="25">2*PI()*LCDMDiskSurfaceDensity*LCDMScaleLength*(LCDMScaleLength-EXP(-RadiusPc/LCDMScaleLength)*(RadiusPc+LCDMScaleLength))*SolarMass</f>
        <v>1.5034514769674324E+41</v>
      </c>
      <c r="G184" s="15">
        <f t="shared" ref="G184:G217" si="26">4*PI()*LCDMHaloRepresentativeDensity*LCDMHaloScaleLengthPc^3*(LN(1+RadiusPc/LCDMHaloScaleLengthPc)-RadiusPc/(RadiusPc+LCDMHaloScaleLengthPc))*SolarMass</f>
        <v>4.3773630453888988E+41</v>
      </c>
      <c r="H184" s="15">
        <f t="shared" ref="H184:H217" si="27">BulgeMass+DiskMass+HaloMass</f>
        <v>6.5391315619235434E+41</v>
      </c>
      <c r="I184" s="16">
        <v>225.1</v>
      </c>
      <c r="J184" s="16">
        <v>1.6</v>
      </c>
      <c r="K184" s="19">
        <f t="shared" ref="K184:K217" si="28">SQRT(TotalMass*GravitationalConstant/RadiusKm)/km</f>
        <v>235.46439164659282</v>
      </c>
      <c r="L184" s="16">
        <f t="shared" ref="L184:L217" si="29">(ObservedVelocity-ModelVelocity)^2/(VelocityError)^2</f>
        <v>41.961177423423059</v>
      </c>
      <c r="M184" s="45"/>
      <c r="V184" s="45"/>
      <c r="W184" s="45"/>
    </row>
    <row r="185" spans="1:23" x14ac:dyDescent="0.25">
      <c r="A185" s="45">
        <v>25.89</v>
      </c>
      <c r="B185" s="45">
        <f t="shared" ref="B185:B217" si="30">A185*1000</f>
        <v>25890</v>
      </c>
      <c r="C185" s="16">
        <f t="shared" ref="C185:C217" si="31">B185/LCDMBulgeEffectiveRadius</f>
        <v>19.915384615384614</v>
      </c>
      <c r="D185" s="15">
        <f t="shared" ref="D185:D217" si="32">A185*kpc</f>
        <v>7.9888192546200001E+20</v>
      </c>
      <c r="E185" s="15">
        <f>FORECAST($C185, OFFSET('De Vaucouleurs Deprojection'!$F$3:$F$126, MATCH($C185, 'De Vaucouleurs Deprojection'!$A$3:$A$126,1)-1,0,2), OFFSET('De Vaucouleurs Deprojection'!$A$3:$A$126, MATCH($C185, 'De Vaucouleurs Deprojection'!$A$3:$A$126,1)-1,0,2))*LCDMTotalBulgeMass</f>
        <v>6.5880075147574149E+40</v>
      </c>
      <c r="F185" s="15">
        <f t="shared" si="25"/>
        <v>1.5055043124983981E+41</v>
      </c>
      <c r="G185" s="15">
        <f t="shared" si="26"/>
        <v>4.4662042142400893E+41</v>
      </c>
      <c r="H185" s="15">
        <f t="shared" si="27"/>
        <v>6.6305092782142288E+41</v>
      </c>
      <c r="I185" s="16">
        <v>225.4</v>
      </c>
      <c r="J185" s="16">
        <v>1.8</v>
      </c>
      <c r="K185" s="19">
        <f t="shared" si="28"/>
        <v>235.35739573678975</v>
      </c>
      <c r="L185" s="16">
        <f t="shared" si="29"/>
        <v>30.601768475011934</v>
      </c>
      <c r="M185" s="45"/>
      <c r="V185" s="45"/>
      <c r="W185" s="45"/>
    </row>
    <row r="186" spans="1:23" x14ac:dyDescent="0.25">
      <c r="A186" s="45">
        <v>26.27</v>
      </c>
      <c r="B186" s="45">
        <f t="shared" si="30"/>
        <v>26270</v>
      </c>
      <c r="C186" s="16">
        <f t="shared" si="31"/>
        <v>20.207692307692309</v>
      </c>
      <c r="D186" s="15">
        <f t="shared" si="32"/>
        <v>8.1060750026599996E+20</v>
      </c>
      <c r="E186" s="15">
        <f>FORECAST($C186, OFFSET('De Vaucouleurs Deprojection'!$F$3:$F$126, MATCH($C186, 'De Vaucouleurs Deprojection'!$A$3:$A$126,1)-1,0,2), OFFSET('De Vaucouleurs Deprojection'!$A$3:$A$126, MATCH($C186, 'De Vaucouleurs Deprojection'!$A$3:$A$126,1)-1,0,2))*LCDMTotalBulgeMass</f>
        <v>6.5909623895187681E+40</v>
      </c>
      <c r="F186" s="15">
        <f t="shared" si="25"/>
        <v>1.5074113085610607E+41</v>
      </c>
      <c r="G186" s="15">
        <f t="shared" si="26"/>
        <v>4.555152085594916E+41</v>
      </c>
      <c r="H186" s="15">
        <f t="shared" si="27"/>
        <v>6.7216596331078536E+41</v>
      </c>
      <c r="I186" s="16">
        <v>230.3</v>
      </c>
      <c r="J186" s="16">
        <v>2</v>
      </c>
      <c r="K186" s="19">
        <f t="shared" si="28"/>
        <v>235.24947003829203</v>
      </c>
      <c r="L186" s="16">
        <f t="shared" si="29"/>
        <v>6.1243134149876024</v>
      </c>
      <c r="M186" s="45"/>
      <c r="V186" s="45"/>
      <c r="W186" s="45"/>
    </row>
    <row r="187" spans="1:23" x14ac:dyDescent="0.25">
      <c r="A187" s="45">
        <v>26.65</v>
      </c>
      <c r="B187" s="45">
        <f t="shared" si="30"/>
        <v>26650</v>
      </c>
      <c r="C187" s="16">
        <f t="shared" si="31"/>
        <v>20.5</v>
      </c>
      <c r="D187" s="15">
        <f t="shared" si="32"/>
        <v>8.2233307506999991E+20</v>
      </c>
      <c r="E187" s="15">
        <f>FORECAST($C187, OFFSET('De Vaucouleurs Deprojection'!$F$3:$F$126, MATCH($C187, 'De Vaucouleurs Deprojection'!$A$3:$A$126,1)-1,0,2), OFFSET('De Vaucouleurs Deprojection'!$A$3:$A$126, MATCH($C187, 'De Vaucouleurs Deprojection'!$A$3:$A$126,1)-1,0,2))*LCDMTotalBulgeMass</f>
        <v>6.5931504239999984E+40</v>
      </c>
      <c r="F187" s="15">
        <f t="shared" si="25"/>
        <v>1.5091824498441683E+41</v>
      </c>
      <c r="G187" s="15">
        <f t="shared" si="26"/>
        <v>4.6441959132164152E+41</v>
      </c>
      <c r="H187" s="15">
        <f t="shared" si="27"/>
        <v>6.8126934054605835E+41</v>
      </c>
      <c r="I187" s="16">
        <v>229</v>
      </c>
      <c r="J187" s="16">
        <v>2.2999999999999998</v>
      </c>
      <c r="K187" s="19">
        <f t="shared" si="28"/>
        <v>235.14256277379937</v>
      </c>
      <c r="L187" s="16">
        <f t="shared" si="29"/>
        <v>7.1325288147572419</v>
      </c>
      <c r="M187" s="45"/>
      <c r="V187" s="45"/>
      <c r="W187" s="45"/>
    </row>
    <row r="188" spans="1:23" x14ac:dyDescent="0.25">
      <c r="A188" s="45">
        <v>27.03</v>
      </c>
      <c r="B188" s="45">
        <f t="shared" si="30"/>
        <v>27030</v>
      </c>
      <c r="C188" s="16">
        <f t="shared" si="31"/>
        <v>20.792307692307691</v>
      </c>
      <c r="D188" s="15">
        <f t="shared" si="32"/>
        <v>8.3405864987399999E+20</v>
      </c>
      <c r="E188" s="15">
        <f>FORECAST($C188, OFFSET('De Vaucouleurs Deprojection'!$F$3:$F$126, MATCH($C188, 'De Vaucouleurs Deprojection'!$A$3:$A$126,1)-1,0,2), OFFSET('De Vaucouleurs Deprojection'!$A$3:$A$126, MATCH($C188, 'De Vaucouleurs Deprojection'!$A$3:$A$126,1)-1,0,2))*LCDMTotalBulgeMass</f>
        <v>6.5953384584812296E+40</v>
      </c>
      <c r="F188" s="15">
        <f t="shared" si="25"/>
        <v>1.5108270753285645E+41</v>
      </c>
      <c r="G188" s="15">
        <f t="shared" si="26"/>
        <v>4.7333253486417554E+41</v>
      </c>
      <c r="H188" s="15">
        <f t="shared" si="27"/>
        <v>6.9036862698184428E+41</v>
      </c>
      <c r="I188" s="16">
        <v>229.9</v>
      </c>
      <c r="J188" s="16">
        <v>4.8</v>
      </c>
      <c r="K188" s="19">
        <f t="shared" si="28"/>
        <v>235.03791845482445</v>
      </c>
      <c r="L188" s="16">
        <f t="shared" si="29"/>
        <v>1.1457554708518056</v>
      </c>
      <c r="M188" s="45"/>
      <c r="V188" s="45"/>
      <c r="W188" s="45"/>
    </row>
    <row r="189" spans="1:23" x14ac:dyDescent="0.25">
      <c r="A189" s="45">
        <v>27.41</v>
      </c>
      <c r="B189" s="45">
        <f t="shared" si="30"/>
        <v>27410</v>
      </c>
      <c r="C189" s="16">
        <f t="shared" si="31"/>
        <v>21.084615384615386</v>
      </c>
      <c r="D189" s="15">
        <f t="shared" si="32"/>
        <v>8.4578422467800007E+20</v>
      </c>
      <c r="E189" s="15">
        <f>FORECAST($C189, OFFSET('De Vaucouleurs Deprojection'!$F$3:$F$126, MATCH($C189, 'De Vaucouleurs Deprojection'!$A$3:$A$126,1)-1,0,2), OFFSET('De Vaucouleurs Deprojection'!$A$3:$A$126, MATCH($C189, 'De Vaucouleurs Deprojection'!$A$3:$A$126,1)-1,0,2))*LCDMTotalBulgeMass</f>
        <v>6.5975264929624599E+40</v>
      </c>
      <c r="F189" s="15">
        <f t="shared" si="25"/>
        <v>1.5123539160869838E+41</v>
      </c>
      <c r="G189" s="15">
        <f t="shared" si="26"/>
        <v>4.8225304258901888E+41</v>
      </c>
      <c r="H189" s="15">
        <f t="shared" si="27"/>
        <v>6.9946369912734177E+41</v>
      </c>
      <c r="I189" s="16">
        <v>230.1</v>
      </c>
      <c r="J189" s="16">
        <v>6.6</v>
      </c>
      <c r="K189" s="19">
        <f t="shared" si="28"/>
        <v>234.93542318494212</v>
      </c>
      <c r="L189" s="16">
        <f t="shared" si="29"/>
        <v>0.53676118864728861</v>
      </c>
      <c r="M189" s="45"/>
      <c r="V189" s="45"/>
      <c r="W189" s="45"/>
    </row>
    <row r="190" spans="1:23" x14ac:dyDescent="0.25">
      <c r="A190" s="45">
        <v>27.79</v>
      </c>
      <c r="B190" s="45">
        <f t="shared" si="30"/>
        <v>27790</v>
      </c>
      <c r="C190" s="16">
        <f t="shared" si="31"/>
        <v>21.376923076923077</v>
      </c>
      <c r="D190" s="15">
        <f t="shared" si="32"/>
        <v>8.5750979948200002E+20</v>
      </c>
      <c r="E190" s="15">
        <f>FORECAST($C190, OFFSET('De Vaucouleurs Deprojection'!$F$3:$F$126, MATCH($C190, 'De Vaucouleurs Deprojection'!$A$3:$A$126,1)-1,0,2), OFFSET('De Vaucouleurs Deprojection'!$A$3:$A$126, MATCH($C190, 'De Vaucouleurs Deprojection'!$A$3:$A$126,1)-1,0,2))*LCDMTotalBulgeMass</f>
        <v>6.5997145274436911E+40</v>
      </c>
      <c r="F190" s="15">
        <f t="shared" si="25"/>
        <v>1.5137711313088764E+41</v>
      </c>
      <c r="G190" s="15">
        <f t="shared" si="26"/>
        <v>4.9118015468276234E+41</v>
      </c>
      <c r="H190" s="15">
        <f t="shared" si="27"/>
        <v>7.0855441308808692E+41</v>
      </c>
      <c r="I190" s="16">
        <v>229.8</v>
      </c>
      <c r="J190" s="16">
        <v>3</v>
      </c>
      <c r="K190" s="19">
        <f t="shared" si="28"/>
        <v>234.8349658243705</v>
      </c>
      <c r="L190" s="16">
        <f t="shared" si="29"/>
        <v>2.8167645391754208</v>
      </c>
      <c r="M190" s="45"/>
      <c r="V190" s="45"/>
      <c r="W190" s="45"/>
    </row>
    <row r="191" spans="1:23" x14ac:dyDescent="0.25">
      <c r="A191" s="45">
        <v>28.17</v>
      </c>
      <c r="B191" s="45">
        <f t="shared" si="30"/>
        <v>28170</v>
      </c>
      <c r="C191" s="16">
        <f t="shared" si="31"/>
        <v>21.669230769230769</v>
      </c>
      <c r="D191" s="15">
        <f t="shared" si="32"/>
        <v>8.692353742860001E+20</v>
      </c>
      <c r="E191" s="15">
        <f>FORECAST($C191, OFFSET('De Vaucouleurs Deprojection'!$F$3:$F$126, MATCH($C191, 'De Vaucouleurs Deprojection'!$A$3:$A$126,1)-1,0,2), OFFSET('De Vaucouleurs Deprojection'!$A$3:$A$126, MATCH($C191, 'De Vaucouleurs Deprojection'!$A$3:$A$126,1)-1,0,2))*LCDMTotalBulgeMass</f>
        <v>6.6019025619249224E+40</v>
      </c>
      <c r="F191" s="15">
        <f t="shared" si="25"/>
        <v>1.5150863425801052E+41</v>
      </c>
      <c r="G191" s="15">
        <f t="shared" si="26"/>
        <v>5.001129467156123E+41</v>
      </c>
      <c r="H191" s="15">
        <f t="shared" si="27"/>
        <v>7.1764060659287196E+41</v>
      </c>
      <c r="I191" s="16">
        <v>230.4</v>
      </c>
      <c r="J191" s="16">
        <v>5.2</v>
      </c>
      <c r="K191" s="19">
        <f t="shared" si="28"/>
        <v>234.73643813385505</v>
      </c>
      <c r="L191" s="16">
        <f t="shared" si="29"/>
        <v>0.69543992931775822</v>
      </c>
      <c r="M191" s="45"/>
      <c r="V191" s="45"/>
      <c r="W191" s="45"/>
    </row>
    <row r="192" spans="1:23" x14ac:dyDescent="0.25">
      <c r="A192" s="45">
        <v>28.56</v>
      </c>
      <c r="B192" s="45">
        <f t="shared" si="30"/>
        <v>28560</v>
      </c>
      <c r="C192" s="16">
        <f t="shared" si="31"/>
        <v>21.969230769230769</v>
      </c>
      <c r="D192" s="15">
        <f t="shared" si="32"/>
        <v>8.8126951684800001E+20</v>
      </c>
      <c r="E192" s="15">
        <f>FORECAST($C192, OFFSET('De Vaucouleurs Deprojection'!$F$3:$F$126, MATCH($C192, 'De Vaucouleurs Deprojection'!$A$3:$A$126,1)-1,0,2), OFFSET('De Vaucouleurs Deprojection'!$A$3:$A$126, MATCH($C192, 'De Vaucouleurs Deprojection'!$A$3:$A$126,1)-1,0,2))*LCDMTotalBulgeMass</f>
        <v>6.6041481762609215E+40</v>
      </c>
      <c r="F192" s="15">
        <f t="shared" si="25"/>
        <v>1.5163375604668274E+41</v>
      </c>
      <c r="G192" s="15">
        <f t="shared" si="26"/>
        <v>5.0928578460035703E+41</v>
      </c>
      <c r="H192" s="15">
        <f t="shared" si="27"/>
        <v>7.2696102240964907E+41</v>
      </c>
      <c r="I192" s="16">
        <v>230.9</v>
      </c>
      <c r="J192" s="16">
        <v>2.9</v>
      </c>
      <c r="K192" s="19">
        <f t="shared" si="28"/>
        <v>234.63721376681045</v>
      </c>
      <c r="L192" s="16">
        <f t="shared" si="29"/>
        <v>1.6607332626441722</v>
      </c>
      <c r="M192" s="45"/>
      <c r="V192" s="45"/>
      <c r="W192" s="45"/>
    </row>
    <row r="193" spans="1:23" x14ac:dyDescent="0.25">
      <c r="A193" s="45">
        <v>28.94</v>
      </c>
      <c r="B193" s="45">
        <f t="shared" si="30"/>
        <v>28940</v>
      </c>
      <c r="C193" s="16">
        <f t="shared" si="31"/>
        <v>22.261538461538461</v>
      </c>
      <c r="D193" s="15">
        <f t="shared" si="32"/>
        <v>8.9299509165200009E+20</v>
      </c>
      <c r="E193" s="15">
        <f>FORECAST($C193, OFFSET('De Vaucouleurs Deprojection'!$F$3:$F$126, MATCH($C193, 'De Vaucouleurs Deprojection'!$A$3:$A$126,1)-1,0,2), OFFSET('De Vaucouleurs Deprojection'!$A$3:$A$126, MATCH($C193, 'De Vaucouleurs Deprojection'!$A$3:$A$126,1)-1,0,2))*LCDMTotalBulgeMass</f>
        <v>6.6063362107421527E+40</v>
      </c>
      <c r="F193" s="15">
        <f t="shared" si="25"/>
        <v>1.5174674027204639E+41</v>
      </c>
      <c r="G193" s="15">
        <f t="shared" si="26"/>
        <v>5.1822739028563497E+41</v>
      </c>
      <c r="H193" s="15">
        <f t="shared" si="27"/>
        <v>7.3603749266510298E+41</v>
      </c>
      <c r="I193" s="16">
        <v>229.8</v>
      </c>
      <c r="J193" s="16">
        <v>2.1</v>
      </c>
      <c r="K193" s="19">
        <f t="shared" si="28"/>
        <v>234.54227682494204</v>
      </c>
      <c r="L193" s="16">
        <f t="shared" si="29"/>
        <v>5.0995894522408634</v>
      </c>
      <c r="M193" s="45"/>
      <c r="V193" s="45"/>
      <c r="W193" s="45"/>
    </row>
    <row r="194" spans="1:23" x14ac:dyDescent="0.25">
      <c r="A194" s="45">
        <v>29.32</v>
      </c>
      <c r="B194" s="45">
        <f t="shared" si="30"/>
        <v>29320</v>
      </c>
      <c r="C194" s="16">
        <f t="shared" si="31"/>
        <v>22.553846153846155</v>
      </c>
      <c r="D194" s="15">
        <f t="shared" si="32"/>
        <v>9.0472066645600004E+20</v>
      </c>
      <c r="E194" s="15">
        <f>FORECAST($C194, OFFSET('De Vaucouleurs Deprojection'!$F$3:$F$126, MATCH($C194, 'De Vaucouleurs Deprojection'!$A$3:$A$126,1)-1,0,2), OFFSET('De Vaucouleurs Deprojection'!$A$3:$A$126, MATCH($C194, 'De Vaucouleurs Deprojection'!$A$3:$A$126,1)-1,0,2))*LCDMTotalBulgeMass</f>
        <v>6.6085242452233839E+40</v>
      </c>
      <c r="F194" s="15">
        <f t="shared" si="25"/>
        <v>1.5185153549526163E+41</v>
      </c>
      <c r="G194" s="15">
        <f t="shared" si="26"/>
        <v>5.2717208046269176E+41</v>
      </c>
      <c r="H194" s="15">
        <f t="shared" si="27"/>
        <v>7.4510885841018725E+41</v>
      </c>
      <c r="I194" s="16">
        <v>228.8</v>
      </c>
      <c r="J194" s="16">
        <v>1.8</v>
      </c>
      <c r="K194" s="19">
        <f t="shared" si="28"/>
        <v>234.44896070272245</v>
      </c>
      <c r="L194" s="16">
        <f t="shared" si="29"/>
        <v>9.8489990805254113</v>
      </c>
      <c r="M194" s="45"/>
      <c r="V194" s="45"/>
      <c r="W194" s="45"/>
    </row>
    <row r="195" spans="1:23" x14ac:dyDescent="0.25">
      <c r="A195" s="45">
        <v>29.7</v>
      </c>
      <c r="B195" s="45">
        <f t="shared" si="30"/>
        <v>29700</v>
      </c>
      <c r="C195" s="16">
        <f t="shared" si="31"/>
        <v>22.846153846153847</v>
      </c>
      <c r="D195" s="15">
        <f t="shared" si="32"/>
        <v>9.1644624125999999E+20</v>
      </c>
      <c r="E195" s="15">
        <f>FORECAST($C195, OFFSET('De Vaucouleurs Deprojection'!$F$3:$F$126, MATCH($C195, 'De Vaucouleurs Deprojection'!$A$3:$A$126,1)-1,0,2), OFFSET('De Vaucouleurs Deprojection'!$A$3:$A$126, MATCH($C195, 'De Vaucouleurs Deprojection'!$A$3:$A$126,1)-1,0,2))*LCDMTotalBulgeMass</f>
        <v>6.6107122797046132E+40</v>
      </c>
      <c r="F195" s="15">
        <f t="shared" si="25"/>
        <v>1.5194871870457164E+41</v>
      </c>
      <c r="G195" s="15">
        <f t="shared" si="26"/>
        <v>5.3611906015711047E+41</v>
      </c>
      <c r="H195" s="15">
        <f t="shared" si="27"/>
        <v>7.5417490165872825E+41</v>
      </c>
      <c r="I195" s="16">
        <v>238.3</v>
      </c>
      <c r="J195" s="16">
        <v>3.3</v>
      </c>
      <c r="K195" s="19">
        <f t="shared" si="28"/>
        <v>234.35716975347043</v>
      </c>
      <c r="L195" s="16">
        <f t="shared" si="29"/>
        <v>1.4275399773139137</v>
      </c>
      <c r="M195" s="45"/>
      <c r="V195" s="45"/>
      <c r="W195" s="45"/>
    </row>
    <row r="196" spans="1:23" x14ac:dyDescent="0.25">
      <c r="A196" s="45">
        <v>30.08</v>
      </c>
      <c r="B196" s="45">
        <f t="shared" si="30"/>
        <v>30080</v>
      </c>
      <c r="C196" s="16">
        <f t="shared" si="31"/>
        <v>23.138461538461538</v>
      </c>
      <c r="D196" s="15">
        <f t="shared" si="32"/>
        <v>9.2817181606399993E+20</v>
      </c>
      <c r="E196" s="15">
        <f>FORECAST($C196, OFFSET('De Vaucouleurs Deprojection'!$F$3:$F$126, MATCH($C196, 'De Vaucouleurs Deprojection'!$A$3:$A$126,1)-1,0,2), OFFSET('De Vaucouleurs Deprojection'!$A$3:$A$126, MATCH($C196, 'De Vaucouleurs Deprojection'!$A$3:$A$126,1)-1,0,2))*LCDMTotalBulgeMass</f>
        <v>6.6129003141858445E+40</v>
      </c>
      <c r="F196" s="15">
        <f t="shared" si="25"/>
        <v>1.520388278671342E+41</v>
      </c>
      <c r="G196" s="15">
        <f t="shared" si="26"/>
        <v>5.450675635816798E+41</v>
      </c>
      <c r="H196" s="15">
        <f t="shared" si="27"/>
        <v>7.6323539459067249E+41</v>
      </c>
      <c r="I196" s="16">
        <v>243.6</v>
      </c>
      <c r="J196" s="16">
        <v>1.4</v>
      </c>
      <c r="K196" s="19">
        <f t="shared" si="28"/>
        <v>234.26681157327366</v>
      </c>
      <c r="L196" s="16">
        <f t="shared" si="29"/>
        <v>44.443064392233907</v>
      </c>
      <c r="M196" s="45"/>
      <c r="V196" s="45"/>
      <c r="W196" s="45"/>
    </row>
    <row r="197" spans="1:23" x14ac:dyDescent="0.25">
      <c r="A197" s="45">
        <v>30.46</v>
      </c>
      <c r="B197" s="45">
        <f t="shared" si="30"/>
        <v>30460</v>
      </c>
      <c r="C197" s="16">
        <f t="shared" si="31"/>
        <v>23.430769230769229</v>
      </c>
      <c r="D197" s="15">
        <f t="shared" si="32"/>
        <v>9.3989739086800001E+20</v>
      </c>
      <c r="E197" s="15">
        <f>FORECAST($C197, OFFSET('De Vaucouleurs Deprojection'!$F$3:$F$126, MATCH($C197, 'De Vaucouleurs Deprojection'!$A$3:$A$126,1)-1,0,2), OFFSET('De Vaucouleurs Deprojection'!$A$3:$A$126, MATCH($C197, 'De Vaucouleurs Deprojection'!$A$3:$A$126,1)-1,0,2))*LCDMTotalBulgeMass</f>
        <v>6.6150883486670747E+40</v>
      </c>
      <c r="F197" s="15">
        <f t="shared" si="25"/>
        <v>1.5212236440218756E+41</v>
      </c>
      <c r="G197" s="15">
        <f t="shared" si="26"/>
        <v>5.5401685305387192E+41</v>
      </c>
      <c r="H197" s="15">
        <f t="shared" si="27"/>
        <v>7.7229010094273015E+41</v>
      </c>
      <c r="I197" s="16">
        <v>247.3</v>
      </c>
      <c r="J197" s="16">
        <v>3.1</v>
      </c>
      <c r="K197" s="19">
        <f t="shared" si="28"/>
        <v>234.17779701038162</v>
      </c>
      <c r="L197" s="16">
        <f t="shared" si="29"/>
        <v>17.918024068756473</v>
      </c>
      <c r="M197" s="45"/>
      <c r="V197" s="45"/>
      <c r="W197" s="45"/>
    </row>
    <row r="198" spans="1:23" x14ac:dyDescent="0.25">
      <c r="A198" s="45">
        <v>30.84</v>
      </c>
      <c r="B198" s="45">
        <f t="shared" si="30"/>
        <v>30840</v>
      </c>
      <c r="C198" s="16">
        <f t="shared" si="31"/>
        <v>23.723076923076924</v>
      </c>
      <c r="D198" s="15">
        <f t="shared" si="32"/>
        <v>9.5162296567199996E+20</v>
      </c>
      <c r="E198" s="15">
        <f>FORECAST($C198, OFFSET('De Vaucouleurs Deprojection'!$F$3:$F$126, MATCH($C198, 'De Vaucouleurs Deprojection'!$A$3:$A$126,1)-1,0,2), OFFSET('De Vaucouleurs Deprojection'!$A$3:$A$126, MATCH($C198, 'De Vaucouleurs Deprojection'!$A$3:$A$126,1)-1,0,2))*LCDMTotalBulgeMass</f>
        <v>6.617276383148306E+40</v>
      </c>
      <c r="F198" s="15">
        <f t="shared" si="25"/>
        <v>1.5219979551500311E+41</v>
      </c>
      <c r="G198" s="15">
        <f t="shared" si="26"/>
        <v>5.6296621795784698E+41</v>
      </c>
      <c r="H198" s="15">
        <f t="shared" si="27"/>
        <v>7.8133877730433318E+41</v>
      </c>
      <c r="I198" s="16">
        <v>247.8</v>
      </c>
      <c r="J198" s="16">
        <v>1.3</v>
      </c>
      <c r="K198" s="19">
        <f t="shared" si="28"/>
        <v>234.09004015999284</v>
      </c>
      <c r="L198" s="16">
        <f t="shared" si="29"/>
        <v>111.22070935775709</v>
      </c>
      <c r="M198" s="45"/>
      <c r="V198" s="45"/>
      <c r="W198" s="45"/>
    </row>
    <row r="199" spans="1:23" x14ac:dyDescent="0.25">
      <c r="A199" s="45">
        <v>31.22</v>
      </c>
      <c r="B199" s="45">
        <f t="shared" si="30"/>
        <v>31220</v>
      </c>
      <c r="C199" s="16">
        <f t="shared" si="31"/>
        <v>24.015384615384615</v>
      </c>
      <c r="D199" s="15">
        <f t="shared" si="32"/>
        <v>9.6334854047599991E+20</v>
      </c>
      <c r="E199" s="15">
        <f>FORECAST($C199, OFFSET('De Vaucouleurs Deprojection'!$F$3:$F$126, MATCH($C199, 'De Vaucouleurs Deprojection'!$A$3:$A$126,1)-1,0,2), OFFSET('De Vaucouleurs Deprojection'!$A$3:$A$126, MATCH($C199, 'De Vaucouleurs Deprojection'!$A$3:$A$126,1)-1,0,2))*LCDMTotalBulgeMass</f>
        <v>6.6194644176295362E+40</v>
      </c>
      <c r="F199" s="15">
        <f t="shared" si="25"/>
        <v>1.52271556397482E+41</v>
      </c>
      <c r="G199" s="15">
        <f t="shared" si="26"/>
        <v>5.7191497374891976E+41</v>
      </c>
      <c r="H199" s="15">
        <f t="shared" si="27"/>
        <v>7.9038117432269704E+41</v>
      </c>
      <c r="I199" s="16">
        <v>248.4</v>
      </c>
      <c r="J199" s="16">
        <v>2</v>
      </c>
      <c r="K199" s="19">
        <f t="shared" si="28"/>
        <v>234.00345834619321</v>
      </c>
      <c r="L199" s="16">
        <f t="shared" si="29"/>
        <v>51.815102897448504</v>
      </c>
      <c r="M199" s="45"/>
      <c r="V199" s="45"/>
      <c r="W199" s="45"/>
    </row>
    <row r="200" spans="1:23" x14ac:dyDescent="0.25">
      <c r="A200" s="45">
        <v>31.61</v>
      </c>
      <c r="B200" s="45">
        <f t="shared" si="30"/>
        <v>31610</v>
      </c>
      <c r="C200" s="16">
        <f t="shared" si="31"/>
        <v>24.315384615384616</v>
      </c>
      <c r="D200" s="15">
        <f t="shared" si="32"/>
        <v>9.7538268303799996E+20</v>
      </c>
      <c r="E200" s="15">
        <f>FORECAST($C200, OFFSET('De Vaucouleurs Deprojection'!$F$3:$F$126, MATCH($C200, 'De Vaucouleurs Deprojection'!$A$3:$A$126,1)-1,0,2), OFFSET('De Vaucouleurs Deprojection'!$A$3:$A$126, MATCH($C200, 'De Vaucouleurs Deprojection'!$A$3:$A$126,1)-1,0,2))*LCDMTotalBulgeMass</f>
        <v>6.6217100319655363E+40</v>
      </c>
      <c r="F200" s="15">
        <f t="shared" si="25"/>
        <v>1.5233973459510021E+41</v>
      </c>
      <c r="G200" s="15">
        <f t="shared" si="26"/>
        <v>5.8109789821215647E+41</v>
      </c>
      <c r="H200" s="15">
        <f t="shared" si="27"/>
        <v>7.9965473312691204E+41</v>
      </c>
      <c r="I200" s="16">
        <v>248.1</v>
      </c>
      <c r="J200" s="16">
        <v>1.5</v>
      </c>
      <c r="K200" s="19">
        <f t="shared" si="28"/>
        <v>233.91573654597488</v>
      </c>
      <c r="L200" s="16">
        <f t="shared" si="29"/>
        <v>89.419257659196646</v>
      </c>
      <c r="M200" s="45"/>
      <c r="V200" s="45"/>
      <c r="W200" s="45"/>
    </row>
    <row r="201" spans="1:23" x14ac:dyDescent="0.25">
      <c r="A201" s="45">
        <v>31.99</v>
      </c>
      <c r="B201" s="45">
        <f t="shared" si="30"/>
        <v>31990</v>
      </c>
      <c r="C201" s="16">
        <f t="shared" si="31"/>
        <v>24.607692307692307</v>
      </c>
      <c r="D201" s="15">
        <f t="shared" si="32"/>
        <v>9.871082578419999E+20</v>
      </c>
      <c r="E201" s="15">
        <f>FORECAST($C201, OFFSET('De Vaucouleurs Deprojection'!$F$3:$F$126, MATCH($C201, 'De Vaucouleurs Deprojection'!$A$3:$A$126,1)-1,0,2), OFFSET('De Vaucouleurs Deprojection'!$A$3:$A$126, MATCH($C201, 'De Vaucouleurs Deprojection'!$A$3:$A$126,1)-1,0,2))*LCDMTotalBulgeMass</f>
        <v>6.6238980664467676E+40</v>
      </c>
      <c r="F201" s="15">
        <f t="shared" si="25"/>
        <v>1.5240121901100903E+41</v>
      </c>
      <c r="G201" s="15">
        <f t="shared" si="26"/>
        <v>5.9004342322881449E+41</v>
      </c>
      <c r="H201" s="15">
        <f t="shared" si="27"/>
        <v>8.0868362290429121E+41</v>
      </c>
      <c r="I201" s="16">
        <v>244.5</v>
      </c>
      <c r="J201" s="16">
        <v>1.6</v>
      </c>
      <c r="K201" s="19">
        <f t="shared" si="28"/>
        <v>233.83129535707332</v>
      </c>
      <c r="L201" s="16">
        <f t="shared" si="29"/>
        <v>44.461429202345848</v>
      </c>
      <c r="M201" s="45"/>
      <c r="V201" s="45"/>
      <c r="W201" s="45"/>
    </row>
    <row r="202" spans="1:23" x14ac:dyDescent="0.25">
      <c r="A202" s="45">
        <v>32.369999999999997</v>
      </c>
      <c r="B202" s="45">
        <f t="shared" si="30"/>
        <v>32369.999999999996</v>
      </c>
      <c r="C202" s="16">
        <f t="shared" si="31"/>
        <v>24.9</v>
      </c>
      <c r="D202" s="15">
        <f t="shared" si="32"/>
        <v>9.9883383264599998E+20</v>
      </c>
      <c r="E202" s="15">
        <f>FORECAST($C202, OFFSET('De Vaucouleurs Deprojection'!$F$3:$F$126, MATCH($C202, 'De Vaucouleurs Deprojection'!$A$3:$A$126,1)-1,0,2), OFFSET('De Vaucouleurs Deprojection'!$A$3:$A$126, MATCH($C202, 'De Vaucouleurs Deprojection'!$A$3:$A$126,1)-1,0,2))*LCDMTotalBulgeMass</f>
        <v>6.6260861009279978E+40</v>
      </c>
      <c r="F202" s="15">
        <f t="shared" si="25"/>
        <v>1.5245817572300961E+41</v>
      </c>
      <c r="G202" s="15">
        <f t="shared" si="26"/>
        <v>5.989864167713226E+41</v>
      </c>
      <c r="H202" s="15">
        <f t="shared" si="27"/>
        <v>8.1770545350361215E+41</v>
      </c>
      <c r="I202" s="16">
        <v>244.4</v>
      </c>
      <c r="J202" s="16">
        <v>3</v>
      </c>
      <c r="K202" s="19">
        <f t="shared" si="28"/>
        <v>233.74779832508358</v>
      </c>
      <c r="L202" s="16">
        <f t="shared" si="29"/>
        <v>12.607711169232481</v>
      </c>
      <c r="M202" s="45"/>
      <c r="V202" s="45"/>
      <c r="W202" s="45"/>
    </row>
    <row r="203" spans="1:23" x14ac:dyDescent="0.25">
      <c r="A203" s="45">
        <v>32.75</v>
      </c>
      <c r="B203" s="45">
        <f t="shared" si="30"/>
        <v>32750</v>
      </c>
      <c r="C203" s="16">
        <f t="shared" si="31"/>
        <v>25.192307692307693</v>
      </c>
      <c r="D203" s="15">
        <f t="shared" si="32"/>
        <v>1.0105594074500001E+21</v>
      </c>
      <c r="E203" s="15">
        <f>FORECAST($C203, OFFSET('De Vaucouleurs Deprojection'!$F$3:$F$126, MATCH($C203, 'De Vaucouleurs Deprojection'!$A$3:$A$126,1)-1,0,2), OFFSET('De Vaucouleurs Deprojection'!$A$3:$A$126, MATCH($C203, 'De Vaucouleurs Deprojection'!$A$3:$A$126,1)-1,0,2))*LCDMTotalBulgeMass</f>
        <v>6.6277163305661529E+40</v>
      </c>
      <c r="F203" s="15">
        <f t="shared" si="25"/>
        <v>1.525109307919897E+41</v>
      </c>
      <c r="G203" s="15">
        <f t="shared" si="26"/>
        <v>6.0792628998805163E+41</v>
      </c>
      <c r="H203" s="15">
        <f t="shared" si="27"/>
        <v>8.2671438408570294E+41</v>
      </c>
      <c r="I203" s="16">
        <v>241.7</v>
      </c>
      <c r="J203" s="16">
        <v>4.3</v>
      </c>
      <c r="K203" s="19">
        <f t="shared" si="28"/>
        <v>233.66438709067788</v>
      </c>
      <c r="L203" s="16">
        <f t="shared" si="29"/>
        <v>3.4922160534593925</v>
      </c>
      <c r="M203" s="45"/>
      <c r="V203" s="45"/>
      <c r="W203" s="45"/>
    </row>
    <row r="204" spans="1:23" x14ac:dyDescent="0.25">
      <c r="A204" s="45">
        <v>33.130000000000003</v>
      </c>
      <c r="B204" s="45">
        <f t="shared" si="30"/>
        <v>33130</v>
      </c>
      <c r="C204" s="16">
        <f t="shared" si="31"/>
        <v>25.484615384615385</v>
      </c>
      <c r="D204" s="15">
        <f t="shared" si="32"/>
        <v>1.0222849822540001E+21</v>
      </c>
      <c r="E204" s="15">
        <f>FORECAST($C204, OFFSET('De Vaucouleurs Deprojection'!$F$3:$F$126, MATCH($C204, 'De Vaucouleurs Deprojection'!$A$3:$A$126,1)-1,0,2), OFFSET('De Vaucouleurs Deprojection'!$A$3:$A$126, MATCH($C204, 'De Vaucouleurs Deprojection'!$A$3:$A$126,1)-1,0,2))*LCDMTotalBulgeMass</f>
        <v>6.6290565016859069E+40</v>
      </c>
      <c r="F204" s="15">
        <f t="shared" si="25"/>
        <v>1.5255978751253677E+41</v>
      </c>
      <c r="G204" s="15">
        <f t="shared" si="26"/>
        <v>6.1686247567229825E+41</v>
      </c>
      <c r="H204" s="15">
        <f t="shared" si="27"/>
        <v>8.3571282820169399E+41</v>
      </c>
      <c r="I204" s="16">
        <v>237.7</v>
      </c>
      <c r="J204" s="16">
        <v>1.9</v>
      </c>
      <c r="K204" s="19">
        <f t="shared" si="28"/>
        <v>233.58139505891285</v>
      </c>
      <c r="L204" s="16">
        <f t="shared" si="29"/>
        <v>4.698866111010366</v>
      </c>
      <c r="M204" s="45"/>
      <c r="V204" s="45"/>
      <c r="W204" s="45"/>
    </row>
    <row r="205" spans="1:23" x14ac:dyDescent="0.25">
      <c r="A205" s="45">
        <v>33.51</v>
      </c>
      <c r="B205" s="45">
        <f t="shared" si="30"/>
        <v>33510</v>
      </c>
      <c r="C205" s="16">
        <f t="shared" si="31"/>
        <v>25.776923076923076</v>
      </c>
      <c r="D205" s="15">
        <f t="shared" si="32"/>
        <v>1.034010557058E+21</v>
      </c>
      <c r="E205" s="15">
        <f>FORECAST($C205, OFFSET('De Vaucouleurs Deprojection'!$F$3:$F$126, MATCH($C205, 'De Vaucouleurs Deprojection'!$A$3:$A$126,1)-1,0,2), OFFSET('De Vaucouleurs Deprojection'!$A$3:$A$126, MATCH($C205, 'De Vaucouleurs Deprojection'!$A$3:$A$126,1)-1,0,2))*LCDMTotalBulgeMass</f>
        <v>6.6303966728056609E+40</v>
      </c>
      <c r="F205" s="15">
        <f t="shared" si="25"/>
        <v>1.526050279315206E+41</v>
      </c>
      <c r="G205" s="15">
        <f t="shared" si="26"/>
        <v>6.2579442748482976E+41</v>
      </c>
      <c r="H205" s="15">
        <f t="shared" si="27"/>
        <v>8.4470342214440689E+41</v>
      </c>
      <c r="I205" s="16">
        <v>237.6</v>
      </c>
      <c r="J205" s="16">
        <v>6.1</v>
      </c>
      <c r="K205" s="19">
        <f t="shared" si="28"/>
        <v>233.49917176900561</v>
      </c>
      <c r="L205" s="16">
        <f t="shared" si="29"/>
        <v>0.45194281591294028</v>
      </c>
      <c r="M205" s="45"/>
      <c r="V205" s="45"/>
      <c r="W205" s="45"/>
    </row>
    <row r="206" spans="1:23" x14ac:dyDescent="0.25">
      <c r="A206" s="45">
        <v>33.89</v>
      </c>
      <c r="B206" s="45">
        <f t="shared" si="30"/>
        <v>33890</v>
      </c>
      <c r="C206" s="16">
        <f t="shared" si="31"/>
        <v>26.069230769230771</v>
      </c>
      <c r="D206" s="15">
        <f t="shared" si="32"/>
        <v>1.045736131862E+21</v>
      </c>
      <c r="E206" s="15">
        <f>FORECAST($C206, OFFSET('De Vaucouleurs Deprojection'!$F$3:$F$126, MATCH($C206, 'De Vaucouleurs Deprojection'!$A$3:$A$126,1)-1,0,2), OFFSET('De Vaucouleurs Deprojection'!$A$3:$A$126, MATCH($C206, 'De Vaucouleurs Deprojection'!$A$3:$A$126,1)-1,0,2))*LCDMTotalBulgeMass</f>
        <v>6.6317368439254149E+40</v>
      </c>
      <c r="F206" s="15">
        <f t="shared" si="25"/>
        <v>1.5264691427265731E+41</v>
      </c>
      <c r="G206" s="15">
        <f t="shared" si="26"/>
        <v>6.3472161920714542E+41</v>
      </c>
      <c r="H206" s="15">
        <f t="shared" si="27"/>
        <v>8.5368590191905684E+41</v>
      </c>
      <c r="I206" s="16">
        <v>244.9</v>
      </c>
      <c r="J206" s="16">
        <v>3.6</v>
      </c>
      <c r="K206" s="19">
        <f t="shared" si="28"/>
        <v>233.41765508147481</v>
      </c>
      <c r="L206" s="16">
        <f t="shared" si="29"/>
        <v>10.173167039196102</v>
      </c>
      <c r="M206" s="45"/>
      <c r="V206" s="45"/>
      <c r="W206" s="45"/>
    </row>
    <row r="207" spans="1:23" x14ac:dyDescent="0.25">
      <c r="A207" s="45">
        <v>34.270000000000003</v>
      </c>
      <c r="B207" s="45">
        <f t="shared" si="30"/>
        <v>34270</v>
      </c>
      <c r="C207" s="16">
        <f t="shared" si="31"/>
        <v>26.361538461538462</v>
      </c>
      <c r="D207" s="15">
        <f t="shared" si="32"/>
        <v>1.0574617066660001E+21</v>
      </c>
      <c r="E207" s="15">
        <f>FORECAST($C207, OFFSET('De Vaucouleurs Deprojection'!$F$3:$F$126, MATCH($C207, 'De Vaucouleurs Deprojection'!$A$3:$A$126,1)-1,0,2), OFFSET('De Vaucouleurs Deprojection'!$A$3:$A$126, MATCH($C207, 'De Vaucouleurs Deprojection'!$A$3:$A$126,1)-1,0,2))*LCDMTotalBulgeMass</f>
        <v>6.633077015045168E+40</v>
      </c>
      <c r="F207" s="15">
        <f t="shared" si="25"/>
        <v>1.5268569027209507E+41</v>
      </c>
      <c r="G207" s="15">
        <f t="shared" si="26"/>
        <v>6.4364354402409663E+41</v>
      </c>
      <c r="H207" s="15">
        <f t="shared" si="27"/>
        <v>8.6266000444664344E+41</v>
      </c>
      <c r="I207" s="16">
        <v>247.9</v>
      </c>
      <c r="J207" s="16">
        <v>3.2</v>
      </c>
      <c r="K207" s="19">
        <f t="shared" si="28"/>
        <v>233.33678568015955</v>
      </c>
      <c r="L207" s="16">
        <f t="shared" si="29"/>
        <v>20.711641731016215</v>
      </c>
      <c r="M207" s="45"/>
      <c r="V207" s="45"/>
      <c r="W207" s="45"/>
    </row>
    <row r="208" spans="1:23" x14ac:dyDescent="0.25">
      <c r="A208" s="45">
        <v>34.659999999999997</v>
      </c>
      <c r="B208" s="45">
        <f t="shared" si="30"/>
        <v>34660</v>
      </c>
      <c r="C208" s="16">
        <f t="shared" si="31"/>
        <v>26.661538461538463</v>
      </c>
      <c r="D208" s="15">
        <f t="shared" si="32"/>
        <v>1.0694958492279999E+21</v>
      </c>
      <c r="E208" s="15">
        <f>FORECAST($C208, OFFSET('De Vaucouleurs Deprojection'!$F$3:$F$126, MATCH($C208, 'De Vaucouleurs Deprojection'!$A$3:$A$126,1)-1,0,2), OFFSET('De Vaucouleurs Deprojection'!$A$3:$A$126, MATCH($C208, 'De Vaucouleurs Deprojection'!$A$3:$A$126,1)-1,0,2))*LCDMTotalBulgeMass</f>
        <v>6.6344524538259678E+40</v>
      </c>
      <c r="F208" s="15">
        <f t="shared" si="25"/>
        <v>1.5272248997010108E+41</v>
      </c>
      <c r="G208" s="15">
        <f t="shared" si="26"/>
        <v>6.5279426783907867E+41</v>
      </c>
      <c r="H208" s="15">
        <f t="shared" si="27"/>
        <v>8.7186128234743936E+41</v>
      </c>
      <c r="I208" s="16">
        <v>256.3</v>
      </c>
      <c r="J208" s="16">
        <v>3.1</v>
      </c>
      <c r="K208" s="19">
        <f t="shared" si="28"/>
        <v>233.25440187670682</v>
      </c>
      <c r="L208" s="16">
        <f t="shared" si="29"/>
        <v>55.265306228963013</v>
      </c>
      <c r="M208" s="45"/>
      <c r="V208" s="45"/>
      <c r="W208" s="45"/>
    </row>
    <row r="209" spans="1:23" x14ac:dyDescent="0.25">
      <c r="A209" s="45">
        <v>35.04</v>
      </c>
      <c r="B209" s="45">
        <f t="shared" si="30"/>
        <v>35040</v>
      </c>
      <c r="C209" s="16">
        <f t="shared" si="31"/>
        <v>26.953846153846154</v>
      </c>
      <c r="D209" s="15">
        <f t="shared" si="32"/>
        <v>1.081221424032E+21</v>
      </c>
      <c r="E209" s="15">
        <f>FORECAST($C209, OFFSET('De Vaucouleurs Deprojection'!$F$3:$F$126, MATCH($C209, 'De Vaucouleurs Deprojection'!$A$3:$A$126,1)-1,0,2), OFFSET('De Vaucouleurs Deprojection'!$A$3:$A$126, MATCH($C209, 'De Vaucouleurs Deprojection'!$A$3:$A$126,1)-1,0,2))*LCDMTotalBulgeMass</f>
        <v>6.6357926249457218E+40</v>
      </c>
      <c r="F209" s="15">
        <f t="shared" si="25"/>
        <v>1.5275564107233741E+41</v>
      </c>
      <c r="G209" s="15">
        <f t="shared" si="26"/>
        <v>6.6170404258890554E+41</v>
      </c>
      <c r="H209" s="15">
        <f t="shared" si="27"/>
        <v>8.808176099107001E+41</v>
      </c>
      <c r="I209" s="16">
        <v>253.5</v>
      </c>
      <c r="J209" s="16">
        <v>4.0999999999999996</v>
      </c>
      <c r="K209" s="19">
        <f t="shared" si="28"/>
        <v>233.1746734224925</v>
      </c>
      <c r="L209" s="16">
        <f t="shared" si="29"/>
        <v>24.575782301150067</v>
      </c>
      <c r="M209" s="45"/>
      <c r="V209" s="45"/>
      <c r="W209" s="45"/>
    </row>
    <row r="210" spans="1:23" x14ac:dyDescent="0.25">
      <c r="A210" s="45">
        <v>35.42</v>
      </c>
      <c r="B210" s="45">
        <f t="shared" si="30"/>
        <v>35420</v>
      </c>
      <c r="C210" s="16">
        <f t="shared" si="31"/>
        <v>27.246153846153845</v>
      </c>
      <c r="D210" s="15">
        <f t="shared" si="32"/>
        <v>1.0929469988360001E+21</v>
      </c>
      <c r="E210" s="15">
        <f>FORECAST($C210, OFFSET('De Vaucouleurs Deprojection'!$F$3:$F$126, MATCH($C210, 'De Vaucouleurs Deprojection'!$A$3:$A$126,1)-1,0,2), OFFSET('De Vaucouleurs Deprojection'!$A$3:$A$126, MATCH($C210, 'De Vaucouleurs Deprojection'!$A$3:$A$126,1)-1,0,2))*LCDMTotalBulgeMass</f>
        <v>6.6371327960654758E+40</v>
      </c>
      <c r="F210" s="15">
        <f t="shared" si="25"/>
        <v>1.5278631918918811E+41</v>
      </c>
      <c r="G210" s="15">
        <f t="shared" si="26"/>
        <v>6.7060712796611331E+41</v>
      </c>
      <c r="H210" s="15">
        <f t="shared" si="27"/>
        <v>8.8976477511595615E+41</v>
      </c>
      <c r="I210" s="16">
        <v>244.3</v>
      </c>
      <c r="J210" s="16">
        <v>4.7</v>
      </c>
      <c r="K210" s="19">
        <f t="shared" si="28"/>
        <v>233.095429139489</v>
      </c>
      <c r="L210" s="16">
        <f t="shared" si="29"/>
        <v>5.6832235476782467</v>
      </c>
      <c r="M210" s="45"/>
      <c r="V210" s="45"/>
      <c r="W210" s="45"/>
    </row>
    <row r="211" spans="1:23" x14ac:dyDescent="0.25">
      <c r="A211" s="45">
        <v>35.799999999999997</v>
      </c>
      <c r="B211" s="45">
        <f t="shared" si="30"/>
        <v>35800</v>
      </c>
      <c r="C211" s="16">
        <f t="shared" si="31"/>
        <v>27.53846153846154</v>
      </c>
      <c r="D211" s="15">
        <f t="shared" si="32"/>
        <v>1.1046725736399999E+21</v>
      </c>
      <c r="E211" s="15">
        <f>FORECAST($C211, OFFSET('De Vaucouleurs Deprojection'!$F$3:$F$126, MATCH($C211, 'De Vaucouleurs Deprojection'!$A$3:$A$126,1)-1,0,2), OFFSET('De Vaucouleurs Deprojection'!$A$3:$A$126, MATCH($C211, 'De Vaucouleurs Deprojection'!$A$3:$A$126,1)-1,0,2))*LCDMTotalBulgeMass</f>
        <v>6.6384729671852298E+40</v>
      </c>
      <c r="F211" s="15">
        <f t="shared" si="25"/>
        <v>1.5281470549541515E+41</v>
      </c>
      <c r="G211" s="15">
        <f t="shared" si="26"/>
        <v>6.7950308857269681E+41</v>
      </c>
      <c r="H211" s="15">
        <f t="shared" si="27"/>
        <v>8.9870252373996421E+41</v>
      </c>
      <c r="I211" s="16">
        <v>249.3</v>
      </c>
      <c r="J211" s="16">
        <v>5.8</v>
      </c>
      <c r="K211" s="19">
        <f t="shared" si="28"/>
        <v>233.01662027240064</v>
      </c>
      <c r="L211" s="16">
        <f t="shared" si="29"/>
        <v>7.8819398143042223</v>
      </c>
      <c r="M211" s="45"/>
      <c r="V211" s="45"/>
      <c r="W211" s="45"/>
    </row>
    <row r="212" spans="1:23" x14ac:dyDescent="0.25">
      <c r="A212" s="45">
        <v>36.18</v>
      </c>
      <c r="B212" s="45">
        <f t="shared" si="30"/>
        <v>36180</v>
      </c>
      <c r="C212" s="16">
        <f t="shared" si="31"/>
        <v>27.830769230769231</v>
      </c>
      <c r="D212" s="15">
        <f t="shared" si="32"/>
        <v>1.116398148444E+21</v>
      </c>
      <c r="E212" s="15">
        <f>FORECAST($C212, OFFSET('De Vaucouleurs Deprojection'!$F$3:$F$126, MATCH($C212, 'De Vaucouleurs Deprojection'!$A$3:$A$126,1)-1,0,2), OFFSET('De Vaucouleurs Deprojection'!$A$3:$A$126, MATCH($C212, 'De Vaucouleurs Deprojection'!$A$3:$A$126,1)-1,0,2))*LCDMTotalBulgeMass</f>
        <v>6.6398131383049838E+40</v>
      </c>
      <c r="F212" s="15">
        <f t="shared" si="25"/>
        <v>1.5284096820943156E+41</v>
      </c>
      <c r="G212" s="15">
        <f t="shared" si="26"/>
        <v>6.8839150520936517E+41</v>
      </c>
      <c r="H212" s="15">
        <f t="shared" si="27"/>
        <v>9.076306048018465E+41</v>
      </c>
      <c r="I212" s="16">
        <v>255.7</v>
      </c>
      <c r="J212" s="16">
        <v>4.5</v>
      </c>
      <c r="K212" s="19">
        <f t="shared" si="28"/>
        <v>232.93820048314939</v>
      </c>
      <c r="L212" s="16">
        <f t="shared" si="29"/>
        <v>25.585161345446927</v>
      </c>
      <c r="M212" s="45"/>
      <c r="V212" s="45"/>
      <c r="W212" s="45"/>
    </row>
    <row r="213" spans="1:23" x14ac:dyDescent="0.25">
      <c r="A213" s="45">
        <v>36.56</v>
      </c>
      <c r="B213" s="45">
        <f t="shared" si="30"/>
        <v>36560</v>
      </c>
      <c r="C213" s="16">
        <f t="shared" si="31"/>
        <v>28.123076923076923</v>
      </c>
      <c r="D213" s="15">
        <f t="shared" si="32"/>
        <v>1.128123723248E+21</v>
      </c>
      <c r="E213" s="15">
        <f>FORECAST($C213, OFFSET('De Vaucouleurs Deprojection'!$F$3:$F$126, MATCH($C213, 'De Vaucouleurs Deprojection'!$A$3:$A$126,1)-1,0,2), OFFSET('De Vaucouleurs Deprojection'!$A$3:$A$126, MATCH($C213, 'De Vaucouleurs Deprojection'!$A$3:$A$126,1)-1,0,2))*LCDMTotalBulgeMass</f>
        <v>6.6411533094247379E+40</v>
      </c>
      <c r="F213" s="15">
        <f t="shared" si="25"/>
        <v>1.5286526348891456E+41</v>
      </c>
      <c r="G213" s="15">
        <f t="shared" si="26"/>
        <v>6.9727197430993473E+41</v>
      </c>
      <c r="H213" s="15">
        <f t="shared" si="27"/>
        <v>9.1654877089309662E+41</v>
      </c>
      <c r="I213" s="16">
        <v>255</v>
      </c>
      <c r="J213" s="16">
        <v>5.8</v>
      </c>
      <c r="K213" s="19">
        <f t="shared" si="28"/>
        <v>232.8601257684783</v>
      </c>
      <c r="L213" s="16">
        <f t="shared" si="29"/>
        <v>14.571166200582599</v>
      </c>
      <c r="M213" s="45"/>
      <c r="V213" s="45"/>
      <c r="W213" s="45"/>
    </row>
    <row r="214" spans="1:23" x14ac:dyDescent="0.25">
      <c r="A214" s="45">
        <v>36.94</v>
      </c>
      <c r="B214" s="45">
        <f t="shared" si="30"/>
        <v>36940</v>
      </c>
      <c r="C214" s="16">
        <f t="shared" si="31"/>
        <v>28.415384615384614</v>
      </c>
      <c r="D214" s="15">
        <f t="shared" si="32"/>
        <v>1.139849298052E+21</v>
      </c>
      <c r="E214" s="15">
        <f>FORECAST($C214, OFFSET('De Vaucouleurs Deprojection'!$F$3:$F$126, MATCH($C214, 'De Vaucouleurs Deprojection'!$A$3:$A$126,1)-1,0,2), OFFSET('De Vaucouleurs Deprojection'!$A$3:$A$126, MATCH($C214, 'De Vaucouleurs Deprojection'!$A$3:$A$126,1)-1,0,2))*LCDMTotalBulgeMass</f>
        <v>6.6424934805444919E+40</v>
      </c>
      <c r="F214" s="15">
        <f t="shared" si="25"/>
        <v>1.5288773626760351E+41</v>
      </c>
      <c r="G214" s="15">
        <f t="shared" si="26"/>
        <v>7.0614410739724448E+41</v>
      </c>
      <c r="H214" s="15">
        <f t="shared" si="27"/>
        <v>9.2545677847029282E+41</v>
      </c>
      <c r="I214" s="16">
        <v>271.10000000000002</v>
      </c>
      <c r="J214" s="16">
        <v>7.8</v>
      </c>
      <c r="K214" s="19">
        <f t="shared" si="28"/>
        <v>232.78235437794234</v>
      </c>
      <c r="L214" s="16">
        <f t="shared" si="29"/>
        <v>24.132839678132747</v>
      </c>
      <c r="M214" s="45"/>
      <c r="V214" s="45"/>
      <c r="W214" s="45"/>
    </row>
    <row r="215" spans="1:23" x14ac:dyDescent="0.25">
      <c r="A215" s="45">
        <v>37.32</v>
      </c>
      <c r="B215" s="45">
        <f t="shared" si="30"/>
        <v>37320</v>
      </c>
      <c r="C215" s="16">
        <f t="shared" si="31"/>
        <v>28.707692307692309</v>
      </c>
      <c r="D215" s="15">
        <f t="shared" si="32"/>
        <v>1.1515748728560001E+21</v>
      </c>
      <c r="E215" s="15">
        <f>FORECAST($C215, OFFSET('De Vaucouleurs Deprojection'!$F$3:$F$126, MATCH($C215, 'De Vaucouleurs Deprojection'!$A$3:$A$126,1)-1,0,2), OFFSET('De Vaucouleurs Deprojection'!$A$3:$A$126, MATCH($C215, 'De Vaucouleurs Deprojection'!$A$3:$A$126,1)-1,0,2))*LCDMTotalBulgeMass</f>
        <v>6.6438336516642459E+40</v>
      </c>
      <c r="F215" s="15">
        <f t="shared" si="25"/>
        <v>1.5290852103682493E+41</v>
      </c>
      <c r="G215" s="15">
        <f t="shared" si="26"/>
        <v>7.1500753055969066E+41</v>
      </c>
      <c r="H215" s="15">
        <f t="shared" si="27"/>
        <v>9.34354388113158E+41</v>
      </c>
      <c r="I215" s="16">
        <v>269.8</v>
      </c>
      <c r="J215" s="16">
        <v>4.7</v>
      </c>
      <c r="K215" s="19">
        <f t="shared" si="28"/>
        <v>232.70484673258372</v>
      </c>
      <c r="L215" s="16">
        <f t="shared" si="29"/>
        <v>62.2929106352696</v>
      </c>
      <c r="M215" s="45"/>
      <c r="V215" s="45"/>
      <c r="W215" s="45"/>
    </row>
    <row r="216" spans="1:23" x14ac:dyDescent="0.25">
      <c r="A216" s="45">
        <v>37.71</v>
      </c>
      <c r="B216" s="45">
        <f t="shared" si="30"/>
        <v>37710</v>
      </c>
      <c r="C216" s="16">
        <f t="shared" si="31"/>
        <v>29.007692307692309</v>
      </c>
      <c r="D216" s="15">
        <f t="shared" si="32"/>
        <v>1.163609015418E+21</v>
      </c>
      <c r="E216" s="15">
        <f>FORECAST($C216, OFFSET('De Vaucouleurs Deprojection'!$F$3:$F$126, MATCH($C216, 'De Vaucouleurs Deprojection'!$A$3:$A$126,1)-1,0,2), OFFSET('De Vaucouleurs Deprojection'!$A$3:$A$126, MATCH($C216, 'De Vaucouleurs Deprojection'!$A$3:$A$126,1)-1,0,2))*LCDMTotalBulgeMass</f>
        <v>6.6452090904450447E+40</v>
      </c>
      <c r="F216" s="15">
        <f t="shared" si="25"/>
        <v>1.529282283698816E+41</v>
      </c>
      <c r="G216" s="15">
        <f t="shared" si="26"/>
        <v>7.240947675795987E+41</v>
      </c>
      <c r="H216" s="15">
        <f t="shared" si="27"/>
        <v>9.4347508685393079E+41</v>
      </c>
      <c r="I216" s="16">
        <v>258.2</v>
      </c>
      <c r="J216" s="16">
        <v>10.7</v>
      </c>
      <c r="K216" s="19">
        <f t="shared" si="28"/>
        <v>232.62553435127765</v>
      </c>
      <c r="L216" s="16">
        <f t="shared" si="29"/>
        <v>5.7127547665095548</v>
      </c>
      <c r="M216" s="45"/>
      <c r="V216" s="45"/>
      <c r="W216" s="45"/>
    </row>
    <row r="217" spans="1:23" x14ac:dyDescent="0.25">
      <c r="A217" s="45">
        <v>38.090000000000003</v>
      </c>
      <c r="B217" s="45">
        <f t="shared" si="30"/>
        <v>38090</v>
      </c>
      <c r="C217" s="16">
        <f t="shared" si="31"/>
        <v>29.3</v>
      </c>
      <c r="D217" s="15">
        <f t="shared" si="32"/>
        <v>1.1753345902220001E+21</v>
      </c>
      <c r="E217" s="15">
        <f>FORECAST($C217, OFFSET('De Vaucouleurs Deprojection'!$F$3:$F$126, MATCH($C217, 'De Vaucouleurs Deprojection'!$A$3:$A$126,1)-1,0,2), OFFSET('De Vaucouleurs Deprojection'!$A$3:$A$126, MATCH($C217, 'De Vaucouleurs Deprojection'!$A$3:$A$126,1)-1,0,2))*LCDMTotalBulgeMass</f>
        <v>6.6465492615647988E+40</v>
      </c>
      <c r="F217" s="15">
        <f t="shared" si="25"/>
        <v>1.5294596581728365E+41</v>
      </c>
      <c r="G217" s="15">
        <f t="shared" si="26"/>
        <v>7.3293945257379684E+41</v>
      </c>
      <c r="H217" s="15">
        <f t="shared" si="27"/>
        <v>9.5235091100672853E+41</v>
      </c>
      <c r="I217" s="16">
        <v>275.10000000000002</v>
      </c>
      <c r="J217" s="16">
        <v>4.8</v>
      </c>
      <c r="K217" s="19">
        <f t="shared" si="28"/>
        <v>232.54844830388802</v>
      </c>
      <c r="L217" s="16">
        <f t="shared" si="29"/>
        <v>78.586569086236636</v>
      </c>
      <c r="M217" s="45"/>
      <c r="V217" s="45"/>
      <c r="W217" s="45"/>
    </row>
    <row r="218" spans="1:23" x14ac:dyDescent="0.25">
      <c r="K218" s="45"/>
      <c r="L218" s="16">
        <f>SUM(L120:L217)/(COUNT(L120:L217)-6)</f>
        <v>27.847309851484322</v>
      </c>
      <c r="M218" s="45"/>
      <c r="V218" s="45"/>
      <c r="W218" s="45"/>
    </row>
    <row r="219" spans="1:23" x14ac:dyDescent="0.25">
      <c r="K219" s="45"/>
      <c r="L219" s="17">
        <f>SUM(L120:L217)</f>
        <v>2561.9525063365577</v>
      </c>
      <c r="M219" s="45"/>
      <c r="V219" s="45"/>
      <c r="W219" s="45"/>
    </row>
    <row r="220" spans="1:23" x14ac:dyDescent="0.25">
      <c r="L220" s="16"/>
      <c r="V220" s="45"/>
      <c r="W220" s="45"/>
    </row>
    <row r="221" spans="1:23" x14ac:dyDescent="0.25">
      <c r="L221" s="16"/>
      <c r="V221" s="45"/>
      <c r="W221" s="45"/>
    </row>
    <row r="222" spans="1:23" x14ac:dyDescent="0.25">
      <c r="L222" s="16"/>
      <c r="V222" s="45"/>
      <c r="W222" s="45"/>
    </row>
    <row r="223" spans="1:23" x14ac:dyDescent="0.25">
      <c r="L223" s="16"/>
    </row>
    <row r="224" spans="1:23" x14ac:dyDescent="0.25">
      <c r="L224" s="16"/>
    </row>
    <row r="225" spans="1:29" x14ac:dyDescent="0.25">
      <c r="L225" s="16"/>
    </row>
    <row r="226" spans="1:29" x14ac:dyDescent="0.25">
      <c r="L226" s="16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5"/>
      <c r="I227" s="16"/>
      <c r="J227" s="16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5"/>
      <c r="I228" s="16"/>
      <c r="J228" s="16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5"/>
      <c r="I229" s="16"/>
      <c r="J229" s="16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5"/>
      <c r="I230" s="16"/>
      <c r="J230" s="16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5"/>
      <c r="I231" s="16"/>
      <c r="J231" s="16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5"/>
      <c r="I232" s="16"/>
      <c r="J232" s="16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5"/>
      <c r="I233" s="16"/>
      <c r="J233" s="16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5"/>
      <c r="I234" s="16"/>
      <c r="J234" s="16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5"/>
      <c r="I235" s="16"/>
      <c r="J235" s="16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5"/>
      <c r="I236" s="16"/>
      <c r="J236" s="16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5"/>
      <c r="I237" s="16"/>
      <c r="J237" s="16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5"/>
      <c r="I238" s="16"/>
      <c r="J238" s="16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5"/>
      <c r="I239" s="16"/>
      <c r="J239" s="16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5"/>
      <c r="I240" s="16"/>
      <c r="J240" s="16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5"/>
      <c r="I241" s="16"/>
      <c r="J241" s="16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5"/>
      <c r="I242" s="16"/>
      <c r="J242" s="16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5"/>
      <c r="I243" s="16"/>
      <c r="J243" s="16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5"/>
      <c r="I244" s="16"/>
      <c r="J244" s="16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5"/>
      <c r="I245" s="16"/>
      <c r="J245" s="16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5"/>
      <c r="I246" s="16"/>
      <c r="J246" s="16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5"/>
      <c r="I247" s="16"/>
      <c r="J247" s="16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5"/>
      <c r="I248" s="16"/>
      <c r="J248" s="16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5"/>
      <c r="I249" s="16"/>
      <c r="J249" s="16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5"/>
      <c r="I250" s="16"/>
      <c r="J250" s="16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5"/>
      <c r="I251" s="16"/>
      <c r="J251" s="16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5"/>
      <c r="I252" s="16"/>
      <c r="J252" s="16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5"/>
      <c r="I253" s="16"/>
      <c r="J253" s="16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5"/>
      <c r="I254" s="16"/>
      <c r="J254" s="16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5"/>
      <c r="I255" s="16"/>
      <c r="J255" s="16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5"/>
      <c r="I256" s="16"/>
      <c r="J256" s="16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5"/>
      <c r="I257" s="16"/>
      <c r="J257" s="16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5"/>
      <c r="I258" s="16"/>
      <c r="J258" s="16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5"/>
      <c r="I259" s="16"/>
      <c r="J259" s="16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5"/>
      <c r="I260" s="16"/>
      <c r="J260" s="16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5"/>
      <c r="I261" s="16"/>
      <c r="J261" s="16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5"/>
      <c r="I262" s="16"/>
      <c r="J262" s="16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5"/>
      <c r="I263" s="16"/>
      <c r="J263" s="16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5"/>
      <c r="I264" s="16"/>
      <c r="J264" s="16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5"/>
      <c r="I265" s="16"/>
      <c r="J265" s="16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5"/>
      <c r="I266" s="16"/>
      <c r="J266" s="16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5"/>
      <c r="I267" s="16"/>
      <c r="J267" s="16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5"/>
      <c r="I268" s="16"/>
      <c r="J268" s="16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5"/>
      <c r="I269" s="16"/>
      <c r="J269" s="16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5"/>
      <c r="I270" s="16"/>
      <c r="J270" s="16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5"/>
      <c r="I271" s="16"/>
      <c r="J271" s="16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5"/>
      <c r="I272" s="16"/>
      <c r="J272" s="16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5"/>
      <c r="I273" s="16"/>
      <c r="J273" s="16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5"/>
      <c r="I274" s="16"/>
      <c r="J274" s="16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5"/>
      <c r="I275" s="16"/>
      <c r="J275" s="16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5"/>
      <c r="I276" s="16"/>
      <c r="J276" s="16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5"/>
      <c r="I277" s="16"/>
      <c r="J277" s="16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5"/>
      <c r="I278" s="16"/>
      <c r="J278" s="16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5"/>
      <c r="I279" s="16"/>
      <c r="J279" s="16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5"/>
      <c r="I280" s="16"/>
      <c r="J280" s="16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5"/>
      <c r="I281" s="16"/>
      <c r="J281" s="16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5"/>
      <c r="I282" s="16"/>
      <c r="J282" s="16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5"/>
      <c r="I283" s="16"/>
      <c r="J283" s="16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5"/>
      <c r="I284" s="16"/>
      <c r="J284" s="16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5"/>
      <c r="I285" s="16"/>
      <c r="J285" s="16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5"/>
      <c r="I286" s="16"/>
      <c r="J286" s="16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5"/>
      <c r="I287" s="16"/>
      <c r="J287" s="16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5"/>
      <c r="I288" s="16"/>
      <c r="J288" s="16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5"/>
      <c r="I289" s="16"/>
      <c r="J289" s="16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5"/>
      <c r="I290" s="16"/>
      <c r="J290" s="16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5"/>
      <c r="I291" s="16"/>
      <c r="J291" s="16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5"/>
      <c r="I292" s="16"/>
      <c r="J292" s="16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5"/>
      <c r="I293" s="16"/>
      <c r="J293" s="16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5"/>
      <c r="I294" s="16"/>
      <c r="J294" s="16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5"/>
      <c r="I295" s="16"/>
      <c r="J295" s="16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5"/>
      <c r="I296" s="16"/>
      <c r="J296" s="16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5"/>
      <c r="I297" s="16"/>
      <c r="J297" s="16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5"/>
      <c r="I298" s="16"/>
      <c r="J298" s="16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5"/>
      <c r="I299" s="16"/>
      <c r="J299" s="16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5"/>
      <c r="I300" s="16"/>
      <c r="J300" s="16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5"/>
      <c r="I301" s="16"/>
      <c r="J301" s="16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5"/>
      <c r="I302" s="16"/>
      <c r="J302" s="16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5"/>
      <c r="I303" s="16"/>
      <c r="J303" s="16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5"/>
      <c r="I304" s="16"/>
      <c r="J304" s="16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5"/>
      <c r="I305" s="16"/>
      <c r="J305" s="16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5"/>
      <c r="I306" s="16"/>
      <c r="J306" s="16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5"/>
      <c r="I307" s="16"/>
      <c r="J307" s="16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5"/>
      <c r="I308" s="16"/>
      <c r="J308" s="16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5"/>
      <c r="I309" s="16"/>
      <c r="J309" s="16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5"/>
      <c r="I310" s="16"/>
      <c r="J310" s="16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5"/>
      <c r="I311" s="16"/>
      <c r="J311" s="16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5"/>
      <c r="I312" s="16"/>
      <c r="J312" s="16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5"/>
      <c r="I313" s="16"/>
      <c r="J313" s="16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5"/>
      <c r="I314" s="16"/>
      <c r="J314" s="16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5"/>
      <c r="I315" s="16"/>
      <c r="J315" s="16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5"/>
      <c r="I316" s="16"/>
      <c r="J316" s="16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5"/>
      <c r="I317" s="16"/>
      <c r="J317" s="16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5"/>
      <c r="I318" s="16"/>
      <c r="J318" s="16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5"/>
      <c r="I319" s="16"/>
      <c r="J319" s="16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5"/>
      <c r="I320" s="16"/>
      <c r="J320" s="16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5"/>
      <c r="I321" s="16"/>
      <c r="J321" s="16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5"/>
      <c r="I322" s="16"/>
      <c r="J322" s="16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5"/>
      <c r="I323" s="16"/>
      <c r="J323" s="16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5"/>
      <c r="I324" s="16"/>
      <c r="J324" s="16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5"/>
      <c r="I325" s="16"/>
      <c r="J325" s="16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5"/>
      <c r="I326" s="16"/>
      <c r="J326" s="16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5"/>
      <c r="I327" s="16"/>
      <c r="J327" s="16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5"/>
      <c r="I328" s="16"/>
      <c r="J328" s="16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5"/>
      <c r="I329" s="16"/>
      <c r="J329" s="16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5"/>
      <c r="I330" s="16"/>
      <c r="J330" s="16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5"/>
      <c r="I331" s="16"/>
      <c r="J331" s="16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5"/>
      <c r="I332" s="16"/>
      <c r="J332" s="16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5"/>
      <c r="I333" s="16"/>
      <c r="J333" s="16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5"/>
      <c r="I334" s="16"/>
      <c r="J334" s="16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5"/>
      <c r="I335" s="16"/>
      <c r="J335" s="16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5"/>
      <c r="I336" s="16"/>
      <c r="J336" s="16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5"/>
      <c r="I337" s="16"/>
      <c r="J337" s="16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5"/>
      <c r="I338" s="16"/>
      <c r="J338" s="16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5"/>
      <c r="I339" s="16"/>
      <c r="J339" s="16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5"/>
      <c r="I340" s="16"/>
      <c r="J340" s="16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5"/>
      <c r="I341" s="16"/>
      <c r="J341" s="16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5"/>
      <c r="I342" s="16"/>
      <c r="J342" s="16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5"/>
      <c r="I343" s="16"/>
      <c r="J343" s="16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5"/>
      <c r="I344" s="16"/>
      <c r="J344" s="16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5"/>
      <c r="I345" s="16"/>
      <c r="J345" s="16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5"/>
      <c r="I346" s="16"/>
      <c r="J346" s="16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5"/>
      <c r="I347" s="16"/>
      <c r="J347" s="16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5"/>
      <c r="I348" s="16"/>
      <c r="J348" s="16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5"/>
      <c r="I349" s="16"/>
      <c r="J349" s="16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5"/>
      <c r="I350" s="16"/>
      <c r="J350" s="16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5"/>
      <c r="I351" s="16"/>
      <c r="J351" s="16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5"/>
      <c r="I352" s="16"/>
      <c r="J352" s="16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5"/>
      <c r="I353" s="16"/>
      <c r="J353" s="16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5"/>
      <c r="I354" s="16"/>
      <c r="J354" s="16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5"/>
      <c r="I355" s="16"/>
      <c r="J355" s="16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5"/>
      <c r="I356" s="16"/>
      <c r="J356" s="16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5"/>
      <c r="I357" s="16"/>
      <c r="J357" s="16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5"/>
      <c r="I358" s="16"/>
      <c r="J358" s="16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5"/>
      <c r="I359" s="16"/>
      <c r="J359" s="16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5"/>
      <c r="I360" s="16"/>
      <c r="J360" s="16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5"/>
      <c r="I361" s="16"/>
      <c r="J361" s="16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5"/>
      <c r="I362" s="16"/>
      <c r="J362" s="16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5"/>
      <c r="I363" s="16"/>
      <c r="J363" s="16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5"/>
      <c r="I364" s="16"/>
      <c r="J364" s="16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5"/>
      <c r="I365" s="16"/>
      <c r="J365" s="16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5"/>
      <c r="I366" s="16"/>
      <c r="J366" s="16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5"/>
      <c r="I367" s="16"/>
      <c r="J367" s="16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5"/>
      <c r="I368" s="16"/>
      <c r="J368" s="16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5"/>
      <c r="I369" s="16"/>
      <c r="J369" s="16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5"/>
      <c r="I370" s="16"/>
      <c r="J370" s="16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5"/>
      <c r="I371" s="16"/>
      <c r="J371" s="16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5"/>
      <c r="I372" s="16"/>
      <c r="J372" s="16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5"/>
      <c r="I373" s="16"/>
      <c r="J373" s="16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5"/>
      <c r="I374" s="16"/>
      <c r="J374" s="16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5"/>
      <c r="I375" s="16"/>
      <c r="J375" s="16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5"/>
      <c r="I376" s="16"/>
      <c r="J376" s="16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5"/>
      <c r="I377" s="16"/>
      <c r="J377" s="16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5"/>
      <c r="I378" s="16"/>
      <c r="J378" s="16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5"/>
      <c r="I379" s="16"/>
      <c r="J379" s="16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5"/>
      <c r="I380" s="16"/>
      <c r="J380" s="16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5"/>
      <c r="I381" s="16"/>
      <c r="J381" s="16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5"/>
      <c r="I382" s="16"/>
      <c r="J382" s="16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5"/>
      <c r="I383" s="16"/>
      <c r="J383" s="16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5"/>
      <c r="I384" s="16"/>
      <c r="J384" s="16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5"/>
      <c r="I385" s="16"/>
      <c r="J385" s="16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5"/>
      <c r="I386" s="16"/>
      <c r="J386" s="16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5"/>
      <c r="I387" s="16"/>
      <c r="J387" s="16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5"/>
      <c r="I388" s="16"/>
      <c r="J388" s="16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5"/>
      <c r="I389" s="16"/>
      <c r="J389" s="16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5"/>
      <c r="I390" s="16"/>
      <c r="J390" s="16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5"/>
      <c r="I391" s="16"/>
      <c r="J391" s="16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5"/>
      <c r="I392" s="16"/>
      <c r="J392" s="16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5"/>
      <c r="I393" s="16"/>
      <c r="J393" s="16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5"/>
      <c r="I394" s="16"/>
      <c r="J394" s="16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5"/>
      <c r="I395" s="16"/>
      <c r="J395" s="16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5"/>
      <c r="I396" s="16"/>
      <c r="J396" s="16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5"/>
      <c r="I397" s="16"/>
      <c r="J397" s="16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5"/>
      <c r="I398" s="16"/>
      <c r="J398" s="16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5"/>
      <c r="I399" s="16"/>
      <c r="J399" s="16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5"/>
      <c r="I400" s="16"/>
      <c r="J400" s="16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5"/>
      <c r="I401" s="16"/>
      <c r="J401" s="16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5"/>
      <c r="I402" s="16"/>
      <c r="J402" s="16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5"/>
      <c r="I403" s="16"/>
      <c r="J403" s="16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5"/>
      <c r="I404" s="16"/>
      <c r="J404" s="16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5"/>
      <c r="I405" s="16"/>
      <c r="J405" s="16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5"/>
      <c r="I406" s="16"/>
      <c r="J406" s="16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5"/>
      <c r="I407" s="16"/>
      <c r="J407" s="16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5"/>
      <c r="I408" s="16"/>
      <c r="J408" s="16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5"/>
      <c r="I409" s="16"/>
      <c r="J409" s="16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5"/>
      <c r="I410" s="16"/>
      <c r="J410" s="16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5"/>
      <c r="I411" s="16"/>
      <c r="J411" s="16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5"/>
      <c r="I412" s="16"/>
      <c r="J412" s="16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5"/>
      <c r="I413" s="16"/>
      <c r="J413" s="16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5"/>
      <c r="I414" s="16"/>
      <c r="J414" s="16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5"/>
      <c r="I415" s="16"/>
      <c r="J415" s="16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5"/>
      <c r="I416" s="16"/>
      <c r="J416" s="16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5"/>
      <c r="I417" s="16"/>
      <c r="J417" s="16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5"/>
      <c r="I418" s="16"/>
      <c r="J418" s="16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5"/>
      <c r="I419" s="16"/>
      <c r="J419" s="16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5"/>
      <c r="I420" s="16"/>
      <c r="J420" s="16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5"/>
      <c r="I421" s="16"/>
      <c r="J421" s="16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5"/>
      <c r="I422" s="16"/>
      <c r="J422" s="16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5"/>
      <c r="I423" s="16"/>
      <c r="J423" s="16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5"/>
      <c r="I424" s="16"/>
      <c r="J424" s="16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5"/>
      <c r="I425" s="16"/>
      <c r="J425" s="16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5"/>
      <c r="I426" s="16"/>
      <c r="J426" s="16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5"/>
      <c r="I427" s="16"/>
      <c r="J427" s="16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5"/>
      <c r="I428" s="16"/>
      <c r="J428" s="16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5"/>
      <c r="I429" s="16"/>
      <c r="J429" s="16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5"/>
      <c r="I430" s="16"/>
      <c r="J430" s="16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5"/>
      <c r="I431" s="16"/>
      <c r="J431" s="16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5"/>
      <c r="I432" s="16"/>
      <c r="J432" s="16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5"/>
      <c r="I433" s="16"/>
      <c r="J433" s="16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5"/>
      <c r="I434" s="16"/>
      <c r="J434" s="16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5"/>
      <c r="I435" s="16"/>
      <c r="J435" s="16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5"/>
      <c r="I436" s="16"/>
      <c r="J436" s="16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5"/>
      <c r="I437" s="16"/>
      <c r="J437" s="16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5"/>
      <c r="I438" s="16"/>
      <c r="J438" s="16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5"/>
      <c r="I439" s="16"/>
      <c r="J439" s="16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5"/>
      <c r="I440" s="16"/>
      <c r="J440" s="16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5"/>
      <c r="I441" s="16"/>
      <c r="J441" s="16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5"/>
      <c r="I442" s="16"/>
      <c r="J442" s="16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5"/>
      <c r="I443" s="16"/>
      <c r="J443" s="16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5"/>
      <c r="I444" s="16"/>
      <c r="J444" s="16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5"/>
      <c r="I445" s="16"/>
      <c r="J445" s="16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5"/>
      <c r="I446" s="16"/>
      <c r="J446" s="16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5"/>
      <c r="I447" s="16"/>
      <c r="J447" s="16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5"/>
      <c r="I448" s="16"/>
      <c r="J448" s="16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5"/>
      <c r="I449" s="16"/>
      <c r="J449" s="16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5"/>
      <c r="I450" s="16"/>
      <c r="J450" s="16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5"/>
      <c r="I451" s="16"/>
      <c r="J451" s="16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5"/>
      <c r="I452" s="16"/>
      <c r="J452" s="16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5"/>
      <c r="I453" s="16"/>
      <c r="J453" s="16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5"/>
      <c r="I454" s="16"/>
      <c r="J454" s="16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5"/>
      <c r="I455" s="16"/>
      <c r="J455" s="16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5"/>
      <c r="I456" s="16"/>
      <c r="J456" s="16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5"/>
      <c r="I457" s="16"/>
      <c r="J457" s="16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5"/>
      <c r="I458" s="16"/>
      <c r="J458" s="16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5"/>
      <c r="I459" s="16"/>
      <c r="J459" s="16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5"/>
      <c r="I460" s="16"/>
      <c r="J460" s="16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5"/>
      <c r="I461" s="16"/>
      <c r="J461" s="16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5"/>
      <c r="I462" s="16"/>
      <c r="J462" s="16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5"/>
      <c r="I463" s="16"/>
      <c r="J463" s="16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5"/>
      <c r="I464" s="16"/>
      <c r="J464" s="16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5"/>
      <c r="I465" s="16"/>
      <c r="J465" s="16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5"/>
      <c r="I466" s="16"/>
      <c r="J466" s="16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5"/>
      <c r="I467" s="16"/>
      <c r="J467" s="16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5"/>
      <c r="I468" s="16"/>
      <c r="J468" s="16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5"/>
      <c r="I469" s="16"/>
      <c r="J469" s="16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5"/>
      <c r="I470" s="16"/>
      <c r="J470" s="16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5"/>
      <c r="I471" s="16"/>
      <c r="J471" s="16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5"/>
      <c r="I472" s="16"/>
      <c r="J472" s="16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5"/>
      <c r="I473" s="16"/>
      <c r="J473" s="16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5"/>
      <c r="I474" s="16"/>
      <c r="J474" s="16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5"/>
      <c r="I475" s="16"/>
      <c r="J475" s="16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5"/>
      <c r="I476" s="16"/>
      <c r="J476" s="16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5"/>
      <c r="I477" s="16"/>
      <c r="J477" s="16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5"/>
      <c r="I478" s="16"/>
      <c r="J478" s="16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5"/>
      <c r="I479" s="16"/>
      <c r="J479" s="16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5"/>
      <c r="I480" s="16"/>
      <c r="J480" s="16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5"/>
      <c r="I481" s="16"/>
      <c r="J481" s="16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5"/>
      <c r="I482" s="16"/>
      <c r="J482" s="16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5"/>
      <c r="I483" s="16"/>
      <c r="J483" s="16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5"/>
      <c r="I484" s="16"/>
      <c r="J484" s="16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5"/>
      <c r="I485" s="16"/>
      <c r="J485" s="16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5"/>
      <c r="I486" s="16"/>
      <c r="J486" s="16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5"/>
      <c r="I487" s="16"/>
      <c r="J487" s="16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5"/>
      <c r="I488" s="16"/>
      <c r="J488" s="16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5"/>
      <c r="I489" s="16"/>
      <c r="J489" s="16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5"/>
      <c r="I490" s="16"/>
      <c r="J490" s="16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5"/>
      <c r="I491" s="16"/>
      <c r="J491" s="16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5"/>
      <c r="I492" s="16"/>
      <c r="J492" s="16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5"/>
      <c r="I493" s="16"/>
      <c r="J493" s="16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5"/>
      <c r="I494" s="16"/>
      <c r="J494" s="16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5"/>
      <c r="I495" s="16"/>
      <c r="J495" s="16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5"/>
      <c r="I496" s="16"/>
      <c r="J496" s="16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5"/>
      <c r="I497" s="16"/>
      <c r="J497" s="16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5"/>
      <c r="I498" s="16"/>
      <c r="J498" s="16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5"/>
      <c r="I499" s="16"/>
      <c r="J499" s="16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5"/>
      <c r="I500" s="16"/>
      <c r="J500" s="16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5"/>
      <c r="I501" s="16"/>
      <c r="J501" s="16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5"/>
      <c r="I502" s="16"/>
      <c r="J502" s="16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5"/>
      <c r="I503" s="16"/>
      <c r="J503" s="16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5"/>
      <c r="I504" s="16"/>
      <c r="J504" s="16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5"/>
      <c r="I505" s="16"/>
      <c r="J505" s="16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5"/>
      <c r="I506" s="16"/>
      <c r="J506" s="16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5"/>
      <c r="I507" s="16"/>
      <c r="J507" s="16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5"/>
      <c r="I508" s="16"/>
      <c r="J508" s="16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5"/>
      <c r="I509" s="16"/>
      <c r="J509" s="16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5"/>
      <c r="I510" s="16"/>
      <c r="J510" s="16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5"/>
      <c r="I511" s="16"/>
      <c r="J511" s="16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5"/>
      <c r="I512" s="16"/>
      <c r="J512" s="16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5"/>
      <c r="I513" s="16"/>
      <c r="J513" s="16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5"/>
      <c r="I514" s="16"/>
      <c r="J514" s="16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5"/>
      <c r="I515" s="16"/>
      <c r="J515" s="16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5"/>
      <c r="I516" s="16"/>
      <c r="J516" s="16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5"/>
      <c r="I517" s="16"/>
      <c r="J517" s="16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5"/>
      <c r="I518" s="16"/>
      <c r="J518" s="16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5"/>
      <c r="I519" s="16"/>
      <c r="J519" s="16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5"/>
      <c r="I520" s="16"/>
      <c r="J520" s="16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5"/>
      <c r="I521" s="16"/>
      <c r="J521" s="16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5"/>
      <c r="I522" s="16"/>
      <c r="J522" s="16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5"/>
      <c r="I523" s="16"/>
      <c r="J523" s="16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5"/>
      <c r="I524" s="16"/>
      <c r="J524" s="16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5"/>
      <c r="I525" s="16"/>
      <c r="J525" s="16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5"/>
      <c r="I526" s="16"/>
      <c r="J526" s="16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5"/>
      <c r="I527" s="16"/>
      <c r="J527" s="16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5"/>
      <c r="I528" s="16"/>
      <c r="J528" s="16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5"/>
      <c r="I529" s="16"/>
      <c r="J529" s="16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5"/>
      <c r="I530" s="16"/>
      <c r="J530" s="16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5"/>
      <c r="I531" s="16"/>
      <c r="J531" s="16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5"/>
      <c r="I532" s="16"/>
      <c r="J532" s="16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5"/>
      <c r="I533" s="16"/>
      <c r="J533" s="16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5"/>
      <c r="I534" s="16"/>
      <c r="J534" s="16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5"/>
      <c r="I535" s="16"/>
      <c r="J535" s="16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5"/>
      <c r="I536" s="16"/>
      <c r="J536" s="16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5"/>
      <c r="I537" s="16"/>
      <c r="J537" s="16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5"/>
      <c r="I538" s="16"/>
      <c r="J538" s="16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5"/>
      <c r="I539" s="16"/>
      <c r="J539" s="16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5"/>
      <c r="I540" s="16"/>
      <c r="J540" s="16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5"/>
      <c r="I541" s="16"/>
      <c r="J541" s="16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5"/>
      <c r="I542" s="16"/>
      <c r="J542" s="16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5"/>
      <c r="I543" s="16"/>
      <c r="J543" s="16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5"/>
      <c r="I544" s="16"/>
      <c r="J544" s="16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5"/>
      <c r="I545" s="16"/>
      <c r="J545" s="16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5"/>
      <c r="I546" s="16"/>
      <c r="J546" s="16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5"/>
      <c r="I547" s="16"/>
      <c r="J547" s="16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5"/>
      <c r="I548" s="16"/>
      <c r="J548" s="16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5"/>
      <c r="I549" s="16"/>
      <c r="J549" s="16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5"/>
      <c r="I550" s="16"/>
      <c r="J550" s="16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s="17" customFormat="1" x14ac:dyDescent="0.25">
      <c r="A551" s="16"/>
      <c r="B551" s="45"/>
      <c r="C551" s="16"/>
      <c r="D551" s="15"/>
      <c r="E551" s="15"/>
      <c r="F551" s="15"/>
      <c r="G551" s="15"/>
      <c r="H551" s="15"/>
      <c r="I551" s="16"/>
      <c r="J551" s="16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16"/>
      <c r="W551" s="16"/>
      <c r="X551" s="45"/>
      <c r="Y551" s="45"/>
      <c r="Z551" s="45"/>
      <c r="AA551" s="45"/>
      <c r="AB551" s="45"/>
      <c r="AC551" s="45"/>
    </row>
    <row r="552" spans="1:29" s="17" customFormat="1" x14ac:dyDescent="0.25">
      <c r="A552" s="16"/>
      <c r="B552" s="45"/>
      <c r="C552" s="16"/>
      <c r="D552" s="15"/>
      <c r="E552" s="15"/>
      <c r="F552" s="15"/>
      <c r="G552" s="15"/>
      <c r="H552" s="15"/>
      <c r="I552" s="16"/>
      <c r="J552" s="16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16"/>
      <c r="W552" s="16"/>
      <c r="X552" s="45"/>
      <c r="Y552" s="45"/>
      <c r="Z552" s="45"/>
      <c r="AA552" s="45"/>
      <c r="AB552" s="45"/>
      <c r="AC552" s="45"/>
    </row>
    <row r="553" spans="1:29" s="17" customFormat="1" x14ac:dyDescent="0.25">
      <c r="A553" s="16"/>
      <c r="B553" s="45"/>
      <c r="C553" s="16"/>
      <c r="D553" s="15"/>
      <c r="E553" s="15"/>
      <c r="F553" s="15"/>
      <c r="G553" s="15"/>
      <c r="H553" s="15"/>
      <c r="I553" s="16"/>
      <c r="J553" s="16"/>
      <c r="K553" s="19"/>
      <c r="L553" s="16"/>
      <c r="N553" s="45"/>
      <c r="O553" s="45"/>
      <c r="P553" s="45"/>
      <c r="Q553" s="45"/>
      <c r="R553" s="45"/>
      <c r="S553" s="45"/>
      <c r="T553" s="45"/>
      <c r="U553" s="45"/>
      <c r="V553" s="16"/>
      <c r="W553" s="16"/>
      <c r="X553" s="45"/>
      <c r="Y553" s="45"/>
      <c r="Z553" s="45"/>
      <c r="AA553" s="45"/>
      <c r="AB553" s="45"/>
      <c r="AC553" s="45"/>
    </row>
    <row r="554" spans="1:29" s="17" customFormat="1" x14ac:dyDescent="0.25">
      <c r="A554" s="16"/>
      <c r="B554" s="45"/>
      <c r="C554" s="16"/>
      <c r="D554" s="15"/>
      <c r="E554" s="15"/>
      <c r="F554" s="15"/>
      <c r="G554" s="15"/>
      <c r="H554" s="15"/>
      <c r="I554" s="16"/>
      <c r="J554" s="16"/>
      <c r="K554" s="19"/>
      <c r="L554" s="16"/>
      <c r="N554" s="45"/>
      <c r="O554" s="45"/>
      <c r="P554" s="45"/>
      <c r="Q554" s="45"/>
      <c r="R554" s="45"/>
      <c r="S554" s="45"/>
      <c r="T554" s="45"/>
      <c r="U554" s="45"/>
      <c r="V554" s="16"/>
      <c r="W554" s="16"/>
      <c r="X554" s="45"/>
      <c r="Y554" s="45"/>
      <c r="Z554" s="45"/>
      <c r="AA554" s="45"/>
      <c r="AB554" s="45"/>
      <c r="AC554" s="45"/>
    </row>
    <row r="555" spans="1:29" s="17" customFormat="1" x14ac:dyDescent="0.25">
      <c r="A555" s="16"/>
      <c r="B555" s="45"/>
      <c r="C555" s="16"/>
      <c r="D555" s="15"/>
      <c r="E555" s="15"/>
      <c r="F555" s="15"/>
      <c r="G555" s="15"/>
      <c r="H555" s="15"/>
      <c r="I555" s="16"/>
      <c r="J555" s="16"/>
      <c r="K555" s="19"/>
      <c r="L555" s="16"/>
      <c r="N555" s="45"/>
      <c r="O555" s="45"/>
      <c r="P555" s="45"/>
      <c r="Q555" s="45"/>
      <c r="R555" s="45"/>
      <c r="S555" s="45"/>
      <c r="T555" s="45"/>
      <c r="U555" s="45"/>
      <c r="V555" s="16"/>
      <c r="W555" s="16"/>
      <c r="X555" s="45"/>
      <c r="Y555" s="45"/>
      <c r="Z555" s="45"/>
      <c r="AA555" s="45"/>
      <c r="AB555" s="45"/>
      <c r="AC555" s="45"/>
    </row>
    <row r="556" spans="1:29" s="17" customFormat="1" x14ac:dyDescent="0.25">
      <c r="A556" s="16"/>
      <c r="B556" s="45"/>
      <c r="C556" s="16"/>
      <c r="D556" s="15"/>
      <c r="E556" s="15"/>
      <c r="F556" s="15"/>
      <c r="G556" s="15"/>
      <c r="H556" s="15"/>
      <c r="I556" s="16"/>
      <c r="J556" s="16"/>
      <c r="K556" s="19"/>
      <c r="L556" s="16"/>
      <c r="N556" s="45"/>
      <c r="O556" s="45"/>
      <c r="P556" s="45"/>
      <c r="Q556" s="45"/>
      <c r="R556" s="45"/>
      <c r="S556" s="45"/>
      <c r="T556" s="45"/>
      <c r="U556" s="45"/>
      <c r="V556" s="16"/>
      <c r="W556" s="16"/>
      <c r="X556" s="45"/>
      <c r="Y556" s="45"/>
      <c r="Z556" s="45"/>
      <c r="AA556" s="45"/>
      <c r="AB556" s="45"/>
      <c r="AC556" s="45"/>
    </row>
    <row r="557" spans="1:29" s="17" customFormat="1" x14ac:dyDescent="0.25">
      <c r="A557" s="16"/>
      <c r="B557" s="45"/>
      <c r="C557" s="16"/>
      <c r="D557" s="15"/>
      <c r="E557" s="15"/>
      <c r="F557" s="15"/>
      <c r="G557" s="15"/>
      <c r="H557" s="15"/>
      <c r="I557" s="16"/>
      <c r="J557" s="16"/>
      <c r="K557" s="19"/>
      <c r="L557" s="16"/>
      <c r="N557" s="45"/>
      <c r="O557" s="45"/>
      <c r="P557" s="45"/>
      <c r="Q557" s="45"/>
      <c r="R557" s="45"/>
      <c r="S557" s="45"/>
      <c r="T557" s="45"/>
      <c r="U557" s="45"/>
      <c r="V557" s="16"/>
      <c r="W557" s="16"/>
      <c r="X557" s="45"/>
      <c r="Y557" s="45"/>
      <c r="Z557" s="45"/>
      <c r="AA557" s="45"/>
      <c r="AB557" s="45"/>
      <c r="AC557" s="45"/>
    </row>
    <row r="558" spans="1:29" s="17" customFormat="1" x14ac:dyDescent="0.25">
      <c r="A558" s="16"/>
      <c r="B558" s="45"/>
      <c r="C558" s="16"/>
      <c r="D558" s="15"/>
      <c r="E558" s="15"/>
      <c r="F558" s="15"/>
      <c r="G558" s="15"/>
      <c r="H558" s="15"/>
      <c r="I558" s="16"/>
      <c r="J558" s="16"/>
      <c r="K558" s="19"/>
      <c r="L558" s="16"/>
      <c r="N558" s="45"/>
      <c r="O558" s="45"/>
      <c r="P558" s="45"/>
      <c r="Q558" s="45"/>
      <c r="R558" s="45"/>
      <c r="S558" s="45"/>
      <c r="T558" s="45"/>
      <c r="U558" s="45"/>
      <c r="V558" s="16"/>
      <c r="W558" s="16"/>
      <c r="X558" s="45"/>
      <c r="Y558" s="45"/>
      <c r="Z558" s="45"/>
      <c r="AA558" s="45"/>
      <c r="AB558" s="45"/>
      <c r="AC558" s="45"/>
    </row>
    <row r="559" spans="1:29" s="17" customFormat="1" x14ac:dyDescent="0.25">
      <c r="A559" s="16"/>
      <c r="B559" s="45"/>
      <c r="C559" s="16"/>
      <c r="D559" s="15"/>
      <c r="E559" s="15"/>
      <c r="F559" s="15"/>
      <c r="G559" s="15"/>
      <c r="H559" s="15"/>
      <c r="I559" s="16"/>
      <c r="J559" s="16"/>
      <c r="K559" s="19"/>
      <c r="L559" s="16"/>
      <c r="N559" s="45"/>
      <c r="O559" s="45"/>
      <c r="P559" s="45"/>
      <c r="Q559" s="45"/>
      <c r="R559" s="45"/>
      <c r="S559" s="45"/>
      <c r="T559" s="45"/>
      <c r="U559" s="45"/>
      <c r="V559" s="16"/>
      <c r="W559" s="16"/>
      <c r="X559" s="45"/>
      <c r="Y559" s="45"/>
      <c r="Z559" s="45"/>
      <c r="AA559" s="45"/>
      <c r="AB559" s="45"/>
      <c r="AC559" s="45"/>
    </row>
    <row r="560" spans="1:29" s="17" customFormat="1" x14ac:dyDescent="0.25">
      <c r="A560" s="16"/>
      <c r="B560" s="45"/>
      <c r="C560" s="16"/>
      <c r="D560" s="15"/>
      <c r="E560" s="15"/>
      <c r="F560" s="15"/>
      <c r="G560" s="15"/>
      <c r="H560" s="15"/>
      <c r="I560" s="16"/>
      <c r="J560" s="16"/>
      <c r="K560" s="19"/>
      <c r="L560" s="16"/>
      <c r="N560" s="45"/>
      <c r="O560" s="45"/>
      <c r="P560" s="45"/>
      <c r="Q560" s="45"/>
      <c r="R560" s="45"/>
      <c r="S560" s="45"/>
      <c r="T560" s="45"/>
      <c r="U560" s="45"/>
      <c r="V560" s="16"/>
      <c r="W560" s="16"/>
      <c r="X560" s="45"/>
      <c r="Y560" s="45"/>
      <c r="Z560" s="45"/>
      <c r="AA560" s="45"/>
      <c r="AB560" s="45"/>
      <c r="AC560" s="45"/>
    </row>
    <row r="561" spans="1:29" s="17" customFormat="1" x14ac:dyDescent="0.25">
      <c r="A561" s="16"/>
      <c r="B561" s="45"/>
      <c r="C561" s="16"/>
      <c r="D561" s="15"/>
      <c r="E561" s="15"/>
      <c r="F561" s="15"/>
      <c r="G561" s="15"/>
      <c r="H561" s="15"/>
      <c r="I561" s="16"/>
      <c r="J561" s="16"/>
      <c r="K561" s="19"/>
      <c r="L561" s="16"/>
      <c r="N561" s="45"/>
      <c r="O561" s="45"/>
      <c r="P561" s="45"/>
      <c r="Q561" s="45"/>
      <c r="R561" s="45"/>
      <c r="S561" s="45"/>
      <c r="T561" s="45"/>
      <c r="U561" s="45"/>
      <c r="V561" s="16"/>
      <c r="W561" s="16"/>
      <c r="X561" s="45"/>
      <c r="Y561" s="45"/>
      <c r="Z561" s="45"/>
      <c r="AA561" s="45"/>
      <c r="AB561" s="45"/>
      <c r="AC561" s="45"/>
    </row>
    <row r="562" spans="1:29" s="17" customFormat="1" x14ac:dyDescent="0.25">
      <c r="A562" s="16"/>
      <c r="B562" s="45"/>
      <c r="C562" s="16"/>
      <c r="D562" s="15"/>
      <c r="E562" s="15"/>
      <c r="F562" s="15"/>
      <c r="G562" s="15"/>
      <c r="H562" s="15"/>
      <c r="I562" s="16"/>
      <c r="J562" s="16"/>
      <c r="K562" s="19"/>
      <c r="L562" s="16"/>
      <c r="N562" s="45"/>
      <c r="O562" s="45"/>
      <c r="P562" s="45"/>
      <c r="Q562" s="45"/>
      <c r="R562" s="45"/>
      <c r="S562" s="45"/>
      <c r="T562" s="45"/>
      <c r="U562" s="45"/>
      <c r="V562" s="16"/>
      <c r="W562" s="16"/>
      <c r="X562" s="45"/>
      <c r="Y562" s="45"/>
      <c r="Z562" s="45"/>
      <c r="AA562" s="45"/>
      <c r="AB562" s="45"/>
      <c r="AC562" s="45"/>
    </row>
    <row r="563" spans="1:29" s="17" customFormat="1" x14ac:dyDescent="0.25">
      <c r="A563" s="16"/>
      <c r="B563" s="45"/>
      <c r="C563" s="16"/>
      <c r="D563" s="15"/>
      <c r="E563" s="15"/>
      <c r="F563" s="15"/>
      <c r="G563" s="15"/>
      <c r="H563" s="15"/>
      <c r="I563" s="16"/>
      <c r="J563" s="16"/>
      <c r="K563" s="19"/>
      <c r="L563" s="16"/>
      <c r="N563" s="45"/>
      <c r="O563" s="45"/>
      <c r="P563" s="45"/>
      <c r="Q563" s="45"/>
      <c r="R563" s="45"/>
      <c r="S563" s="45"/>
      <c r="T563" s="45"/>
      <c r="U563" s="45"/>
      <c r="V563" s="16"/>
      <c r="W563" s="16"/>
      <c r="X563" s="45"/>
      <c r="Y563" s="45"/>
      <c r="Z563" s="45"/>
      <c r="AA563" s="45"/>
      <c r="AB563" s="45"/>
      <c r="AC563" s="45"/>
    </row>
    <row r="564" spans="1:29" s="17" customFormat="1" x14ac:dyDescent="0.25">
      <c r="A564" s="16"/>
      <c r="B564" s="45"/>
      <c r="C564" s="16"/>
      <c r="D564" s="15"/>
      <c r="E564" s="15"/>
      <c r="F564" s="15"/>
      <c r="G564" s="15"/>
      <c r="H564" s="15"/>
      <c r="I564" s="16"/>
      <c r="J564" s="16"/>
      <c r="K564" s="19"/>
      <c r="L564" s="16"/>
      <c r="N564" s="45"/>
      <c r="O564" s="45"/>
      <c r="P564" s="45"/>
      <c r="Q564" s="45"/>
      <c r="R564" s="45"/>
      <c r="S564" s="45"/>
      <c r="T564" s="45"/>
      <c r="U564" s="45"/>
      <c r="V564" s="16"/>
      <c r="W564" s="16"/>
      <c r="X564" s="45"/>
      <c r="Y564" s="45"/>
      <c r="Z564" s="45"/>
      <c r="AA564" s="45"/>
      <c r="AB564" s="45"/>
      <c r="AC564" s="45"/>
    </row>
    <row r="565" spans="1:29" s="17" customFormat="1" x14ac:dyDescent="0.25">
      <c r="A565" s="16"/>
      <c r="B565" s="45"/>
      <c r="C565" s="16"/>
      <c r="D565" s="15"/>
      <c r="E565" s="15"/>
      <c r="F565" s="15"/>
      <c r="G565" s="15"/>
      <c r="H565" s="15"/>
      <c r="I565" s="16"/>
      <c r="J565" s="16"/>
      <c r="K565" s="19"/>
      <c r="L565" s="16"/>
      <c r="N565" s="45"/>
      <c r="O565" s="45"/>
      <c r="P565" s="45"/>
      <c r="Q565" s="45"/>
      <c r="R565" s="45"/>
      <c r="S565" s="45"/>
      <c r="T565" s="45"/>
      <c r="U565" s="45"/>
      <c r="V565" s="16"/>
      <c r="W565" s="16"/>
      <c r="X565" s="45"/>
      <c r="Y565" s="45"/>
      <c r="Z565" s="45"/>
      <c r="AA565" s="45"/>
      <c r="AB565" s="45"/>
      <c r="AC565" s="45"/>
    </row>
    <row r="566" spans="1:29" s="17" customFormat="1" x14ac:dyDescent="0.25">
      <c r="A566" s="16"/>
      <c r="B566" s="45"/>
      <c r="C566" s="16"/>
      <c r="D566" s="15"/>
      <c r="E566" s="15"/>
      <c r="F566" s="15"/>
      <c r="G566" s="15"/>
      <c r="H566" s="15"/>
      <c r="I566" s="16"/>
      <c r="J566" s="16"/>
      <c r="K566" s="19"/>
      <c r="L566" s="16"/>
      <c r="N566" s="45"/>
      <c r="O566" s="45"/>
      <c r="P566" s="45"/>
      <c r="Q566" s="45"/>
      <c r="R566" s="45"/>
      <c r="S566" s="45"/>
      <c r="T566" s="45"/>
      <c r="U566" s="45"/>
      <c r="V566" s="16"/>
      <c r="W566" s="16"/>
      <c r="X566" s="45"/>
      <c r="Y566" s="45"/>
      <c r="Z566" s="45"/>
      <c r="AA566" s="45"/>
      <c r="AB566" s="45"/>
      <c r="AC566" s="45"/>
    </row>
    <row r="567" spans="1:29" s="17" customFormat="1" x14ac:dyDescent="0.25">
      <c r="A567" s="16"/>
      <c r="B567" s="45"/>
      <c r="C567" s="16"/>
      <c r="D567" s="15"/>
      <c r="E567" s="15"/>
      <c r="F567" s="15"/>
      <c r="G567" s="15"/>
      <c r="H567" s="15"/>
      <c r="I567" s="16"/>
      <c r="J567" s="16"/>
      <c r="K567" s="19"/>
      <c r="L567" s="16"/>
      <c r="N567" s="45"/>
      <c r="O567" s="45"/>
      <c r="P567" s="45"/>
      <c r="Q567" s="45"/>
      <c r="R567" s="45"/>
      <c r="S567" s="45"/>
      <c r="T567" s="45"/>
      <c r="U567" s="45"/>
      <c r="V567" s="16"/>
      <c r="W567" s="16"/>
      <c r="X567" s="45"/>
      <c r="Y567" s="45"/>
      <c r="Z567" s="45"/>
      <c r="AA567" s="45"/>
      <c r="AB567" s="45"/>
      <c r="AC567" s="45"/>
    </row>
    <row r="568" spans="1:29" s="17" customFormat="1" x14ac:dyDescent="0.25">
      <c r="A568" s="16"/>
      <c r="B568" s="45"/>
      <c r="C568" s="16"/>
      <c r="D568" s="15"/>
      <c r="E568" s="15"/>
      <c r="F568" s="15"/>
      <c r="G568" s="15"/>
      <c r="H568" s="15"/>
      <c r="I568" s="16"/>
      <c r="J568" s="16"/>
      <c r="K568" s="19"/>
      <c r="L568" s="16"/>
      <c r="N568" s="45"/>
      <c r="O568" s="45"/>
      <c r="P568" s="45"/>
      <c r="Q568" s="45"/>
      <c r="R568" s="45"/>
      <c r="S568" s="45"/>
      <c r="T568" s="45"/>
      <c r="U568" s="45"/>
      <c r="V568" s="16"/>
      <c r="W568" s="16"/>
      <c r="X568" s="45"/>
      <c r="Y568" s="45"/>
      <c r="Z568" s="45"/>
      <c r="AA568" s="45"/>
      <c r="AB568" s="45"/>
      <c r="AC568" s="45"/>
    </row>
    <row r="569" spans="1:29" s="17" customFormat="1" x14ac:dyDescent="0.25">
      <c r="A569" s="16"/>
      <c r="B569" s="45"/>
      <c r="C569" s="16"/>
      <c r="D569" s="15"/>
      <c r="E569" s="15"/>
      <c r="F569" s="15"/>
      <c r="G569" s="15"/>
      <c r="H569" s="15"/>
      <c r="I569" s="16"/>
      <c r="J569" s="16"/>
      <c r="K569" s="19"/>
      <c r="L569" s="16"/>
      <c r="N569" s="45"/>
      <c r="O569" s="45"/>
      <c r="P569" s="45"/>
      <c r="Q569" s="45"/>
      <c r="R569" s="45"/>
      <c r="S569" s="45"/>
      <c r="T569" s="45"/>
      <c r="U569" s="45"/>
      <c r="V569" s="16"/>
      <c r="W569" s="16"/>
      <c r="X569" s="45"/>
      <c r="Y569" s="45"/>
      <c r="Z569" s="45"/>
      <c r="AA569" s="45"/>
      <c r="AB569" s="45"/>
      <c r="AC569" s="45"/>
    </row>
    <row r="570" spans="1:29" s="17" customFormat="1" x14ac:dyDescent="0.25">
      <c r="A570" s="16"/>
      <c r="B570" s="45"/>
      <c r="C570" s="16"/>
      <c r="D570" s="15"/>
      <c r="E570" s="15"/>
      <c r="F570" s="15"/>
      <c r="G570" s="15"/>
      <c r="H570" s="15"/>
      <c r="I570" s="16"/>
      <c r="J570" s="16"/>
      <c r="K570" s="19"/>
      <c r="L570" s="16"/>
      <c r="N570" s="45"/>
      <c r="O570" s="45"/>
      <c r="P570" s="45"/>
      <c r="Q570" s="45"/>
      <c r="R570" s="45"/>
      <c r="S570" s="45"/>
      <c r="T570" s="45"/>
      <c r="U570" s="45"/>
      <c r="V570" s="16"/>
      <c r="W570" s="16"/>
      <c r="X570" s="45"/>
      <c r="Y570" s="45"/>
      <c r="Z570" s="45"/>
      <c r="AA570" s="45"/>
      <c r="AB570" s="45"/>
      <c r="AC570" s="45"/>
    </row>
    <row r="571" spans="1:29" s="17" customFormat="1" x14ac:dyDescent="0.25">
      <c r="A571" s="16"/>
      <c r="B571" s="45"/>
      <c r="C571" s="16"/>
      <c r="D571" s="15"/>
      <c r="E571" s="15"/>
      <c r="F571" s="15"/>
      <c r="G571" s="15"/>
      <c r="H571" s="15"/>
      <c r="I571" s="16"/>
      <c r="J571" s="16"/>
      <c r="K571" s="19"/>
      <c r="L571" s="16"/>
      <c r="N571" s="45"/>
      <c r="O571" s="45"/>
      <c r="P571" s="45"/>
      <c r="Q571" s="45"/>
      <c r="R571" s="45"/>
      <c r="S571" s="45"/>
      <c r="T571" s="45"/>
      <c r="U571" s="45"/>
      <c r="V571" s="16"/>
      <c r="W571" s="16"/>
      <c r="X571" s="45"/>
      <c r="Y571" s="45"/>
      <c r="Z571" s="45"/>
      <c r="AA571" s="45"/>
      <c r="AB571" s="45"/>
      <c r="AC571" s="45"/>
    </row>
    <row r="572" spans="1:29" s="17" customFormat="1" x14ac:dyDescent="0.25">
      <c r="A572" s="16"/>
      <c r="B572" s="45"/>
      <c r="C572" s="16"/>
      <c r="D572" s="15"/>
      <c r="E572" s="15"/>
      <c r="F572" s="15"/>
      <c r="G572" s="15"/>
      <c r="H572" s="15"/>
      <c r="I572" s="16"/>
      <c r="J572" s="16"/>
      <c r="K572" s="19"/>
      <c r="L572" s="16"/>
      <c r="N572" s="45"/>
      <c r="O572" s="45"/>
      <c r="P572" s="45"/>
      <c r="Q572" s="45"/>
      <c r="R572" s="45"/>
      <c r="S572" s="45"/>
      <c r="T572" s="45"/>
      <c r="U572" s="45"/>
      <c r="V572" s="16"/>
      <c r="W572" s="16"/>
      <c r="X572" s="45"/>
      <c r="Y572" s="45"/>
      <c r="Z572" s="45"/>
      <c r="AA572" s="45"/>
      <c r="AB572" s="45"/>
      <c r="AC572" s="45"/>
    </row>
    <row r="573" spans="1:29" s="17" customFormat="1" x14ac:dyDescent="0.25">
      <c r="A573" s="16"/>
      <c r="B573" s="45"/>
      <c r="C573" s="16"/>
      <c r="D573" s="15"/>
      <c r="E573" s="15"/>
      <c r="F573" s="15"/>
      <c r="G573" s="15"/>
      <c r="H573" s="15"/>
      <c r="I573" s="16"/>
      <c r="J573" s="16"/>
      <c r="K573" s="19"/>
      <c r="L573" s="16"/>
      <c r="N573" s="45"/>
      <c r="O573" s="45"/>
      <c r="P573" s="45"/>
      <c r="Q573" s="45"/>
      <c r="R573" s="45"/>
      <c r="S573" s="45"/>
      <c r="T573" s="45"/>
      <c r="U573" s="45"/>
      <c r="V573" s="16"/>
      <c r="W573" s="16"/>
      <c r="X573" s="45"/>
      <c r="Y573" s="45"/>
      <c r="Z573" s="45"/>
      <c r="AA573" s="45"/>
      <c r="AB573" s="45"/>
      <c r="AC573" s="45"/>
    </row>
    <row r="574" spans="1:29" s="17" customFormat="1" x14ac:dyDescent="0.25">
      <c r="A574" s="16"/>
      <c r="B574" s="45"/>
      <c r="C574" s="16"/>
      <c r="D574" s="15"/>
      <c r="E574" s="15"/>
      <c r="F574" s="15"/>
      <c r="G574" s="15"/>
      <c r="H574" s="15"/>
      <c r="I574" s="16"/>
      <c r="J574" s="16"/>
      <c r="K574" s="19"/>
      <c r="L574" s="16"/>
      <c r="N574" s="45"/>
      <c r="O574" s="45"/>
      <c r="P574" s="45"/>
      <c r="Q574" s="45"/>
      <c r="R574" s="45"/>
      <c r="S574" s="45"/>
      <c r="T574" s="45"/>
      <c r="U574" s="45"/>
      <c r="V574" s="16"/>
      <c r="W574" s="16"/>
      <c r="X574" s="45"/>
      <c r="Y574" s="45"/>
      <c r="Z574" s="45"/>
      <c r="AA574" s="45"/>
      <c r="AB574" s="45"/>
      <c r="AC574" s="45"/>
    </row>
    <row r="575" spans="1:29" s="17" customFormat="1" x14ac:dyDescent="0.25">
      <c r="A575" s="16"/>
      <c r="B575" s="45"/>
      <c r="C575" s="16"/>
      <c r="D575" s="15"/>
      <c r="E575" s="15"/>
      <c r="F575" s="15"/>
      <c r="G575" s="15"/>
      <c r="H575" s="15"/>
      <c r="I575" s="16"/>
      <c r="J575" s="16"/>
      <c r="K575" s="19"/>
      <c r="L575" s="16"/>
      <c r="N575" s="45"/>
      <c r="O575" s="45"/>
      <c r="P575" s="45"/>
      <c r="Q575" s="45"/>
      <c r="R575" s="45"/>
      <c r="S575" s="45"/>
      <c r="T575" s="45"/>
      <c r="U575" s="45"/>
      <c r="V575" s="16"/>
      <c r="W575" s="16"/>
      <c r="X575" s="45"/>
      <c r="Y575" s="45"/>
      <c r="Z575" s="45"/>
      <c r="AA575" s="45"/>
      <c r="AB575" s="45"/>
      <c r="AC575" s="45"/>
    </row>
    <row r="576" spans="1:29" s="17" customFormat="1" x14ac:dyDescent="0.25">
      <c r="A576" s="16"/>
      <c r="B576" s="45"/>
      <c r="C576" s="16"/>
      <c r="D576" s="15"/>
      <c r="E576" s="15"/>
      <c r="F576" s="15"/>
      <c r="G576" s="15"/>
      <c r="H576" s="15"/>
      <c r="I576" s="16"/>
      <c r="J576" s="16"/>
      <c r="K576" s="19"/>
      <c r="L576" s="16"/>
      <c r="N576" s="45"/>
      <c r="O576" s="45"/>
      <c r="P576" s="45"/>
      <c r="Q576" s="45"/>
      <c r="R576" s="45"/>
      <c r="S576" s="45"/>
      <c r="T576" s="45"/>
      <c r="U576" s="45"/>
      <c r="V576" s="16"/>
      <c r="W576" s="16"/>
      <c r="X576" s="45"/>
      <c r="Y576" s="45"/>
      <c r="Z576" s="45"/>
      <c r="AA576" s="45"/>
      <c r="AB576" s="45"/>
      <c r="AC576" s="45"/>
    </row>
    <row r="577" spans="1:29" s="17" customFormat="1" x14ac:dyDescent="0.25">
      <c r="A577" s="16"/>
      <c r="B577" s="45"/>
      <c r="C577" s="16"/>
      <c r="D577" s="15"/>
      <c r="E577" s="15"/>
      <c r="F577" s="15"/>
      <c r="G577" s="15"/>
      <c r="H577" s="15"/>
      <c r="I577" s="16"/>
      <c r="J577" s="16"/>
      <c r="K577" s="19"/>
      <c r="L577" s="16"/>
      <c r="N577" s="45"/>
      <c r="O577" s="45"/>
      <c r="P577" s="45"/>
      <c r="Q577" s="45"/>
      <c r="R577" s="45"/>
      <c r="S577" s="45"/>
      <c r="T577" s="45"/>
      <c r="U577" s="45"/>
      <c r="V577" s="16"/>
      <c r="W577" s="16"/>
      <c r="X577" s="45"/>
      <c r="Y577" s="45"/>
      <c r="Z577" s="45"/>
      <c r="AA577" s="45"/>
      <c r="AB577" s="45"/>
      <c r="AC577" s="45"/>
    </row>
    <row r="578" spans="1:29" s="17" customFormat="1" x14ac:dyDescent="0.25">
      <c r="A578" s="16"/>
      <c r="B578" s="45"/>
      <c r="C578" s="16"/>
      <c r="D578" s="15"/>
      <c r="E578" s="15"/>
      <c r="F578" s="15"/>
      <c r="G578" s="15"/>
      <c r="H578" s="15"/>
      <c r="I578" s="16"/>
      <c r="J578" s="16"/>
      <c r="K578" s="19"/>
      <c r="L578" s="16"/>
      <c r="N578" s="45"/>
      <c r="O578" s="45"/>
      <c r="P578" s="45"/>
      <c r="Q578" s="45"/>
      <c r="R578" s="45"/>
      <c r="S578" s="45"/>
      <c r="T578" s="45"/>
      <c r="U578" s="45"/>
      <c r="V578" s="16"/>
      <c r="W578" s="16"/>
      <c r="X578" s="45"/>
      <c r="Y578" s="45"/>
      <c r="Z578" s="45"/>
      <c r="AA578" s="45"/>
      <c r="AB578" s="45"/>
      <c r="AC578" s="45"/>
    </row>
    <row r="579" spans="1:29" s="17" customFormat="1" x14ac:dyDescent="0.25">
      <c r="A579" s="16"/>
      <c r="B579" s="45"/>
      <c r="C579" s="16"/>
      <c r="D579" s="15"/>
      <c r="E579" s="15"/>
      <c r="F579" s="15"/>
      <c r="G579" s="15"/>
      <c r="H579" s="15"/>
      <c r="I579" s="16"/>
      <c r="J579" s="16"/>
      <c r="K579" s="19"/>
      <c r="L579" s="16"/>
      <c r="N579" s="45"/>
      <c r="O579" s="45"/>
      <c r="P579" s="45"/>
      <c r="Q579" s="45"/>
      <c r="R579" s="45"/>
      <c r="S579" s="45"/>
      <c r="T579" s="45"/>
      <c r="U579" s="45"/>
      <c r="V579" s="16"/>
      <c r="W579" s="16"/>
      <c r="X579" s="45"/>
      <c r="Y579" s="45"/>
      <c r="Z579" s="45"/>
      <c r="AA579" s="45"/>
      <c r="AB579" s="45"/>
      <c r="AC579" s="45"/>
    </row>
    <row r="580" spans="1:29" s="17" customFormat="1" x14ac:dyDescent="0.25">
      <c r="A580" s="16"/>
      <c r="B580" s="45"/>
      <c r="C580" s="16"/>
      <c r="D580" s="15"/>
      <c r="E580" s="15"/>
      <c r="F580" s="15"/>
      <c r="G580" s="15"/>
      <c r="H580" s="15"/>
      <c r="I580" s="16"/>
      <c r="J580" s="16"/>
      <c r="K580" s="19"/>
      <c r="L580" s="16"/>
      <c r="N580" s="45"/>
      <c r="O580" s="45"/>
      <c r="P580" s="45"/>
      <c r="Q580" s="45"/>
      <c r="R580" s="45"/>
      <c r="S580" s="45"/>
      <c r="T580" s="45"/>
      <c r="U580" s="45"/>
      <c r="V580" s="16"/>
      <c r="W580" s="16"/>
      <c r="X580" s="45"/>
      <c r="Y580" s="45"/>
      <c r="Z580" s="45"/>
      <c r="AA580" s="45"/>
      <c r="AB580" s="45"/>
      <c r="AC580" s="45"/>
    </row>
    <row r="581" spans="1:29" s="17" customFormat="1" x14ac:dyDescent="0.25">
      <c r="A581" s="16"/>
      <c r="B581" s="45"/>
      <c r="C581" s="16"/>
      <c r="D581" s="15"/>
      <c r="E581" s="15"/>
      <c r="F581" s="15"/>
      <c r="G581" s="15"/>
      <c r="H581" s="15"/>
      <c r="I581" s="16"/>
      <c r="J581" s="16"/>
      <c r="K581" s="19"/>
      <c r="L581" s="16"/>
      <c r="N581" s="45"/>
      <c r="O581" s="45"/>
      <c r="P581" s="45"/>
      <c r="Q581" s="45"/>
      <c r="R581" s="45"/>
      <c r="S581" s="45"/>
      <c r="T581" s="45"/>
      <c r="U581" s="45"/>
      <c r="V581" s="16"/>
      <c r="W581" s="16"/>
      <c r="X581" s="45"/>
      <c r="Y581" s="45"/>
      <c r="Z581" s="45"/>
      <c r="AA581" s="45"/>
      <c r="AB581" s="45"/>
      <c r="AC581" s="45"/>
    </row>
    <row r="582" spans="1:29" s="17" customFormat="1" x14ac:dyDescent="0.25">
      <c r="A582" s="16"/>
      <c r="B582" s="45"/>
      <c r="C582" s="16"/>
      <c r="D582" s="15"/>
      <c r="E582" s="15"/>
      <c r="F582" s="15"/>
      <c r="G582" s="15"/>
      <c r="H582" s="15"/>
      <c r="I582" s="16"/>
      <c r="J582" s="16"/>
      <c r="K582" s="19"/>
      <c r="L582" s="16"/>
      <c r="N582" s="45"/>
      <c r="O582" s="45"/>
      <c r="P582" s="45"/>
      <c r="Q582" s="45"/>
      <c r="R582" s="45"/>
      <c r="S582" s="45"/>
      <c r="T582" s="45"/>
      <c r="U582" s="45"/>
      <c r="V582" s="16"/>
      <c r="W582" s="16"/>
      <c r="X582" s="45"/>
      <c r="Y582" s="45"/>
      <c r="Z582" s="45"/>
      <c r="AA582" s="45"/>
      <c r="AB582" s="45"/>
      <c r="AC582" s="45"/>
    </row>
    <row r="583" spans="1:29" s="17" customFormat="1" x14ac:dyDescent="0.25">
      <c r="A583" s="16"/>
      <c r="B583" s="45"/>
      <c r="C583" s="16"/>
      <c r="D583" s="15"/>
      <c r="E583" s="15"/>
      <c r="F583" s="15"/>
      <c r="G583" s="15"/>
      <c r="H583" s="15"/>
      <c r="I583" s="16"/>
      <c r="J583" s="16"/>
      <c r="K583" s="19"/>
      <c r="L583" s="16"/>
      <c r="N583" s="45"/>
      <c r="O583" s="45"/>
      <c r="P583" s="45"/>
      <c r="Q583" s="45"/>
      <c r="R583" s="45"/>
      <c r="S583" s="45"/>
      <c r="T583" s="45"/>
      <c r="U583" s="45"/>
      <c r="V583" s="16"/>
      <c r="W583" s="16"/>
      <c r="X583" s="45"/>
      <c r="Y583" s="45"/>
      <c r="Z583" s="45"/>
      <c r="AA583" s="45"/>
      <c r="AB583" s="45"/>
      <c r="AC583" s="45"/>
    </row>
    <row r="584" spans="1:29" s="17" customFormat="1" x14ac:dyDescent="0.25">
      <c r="A584" s="16"/>
      <c r="B584" s="45"/>
      <c r="C584" s="16"/>
      <c r="D584" s="15"/>
      <c r="E584" s="15"/>
      <c r="F584" s="15"/>
      <c r="G584" s="15"/>
      <c r="H584" s="15"/>
      <c r="I584" s="16"/>
      <c r="J584" s="16"/>
      <c r="K584" s="19"/>
      <c r="L584" s="16"/>
      <c r="N584" s="45"/>
      <c r="O584" s="45"/>
      <c r="P584" s="45"/>
      <c r="Q584" s="45"/>
      <c r="R584" s="45"/>
      <c r="S584" s="45"/>
      <c r="T584" s="45"/>
      <c r="U584" s="45"/>
      <c r="V584" s="16"/>
      <c r="W584" s="16"/>
      <c r="X584" s="45"/>
      <c r="Y584" s="45"/>
      <c r="Z584" s="45"/>
      <c r="AA584" s="45"/>
      <c r="AB584" s="45"/>
      <c r="AC584" s="45"/>
    </row>
    <row r="585" spans="1:29" s="17" customFormat="1" x14ac:dyDescent="0.25">
      <c r="A585" s="16"/>
      <c r="B585" s="45"/>
      <c r="C585" s="16"/>
      <c r="D585" s="15"/>
      <c r="E585" s="15"/>
      <c r="F585" s="15"/>
      <c r="G585" s="15"/>
      <c r="H585" s="15"/>
      <c r="I585" s="16"/>
      <c r="J585" s="16"/>
      <c r="K585" s="19"/>
      <c r="L585" s="16"/>
      <c r="N585" s="45"/>
      <c r="O585" s="45"/>
      <c r="P585" s="45"/>
      <c r="Q585" s="45"/>
      <c r="R585" s="45"/>
      <c r="S585" s="45"/>
      <c r="T585" s="45"/>
      <c r="U585" s="45"/>
      <c r="V585" s="16"/>
      <c r="W585" s="16"/>
      <c r="X585" s="45"/>
      <c r="Y585" s="45"/>
      <c r="Z585" s="45"/>
      <c r="AA585" s="45"/>
      <c r="AB585" s="45"/>
      <c r="AC585" s="45"/>
    </row>
    <row r="586" spans="1:29" s="17" customFormat="1" x14ac:dyDescent="0.25">
      <c r="A586" s="16"/>
      <c r="B586" s="45"/>
      <c r="C586" s="16"/>
      <c r="D586" s="15"/>
      <c r="E586" s="15"/>
      <c r="F586" s="15"/>
      <c r="G586" s="15"/>
      <c r="H586" s="15"/>
      <c r="I586" s="16"/>
      <c r="J586" s="16"/>
      <c r="K586" s="19"/>
      <c r="L586" s="16"/>
      <c r="N586" s="45"/>
      <c r="O586" s="45"/>
      <c r="P586" s="45"/>
      <c r="Q586" s="45"/>
      <c r="R586" s="45"/>
      <c r="S586" s="45"/>
      <c r="T586" s="45"/>
      <c r="U586" s="45"/>
      <c r="V586" s="16"/>
      <c r="W586" s="16"/>
      <c r="X586" s="45"/>
      <c r="Y586" s="45"/>
      <c r="Z586" s="45"/>
      <c r="AA586" s="45"/>
      <c r="AB586" s="45"/>
      <c r="AC586" s="45"/>
    </row>
    <row r="587" spans="1:29" s="17" customFormat="1" x14ac:dyDescent="0.25">
      <c r="A587" s="16"/>
      <c r="B587" s="45"/>
      <c r="C587" s="16"/>
      <c r="D587" s="15"/>
      <c r="E587" s="15"/>
      <c r="F587" s="15"/>
      <c r="G587" s="15"/>
      <c r="H587" s="15"/>
      <c r="I587" s="16"/>
      <c r="J587" s="16"/>
      <c r="K587" s="19"/>
      <c r="L587" s="16"/>
      <c r="N587" s="45"/>
      <c r="O587" s="45"/>
      <c r="P587" s="45"/>
      <c r="Q587" s="45"/>
      <c r="R587" s="45"/>
      <c r="S587" s="45"/>
      <c r="T587" s="45"/>
      <c r="U587" s="45"/>
      <c r="V587" s="16"/>
      <c r="W587" s="16"/>
      <c r="X587" s="45"/>
      <c r="Y587" s="45"/>
      <c r="Z587" s="45"/>
      <c r="AA587" s="45"/>
      <c r="AB587" s="45"/>
      <c r="AC587" s="45"/>
    </row>
    <row r="588" spans="1:29" s="17" customFormat="1" x14ac:dyDescent="0.25">
      <c r="A588" s="16"/>
      <c r="B588" s="45"/>
      <c r="C588" s="16"/>
      <c r="D588" s="15"/>
      <c r="E588" s="15"/>
      <c r="F588" s="15"/>
      <c r="G588" s="15"/>
      <c r="H588" s="15"/>
      <c r="I588" s="16"/>
      <c r="J588" s="16"/>
      <c r="K588" s="19"/>
      <c r="L588" s="16"/>
      <c r="N588" s="45"/>
      <c r="O588" s="45"/>
      <c r="P588" s="45"/>
      <c r="Q588" s="45"/>
      <c r="R588" s="45"/>
      <c r="S588" s="45"/>
      <c r="T588" s="45"/>
      <c r="U588" s="45"/>
      <c r="V588" s="16"/>
      <c r="W588" s="16"/>
      <c r="X588" s="45"/>
      <c r="Y588" s="45"/>
      <c r="Z588" s="45"/>
      <c r="AA588" s="45"/>
      <c r="AB588" s="45"/>
      <c r="AC588" s="45"/>
    </row>
    <row r="589" spans="1:29" s="17" customFormat="1" x14ac:dyDescent="0.25">
      <c r="A589" s="16"/>
      <c r="B589" s="45"/>
      <c r="C589" s="16"/>
      <c r="D589" s="15"/>
      <c r="E589" s="15"/>
      <c r="F589" s="15"/>
      <c r="G589" s="15"/>
      <c r="H589" s="15"/>
      <c r="I589" s="16"/>
      <c r="J589" s="16"/>
      <c r="K589" s="19"/>
      <c r="L589" s="16"/>
      <c r="N589" s="45"/>
      <c r="O589" s="45"/>
      <c r="P589" s="45"/>
      <c r="Q589" s="45"/>
      <c r="R589" s="45"/>
      <c r="S589" s="45"/>
      <c r="T589" s="45"/>
      <c r="U589" s="45"/>
      <c r="V589" s="16"/>
      <c r="W589" s="16"/>
      <c r="X589" s="45"/>
      <c r="Y589" s="45"/>
      <c r="Z589" s="45"/>
      <c r="AA589" s="45"/>
      <c r="AB589" s="45"/>
      <c r="AC589" s="45"/>
    </row>
    <row r="590" spans="1:29" s="17" customFormat="1" x14ac:dyDescent="0.25">
      <c r="A590" s="16"/>
      <c r="B590" s="45"/>
      <c r="C590" s="16"/>
      <c r="D590" s="15"/>
      <c r="E590" s="15"/>
      <c r="F590" s="15"/>
      <c r="G590" s="15"/>
      <c r="H590" s="15"/>
      <c r="I590" s="16"/>
      <c r="J590" s="16"/>
      <c r="K590" s="19"/>
      <c r="L590" s="16"/>
      <c r="N590" s="45"/>
      <c r="O590" s="45"/>
      <c r="P590" s="45"/>
      <c r="Q590" s="45"/>
      <c r="R590" s="45"/>
      <c r="S590" s="45"/>
      <c r="T590" s="45"/>
      <c r="U590" s="45"/>
      <c r="V590" s="16"/>
      <c r="W590" s="16"/>
      <c r="X590" s="45"/>
      <c r="Y590" s="45"/>
      <c r="Z590" s="45"/>
      <c r="AA590" s="45"/>
      <c r="AB590" s="45"/>
      <c r="AC590" s="45"/>
    </row>
    <row r="591" spans="1:29" s="17" customFormat="1" x14ac:dyDescent="0.25">
      <c r="A591" s="16"/>
      <c r="B591" s="45"/>
      <c r="C591" s="16"/>
      <c r="D591" s="15"/>
      <c r="E591" s="15"/>
      <c r="F591" s="15"/>
      <c r="G591" s="15"/>
      <c r="H591" s="15"/>
      <c r="I591" s="16"/>
      <c r="J591" s="16"/>
      <c r="K591" s="19"/>
      <c r="L591" s="16"/>
      <c r="N591" s="45"/>
      <c r="O591" s="45"/>
      <c r="P591" s="45"/>
      <c r="Q591" s="45"/>
      <c r="R591" s="45"/>
      <c r="S591" s="45"/>
      <c r="T591" s="45"/>
      <c r="U591" s="45"/>
      <c r="V591" s="16"/>
      <c r="W591" s="16"/>
      <c r="X591" s="45"/>
      <c r="Y591" s="45"/>
      <c r="Z591" s="45"/>
      <c r="AA591" s="45"/>
      <c r="AB591" s="45"/>
      <c r="AC591" s="45"/>
    </row>
    <row r="592" spans="1:29" s="17" customFormat="1" x14ac:dyDescent="0.25">
      <c r="A592" s="16"/>
      <c r="B592" s="45"/>
      <c r="C592" s="16"/>
      <c r="D592" s="15"/>
      <c r="E592" s="15"/>
      <c r="F592" s="15"/>
      <c r="G592" s="15"/>
      <c r="H592" s="15"/>
      <c r="I592" s="16"/>
      <c r="J592" s="16"/>
      <c r="K592" s="19"/>
      <c r="L592" s="16"/>
      <c r="N592" s="45"/>
      <c r="O592" s="45"/>
      <c r="P592" s="45"/>
      <c r="Q592" s="45"/>
      <c r="R592" s="45"/>
      <c r="S592" s="45"/>
      <c r="T592" s="45"/>
      <c r="U592" s="45"/>
      <c r="V592" s="16"/>
      <c r="W592" s="16"/>
      <c r="X592" s="45"/>
      <c r="Y592" s="45"/>
      <c r="Z592" s="45"/>
      <c r="AA592" s="45"/>
      <c r="AB592" s="45"/>
      <c r="AC592" s="45"/>
    </row>
    <row r="593" spans="1:29" s="17" customFormat="1" x14ac:dyDescent="0.25">
      <c r="A593" s="16"/>
      <c r="B593" s="45"/>
      <c r="C593" s="16"/>
      <c r="D593" s="15"/>
      <c r="E593" s="15"/>
      <c r="F593" s="15"/>
      <c r="G593" s="15"/>
      <c r="H593" s="15"/>
      <c r="I593" s="16"/>
      <c r="J593" s="16"/>
      <c r="K593" s="19"/>
      <c r="L593" s="16"/>
      <c r="N593" s="45"/>
      <c r="O593" s="45"/>
      <c r="P593" s="45"/>
      <c r="Q593" s="45"/>
      <c r="R593" s="45"/>
      <c r="S593" s="45"/>
      <c r="T593" s="45"/>
      <c r="U593" s="45"/>
      <c r="V593" s="16"/>
      <c r="W593" s="16"/>
      <c r="X593" s="45"/>
      <c r="Y593" s="45"/>
      <c r="Z593" s="45"/>
      <c r="AA593" s="45"/>
      <c r="AB593" s="45"/>
      <c r="AC593" s="45"/>
    </row>
    <row r="594" spans="1:29" s="17" customFormat="1" x14ac:dyDescent="0.25">
      <c r="A594" s="16"/>
      <c r="B594" s="45"/>
      <c r="C594" s="16"/>
      <c r="D594" s="15"/>
      <c r="E594" s="15"/>
      <c r="F594" s="15"/>
      <c r="G594" s="15"/>
      <c r="H594" s="15"/>
      <c r="I594" s="16"/>
      <c r="J594" s="16"/>
      <c r="K594" s="19"/>
      <c r="L594" s="16"/>
      <c r="N594" s="45"/>
      <c r="O594" s="45"/>
      <c r="P594" s="45"/>
      <c r="Q594" s="45"/>
      <c r="R594" s="45"/>
      <c r="S594" s="45"/>
      <c r="T594" s="45"/>
      <c r="U594" s="45"/>
      <c r="V594" s="16"/>
      <c r="W594" s="16"/>
      <c r="X594" s="45"/>
      <c r="Y594" s="45"/>
      <c r="Z594" s="45"/>
      <c r="AA594" s="45"/>
      <c r="AB594" s="45"/>
      <c r="AC594" s="45"/>
    </row>
    <row r="595" spans="1:29" s="17" customFormat="1" x14ac:dyDescent="0.25">
      <c r="A595" s="16"/>
      <c r="B595" s="45"/>
      <c r="C595" s="16"/>
      <c r="D595" s="15"/>
      <c r="E595" s="15"/>
      <c r="F595" s="15"/>
      <c r="G595" s="15"/>
      <c r="H595" s="15"/>
      <c r="I595" s="16"/>
      <c r="J595" s="16"/>
      <c r="K595" s="19"/>
      <c r="L595" s="16"/>
      <c r="N595" s="45"/>
      <c r="O595" s="45"/>
      <c r="P595" s="45"/>
      <c r="Q595" s="45"/>
      <c r="R595" s="45"/>
      <c r="S595" s="45"/>
      <c r="T595" s="45"/>
      <c r="U595" s="45"/>
      <c r="V595" s="16"/>
      <c r="W595" s="16"/>
      <c r="X595" s="45"/>
      <c r="Y595" s="45"/>
      <c r="Z595" s="45"/>
      <c r="AA595" s="45"/>
      <c r="AB595" s="45"/>
      <c r="AC595" s="45"/>
    </row>
    <row r="596" spans="1:29" s="17" customFormat="1" x14ac:dyDescent="0.25">
      <c r="A596" s="16"/>
      <c r="B596" s="45"/>
      <c r="C596" s="16"/>
      <c r="D596" s="15"/>
      <c r="E596" s="15"/>
      <c r="F596" s="15"/>
      <c r="G596" s="15"/>
      <c r="H596" s="15"/>
      <c r="I596" s="16"/>
      <c r="J596" s="16"/>
      <c r="K596" s="19"/>
      <c r="L596" s="16"/>
      <c r="N596" s="45"/>
      <c r="O596" s="45"/>
      <c r="P596" s="45"/>
      <c r="Q596" s="45"/>
      <c r="R596" s="45"/>
      <c r="S596" s="45"/>
      <c r="T596" s="45"/>
      <c r="U596" s="45"/>
      <c r="V596" s="16"/>
      <c r="W596" s="16"/>
      <c r="X596" s="45"/>
      <c r="Y596" s="45"/>
      <c r="Z596" s="45"/>
      <c r="AA596" s="45"/>
      <c r="AB596" s="45"/>
      <c r="AC596" s="45"/>
    </row>
    <row r="597" spans="1:29" s="17" customFormat="1" x14ac:dyDescent="0.25">
      <c r="A597" s="16"/>
      <c r="B597" s="45"/>
      <c r="C597" s="16"/>
      <c r="D597" s="15"/>
      <c r="E597" s="15"/>
      <c r="F597" s="15"/>
      <c r="G597" s="15"/>
      <c r="H597" s="15"/>
      <c r="I597" s="16"/>
      <c r="J597" s="16"/>
      <c r="K597" s="19"/>
      <c r="L597" s="16"/>
      <c r="N597" s="45"/>
      <c r="O597" s="45"/>
      <c r="P597" s="45"/>
      <c r="Q597" s="45"/>
      <c r="R597" s="45"/>
      <c r="S597" s="45"/>
      <c r="T597" s="45"/>
      <c r="U597" s="45"/>
      <c r="V597" s="16"/>
      <c r="W597" s="16"/>
      <c r="X597" s="45"/>
      <c r="Y597" s="45"/>
      <c r="Z597" s="45"/>
      <c r="AA597" s="45"/>
      <c r="AB597" s="45"/>
      <c r="AC597" s="45"/>
    </row>
    <row r="598" spans="1:29" s="17" customFormat="1" x14ac:dyDescent="0.25">
      <c r="A598" s="16"/>
      <c r="B598" s="45"/>
      <c r="C598" s="16"/>
      <c r="D598" s="15"/>
      <c r="E598" s="15"/>
      <c r="F598" s="15"/>
      <c r="G598" s="15"/>
      <c r="H598" s="15"/>
      <c r="I598" s="16"/>
      <c r="J598" s="16"/>
      <c r="K598" s="19"/>
      <c r="L598" s="16"/>
      <c r="N598" s="45"/>
      <c r="O598" s="45"/>
      <c r="P598" s="45"/>
      <c r="Q598" s="45"/>
      <c r="R598" s="45"/>
      <c r="S598" s="45"/>
      <c r="T598" s="45"/>
      <c r="U598" s="45"/>
      <c r="V598" s="16"/>
      <c r="W598" s="16"/>
      <c r="X598" s="45"/>
      <c r="Y598" s="45"/>
      <c r="Z598" s="45"/>
      <c r="AA598" s="45"/>
      <c r="AB598" s="45"/>
      <c r="AC598" s="45"/>
    </row>
    <row r="599" spans="1:29" s="17" customFormat="1" x14ac:dyDescent="0.25">
      <c r="A599" s="16"/>
      <c r="B599" s="45"/>
      <c r="C599" s="16"/>
      <c r="D599" s="15"/>
      <c r="E599" s="15"/>
      <c r="F599" s="15"/>
      <c r="G599" s="15"/>
      <c r="H599" s="15"/>
      <c r="I599" s="16"/>
      <c r="J599" s="16"/>
      <c r="K599" s="19"/>
      <c r="L599" s="16"/>
      <c r="N599" s="45"/>
      <c r="O599" s="45"/>
      <c r="P599" s="45"/>
      <c r="Q599" s="45"/>
      <c r="R599" s="45"/>
      <c r="S599" s="45"/>
      <c r="T599" s="45"/>
      <c r="U599" s="45"/>
      <c r="V599" s="16"/>
      <c r="W599" s="16"/>
      <c r="X599" s="45"/>
      <c r="Y599" s="45"/>
      <c r="Z599" s="45"/>
      <c r="AA599" s="45"/>
      <c r="AB599" s="45"/>
      <c r="AC599" s="45"/>
    </row>
    <row r="600" spans="1:29" s="17" customFormat="1" x14ac:dyDescent="0.25">
      <c r="A600" s="16"/>
      <c r="B600" s="45"/>
      <c r="C600" s="16"/>
      <c r="D600" s="15"/>
      <c r="E600" s="15"/>
      <c r="F600" s="15"/>
      <c r="G600" s="15"/>
      <c r="H600" s="15"/>
      <c r="I600" s="16"/>
      <c r="J600" s="16"/>
      <c r="K600" s="19"/>
      <c r="L600" s="16"/>
      <c r="N600" s="45"/>
      <c r="O600" s="45"/>
      <c r="P600" s="45"/>
      <c r="Q600" s="45"/>
      <c r="R600" s="45"/>
      <c r="S600" s="45"/>
      <c r="T600" s="45"/>
      <c r="U600" s="45"/>
      <c r="V600" s="16"/>
      <c r="W600" s="16"/>
      <c r="X600" s="45"/>
      <c r="Y600" s="45"/>
      <c r="Z600" s="45"/>
      <c r="AA600" s="45"/>
      <c r="AB600" s="45"/>
      <c r="AC600" s="45"/>
    </row>
    <row r="601" spans="1:29" s="17" customFormat="1" x14ac:dyDescent="0.25">
      <c r="A601" s="16"/>
      <c r="B601" s="45"/>
      <c r="C601" s="16"/>
      <c r="D601" s="15"/>
      <c r="E601" s="15"/>
      <c r="F601" s="15"/>
      <c r="G601" s="15"/>
      <c r="H601" s="15"/>
      <c r="I601" s="16"/>
      <c r="J601" s="16"/>
      <c r="K601" s="19"/>
      <c r="L601" s="16"/>
      <c r="N601" s="45"/>
      <c r="O601" s="45"/>
      <c r="P601" s="45"/>
      <c r="Q601" s="45"/>
      <c r="R601" s="45"/>
      <c r="S601" s="45"/>
      <c r="T601" s="45"/>
      <c r="U601" s="45"/>
      <c r="V601" s="16"/>
      <c r="W601" s="16"/>
      <c r="X601" s="45"/>
      <c r="Y601" s="45"/>
      <c r="Z601" s="45"/>
      <c r="AA601" s="45"/>
      <c r="AB601" s="45"/>
      <c r="AC601" s="45"/>
    </row>
    <row r="602" spans="1:29" s="17" customFormat="1" x14ac:dyDescent="0.25">
      <c r="A602" s="16"/>
      <c r="B602" s="45"/>
      <c r="C602" s="16"/>
      <c r="D602" s="15"/>
      <c r="E602" s="15"/>
      <c r="F602" s="15"/>
      <c r="G602" s="15"/>
      <c r="H602" s="15"/>
      <c r="I602" s="16"/>
      <c r="J602" s="16"/>
      <c r="K602" s="19"/>
      <c r="L602" s="16"/>
      <c r="N602" s="45"/>
      <c r="O602" s="45"/>
      <c r="P602" s="45"/>
      <c r="Q602" s="45"/>
      <c r="R602" s="45"/>
      <c r="S602" s="45"/>
      <c r="T602" s="45"/>
      <c r="U602" s="45"/>
      <c r="V602" s="16"/>
      <c r="W602" s="16"/>
      <c r="X602" s="45"/>
      <c r="Y602" s="45"/>
      <c r="Z602" s="45"/>
      <c r="AA602" s="45"/>
      <c r="AB602" s="45"/>
      <c r="AC602" s="45"/>
    </row>
    <row r="603" spans="1:29" s="17" customFormat="1" x14ac:dyDescent="0.25">
      <c r="A603" s="16"/>
      <c r="B603" s="45"/>
      <c r="C603" s="16"/>
      <c r="D603" s="15"/>
      <c r="E603" s="15"/>
      <c r="F603" s="15"/>
      <c r="G603" s="15"/>
      <c r="H603" s="15"/>
      <c r="I603" s="16"/>
      <c r="J603" s="16"/>
      <c r="K603" s="19"/>
      <c r="L603" s="16"/>
      <c r="N603" s="45"/>
      <c r="O603" s="45"/>
      <c r="P603" s="45"/>
      <c r="Q603" s="45"/>
      <c r="R603" s="45"/>
      <c r="S603" s="45"/>
      <c r="T603" s="45"/>
      <c r="U603" s="45"/>
      <c r="V603" s="16"/>
      <c r="W603" s="16"/>
      <c r="X603" s="45"/>
      <c r="Y603" s="45"/>
      <c r="Z603" s="45"/>
      <c r="AA603" s="45"/>
      <c r="AB603" s="45"/>
      <c r="AC603" s="45"/>
    </row>
    <row r="604" spans="1:29" s="17" customFormat="1" x14ac:dyDescent="0.25">
      <c r="A604" s="16"/>
      <c r="B604" s="45"/>
      <c r="C604" s="16"/>
      <c r="D604" s="15"/>
      <c r="E604" s="15"/>
      <c r="F604" s="15"/>
      <c r="G604" s="15"/>
      <c r="H604" s="15"/>
      <c r="I604" s="16"/>
      <c r="J604" s="16"/>
      <c r="K604" s="19"/>
      <c r="L604" s="16"/>
      <c r="N604" s="45"/>
      <c r="O604" s="45"/>
      <c r="P604" s="45"/>
      <c r="Q604" s="45"/>
      <c r="R604" s="45"/>
      <c r="S604" s="45"/>
      <c r="T604" s="45"/>
      <c r="U604" s="45"/>
      <c r="V604" s="16"/>
      <c r="W604" s="16"/>
      <c r="X604" s="45"/>
      <c r="Y604" s="45"/>
      <c r="Z604" s="45"/>
      <c r="AA604" s="45"/>
      <c r="AB604" s="45"/>
      <c r="AC604" s="45"/>
    </row>
    <row r="605" spans="1:29" s="17" customFormat="1" x14ac:dyDescent="0.25">
      <c r="A605" s="16"/>
      <c r="B605" s="45"/>
      <c r="C605" s="16"/>
      <c r="D605" s="15"/>
      <c r="E605" s="15"/>
      <c r="F605" s="15"/>
      <c r="G605" s="15"/>
      <c r="H605" s="15"/>
      <c r="I605" s="16"/>
      <c r="J605" s="16"/>
      <c r="K605" s="19"/>
      <c r="L605" s="16"/>
      <c r="N605" s="45"/>
      <c r="O605" s="45"/>
      <c r="P605" s="45"/>
      <c r="Q605" s="45"/>
      <c r="R605" s="45"/>
      <c r="S605" s="45"/>
      <c r="T605" s="45"/>
      <c r="U605" s="45"/>
      <c r="V605" s="16"/>
      <c r="W605" s="16"/>
      <c r="X605" s="45"/>
      <c r="Y605" s="45"/>
      <c r="Z605" s="45"/>
      <c r="AA605" s="45"/>
      <c r="AB605" s="45"/>
      <c r="AC605" s="45"/>
    </row>
    <row r="606" spans="1:29" s="17" customFormat="1" x14ac:dyDescent="0.25">
      <c r="A606" s="16"/>
      <c r="B606" s="45"/>
      <c r="C606" s="16"/>
      <c r="D606" s="15"/>
      <c r="E606" s="15"/>
      <c r="F606" s="15"/>
      <c r="G606" s="15"/>
      <c r="H606" s="15"/>
      <c r="I606" s="16"/>
      <c r="J606" s="16"/>
      <c r="K606" s="19"/>
      <c r="L606" s="16"/>
      <c r="N606" s="45"/>
      <c r="O606" s="45"/>
      <c r="P606" s="45"/>
      <c r="Q606" s="45"/>
      <c r="R606" s="45"/>
      <c r="S606" s="45"/>
      <c r="T606" s="45"/>
      <c r="U606" s="45"/>
      <c r="V606" s="16"/>
      <c r="W606" s="16"/>
      <c r="X606" s="45"/>
      <c r="Y606" s="45"/>
      <c r="Z606" s="45"/>
      <c r="AA606" s="45"/>
      <c r="AB606" s="45"/>
      <c r="AC606" s="45"/>
    </row>
    <row r="607" spans="1:29" s="17" customFormat="1" x14ac:dyDescent="0.25">
      <c r="A607" s="16"/>
      <c r="B607" s="45"/>
      <c r="C607" s="16"/>
      <c r="D607" s="15"/>
      <c r="E607" s="15"/>
      <c r="F607" s="15"/>
      <c r="G607" s="15"/>
      <c r="H607" s="15"/>
      <c r="I607" s="16"/>
      <c r="J607" s="16"/>
      <c r="K607" s="19"/>
      <c r="L607" s="16"/>
      <c r="N607" s="45"/>
      <c r="O607" s="45"/>
      <c r="P607" s="45"/>
      <c r="Q607" s="45"/>
      <c r="R607" s="45"/>
      <c r="S607" s="45"/>
      <c r="T607" s="45"/>
      <c r="U607" s="45"/>
      <c r="V607" s="16"/>
      <c r="W607" s="16"/>
      <c r="X607" s="45"/>
      <c r="Y607" s="45"/>
      <c r="Z607" s="45"/>
      <c r="AA607" s="45"/>
      <c r="AB607" s="45"/>
      <c r="AC607" s="45"/>
    </row>
    <row r="608" spans="1:29" s="17" customFormat="1" x14ac:dyDescent="0.25">
      <c r="A608" s="16"/>
      <c r="B608" s="45"/>
      <c r="C608" s="16"/>
      <c r="D608" s="15"/>
      <c r="E608" s="15"/>
      <c r="F608" s="15"/>
      <c r="G608" s="15"/>
      <c r="H608" s="15"/>
      <c r="I608" s="16"/>
      <c r="J608" s="16"/>
      <c r="K608" s="19"/>
      <c r="L608" s="16"/>
      <c r="N608" s="45"/>
      <c r="O608" s="45"/>
      <c r="P608" s="45"/>
      <c r="Q608" s="45"/>
      <c r="R608" s="45"/>
      <c r="S608" s="45"/>
      <c r="T608" s="45"/>
      <c r="U608" s="45"/>
      <c r="V608" s="16"/>
      <c r="W608" s="16"/>
      <c r="X608" s="45"/>
      <c r="Y608" s="45"/>
      <c r="Z608" s="45"/>
      <c r="AA608" s="45"/>
      <c r="AB608" s="45"/>
      <c r="AC608" s="45"/>
    </row>
    <row r="609" spans="1:29" s="17" customFormat="1" x14ac:dyDescent="0.25">
      <c r="A609" s="16"/>
      <c r="B609" s="45"/>
      <c r="C609" s="16"/>
      <c r="D609" s="15"/>
      <c r="E609" s="15"/>
      <c r="F609" s="15"/>
      <c r="G609" s="15"/>
      <c r="H609" s="15"/>
      <c r="I609" s="16"/>
      <c r="J609" s="16"/>
      <c r="K609" s="19"/>
      <c r="L609" s="16"/>
      <c r="N609" s="45"/>
      <c r="O609" s="45"/>
      <c r="P609" s="45"/>
      <c r="Q609" s="45"/>
      <c r="R609" s="45"/>
      <c r="S609" s="45"/>
      <c r="T609" s="45"/>
      <c r="U609" s="45"/>
      <c r="V609" s="16"/>
      <c r="W609" s="16"/>
      <c r="X609" s="45"/>
      <c r="Y609" s="45"/>
      <c r="Z609" s="45"/>
      <c r="AA609" s="45"/>
      <c r="AB609" s="45"/>
      <c r="AC609" s="45"/>
    </row>
    <row r="610" spans="1:29" s="17" customFormat="1" x14ac:dyDescent="0.25">
      <c r="A610" s="16"/>
      <c r="B610" s="45"/>
      <c r="C610" s="16"/>
      <c r="D610" s="15"/>
      <c r="E610" s="15"/>
      <c r="F610" s="15"/>
      <c r="G610" s="15"/>
      <c r="H610" s="15"/>
      <c r="I610" s="16"/>
      <c r="J610" s="16"/>
      <c r="K610" s="19"/>
      <c r="L610" s="16"/>
      <c r="N610" s="45"/>
      <c r="O610" s="45"/>
      <c r="P610" s="45"/>
      <c r="Q610" s="45"/>
      <c r="R610" s="45"/>
      <c r="S610" s="45"/>
      <c r="T610" s="45"/>
      <c r="U610" s="45"/>
      <c r="V610" s="16"/>
      <c r="W610" s="16"/>
      <c r="X610" s="45"/>
      <c r="Y610" s="45"/>
      <c r="Z610" s="45"/>
      <c r="AA610" s="45"/>
      <c r="AB610" s="45"/>
      <c r="AC610" s="45"/>
    </row>
    <row r="611" spans="1:29" s="17" customFormat="1" x14ac:dyDescent="0.25">
      <c r="A611" s="16"/>
      <c r="B611" s="45"/>
      <c r="C611" s="16"/>
      <c r="D611" s="15"/>
      <c r="E611" s="15"/>
      <c r="F611" s="15"/>
      <c r="G611" s="15"/>
      <c r="H611" s="15"/>
      <c r="I611" s="16"/>
      <c r="J611" s="16"/>
      <c r="K611" s="19"/>
      <c r="L611" s="16"/>
      <c r="N611" s="45"/>
      <c r="O611" s="45"/>
      <c r="P611" s="45"/>
      <c r="Q611" s="45"/>
      <c r="R611" s="45"/>
      <c r="S611" s="45"/>
      <c r="T611" s="45"/>
      <c r="U611" s="45"/>
      <c r="V611" s="16"/>
      <c r="W611" s="16"/>
      <c r="X611" s="45"/>
      <c r="Y611" s="45"/>
      <c r="Z611" s="45"/>
      <c r="AA611" s="45"/>
      <c r="AB611" s="45"/>
      <c r="AC611" s="45"/>
    </row>
    <row r="612" spans="1:29" s="17" customFormat="1" x14ac:dyDescent="0.25">
      <c r="A612" s="16"/>
      <c r="B612" s="45"/>
      <c r="C612" s="16"/>
      <c r="D612" s="15"/>
      <c r="E612" s="15"/>
      <c r="F612" s="15"/>
      <c r="G612" s="15"/>
      <c r="H612" s="15"/>
      <c r="I612" s="16"/>
      <c r="J612" s="16"/>
      <c r="K612" s="19"/>
      <c r="L612" s="16"/>
      <c r="N612" s="45"/>
      <c r="O612" s="45"/>
      <c r="P612" s="45"/>
      <c r="Q612" s="45"/>
      <c r="R612" s="45"/>
      <c r="S612" s="45"/>
      <c r="T612" s="45"/>
      <c r="U612" s="45"/>
      <c r="V612" s="16"/>
      <c r="W612" s="16"/>
      <c r="X612" s="45"/>
      <c r="Y612" s="45"/>
      <c r="Z612" s="45"/>
      <c r="AA612" s="45"/>
      <c r="AB612" s="45"/>
      <c r="AC612" s="45"/>
    </row>
    <row r="613" spans="1:29" s="17" customFormat="1" x14ac:dyDescent="0.25">
      <c r="A613" s="16"/>
      <c r="B613" s="45"/>
      <c r="C613" s="16"/>
      <c r="D613" s="15"/>
      <c r="E613" s="15"/>
      <c r="F613" s="15"/>
      <c r="G613" s="15"/>
      <c r="H613" s="15"/>
      <c r="I613" s="16"/>
      <c r="J613" s="16"/>
      <c r="K613" s="19"/>
      <c r="L613" s="16"/>
      <c r="N613" s="45"/>
      <c r="O613" s="45"/>
      <c r="P613" s="45"/>
      <c r="Q613" s="45"/>
      <c r="R613" s="45"/>
      <c r="S613" s="45"/>
      <c r="T613" s="45"/>
      <c r="U613" s="45"/>
      <c r="V613" s="16"/>
      <c r="W613" s="16"/>
      <c r="X613" s="45"/>
      <c r="Y613" s="45"/>
      <c r="Z613" s="45"/>
      <c r="AA613" s="45"/>
      <c r="AB613" s="45"/>
      <c r="AC613" s="45"/>
    </row>
    <row r="614" spans="1:29" s="17" customFormat="1" x14ac:dyDescent="0.25">
      <c r="A614" s="16"/>
      <c r="B614" s="45"/>
      <c r="C614" s="16"/>
      <c r="D614" s="15"/>
      <c r="E614" s="15"/>
      <c r="F614" s="15"/>
      <c r="G614" s="15"/>
      <c r="H614" s="15"/>
      <c r="I614" s="16"/>
      <c r="J614" s="16"/>
      <c r="K614" s="19"/>
      <c r="L614" s="16"/>
      <c r="N614" s="45"/>
      <c r="O614" s="45"/>
      <c r="P614" s="45"/>
      <c r="Q614" s="45"/>
      <c r="R614" s="45"/>
      <c r="S614" s="45"/>
      <c r="T614" s="45"/>
      <c r="U614" s="45"/>
      <c r="V614" s="16"/>
      <c r="W614" s="16"/>
      <c r="X614" s="45"/>
      <c r="Y614" s="45"/>
      <c r="Z614" s="45"/>
      <c r="AA614" s="45"/>
      <c r="AB614" s="45"/>
      <c r="AC614" s="45"/>
    </row>
    <row r="615" spans="1:29" s="17" customFormat="1" x14ac:dyDescent="0.25">
      <c r="A615" s="16"/>
      <c r="B615" s="45"/>
      <c r="C615" s="16"/>
      <c r="D615" s="15"/>
      <c r="E615" s="15"/>
      <c r="F615" s="15"/>
      <c r="G615" s="15"/>
      <c r="H615" s="15"/>
      <c r="I615" s="16"/>
      <c r="J615" s="16"/>
      <c r="K615" s="19"/>
      <c r="L615" s="16"/>
      <c r="N615" s="45"/>
      <c r="O615" s="45"/>
      <c r="P615" s="45"/>
      <c r="Q615" s="45"/>
      <c r="R615" s="45"/>
      <c r="S615" s="45"/>
      <c r="T615" s="45"/>
      <c r="U615" s="45"/>
      <c r="V615" s="16"/>
      <c r="W615" s="16"/>
      <c r="X615" s="45"/>
      <c r="Y615" s="45"/>
      <c r="Z615" s="45"/>
      <c r="AA615" s="45"/>
      <c r="AB615" s="45"/>
      <c r="AC615" s="45"/>
    </row>
    <row r="616" spans="1:29" s="17" customFormat="1" x14ac:dyDescent="0.25">
      <c r="A616" s="16"/>
      <c r="B616" s="45"/>
      <c r="C616" s="16"/>
      <c r="D616" s="15"/>
      <c r="E616" s="15"/>
      <c r="F616" s="15"/>
      <c r="G616" s="15"/>
      <c r="H616" s="15"/>
      <c r="I616" s="16"/>
      <c r="J616" s="16"/>
      <c r="K616" s="19"/>
      <c r="L616" s="16"/>
      <c r="N616" s="45"/>
      <c r="O616" s="45"/>
      <c r="P616" s="45"/>
      <c r="Q616" s="45"/>
      <c r="R616" s="45"/>
      <c r="S616" s="45"/>
      <c r="T616" s="45"/>
      <c r="U616" s="45"/>
      <c r="V616" s="16"/>
      <c r="W616" s="16"/>
      <c r="X616" s="45"/>
      <c r="Y616" s="45"/>
      <c r="Z616" s="45"/>
      <c r="AA616" s="45"/>
      <c r="AB616" s="45"/>
      <c r="AC616" s="45"/>
    </row>
    <row r="617" spans="1:29" s="17" customFormat="1" x14ac:dyDescent="0.25">
      <c r="A617" s="16"/>
      <c r="B617" s="45"/>
      <c r="C617" s="16"/>
      <c r="D617" s="15"/>
      <c r="E617" s="15"/>
      <c r="F617" s="15"/>
      <c r="G617" s="15"/>
      <c r="H617" s="15"/>
      <c r="I617" s="16"/>
      <c r="J617" s="16"/>
      <c r="K617" s="19"/>
      <c r="L617" s="16"/>
      <c r="N617" s="45"/>
      <c r="O617" s="45"/>
      <c r="P617" s="45"/>
      <c r="Q617" s="45"/>
      <c r="R617" s="45"/>
      <c r="S617" s="45"/>
      <c r="T617" s="45"/>
      <c r="U617" s="45"/>
      <c r="V617" s="16"/>
      <c r="W617" s="16"/>
      <c r="X617" s="45"/>
      <c r="Y617" s="45"/>
      <c r="Z617" s="45"/>
      <c r="AA617" s="45"/>
      <c r="AB617" s="45"/>
      <c r="AC617" s="45"/>
    </row>
    <row r="618" spans="1:29" s="17" customFormat="1" x14ac:dyDescent="0.25">
      <c r="A618" s="16"/>
      <c r="B618" s="45"/>
      <c r="C618" s="16"/>
      <c r="D618" s="15"/>
      <c r="E618" s="15"/>
      <c r="F618" s="15"/>
      <c r="G618" s="15"/>
      <c r="H618" s="15"/>
      <c r="I618" s="16"/>
      <c r="J618" s="16"/>
      <c r="K618" s="19"/>
      <c r="L618" s="16"/>
      <c r="N618" s="45"/>
      <c r="O618" s="45"/>
      <c r="P618" s="45"/>
      <c r="Q618" s="45"/>
      <c r="R618" s="45"/>
      <c r="S618" s="45"/>
      <c r="T618" s="45"/>
      <c r="U618" s="45"/>
      <c r="V618" s="16"/>
      <c r="W618" s="16"/>
      <c r="X618" s="45"/>
      <c r="Y618" s="45"/>
      <c r="Z618" s="45"/>
      <c r="AA618" s="45"/>
      <c r="AB618" s="45"/>
      <c r="AC618" s="45"/>
    </row>
    <row r="619" spans="1:29" s="17" customFormat="1" x14ac:dyDescent="0.25">
      <c r="A619" s="16"/>
      <c r="B619" s="45"/>
      <c r="C619" s="16"/>
      <c r="D619" s="15"/>
      <c r="E619" s="15"/>
      <c r="F619" s="15"/>
      <c r="G619" s="15"/>
      <c r="H619" s="15"/>
      <c r="I619" s="16"/>
      <c r="J619" s="16"/>
      <c r="K619" s="19"/>
      <c r="L619" s="16"/>
      <c r="N619" s="45"/>
      <c r="O619" s="45"/>
      <c r="P619" s="45"/>
      <c r="Q619" s="45"/>
      <c r="R619" s="45"/>
      <c r="S619" s="45"/>
      <c r="T619" s="45"/>
      <c r="U619" s="45"/>
      <c r="V619" s="16"/>
      <c r="W619" s="16"/>
      <c r="X619" s="45"/>
      <c r="Y619" s="45"/>
      <c r="Z619" s="45"/>
      <c r="AA619" s="45"/>
      <c r="AB619" s="45"/>
      <c r="AC619" s="45"/>
    </row>
    <row r="620" spans="1:29" s="17" customFormat="1" x14ac:dyDescent="0.25">
      <c r="A620" s="16"/>
      <c r="B620" s="45"/>
      <c r="C620" s="16"/>
      <c r="D620" s="15"/>
      <c r="E620" s="15"/>
      <c r="F620" s="15"/>
      <c r="G620" s="15"/>
      <c r="H620" s="15"/>
      <c r="I620" s="16"/>
      <c r="J620" s="16"/>
      <c r="K620" s="19"/>
      <c r="L620" s="16"/>
      <c r="N620" s="45"/>
      <c r="O620" s="45"/>
      <c r="P620" s="45"/>
      <c r="Q620" s="45"/>
      <c r="R620" s="45"/>
      <c r="S620" s="45"/>
      <c r="T620" s="45"/>
      <c r="U620" s="45"/>
      <c r="V620" s="16"/>
      <c r="W620" s="16"/>
      <c r="X620" s="45"/>
      <c r="Y620" s="45"/>
      <c r="Z620" s="45"/>
      <c r="AA620" s="45"/>
      <c r="AB620" s="45"/>
      <c r="AC620" s="45"/>
    </row>
    <row r="621" spans="1:29" s="17" customFormat="1" x14ac:dyDescent="0.25">
      <c r="A621" s="16"/>
      <c r="B621" s="45"/>
      <c r="C621" s="16"/>
      <c r="D621" s="15"/>
      <c r="E621" s="15"/>
      <c r="F621" s="15"/>
      <c r="G621" s="15"/>
      <c r="H621" s="15"/>
      <c r="I621" s="16"/>
      <c r="J621" s="16"/>
      <c r="K621" s="19"/>
      <c r="L621" s="16"/>
      <c r="N621" s="45"/>
      <c r="O621" s="45"/>
      <c r="P621" s="45"/>
      <c r="Q621" s="45"/>
      <c r="R621" s="45"/>
      <c r="S621" s="45"/>
      <c r="T621" s="45"/>
      <c r="U621" s="45"/>
      <c r="V621" s="16"/>
      <c r="W621" s="16"/>
      <c r="X621" s="45"/>
      <c r="Y621" s="45"/>
      <c r="Z621" s="45"/>
      <c r="AA621" s="45"/>
      <c r="AB621" s="45"/>
      <c r="AC621" s="45"/>
    </row>
    <row r="622" spans="1:29" s="17" customFormat="1" x14ac:dyDescent="0.25">
      <c r="A622" s="16"/>
      <c r="B622" s="45"/>
      <c r="C622" s="16"/>
      <c r="D622" s="15"/>
      <c r="E622" s="15"/>
      <c r="F622" s="15"/>
      <c r="G622" s="15"/>
      <c r="H622" s="15"/>
      <c r="I622" s="16"/>
      <c r="J622" s="16"/>
      <c r="K622" s="19"/>
      <c r="L622" s="16"/>
      <c r="N622" s="45"/>
      <c r="O622" s="45"/>
      <c r="P622" s="45"/>
      <c r="Q622" s="45"/>
      <c r="R622" s="45"/>
      <c r="S622" s="45"/>
      <c r="T622" s="45"/>
      <c r="U622" s="45"/>
      <c r="V622" s="16"/>
      <c r="W622" s="16"/>
      <c r="X622" s="45"/>
      <c r="Y622" s="45"/>
      <c r="Z622" s="45"/>
      <c r="AA622" s="45"/>
      <c r="AB622" s="45"/>
      <c r="AC622" s="45"/>
    </row>
    <row r="623" spans="1:29" s="17" customFormat="1" x14ac:dyDescent="0.25">
      <c r="A623" s="16"/>
      <c r="B623" s="45"/>
      <c r="C623" s="16"/>
      <c r="D623" s="15"/>
      <c r="E623" s="15"/>
      <c r="F623" s="15"/>
      <c r="G623" s="15"/>
      <c r="H623" s="15"/>
      <c r="I623" s="16"/>
      <c r="J623" s="16"/>
      <c r="K623" s="19"/>
      <c r="L623" s="16"/>
      <c r="N623" s="45"/>
      <c r="O623" s="45"/>
      <c r="P623" s="45"/>
      <c r="Q623" s="45"/>
      <c r="R623" s="45"/>
      <c r="S623" s="45"/>
      <c r="T623" s="45"/>
      <c r="U623" s="45"/>
      <c r="V623" s="16"/>
      <c r="W623" s="16"/>
      <c r="X623" s="45"/>
      <c r="Y623" s="45"/>
      <c r="Z623" s="45"/>
      <c r="AA623" s="45"/>
      <c r="AB623" s="45"/>
      <c r="AC623" s="45"/>
    </row>
    <row r="624" spans="1:29" s="17" customFormat="1" x14ac:dyDescent="0.25">
      <c r="A624" s="16"/>
      <c r="B624" s="45"/>
      <c r="C624" s="16"/>
      <c r="D624" s="15"/>
      <c r="E624" s="15"/>
      <c r="F624" s="15"/>
      <c r="G624" s="15"/>
      <c r="H624" s="15"/>
      <c r="I624" s="16"/>
      <c r="J624" s="16"/>
      <c r="K624" s="19"/>
      <c r="L624" s="16"/>
      <c r="N624" s="45"/>
      <c r="O624" s="45"/>
      <c r="P624" s="45"/>
      <c r="Q624" s="45"/>
      <c r="R624" s="45"/>
      <c r="S624" s="45"/>
      <c r="T624" s="45"/>
      <c r="U624" s="45"/>
      <c r="V624" s="16"/>
      <c r="W624" s="16"/>
      <c r="X624" s="45"/>
      <c r="Y624" s="45"/>
      <c r="Z624" s="45"/>
      <c r="AA624" s="45"/>
      <c r="AB624" s="45"/>
      <c r="AC624" s="45"/>
    </row>
    <row r="625" spans="1:29" s="17" customFormat="1" x14ac:dyDescent="0.25">
      <c r="A625" s="16"/>
      <c r="B625" s="45"/>
      <c r="C625" s="16"/>
      <c r="D625" s="15"/>
      <c r="E625" s="15"/>
      <c r="F625" s="15"/>
      <c r="G625" s="15"/>
      <c r="H625" s="15"/>
      <c r="I625" s="16"/>
      <c r="J625" s="16"/>
      <c r="K625" s="19"/>
      <c r="L625" s="16"/>
      <c r="N625" s="45"/>
      <c r="O625" s="45"/>
      <c r="P625" s="45"/>
      <c r="Q625" s="45"/>
      <c r="R625" s="45"/>
      <c r="S625" s="45"/>
      <c r="T625" s="45"/>
      <c r="U625" s="45"/>
      <c r="V625" s="16"/>
      <c r="W625" s="16"/>
      <c r="X625" s="45"/>
      <c r="Y625" s="45"/>
      <c r="Z625" s="45"/>
      <c r="AA625" s="45"/>
      <c r="AB625" s="45"/>
      <c r="AC625" s="45"/>
    </row>
    <row r="626" spans="1:29" s="17" customFormat="1" x14ac:dyDescent="0.25">
      <c r="A626" s="16"/>
      <c r="B626" s="45"/>
      <c r="C626" s="16"/>
      <c r="D626" s="15"/>
      <c r="E626" s="15"/>
      <c r="F626" s="15"/>
      <c r="G626" s="15"/>
      <c r="H626" s="15"/>
      <c r="I626" s="16"/>
      <c r="J626" s="16"/>
      <c r="K626" s="19"/>
      <c r="L626" s="16"/>
      <c r="N626" s="45"/>
      <c r="O626" s="45"/>
      <c r="P626" s="45"/>
      <c r="Q626" s="45"/>
      <c r="R626" s="45"/>
      <c r="S626" s="45"/>
      <c r="T626" s="45"/>
      <c r="U626" s="45"/>
      <c r="V626" s="16"/>
      <c r="W626" s="16"/>
      <c r="X626" s="45"/>
      <c r="Y626" s="45"/>
      <c r="Z626" s="45"/>
      <c r="AA626" s="45"/>
      <c r="AB626" s="45"/>
      <c r="AC626" s="45"/>
    </row>
    <row r="627" spans="1:29" s="17" customFormat="1" x14ac:dyDescent="0.25">
      <c r="A627" s="16"/>
      <c r="B627" s="45"/>
      <c r="C627" s="16"/>
      <c r="D627" s="15"/>
      <c r="E627" s="15"/>
      <c r="F627" s="15"/>
      <c r="G627" s="15"/>
      <c r="H627" s="15"/>
      <c r="I627" s="16"/>
      <c r="J627" s="16"/>
      <c r="K627" s="19"/>
      <c r="L627" s="16"/>
      <c r="N627" s="45"/>
      <c r="O627" s="45"/>
      <c r="P627" s="45"/>
      <c r="Q627" s="45"/>
      <c r="R627" s="45"/>
      <c r="S627" s="45"/>
      <c r="T627" s="45"/>
      <c r="U627" s="45"/>
      <c r="V627" s="16"/>
      <c r="W627" s="16"/>
      <c r="X627" s="45"/>
      <c r="Y627" s="45"/>
      <c r="Z627" s="45"/>
      <c r="AA627" s="45"/>
      <c r="AB627" s="45"/>
      <c r="AC627" s="45"/>
    </row>
    <row r="628" spans="1:29" s="17" customFormat="1" x14ac:dyDescent="0.25">
      <c r="A628" s="16"/>
      <c r="B628" s="45"/>
      <c r="C628" s="16"/>
      <c r="D628" s="15"/>
      <c r="E628" s="15"/>
      <c r="F628" s="15"/>
      <c r="G628" s="15"/>
      <c r="H628" s="15"/>
      <c r="I628" s="16"/>
      <c r="J628" s="16"/>
      <c r="K628" s="19"/>
      <c r="L628" s="16"/>
      <c r="N628" s="45"/>
      <c r="O628" s="45"/>
      <c r="P628" s="45"/>
      <c r="Q628" s="45"/>
      <c r="R628" s="45"/>
      <c r="S628" s="45"/>
      <c r="T628" s="45"/>
      <c r="U628" s="45"/>
      <c r="V628" s="16"/>
      <c r="W628" s="16"/>
      <c r="X628" s="45"/>
      <c r="Y628" s="45"/>
      <c r="Z628" s="45"/>
      <c r="AA628" s="45"/>
      <c r="AB628" s="45"/>
      <c r="AC628" s="45"/>
    </row>
    <row r="629" spans="1:29" s="17" customFormat="1" x14ac:dyDescent="0.25">
      <c r="A629" s="16"/>
      <c r="B629" s="45"/>
      <c r="C629" s="16"/>
      <c r="D629" s="15"/>
      <c r="E629" s="15"/>
      <c r="F629" s="15"/>
      <c r="G629" s="15"/>
      <c r="H629" s="15"/>
      <c r="I629" s="16"/>
      <c r="J629" s="16"/>
      <c r="K629" s="19"/>
      <c r="L629" s="16"/>
      <c r="N629" s="45"/>
      <c r="O629" s="45"/>
      <c r="P629" s="45"/>
      <c r="Q629" s="45"/>
      <c r="R629" s="45"/>
      <c r="S629" s="45"/>
      <c r="T629" s="45"/>
      <c r="U629" s="45"/>
      <c r="V629" s="16"/>
      <c r="W629" s="16"/>
      <c r="X629" s="45"/>
      <c r="Y629" s="45"/>
      <c r="Z629" s="45"/>
      <c r="AA629" s="45"/>
      <c r="AB629" s="45"/>
      <c r="AC629" s="45"/>
    </row>
    <row r="630" spans="1:29" s="17" customFormat="1" x14ac:dyDescent="0.25">
      <c r="A630" s="16"/>
      <c r="B630" s="45"/>
      <c r="C630" s="16"/>
      <c r="D630" s="15"/>
      <c r="E630" s="15"/>
      <c r="F630" s="15"/>
      <c r="G630" s="15"/>
      <c r="H630" s="15"/>
      <c r="I630" s="16"/>
      <c r="J630" s="16"/>
      <c r="K630" s="19"/>
      <c r="L630" s="16"/>
      <c r="N630" s="45"/>
      <c r="O630" s="45"/>
      <c r="P630" s="45"/>
      <c r="Q630" s="45"/>
      <c r="R630" s="45"/>
      <c r="S630" s="45"/>
      <c r="T630" s="45"/>
      <c r="U630" s="45"/>
      <c r="V630" s="16"/>
      <c r="W630" s="16"/>
      <c r="X630" s="45"/>
      <c r="Y630" s="45"/>
      <c r="Z630" s="45"/>
      <c r="AA630" s="45"/>
      <c r="AB630" s="45"/>
      <c r="AC630" s="45"/>
    </row>
    <row r="631" spans="1:29" s="17" customFormat="1" x14ac:dyDescent="0.25">
      <c r="A631" s="16"/>
      <c r="B631" s="45"/>
      <c r="C631" s="16"/>
      <c r="D631" s="15"/>
      <c r="E631" s="15"/>
      <c r="F631" s="15"/>
      <c r="G631" s="15"/>
      <c r="H631" s="15"/>
      <c r="I631" s="16"/>
      <c r="J631" s="16"/>
      <c r="K631" s="19"/>
      <c r="L631" s="16"/>
      <c r="N631" s="45"/>
      <c r="O631" s="45"/>
      <c r="P631" s="45"/>
      <c r="Q631" s="45"/>
      <c r="R631" s="45"/>
      <c r="S631" s="45"/>
      <c r="T631" s="45"/>
      <c r="U631" s="45"/>
      <c r="V631" s="16"/>
      <c r="W631" s="16"/>
      <c r="X631" s="45"/>
      <c r="Y631" s="45"/>
      <c r="Z631" s="45"/>
      <c r="AA631" s="45"/>
      <c r="AB631" s="45"/>
      <c r="AC631" s="45"/>
    </row>
    <row r="632" spans="1:29" s="17" customFormat="1" x14ac:dyDescent="0.25">
      <c r="A632" s="16"/>
      <c r="B632" s="45"/>
      <c r="C632" s="16"/>
      <c r="D632" s="15"/>
      <c r="E632" s="15"/>
      <c r="F632" s="15"/>
      <c r="G632" s="15"/>
      <c r="H632" s="15"/>
      <c r="I632" s="16"/>
      <c r="J632" s="16"/>
      <c r="K632" s="19"/>
      <c r="L632" s="16"/>
      <c r="N632" s="45"/>
      <c r="O632" s="45"/>
      <c r="P632" s="45"/>
      <c r="Q632" s="45"/>
      <c r="R632" s="45"/>
      <c r="S632" s="45"/>
      <c r="T632" s="45"/>
      <c r="U632" s="45"/>
      <c r="V632" s="16"/>
      <c r="W632" s="16"/>
      <c r="X632" s="45"/>
      <c r="Y632" s="45"/>
      <c r="Z632" s="45"/>
      <c r="AA632" s="45"/>
      <c r="AB632" s="45"/>
      <c r="AC632" s="45"/>
    </row>
    <row r="633" spans="1:29" s="17" customFormat="1" x14ac:dyDescent="0.25">
      <c r="A633" s="16"/>
      <c r="B633" s="45"/>
      <c r="C633" s="16"/>
      <c r="D633" s="15"/>
      <c r="E633" s="15"/>
      <c r="F633" s="15"/>
      <c r="G633" s="15"/>
      <c r="H633" s="15"/>
      <c r="I633" s="16"/>
      <c r="J633" s="16"/>
      <c r="K633" s="19"/>
      <c r="L633" s="16"/>
      <c r="N633" s="45"/>
      <c r="O633" s="45"/>
      <c r="P633" s="45"/>
      <c r="Q633" s="45"/>
      <c r="R633" s="45"/>
      <c r="S633" s="45"/>
      <c r="T633" s="45"/>
      <c r="U633" s="45"/>
      <c r="V633" s="16"/>
      <c r="W633" s="16"/>
      <c r="X633" s="45"/>
      <c r="Y633" s="45"/>
      <c r="Z633" s="45"/>
      <c r="AA633" s="45"/>
      <c r="AB633" s="45"/>
      <c r="AC633" s="45"/>
    </row>
    <row r="634" spans="1:29" s="17" customFormat="1" x14ac:dyDescent="0.25">
      <c r="A634" s="16"/>
      <c r="B634" s="45"/>
      <c r="C634" s="16"/>
      <c r="D634" s="15"/>
      <c r="E634" s="15"/>
      <c r="F634" s="15"/>
      <c r="G634" s="15"/>
      <c r="H634" s="15"/>
      <c r="I634" s="16"/>
      <c r="J634" s="16"/>
      <c r="K634" s="19"/>
      <c r="L634" s="16"/>
      <c r="N634" s="45"/>
      <c r="O634" s="45"/>
      <c r="P634" s="45"/>
      <c r="Q634" s="45"/>
      <c r="R634" s="45"/>
      <c r="S634" s="45"/>
      <c r="T634" s="45"/>
      <c r="U634" s="45"/>
      <c r="V634" s="16"/>
      <c r="W634" s="16"/>
      <c r="X634" s="45"/>
      <c r="Y634" s="45"/>
      <c r="Z634" s="45"/>
      <c r="AA634" s="45"/>
      <c r="AB634" s="45"/>
      <c r="AC634" s="45"/>
    </row>
    <row r="635" spans="1:29" s="17" customFormat="1" x14ac:dyDescent="0.25">
      <c r="A635" s="16"/>
      <c r="B635" s="45"/>
      <c r="C635" s="16"/>
      <c r="D635" s="15"/>
      <c r="E635" s="15"/>
      <c r="F635" s="15"/>
      <c r="G635" s="15"/>
      <c r="H635" s="15"/>
      <c r="I635" s="16"/>
      <c r="J635" s="16"/>
      <c r="K635" s="19"/>
      <c r="L635" s="16"/>
      <c r="N635" s="45"/>
      <c r="O635" s="45"/>
      <c r="P635" s="45"/>
      <c r="Q635" s="45"/>
      <c r="R635" s="45"/>
      <c r="S635" s="45"/>
      <c r="T635" s="45"/>
      <c r="U635" s="45"/>
      <c r="V635" s="16"/>
      <c r="W635" s="16"/>
      <c r="X635" s="45"/>
      <c r="Y635" s="45"/>
      <c r="Z635" s="45"/>
      <c r="AA635" s="45"/>
      <c r="AB635" s="45"/>
      <c r="AC635" s="45"/>
    </row>
    <row r="636" spans="1:29" s="17" customFormat="1" x14ac:dyDescent="0.25">
      <c r="A636" s="16"/>
      <c r="B636" s="45"/>
      <c r="C636" s="16"/>
      <c r="D636" s="15"/>
      <c r="E636" s="15"/>
      <c r="F636" s="15"/>
      <c r="G636" s="15"/>
      <c r="H636" s="15"/>
      <c r="I636" s="16"/>
      <c r="J636" s="16"/>
      <c r="K636" s="19"/>
      <c r="L636" s="16"/>
      <c r="N636" s="45"/>
      <c r="O636" s="45"/>
      <c r="P636" s="45"/>
      <c r="Q636" s="45"/>
      <c r="R636" s="45"/>
      <c r="S636" s="45"/>
      <c r="T636" s="45"/>
      <c r="U636" s="45"/>
      <c r="V636" s="16"/>
      <c r="W636" s="16"/>
      <c r="X636" s="45"/>
      <c r="Y636" s="45"/>
      <c r="Z636" s="45"/>
      <c r="AA636" s="45"/>
      <c r="AB636" s="45"/>
      <c r="AC636" s="45"/>
    </row>
    <row r="637" spans="1:29" s="17" customFormat="1" x14ac:dyDescent="0.25">
      <c r="A637" s="16"/>
      <c r="B637" s="45"/>
      <c r="C637" s="16"/>
      <c r="D637" s="15"/>
      <c r="E637" s="15"/>
      <c r="F637" s="15"/>
      <c r="G637" s="15"/>
      <c r="H637" s="15"/>
      <c r="I637" s="16"/>
      <c r="J637" s="16"/>
      <c r="K637" s="19"/>
      <c r="L637" s="16"/>
      <c r="N637" s="45"/>
      <c r="O637" s="45"/>
      <c r="P637" s="45"/>
      <c r="Q637" s="45"/>
      <c r="R637" s="45"/>
      <c r="S637" s="45"/>
      <c r="T637" s="45"/>
      <c r="U637" s="45"/>
      <c r="V637" s="16"/>
      <c r="W637" s="16"/>
      <c r="X637" s="45"/>
      <c r="Y637" s="45"/>
      <c r="Z637" s="45"/>
      <c r="AA637" s="45"/>
      <c r="AB637" s="45"/>
      <c r="AC637" s="45"/>
    </row>
    <row r="638" spans="1:29" s="17" customFormat="1" x14ac:dyDescent="0.25">
      <c r="A638" s="16"/>
      <c r="B638" s="45"/>
      <c r="C638" s="16"/>
      <c r="D638" s="15"/>
      <c r="E638" s="15"/>
      <c r="F638" s="15"/>
      <c r="G638" s="15"/>
      <c r="H638" s="15"/>
      <c r="I638" s="16"/>
      <c r="J638" s="16"/>
      <c r="K638" s="19"/>
      <c r="L638" s="16"/>
      <c r="N638" s="45"/>
      <c r="O638" s="45"/>
      <c r="P638" s="45"/>
      <c r="Q638" s="45"/>
      <c r="R638" s="45"/>
      <c r="S638" s="45"/>
      <c r="T638" s="45"/>
      <c r="U638" s="45"/>
      <c r="V638" s="16"/>
      <c r="W638" s="16"/>
      <c r="X638" s="45"/>
      <c r="Y638" s="45"/>
      <c r="Z638" s="45"/>
      <c r="AA638" s="45"/>
      <c r="AB638" s="45"/>
      <c r="AC638" s="45"/>
    </row>
    <row r="639" spans="1:29" s="17" customFormat="1" x14ac:dyDescent="0.25">
      <c r="A639" s="16"/>
      <c r="B639" s="45"/>
      <c r="C639" s="16"/>
      <c r="D639" s="15"/>
      <c r="E639" s="15"/>
      <c r="F639" s="15"/>
      <c r="G639" s="15"/>
      <c r="H639" s="15"/>
      <c r="I639" s="16"/>
      <c r="J639" s="16"/>
      <c r="K639" s="19"/>
      <c r="L639" s="16"/>
      <c r="N639" s="45"/>
      <c r="O639" s="45"/>
      <c r="P639" s="45"/>
      <c r="Q639" s="45"/>
      <c r="R639" s="45"/>
      <c r="S639" s="45"/>
      <c r="T639" s="45"/>
      <c r="U639" s="45"/>
      <c r="V639" s="16"/>
      <c r="W639" s="16"/>
      <c r="X639" s="45"/>
      <c r="Y639" s="45"/>
      <c r="Z639" s="45"/>
      <c r="AA639" s="45"/>
      <c r="AB639" s="45"/>
      <c r="AC639" s="45"/>
    </row>
    <row r="640" spans="1:29" s="17" customFormat="1" x14ac:dyDescent="0.25">
      <c r="A640" s="16"/>
      <c r="B640" s="45"/>
      <c r="C640" s="16"/>
      <c r="D640" s="15"/>
      <c r="E640" s="15"/>
      <c r="F640" s="15"/>
      <c r="G640" s="15"/>
      <c r="H640" s="15"/>
      <c r="I640" s="16"/>
      <c r="J640" s="16"/>
      <c r="K640" s="19"/>
      <c r="L640" s="16"/>
      <c r="N640" s="45"/>
      <c r="O640" s="45"/>
      <c r="P640" s="45"/>
      <c r="Q640" s="45"/>
      <c r="R640" s="45"/>
      <c r="S640" s="45"/>
      <c r="T640" s="45"/>
      <c r="U640" s="45"/>
      <c r="V640" s="16"/>
      <c r="W640" s="16"/>
      <c r="X640" s="45"/>
      <c r="Y640" s="45"/>
      <c r="Z640" s="45"/>
      <c r="AA640" s="45"/>
      <c r="AB640" s="45"/>
      <c r="AC640" s="45"/>
    </row>
    <row r="641" spans="1:29" s="17" customFormat="1" x14ac:dyDescent="0.25">
      <c r="A641" s="16"/>
      <c r="B641" s="45"/>
      <c r="C641" s="16"/>
      <c r="D641" s="15"/>
      <c r="E641" s="15"/>
      <c r="F641" s="15"/>
      <c r="G641" s="15"/>
      <c r="H641" s="15"/>
      <c r="I641" s="16"/>
      <c r="J641" s="16"/>
      <c r="K641" s="19"/>
      <c r="L641" s="16"/>
      <c r="N641" s="45"/>
      <c r="O641" s="45"/>
      <c r="P641" s="45"/>
      <c r="Q641" s="45"/>
      <c r="R641" s="45"/>
      <c r="S641" s="45"/>
      <c r="T641" s="45"/>
      <c r="U641" s="45"/>
      <c r="V641" s="16"/>
      <c r="W641" s="16"/>
      <c r="X641" s="45"/>
      <c r="Y641" s="45"/>
      <c r="Z641" s="45"/>
      <c r="AA641" s="45"/>
      <c r="AB641" s="45"/>
      <c r="AC641" s="45"/>
    </row>
    <row r="642" spans="1:29" s="17" customFormat="1" x14ac:dyDescent="0.25">
      <c r="A642" s="16"/>
      <c r="B642" s="45"/>
      <c r="C642" s="16"/>
      <c r="D642" s="15"/>
      <c r="E642" s="15"/>
      <c r="F642" s="15"/>
      <c r="G642" s="15"/>
      <c r="H642" s="15"/>
      <c r="I642" s="16"/>
      <c r="J642" s="16"/>
      <c r="K642" s="19"/>
      <c r="L642" s="16"/>
      <c r="N642" s="45"/>
      <c r="O642" s="45"/>
      <c r="P642" s="45"/>
      <c r="Q642" s="45"/>
      <c r="R642" s="45"/>
      <c r="S642" s="45"/>
      <c r="T642" s="45"/>
      <c r="U642" s="45"/>
      <c r="V642" s="16"/>
      <c r="W642" s="16"/>
      <c r="X642" s="45"/>
      <c r="Y642" s="45"/>
      <c r="Z642" s="45"/>
      <c r="AA642" s="45"/>
      <c r="AB642" s="45"/>
      <c r="AC642" s="45"/>
    </row>
    <row r="643" spans="1:29" s="17" customFormat="1" x14ac:dyDescent="0.25">
      <c r="A643" s="16"/>
      <c r="B643" s="45"/>
      <c r="C643" s="16"/>
      <c r="D643" s="15"/>
      <c r="E643" s="15"/>
      <c r="F643" s="15"/>
      <c r="G643" s="15"/>
      <c r="H643" s="15"/>
      <c r="I643" s="16"/>
      <c r="J643" s="16"/>
      <c r="K643" s="19"/>
      <c r="L643" s="16"/>
      <c r="N643" s="45"/>
      <c r="O643" s="45"/>
      <c r="P643" s="45"/>
      <c r="Q643" s="45"/>
      <c r="R643" s="45"/>
      <c r="S643" s="45"/>
      <c r="T643" s="45"/>
      <c r="U643" s="45"/>
      <c r="V643" s="16"/>
      <c r="W643" s="16"/>
      <c r="X643" s="45"/>
      <c r="Y643" s="45"/>
      <c r="Z643" s="45"/>
      <c r="AA643" s="45"/>
      <c r="AB643" s="45"/>
      <c r="AC643" s="45"/>
    </row>
    <row r="644" spans="1:29" s="17" customFormat="1" x14ac:dyDescent="0.25">
      <c r="A644" s="16"/>
      <c r="B644" s="45"/>
      <c r="C644" s="16"/>
      <c r="D644" s="15"/>
      <c r="E644" s="15"/>
      <c r="F644" s="15"/>
      <c r="G644" s="15"/>
      <c r="H644" s="15"/>
      <c r="I644" s="16"/>
      <c r="J644" s="16"/>
      <c r="K644" s="19"/>
      <c r="L644" s="16"/>
      <c r="N644" s="45"/>
      <c r="O644" s="45"/>
      <c r="P644" s="45"/>
      <c r="Q644" s="45"/>
      <c r="R644" s="45"/>
      <c r="S644" s="45"/>
      <c r="T644" s="45"/>
      <c r="U644" s="45"/>
      <c r="V644" s="16"/>
      <c r="W644" s="16"/>
      <c r="X644" s="45"/>
      <c r="Y644" s="45"/>
      <c r="Z644" s="45"/>
      <c r="AA644" s="45"/>
      <c r="AB644" s="45"/>
      <c r="AC644" s="45"/>
    </row>
    <row r="645" spans="1:29" s="17" customFormat="1" x14ac:dyDescent="0.25">
      <c r="A645" s="16"/>
      <c r="B645" s="45"/>
      <c r="C645" s="16"/>
      <c r="D645" s="15"/>
      <c r="E645" s="15"/>
      <c r="F645" s="15"/>
      <c r="G645" s="15"/>
      <c r="H645" s="15"/>
      <c r="I645" s="16"/>
      <c r="J645" s="16"/>
      <c r="K645" s="19"/>
      <c r="L645" s="16"/>
      <c r="N645" s="45"/>
      <c r="O645" s="45"/>
      <c r="P645" s="45"/>
      <c r="Q645" s="45"/>
      <c r="R645" s="45"/>
      <c r="S645" s="45"/>
      <c r="T645" s="45"/>
      <c r="U645" s="45"/>
      <c r="V645" s="16"/>
      <c r="W645" s="16"/>
      <c r="X645" s="45"/>
      <c r="Y645" s="45"/>
      <c r="Z645" s="45"/>
      <c r="AA645" s="45"/>
      <c r="AB645" s="45"/>
      <c r="AC645" s="45"/>
    </row>
    <row r="646" spans="1:29" s="17" customFormat="1" x14ac:dyDescent="0.25">
      <c r="A646" s="16"/>
      <c r="B646" s="45"/>
      <c r="C646" s="16"/>
      <c r="D646" s="15"/>
      <c r="E646" s="15"/>
      <c r="F646" s="15"/>
      <c r="G646" s="15"/>
      <c r="H646" s="15"/>
      <c r="I646" s="16"/>
      <c r="J646" s="16"/>
      <c r="K646" s="19"/>
      <c r="L646" s="16"/>
      <c r="N646" s="45"/>
      <c r="O646" s="45"/>
      <c r="P646" s="45"/>
      <c r="Q646" s="45"/>
      <c r="R646" s="45"/>
      <c r="S646" s="45"/>
      <c r="T646" s="45"/>
      <c r="U646" s="45"/>
      <c r="V646" s="16"/>
      <c r="W646" s="16"/>
      <c r="X646" s="45"/>
      <c r="Y646" s="45"/>
      <c r="Z646" s="45"/>
      <c r="AA646" s="45"/>
      <c r="AB646" s="45"/>
      <c r="AC646" s="45"/>
    </row>
    <row r="647" spans="1:29" s="17" customFormat="1" x14ac:dyDescent="0.25">
      <c r="A647" s="16"/>
      <c r="B647" s="45"/>
      <c r="C647" s="16"/>
      <c r="D647" s="15"/>
      <c r="E647" s="15"/>
      <c r="F647" s="15"/>
      <c r="G647" s="15"/>
      <c r="H647" s="15"/>
      <c r="I647" s="16"/>
      <c r="J647" s="16"/>
      <c r="K647" s="19"/>
      <c r="L647" s="16"/>
      <c r="N647" s="45"/>
      <c r="O647" s="45"/>
      <c r="P647" s="45"/>
      <c r="Q647" s="45"/>
      <c r="R647" s="45"/>
      <c r="S647" s="45"/>
      <c r="T647" s="45"/>
      <c r="U647" s="45"/>
      <c r="V647" s="16"/>
      <c r="W647" s="16"/>
      <c r="X647" s="45"/>
      <c r="Y647" s="45"/>
      <c r="Z647" s="45"/>
      <c r="AA647" s="45"/>
      <c r="AB647" s="45"/>
      <c r="AC647" s="45"/>
    </row>
    <row r="648" spans="1:29" s="17" customFormat="1" x14ac:dyDescent="0.25">
      <c r="A648" s="16"/>
      <c r="B648" s="45"/>
      <c r="C648" s="16"/>
      <c r="D648" s="15"/>
      <c r="E648" s="15"/>
      <c r="F648" s="15"/>
      <c r="G648" s="15"/>
      <c r="H648" s="15"/>
      <c r="I648" s="16"/>
      <c r="J648" s="16"/>
      <c r="K648" s="19"/>
      <c r="L648" s="16"/>
      <c r="N648" s="45"/>
      <c r="O648" s="45"/>
      <c r="P648" s="45"/>
      <c r="Q648" s="45"/>
      <c r="R648" s="45"/>
      <c r="S648" s="45"/>
      <c r="T648" s="45"/>
      <c r="U648" s="45"/>
      <c r="V648" s="16"/>
      <c r="W648" s="16"/>
      <c r="X648" s="45"/>
      <c r="Y648" s="45"/>
      <c r="Z648" s="45"/>
      <c r="AA648" s="45"/>
      <c r="AB648" s="45"/>
      <c r="AC648" s="45"/>
    </row>
    <row r="649" spans="1:29" s="17" customFormat="1" x14ac:dyDescent="0.25">
      <c r="A649" s="16"/>
      <c r="B649" s="45"/>
      <c r="C649" s="16"/>
      <c r="D649" s="15"/>
      <c r="E649" s="15"/>
      <c r="F649" s="15"/>
      <c r="G649" s="15"/>
      <c r="H649" s="15"/>
      <c r="I649" s="16"/>
      <c r="J649" s="16"/>
      <c r="K649" s="19"/>
      <c r="L649" s="16"/>
      <c r="N649" s="45"/>
      <c r="O649" s="45"/>
      <c r="P649" s="45"/>
      <c r="Q649" s="45"/>
      <c r="R649" s="45"/>
      <c r="S649" s="45"/>
      <c r="T649" s="45"/>
      <c r="U649" s="45"/>
      <c r="V649" s="16"/>
      <c r="W649" s="16"/>
      <c r="X649" s="45"/>
      <c r="Y649" s="45"/>
      <c r="Z649" s="45"/>
      <c r="AA649" s="45"/>
      <c r="AB649" s="45"/>
      <c r="AC649" s="45"/>
    </row>
    <row r="650" spans="1:29" s="17" customFormat="1" x14ac:dyDescent="0.25">
      <c r="A650" s="16"/>
      <c r="B650" s="45"/>
      <c r="C650" s="16"/>
      <c r="D650" s="15"/>
      <c r="E650" s="15"/>
      <c r="F650" s="15"/>
      <c r="G650" s="15"/>
      <c r="H650" s="15"/>
      <c r="I650" s="16"/>
      <c r="J650" s="16"/>
      <c r="K650" s="19"/>
      <c r="L650" s="16"/>
      <c r="N650" s="45"/>
      <c r="O650" s="45"/>
      <c r="P650" s="45"/>
      <c r="Q650" s="45"/>
      <c r="R650" s="45"/>
      <c r="S650" s="45"/>
      <c r="T650" s="45"/>
      <c r="U650" s="45"/>
      <c r="V650" s="16"/>
      <c r="W650" s="16"/>
      <c r="X650" s="45"/>
      <c r="Y650" s="45"/>
      <c r="Z650" s="45"/>
      <c r="AA650" s="45"/>
      <c r="AB650" s="45"/>
      <c r="AC650" s="45"/>
    </row>
    <row r="651" spans="1:29" s="17" customFormat="1" x14ac:dyDescent="0.25">
      <c r="A651" s="16"/>
      <c r="B651" s="45"/>
      <c r="C651" s="16"/>
      <c r="D651" s="15"/>
      <c r="E651" s="15"/>
      <c r="F651" s="15"/>
      <c r="G651" s="15"/>
      <c r="H651" s="15"/>
      <c r="I651" s="16"/>
      <c r="J651" s="16"/>
      <c r="K651" s="19"/>
      <c r="L651" s="16"/>
      <c r="N651" s="45"/>
      <c r="O651" s="45"/>
      <c r="P651" s="45"/>
      <c r="Q651" s="45"/>
      <c r="R651" s="45"/>
      <c r="S651" s="45"/>
      <c r="T651" s="45"/>
      <c r="U651" s="45"/>
      <c r="V651" s="16"/>
      <c r="W651" s="16"/>
      <c r="X651" s="45"/>
      <c r="Y651" s="45"/>
      <c r="Z651" s="45"/>
      <c r="AA651" s="45"/>
      <c r="AB651" s="45"/>
      <c r="AC651" s="45"/>
    </row>
    <row r="652" spans="1:29" s="17" customFormat="1" x14ac:dyDescent="0.25">
      <c r="A652" s="16"/>
      <c r="B652" s="45"/>
      <c r="C652" s="16"/>
      <c r="D652" s="15"/>
      <c r="E652" s="15"/>
      <c r="F652" s="15"/>
      <c r="G652" s="15"/>
      <c r="H652" s="15"/>
      <c r="I652" s="16"/>
      <c r="J652" s="16"/>
      <c r="K652" s="19"/>
      <c r="L652" s="16"/>
      <c r="N652" s="45"/>
      <c r="O652" s="45"/>
      <c r="P652" s="45"/>
      <c r="Q652" s="45"/>
      <c r="R652" s="45"/>
      <c r="S652" s="45"/>
      <c r="T652" s="45"/>
      <c r="U652" s="45"/>
      <c r="V652" s="16"/>
      <c r="W652" s="16"/>
      <c r="X652" s="45"/>
      <c r="Y652" s="45"/>
      <c r="Z652" s="45"/>
      <c r="AA652" s="45"/>
      <c r="AB652" s="45"/>
      <c r="AC652" s="45"/>
    </row>
    <row r="653" spans="1:29" s="17" customFormat="1" x14ac:dyDescent="0.25">
      <c r="A653" s="16"/>
      <c r="B653" s="45"/>
      <c r="C653" s="16"/>
      <c r="D653" s="15"/>
      <c r="E653" s="15"/>
      <c r="F653" s="15"/>
      <c r="G653" s="15"/>
      <c r="H653" s="15"/>
      <c r="I653" s="16"/>
      <c r="J653" s="16"/>
      <c r="K653" s="19"/>
      <c r="L653" s="16"/>
      <c r="N653" s="45"/>
      <c r="O653" s="45"/>
      <c r="P653" s="45"/>
      <c r="Q653" s="45"/>
      <c r="R653" s="45"/>
      <c r="S653" s="45"/>
      <c r="T653" s="45"/>
      <c r="U653" s="45"/>
      <c r="V653" s="16"/>
      <c r="W653" s="16"/>
      <c r="X653" s="45"/>
      <c r="Y653" s="45"/>
      <c r="Z653" s="45"/>
      <c r="AA653" s="45"/>
      <c r="AB653" s="45"/>
      <c r="AC653" s="45"/>
    </row>
    <row r="654" spans="1:29" s="17" customFormat="1" x14ac:dyDescent="0.25">
      <c r="A654" s="16"/>
      <c r="B654" s="45"/>
      <c r="C654" s="16"/>
      <c r="D654" s="15"/>
      <c r="E654" s="15"/>
      <c r="F654" s="15"/>
      <c r="G654" s="15"/>
      <c r="H654" s="15"/>
      <c r="I654" s="16"/>
      <c r="J654" s="16"/>
      <c r="K654" s="19"/>
      <c r="L654" s="16"/>
      <c r="N654" s="45"/>
      <c r="O654" s="45"/>
      <c r="P654" s="45"/>
      <c r="Q654" s="45"/>
      <c r="R654" s="45"/>
      <c r="S654" s="45"/>
      <c r="T654" s="45"/>
      <c r="U654" s="45"/>
      <c r="V654" s="16"/>
      <c r="W654" s="16"/>
      <c r="X654" s="45"/>
      <c r="Y654" s="45"/>
      <c r="Z654" s="45"/>
      <c r="AA654" s="45"/>
      <c r="AB654" s="45"/>
      <c r="AC654" s="45"/>
    </row>
    <row r="655" spans="1:29" s="17" customFormat="1" x14ac:dyDescent="0.25">
      <c r="A655" s="16"/>
      <c r="B655" s="45"/>
      <c r="C655" s="16"/>
      <c r="D655" s="15"/>
      <c r="E655" s="15"/>
      <c r="F655" s="15"/>
      <c r="G655" s="15"/>
      <c r="H655" s="15"/>
      <c r="I655" s="16"/>
      <c r="J655" s="16"/>
      <c r="K655" s="19"/>
      <c r="L655" s="16"/>
      <c r="N655" s="45"/>
      <c r="O655" s="45"/>
      <c r="P655" s="45"/>
      <c r="Q655" s="45"/>
      <c r="R655" s="45"/>
      <c r="S655" s="45"/>
      <c r="T655" s="45"/>
      <c r="U655" s="45"/>
      <c r="V655" s="16"/>
      <c r="W655" s="16"/>
      <c r="X655" s="45"/>
      <c r="Y655" s="45"/>
      <c r="Z655" s="45"/>
      <c r="AA655" s="45"/>
      <c r="AB655" s="45"/>
      <c r="AC655" s="45"/>
    </row>
    <row r="656" spans="1:29" s="17" customFormat="1" x14ac:dyDescent="0.25">
      <c r="A656" s="16"/>
      <c r="B656" s="45"/>
      <c r="C656" s="16"/>
      <c r="D656" s="15"/>
      <c r="E656" s="15"/>
      <c r="F656" s="15"/>
      <c r="G656" s="15"/>
      <c r="H656" s="15"/>
      <c r="I656" s="16"/>
      <c r="J656" s="16"/>
      <c r="K656" s="19"/>
      <c r="L656" s="16"/>
      <c r="N656" s="45"/>
      <c r="O656" s="45"/>
      <c r="P656" s="45"/>
      <c r="Q656" s="45"/>
      <c r="R656" s="45"/>
      <c r="S656" s="45"/>
      <c r="T656" s="45"/>
      <c r="U656" s="45"/>
      <c r="V656" s="16"/>
      <c r="W656" s="16"/>
      <c r="X656" s="45"/>
      <c r="Y656" s="45"/>
      <c r="Z656" s="45"/>
      <c r="AA656" s="45"/>
      <c r="AB656" s="45"/>
      <c r="AC656" s="45"/>
    </row>
    <row r="657" spans="1:29" s="17" customFormat="1" x14ac:dyDescent="0.25">
      <c r="A657" s="16"/>
      <c r="B657" s="45"/>
      <c r="C657" s="16"/>
      <c r="D657" s="15"/>
      <c r="E657" s="15"/>
      <c r="F657" s="15"/>
      <c r="G657" s="15"/>
      <c r="H657" s="15"/>
      <c r="I657" s="16"/>
      <c r="J657" s="16"/>
      <c r="K657" s="19"/>
      <c r="L657" s="16"/>
      <c r="N657" s="45"/>
      <c r="O657" s="45"/>
      <c r="P657" s="45"/>
      <c r="Q657" s="45"/>
      <c r="R657" s="45"/>
      <c r="S657" s="45"/>
      <c r="T657" s="45"/>
      <c r="U657" s="45"/>
      <c r="V657" s="16"/>
      <c r="W657" s="16"/>
      <c r="X657" s="45"/>
      <c r="Y657" s="45"/>
      <c r="Z657" s="45"/>
      <c r="AA657" s="45"/>
      <c r="AB657" s="45"/>
      <c r="AC657" s="45"/>
    </row>
    <row r="658" spans="1:29" s="17" customFormat="1" x14ac:dyDescent="0.25">
      <c r="A658" s="16"/>
      <c r="B658" s="45"/>
      <c r="C658" s="16"/>
      <c r="D658" s="15"/>
      <c r="E658" s="15"/>
      <c r="F658" s="15"/>
      <c r="G658" s="15"/>
      <c r="H658" s="15"/>
      <c r="I658" s="16"/>
      <c r="J658" s="16"/>
      <c r="K658" s="19"/>
      <c r="L658" s="16"/>
      <c r="N658" s="45"/>
      <c r="O658" s="45"/>
      <c r="P658" s="45"/>
      <c r="Q658" s="45"/>
      <c r="R658" s="45"/>
      <c r="S658" s="45"/>
      <c r="T658" s="45"/>
      <c r="U658" s="45"/>
      <c r="V658" s="16"/>
      <c r="W658" s="16"/>
      <c r="X658" s="45"/>
      <c r="Y658" s="45"/>
      <c r="Z658" s="45"/>
      <c r="AA658" s="45"/>
      <c r="AB658" s="45"/>
      <c r="AC658" s="45"/>
    </row>
    <row r="659" spans="1:29" s="17" customFormat="1" x14ac:dyDescent="0.25">
      <c r="A659" s="16"/>
      <c r="B659" s="45"/>
      <c r="C659" s="16"/>
      <c r="D659" s="15"/>
      <c r="E659" s="15"/>
      <c r="F659" s="15"/>
      <c r="G659" s="15"/>
      <c r="H659" s="15"/>
      <c r="I659" s="16"/>
      <c r="J659" s="16"/>
      <c r="K659" s="19"/>
      <c r="L659" s="16"/>
      <c r="N659" s="45"/>
      <c r="O659" s="45"/>
      <c r="P659" s="45"/>
      <c r="Q659" s="45"/>
      <c r="R659" s="45"/>
      <c r="S659" s="45"/>
      <c r="T659" s="45"/>
      <c r="U659" s="45"/>
      <c r="V659" s="16"/>
      <c r="W659" s="16"/>
      <c r="X659" s="45"/>
      <c r="Y659" s="45"/>
      <c r="Z659" s="45"/>
      <c r="AA659" s="45"/>
      <c r="AB659" s="45"/>
      <c r="AC659" s="45"/>
    </row>
    <row r="660" spans="1:29" s="17" customFormat="1" x14ac:dyDescent="0.25">
      <c r="A660" s="16"/>
      <c r="B660" s="45"/>
      <c r="C660" s="16"/>
      <c r="D660" s="15"/>
      <c r="E660" s="15"/>
      <c r="F660" s="15"/>
      <c r="G660" s="15"/>
      <c r="H660" s="15"/>
      <c r="I660" s="16"/>
      <c r="J660" s="16"/>
      <c r="K660" s="19"/>
      <c r="L660" s="16"/>
      <c r="N660" s="45"/>
      <c r="O660" s="45"/>
      <c r="P660" s="45"/>
      <c r="Q660" s="45"/>
      <c r="R660" s="45"/>
      <c r="S660" s="45"/>
      <c r="T660" s="45"/>
      <c r="U660" s="45"/>
      <c r="V660" s="16"/>
      <c r="W660" s="16"/>
      <c r="X660" s="45"/>
      <c r="Y660" s="45"/>
      <c r="Z660" s="45"/>
      <c r="AA660" s="45"/>
      <c r="AB660" s="45"/>
      <c r="AC660" s="45"/>
    </row>
    <row r="661" spans="1:29" s="17" customFormat="1" x14ac:dyDescent="0.25">
      <c r="A661" s="16"/>
      <c r="B661" s="45"/>
      <c r="C661" s="16"/>
      <c r="D661" s="15"/>
      <c r="E661" s="15"/>
      <c r="F661" s="15"/>
      <c r="G661" s="15"/>
      <c r="H661" s="15"/>
      <c r="I661" s="16"/>
      <c r="J661" s="16"/>
      <c r="K661" s="19"/>
      <c r="L661" s="16"/>
      <c r="N661" s="45"/>
      <c r="O661" s="45"/>
      <c r="P661" s="45"/>
      <c r="Q661" s="45"/>
      <c r="R661" s="45"/>
      <c r="S661" s="45"/>
      <c r="T661" s="45"/>
      <c r="U661" s="45"/>
      <c r="V661" s="16"/>
      <c r="W661" s="16"/>
      <c r="X661" s="45"/>
      <c r="Y661" s="45"/>
      <c r="Z661" s="45"/>
      <c r="AA661" s="45"/>
      <c r="AB661" s="45"/>
      <c r="AC661" s="45"/>
    </row>
    <row r="662" spans="1:29" s="17" customFormat="1" x14ac:dyDescent="0.25">
      <c r="A662" s="16"/>
      <c r="B662" s="45"/>
      <c r="C662" s="16"/>
      <c r="D662" s="15"/>
      <c r="E662" s="15"/>
      <c r="F662" s="15"/>
      <c r="G662" s="15"/>
      <c r="H662" s="15"/>
      <c r="I662" s="16"/>
      <c r="J662" s="16"/>
      <c r="K662" s="19"/>
      <c r="L662" s="16"/>
      <c r="N662" s="45"/>
      <c r="O662" s="45"/>
      <c r="P662" s="45"/>
      <c r="Q662" s="45"/>
      <c r="R662" s="45"/>
      <c r="S662" s="45"/>
      <c r="T662" s="45"/>
      <c r="U662" s="45"/>
      <c r="V662" s="16"/>
      <c r="W662" s="16"/>
      <c r="X662" s="45"/>
      <c r="Y662" s="45"/>
      <c r="Z662" s="45"/>
      <c r="AA662" s="45"/>
      <c r="AB662" s="45"/>
      <c r="AC662" s="45"/>
    </row>
    <row r="663" spans="1:29" s="17" customFormat="1" x14ac:dyDescent="0.25">
      <c r="A663" s="16"/>
      <c r="B663" s="45"/>
      <c r="C663" s="16"/>
      <c r="D663" s="15"/>
      <c r="E663" s="15"/>
      <c r="F663" s="15"/>
      <c r="G663" s="15"/>
      <c r="H663" s="15"/>
      <c r="I663" s="16"/>
      <c r="J663" s="16"/>
      <c r="K663" s="19"/>
      <c r="L663" s="16"/>
      <c r="N663" s="45"/>
      <c r="O663" s="45"/>
      <c r="P663" s="45"/>
      <c r="Q663" s="45"/>
      <c r="R663" s="45"/>
      <c r="S663" s="45"/>
      <c r="T663" s="45"/>
      <c r="U663" s="45"/>
      <c r="V663" s="16"/>
      <c r="W663" s="16"/>
      <c r="X663" s="45"/>
      <c r="Y663" s="45"/>
      <c r="Z663" s="45"/>
      <c r="AA663" s="45"/>
      <c r="AB663" s="45"/>
      <c r="AC663" s="45"/>
    </row>
    <row r="664" spans="1:29" s="17" customFormat="1" x14ac:dyDescent="0.25">
      <c r="A664" s="16"/>
      <c r="B664" s="45"/>
      <c r="C664" s="16"/>
      <c r="D664" s="15"/>
      <c r="E664" s="15"/>
      <c r="F664" s="15"/>
      <c r="G664" s="15"/>
      <c r="H664" s="15"/>
      <c r="I664" s="16"/>
      <c r="J664" s="16"/>
      <c r="K664" s="19"/>
      <c r="L664" s="16"/>
      <c r="N664" s="45"/>
      <c r="O664" s="45"/>
      <c r="P664" s="45"/>
      <c r="Q664" s="45"/>
      <c r="R664" s="45"/>
      <c r="S664" s="45"/>
      <c r="T664" s="45"/>
      <c r="U664" s="45"/>
      <c r="V664" s="16"/>
      <c r="W664" s="16"/>
      <c r="X664" s="45"/>
      <c r="Y664" s="45"/>
      <c r="Z664" s="45"/>
      <c r="AA664" s="45"/>
      <c r="AB664" s="45"/>
      <c r="AC664" s="45"/>
    </row>
    <row r="665" spans="1:29" s="17" customFormat="1" x14ac:dyDescent="0.25">
      <c r="A665" s="16"/>
      <c r="B665" s="45"/>
      <c r="C665" s="16"/>
      <c r="D665" s="15"/>
      <c r="E665" s="15"/>
      <c r="F665" s="15"/>
      <c r="G665" s="15"/>
      <c r="H665" s="15"/>
      <c r="I665" s="16"/>
      <c r="J665" s="16"/>
      <c r="K665" s="19"/>
      <c r="L665" s="16"/>
      <c r="N665" s="45"/>
      <c r="O665" s="45"/>
      <c r="P665" s="45"/>
      <c r="Q665" s="45"/>
      <c r="R665" s="45"/>
      <c r="S665" s="45"/>
      <c r="T665" s="45"/>
      <c r="U665" s="45"/>
      <c r="V665" s="16"/>
      <c r="W665" s="16"/>
      <c r="X665" s="45"/>
      <c r="Y665" s="45"/>
      <c r="Z665" s="45"/>
      <c r="AA665" s="45"/>
      <c r="AB665" s="45"/>
      <c r="AC665" s="45"/>
    </row>
    <row r="666" spans="1:29" s="17" customFormat="1" x14ac:dyDescent="0.25">
      <c r="A666" s="16"/>
      <c r="B666" s="45"/>
      <c r="C666" s="16"/>
      <c r="D666" s="15"/>
      <c r="E666" s="15"/>
      <c r="F666" s="15"/>
      <c r="G666" s="15"/>
      <c r="H666" s="15"/>
      <c r="I666" s="16"/>
      <c r="J666" s="16"/>
      <c r="K666" s="19"/>
      <c r="L666" s="16"/>
      <c r="N666" s="45"/>
      <c r="O666" s="45"/>
      <c r="P666" s="45"/>
      <c r="Q666" s="45"/>
      <c r="R666" s="45"/>
      <c r="S666" s="45"/>
      <c r="T666" s="45"/>
      <c r="U666" s="45"/>
      <c r="V666" s="16"/>
      <c r="W666" s="16"/>
      <c r="X666" s="45"/>
      <c r="Y666" s="45"/>
      <c r="Z666" s="45"/>
      <c r="AA666" s="45"/>
      <c r="AB666" s="45"/>
      <c r="AC666" s="45"/>
    </row>
    <row r="667" spans="1:29" s="17" customFormat="1" x14ac:dyDescent="0.25">
      <c r="A667" s="16"/>
      <c r="B667" s="45"/>
      <c r="C667" s="16"/>
      <c r="D667" s="15"/>
      <c r="E667" s="15"/>
      <c r="F667" s="15"/>
      <c r="G667" s="15"/>
      <c r="H667" s="15"/>
      <c r="I667" s="16"/>
      <c r="J667" s="16"/>
      <c r="K667" s="19"/>
      <c r="L667" s="16"/>
      <c r="N667" s="45"/>
      <c r="O667" s="45"/>
      <c r="P667" s="45"/>
      <c r="Q667" s="45"/>
      <c r="R667" s="45"/>
      <c r="S667" s="45"/>
      <c r="T667" s="45"/>
      <c r="U667" s="45"/>
      <c r="V667" s="16"/>
      <c r="W667" s="16"/>
      <c r="X667" s="45"/>
      <c r="Y667" s="45"/>
      <c r="Z667" s="45"/>
      <c r="AA667" s="45"/>
      <c r="AB667" s="45"/>
      <c r="AC667" s="45"/>
    </row>
    <row r="668" spans="1:29" s="17" customFormat="1" x14ac:dyDescent="0.25">
      <c r="A668" s="16"/>
      <c r="B668" s="45"/>
      <c r="C668" s="16"/>
      <c r="D668" s="15"/>
      <c r="E668" s="15"/>
      <c r="F668" s="15"/>
      <c r="G668" s="15"/>
      <c r="H668" s="15"/>
      <c r="I668" s="16"/>
      <c r="J668" s="16"/>
      <c r="K668" s="19"/>
      <c r="L668" s="16"/>
      <c r="N668" s="45"/>
      <c r="O668" s="45"/>
      <c r="P668" s="45"/>
      <c r="Q668" s="45"/>
      <c r="R668" s="45"/>
      <c r="S668" s="45"/>
      <c r="T668" s="45"/>
      <c r="U668" s="45"/>
      <c r="V668" s="16"/>
      <c r="W668" s="16"/>
      <c r="X668" s="45"/>
      <c r="Y668" s="45"/>
      <c r="Z668" s="45"/>
      <c r="AA668" s="45"/>
      <c r="AB668" s="45"/>
      <c r="AC668" s="45"/>
    </row>
    <row r="669" spans="1:29" s="17" customFormat="1" x14ac:dyDescent="0.25">
      <c r="A669" s="16"/>
      <c r="B669" s="45"/>
      <c r="C669" s="16"/>
      <c r="D669" s="15"/>
      <c r="E669" s="15"/>
      <c r="F669" s="15"/>
      <c r="G669" s="15"/>
      <c r="H669" s="15"/>
      <c r="I669" s="16"/>
      <c r="J669" s="16"/>
      <c r="K669" s="19"/>
      <c r="L669" s="16"/>
      <c r="N669" s="45"/>
      <c r="O669" s="45"/>
      <c r="P669" s="45"/>
      <c r="Q669" s="45"/>
      <c r="R669" s="45"/>
      <c r="S669" s="45"/>
      <c r="T669" s="45"/>
      <c r="U669" s="45"/>
      <c r="V669" s="16"/>
      <c r="W669" s="16"/>
      <c r="X669" s="45"/>
      <c r="Y669" s="45"/>
      <c r="Z669" s="45"/>
      <c r="AA669" s="45"/>
      <c r="AB669" s="45"/>
      <c r="AC669" s="45"/>
    </row>
    <row r="670" spans="1:29" s="17" customFormat="1" x14ac:dyDescent="0.25">
      <c r="A670" s="16"/>
      <c r="B670" s="45"/>
      <c r="C670" s="16"/>
      <c r="D670" s="15"/>
      <c r="E670" s="15"/>
      <c r="F670" s="15"/>
      <c r="G670" s="15"/>
      <c r="H670" s="15"/>
      <c r="I670" s="16"/>
      <c r="J670" s="16"/>
      <c r="K670" s="19"/>
      <c r="L670" s="16"/>
      <c r="N670" s="45"/>
      <c r="O670" s="45"/>
      <c r="P670" s="45"/>
      <c r="Q670" s="45"/>
      <c r="R670" s="45"/>
      <c r="S670" s="45"/>
      <c r="T670" s="45"/>
      <c r="U670" s="45"/>
      <c r="V670" s="16"/>
      <c r="W670" s="16"/>
      <c r="X670" s="45"/>
      <c r="Y670" s="45"/>
      <c r="Z670" s="45"/>
      <c r="AA670" s="45"/>
      <c r="AB670" s="45"/>
      <c r="AC670" s="45"/>
    </row>
    <row r="671" spans="1:29" s="17" customFormat="1" x14ac:dyDescent="0.25">
      <c r="A671" s="16"/>
      <c r="B671" s="45"/>
      <c r="C671" s="16"/>
      <c r="D671" s="15"/>
      <c r="E671" s="15"/>
      <c r="F671" s="15"/>
      <c r="G671" s="15"/>
      <c r="H671" s="15"/>
      <c r="I671" s="16"/>
      <c r="J671" s="16"/>
      <c r="K671" s="19"/>
      <c r="L671" s="16"/>
      <c r="N671" s="45"/>
      <c r="O671" s="45"/>
      <c r="P671" s="45"/>
      <c r="Q671" s="45"/>
      <c r="R671" s="45"/>
      <c r="S671" s="45"/>
      <c r="T671" s="45"/>
      <c r="U671" s="45"/>
      <c r="V671" s="16"/>
      <c r="W671" s="16"/>
      <c r="X671" s="45"/>
      <c r="Y671" s="45"/>
      <c r="Z671" s="45"/>
      <c r="AA671" s="45"/>
      <c r="AB671" s="45"/>
      <c r="AC671" s="45"/>
    </row>
    <row r="672" spans="1:29" s="17" customFormat="1" x14ac:dyDescent="0.25">
      <c r="A672" s="16"/>
      <c r="B672" s="45"/>
      <c r="C672" s="16"/>
      <c r="D672" s="15"/>
      <c r="E672" s="15"/>
      <c r="F672" s="15"/>
      <c r="G672" s="15"/>
      <c r="H672" s="15"/>
      <c r="I672" s="16"/>
      <c r="J672" s="16"/>
      <c r="K672" s="19"/>
      <c r="L672" s="16"/>
      <c r="N672" s="45"/>
      <c r="O672" s="45"/>
      <c r="P672" s="45"/>
      <c r="Q672" s="45"/>
      <c r="R672" s="45"/>
      <c r="S672" s="45"/>
      <c r="T672" s="45"/>
      <c r="U672" s="45"/>
      <c r="V672" s="16"/>
      <c r="W672" s="16"/>
      <c r="X672" s="45"/>
      <c r="Y672" s="45"/>
      <c r="Z672" s="45"/>
      <c r="AA672" s="45"/>
      <c r="AB672" s="45"/>
      <c r="AC672" s="45"/>
    </row>
    <row r="673" spans="1:29" s="17" customFormat="1" x14ac:dyDescent="0.25">
      <c r="A673" s="16"/>
      <c r="B673" s="45"/>
      <c r="C673" s="16"/>
      <c r="D673" s="15"/>
      <c r="E673" s="15"/>
      <c r="F673" s="15"/>
      <c r="G673" s="15"/>
      <c r="H673" s="15"/>
      <c r="I673" s="16"/>
      <c r="J673" s="16"/>
      <c r="K673" s="19"/>
      <c r="L673" s="16"/>
      <c r="N673" s="45"/>
      <c r="O673" s="45"/>
      <c r="P673" s="45"/>
      <c r="Q673" s="45"/>
      <c r="R673" s="45"/>
      <c r="S673" s="45"/>
      <c r="T673" s="45"/>
      <c r="U673" s="45"/>
      <c r="V673" s="16"/>
      <c r="W673" s="16"/>
      <c r="X673" s="45"/>
      <c r="Y673" s="45"/>
      <c r="Z673" s="45"/>
      <c r="AA673" s="45"/>
      <c r="AB673" s="45"/>
      <c r="AC673" s="45"/>
    </row>
    <row r="674" spans="1:29" s="17" customFormat="1" x14ac:dyDescent="0.25">
      <c r="A674" s="16"/>
      <c r="B674" s="45"/>
      <c r="C674" s="16"/>
      <c r="D674" s="15"/>
      <c r="E674" s="15"/>
      <c r="F674" s="15"/>
      <c r="G674" s="15"/>
      <c r="H674" s="15"/>
      <c r="I674" s="16"/>
      <c r="J674" s="16"/>
      <c r="K674" s="19"/>
      <c r="L674" s="16"/>
      <c r="N674" s="45"/>
      <c r="O674" s="45"/>
      <c r="P674" s="45"/>
      <c r="Q674" s="45"/>
      <c r="R674" s="45"/>
      <c r="S674" s="45"/>
      <c r="T674" s="45"/>
      <c r="U674" s="45"/>
      <c r="V674" s="16"/>
      <c r="W674" s="16"/>
      <c r="X674" s="45"/>
      <c r="Y674" s="45"/>
      <c r="Z674" s="45"/>
      <c r="AA674" s="45"/>
      <c r="AB674" s="45"/>
      <c r="AC674" s="45"/>
    </row>
    <row r="675" spans="1:29" x14ac:dyDescent="0.25">
      <c r="L675" s="16"/>
    </row>
    <row r="676" spans="1:29" x14ac:dyDescent="0.25">
      <c r="L676" s="16"/>
      <c r="N676" s="17"/>
      <c r="O676" s="38"/>
    </row>
    <row r="677" spans="1:29" x14ac:dyDescent="0.25">
      <c r="L677" s="16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539"/>
  <sheetViews>
    <sheetView zoomScaleNormal="100" workbookViewId="0">
      <selection activeCell="Q8" sqref="Q8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1" width="10.7109375" style="15" customWidth="1"/>
    <col min="12" max="12" width="10.7109375" style="19" customWidth="1"/>
    <col min="13" max="13" width="10.7109375" style="45" customWidth="1"/>
    <col min="14" max="14" width="10.42578125" style="17" customWidth="1"/>
    <col min="15" max="15" width="8.85546875" style="45"/>
    <col min="16" max="16" width="16.7109375" style="45" customWidth="1"/>
    <col min="17" max="18" width="12" style="45" bestFit="1" customWidth="1"/>
    <col min="19" max="22" width="8.85546875" style="45"/>
    <col min="23" max="24" width="8.85546875" style="16"/>
    <col min="25" max="16384" width="8.85546875" style="45"/>
  </cols>
  <sheetData>
    <row r="1" spans="1:24" ht="18.75" x14ac:dyDescent="0.3">
      <c r="A1" s="47" t="s">
        <v>613</v>
      </c>
    </row>
    <row r="2" spans="1:24" s="51" customFormat="1" ht="20.100000000000001" customHeight="1" x14ac:dyDescent="0.25">
      <c r="A2" s="52" t="s">
        <v>617</v>
      </c>
      <c r="C2" s="52"/>
      <c r="D2" s="56">
        <v>626.32929900939598</v>
      </c>
      <c r="E2" s="55"/>
      <c r="F2" s="53" t="s">
        <v>620</v>
      </c>
      <c r="G2" s="53">
        <v>48752666431</v>
      </c>
      <c r="H2" s="62"/>
      <c r="J2" s="53"/>
      <c r="L2" s="51" t="s">
        <v>1</v>
      </c>
      <c r="M2" s="60" t="s">
        <v>594</v>
      </c>
      <c r="N2" s="55"/>
      <c r="W2" s="52"/>
      <c r="X2" s="52"/>
    </row>
    <row r="3" spans="1:24" s="51" customFormat="1" ht="20.100000000000001" customHeight="1" x14ac:dyDescent="0.25">
      <c r="A3" s="52" t="s">
        <v>616</v>
      </c>
      <c r="C3" s="52"/>
      <c r="D3" s="53">
        <v>1.6723131624302901E+40</v>
      </c>
      <c r="E3" s="53"/>
      <c r="F3" s="53" t="s">
        <v>621</v>
      </c>
      <c r="G3" s="53">
        <f ca="1">H36/SolarMass</f>
        <v>62298090168.407326</v>
      </c>
      <c r="H3" s="62"/>
      <c r="J3" s="53"/>
      <c r="L3" s="51" t="s">
        <v>562</v>
      </c>
      <c r="M3" s="57">
        <v>8.1099999999999998E-4</v>
      </c>
      <c r="N3" s="55"/>
      <c r="W3" s="52"/>
      <c r="X3" s="52"/>
    </row>
    <row r="4" spans="1:24" s="51" customFormat="1" ht="20.100000000000001" customHeight="1" x14ac:dyDescent="0.25">
      <c r="A4" s="52" t="s">
        <v>618</v>
      </c>
      <c r="C4" s="52"/>
      <c r="D4" s="58">
        <v>2337.3906701072601</v>
      </c>
      <c r="E4" s="55"/>
      <c r="F4" s="53" t="s">
        <v>622</v>
      </c>
      <c r="G4" s="52">
        <f ca="1">G3/G2</f>
        <v>1.2778396491723845</v>
      </c>
      <c r="H4" s="62"/>
      <c r="J4" s="53"/>
      <c r="L4" s="61" t="s">
        <v>614</v>
      </c>
      <c r="M4" s="52">
        <f ca="1">QEHModelChiSquare</f>
        <v>163.50884277079356</v>
      </c>
      <c r="N4" s="55"/>
      <c r="W4" s="52"/>
      <c r="X4" s="52"/>
    </row>
    <row r="5" spans="1:24" s="51" customFormat="1" ht="20.100000000000001" customHeight="1" x14ac:dyDescent="0.25">
      <c r="A5" s="52" t="s">
        <v>619</v>
      </c>
      <c r="C5" s="52"/>
      <c r="D5" s="59">
        <v>1606.5557414554901</v>
      </c>
      <c r="F5" s="53"/>
      <c r="G5" s="52"/>
      <c r="H5" s="62"/>
      <c r="J5" s="53"/>
      <c r="L5" s="61" t="s">
        <v>615</v>
      </c>
      <c r="M5" s="52">
        <f ca="1">LCDMModelChiSquare</f>
        <v>326.49495340622911</v>
      </c>
      <c r="N5" s="55"/>
      <c r="W5" s="52"/>
      <c r="X5" s="52"/>
    </row>
    <row r="6" spans="1:24" s="51" customFormat="1" ht="20.100000000000001" customHeight="1" x14ac:dyDescent="0.25">
      <c r="F6" s="53"/>
      <c r="G6" s="53"/>
      <c r="H6" s="62"/>
      <c r="J6" s="53"/>
      <c r="L6" s="54"/>
      <c r="N6" s="55"/>
      <c r="W6" s="52"/>
      <c r="X6" s="52"/>
    </row>
    <row r="7" spans="1:24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4" t="s">
        <v>671</v>
      </c>
      <c r="K7" s="7" t="s">
        <v>646</v>
      </c>
      <c r="L7" s="25" t="s">
        <v>647</v>
      </c>
      <c r="M7" s="3" t="s">
        <v>648</v>
      </c>
      <c r="N7" s="5"/>
      <c r="W7" s="7"/>
      <c r="X7" s="7"/>
    </row>
    <row r="8" spans="1:24" x14ac:dyDescent="0.25">
      <c r="A8" s="16">
        <v>0.09</v>
      </c>
      <c r="B8" s="45">
        <f t="shared" ref="B8:B36" si="0">RadiusKpc*1000</f>
        <v>90</v>
      </c>
      <c r="C8" s="16">
        <f t="shared" ref="C8:C36" si="1">IF(QESBulgeEffectiveRadius=0,0,RadiusPc/QESBulgeEffectiveRadius)</f>
        <v>0.14369437952582489</v>
      </c>
      <c r="D8" s="15">
        <f t="shared" ref="D8:D36" si="2">RadiusKpc*kpc</f>
        <v>2.777109822E+18</v>
      </c>
      <c r="E8" s="15">
        <f ca="1"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1.1440888478282816E+39</v>
      </c>
      <c r="F8" s="15">
        <f t="shared" ref="F8:F36" si="3">2*PI()*QESDiskSurfaceDensity*QESDiskScaleLength*(QESDiskScaleLength-EXP(-RadiusPc/QESDiskScaleLength)*(RadiusPc+QESDiskScaleLength))*SolarMass</f>
        <v>7.9260541742673763E+37</v>
      </c>
      <c r="H8" s="18">
        <f t="shared" ref="H8:H36" ca="1" si="4">BulgeMass+DiskMass+HaloMass</f>
        <v>1.2233493895709554E+39</v>
      </c>
      <c r="I8" s="16">
        <v>156.13999999999999</v>
      </c>
      <c r="J8" s="15">
        <f>I8*1000</f>
        <v>156140</v>
      </c>
      <c r="K8" s="45">
        <v>1</v>
      </c>
      <c r="L8" s="19">
        <f t="shared" ref="L8:L36" ca="1" si="5">SQRT(TotalMass*GravitationalConstant/RadiusM+UniverseAcceleration*RadiusM)/km</f>
        <v>171.75964107418145</v>
      </c>
      <c r="M8" s="16">
        <f t="shared" ref="M8:M36" ca="1" si="6">(ObservedVelocityKm-ModelVelocity)^2/(VelocityError)^2</f>
        <v>243.97318728625652</v>
      </c>
      <c r="P8" s="69">
        <f t="shared" ref="P8:P36" si="7">UniverseAcceleration</f>
        <v>3.6466161335543597E-11</v>
      </c>
      <c r="Q8" s="45">
        <f t="shared" ref="Q8:Q36" si="8">(ObservedVelocityKm*1000)^2/(RadiusM*(InitialTangentVelocity+Age*UniverseAcceleration))</f>
        <v>2.9282934271645626E-17</v>
      </c>
      <c r="R8" s="45">
        <f t="shared" ref="R8:R36" si="9">ObservedVelocityM^2/RadiusM</f>
        <v>8.7788028427490832E-9</v>
      </c>
    </row>
    <row r="9" spans="1:24" x14ac:dyDescent="0.25">
      <c r="A9" s="16">
        <v>0.19</v>
      </c>
      <c r="B9" s="45">
        <f t="shared" si="0"/>
        <v>190</v>
      </c>
      <c r="C9" s="16">
        <f t="shared" si="1"/>
        <v>0.30335480122118585</v>
      </c>
      <c r="D9" s="15">
        <f t="shared" si="2"/>
        <v>5.862787402E+18</v>
      </c>
      <c r="E9" s="15">
        <f ca="1"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2.5765671114130871E+39</v>
      </c>
      <c r="F9" s="15">
        <f t="shared" si="3"/>
        <v>3.4336373743357837E+38</v>
      </c>
      <c r="H9" s="18">
        <f t="shared" ca="1" si="4"/>
        <v>2.9199308488466657E+39</v>
      </c>
      <c r="I9" s="16">
        <v>194.81</v>
      </c>
      <c r="J9" s="15">
        <f t="shared" ref="J9:J36" si="10">I9*1000</f>
        <v>194810</v>
      </c>
      <c r="K9" s="45">
        <v>1</v>
      </c>
      <c r="L9" s="19">
        <f t="shared" ca="1" si="5"/>
        <v>182.90353340879619</v>
      </c>
      <c r="M9" s="16">
        <f t="shared" ca="1" si="6"/>
        <v>141.76394668745246</v>
      </c>
      <c r="P9" s="69">
        <f t="shared" si="7"/>
        <v>3.6466161335543597E-11</v>
      </c>
      <c r="Q9" s="45">
        <f t="shared" si="8"/>
        <v>2.1592237265504354E-17</v>
      </c>
      <c r="R9" s="45">
        <f t="shared" si="9"/>
        <v>6.4731898835447485E-9</v>
      </c>
    </row>
    <row r="10" spans="1:24" x14ac:dyDescent="0.25">
      <c r="A10" s="16">
        <v>0.3</v>
      </c>
      <c r="B10" s="45">
        <f t="shared" si="0"/>
        <v>300</v>
      </c>
      <c r="C10" s="16">
        <f t="shared" si="1"/>
        <v>0.47898126508608296</v>
      </c>
      <c r="D10" s="15">
        <f t="shared" si="2"/>
        <v>9.25703274E+18</v>
      </c>
      <c r="E10" s="15">
        <f ca="1"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3.9402196818644844E+39</v>
      </c>
      <c r="F10" s="15">
        <f t="shared" si="3"/>
        <v>8.2982024749805616E+38</v>
      </c>
      <c r="H10" s="18">
        <f t="shared" ca="1" si="4"/>
        <v>4.7700399293625404E+39</v>
      </c>
      <c r="I10" s="16">
        <v>199.39</v>
      </c>
      <c r="J10" s="15">
        <f t="shared" si="10"/>
        <v>199390</v>
      </c>
      <c r="K10" s="45">
        <v>1</v>
      </c>
      <c r="L10" s="19">
        <f t="shared" ca="1" si="5"/>
        <v>186.35535014612068</v>
      </c>
      <c r="M10" s="16">
        <f t="shared" ca="1" si="6"/>
        <v>169.90209681323569</v>
      </c>
      <c r="P10" s="69">
        <f t="shared" si="7"/>
        <v>3.6466161335543597E-11</v>
      </c>
      <c r="Q10" s="45">
        <f t="shared" si="8"/>
        <v>1.4325646954444667E-17</v>
      </c>
      <c r="R10" s="45">
        <f t="shared" si="9"/>
        <v>4.2947209129131803E-9</v>
      </c>
    </row>
    <row r="11" spans="1:24" x14ac:dyDescent="0.25">
      <c r="A11" s="16">
        <v>0.42</v>
      </c>
      <c r="B11" s="45">
        <f t="shared" si="0"/>
        <v>420</v>
      </c>
      <c r="C11" s="16">
        <f t="shared" si="1"/>
        <v>0.67057377112051608</v>
      </c>
      <c r="D11" s="15">
        <f t="shared" si="2"/>
        <v>1.2959845836E+19</v>
      </c>
      <c r="E11" s="15">
        <f ca="1"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5.2018477058272532E+39</v>
      </c>
      <c r="F11" s="15">
        <f t="shared" si="3"/>
        <v>1.572420073121041E+39</v>
      </c>
      <c r="H11" s="18">
        <f t="shared" ca="1" si="4"/>
        <v>6.7742677789482939E+39</v>
      </c>
      <c r="I11" s="16">
        <v>197.18</v>
      </c>
      <c r="J11" s="15">
        <f t="shared" si="10"/>
        <v>197180</v>
      </c>
      <c r="K11" s="45">
        <v>1</v>
      </c>
      <c r="L11" s="19">
        <f t="shared" ca="1" si="5"/>
        <v>188.0394033614669</v>
      </c>
      <c r="M11" s="16">
        <f t="shared" ca="1" si="6"/>
        <v>83.550506908362806</v>
      </c>
      <c r="P11" s="69">
        <f t="shared" si="7"/>
        <v>3.6466161335543597E-11</v>
      </c>
      <c r="Q11" s="45">
        <f t="shared" si="8"/>
        <v>1.0007029641994594E-17</v>
      </c>
      <c r="R11" s="45">
        <f t="shared" si="9"/>
        <v>3.0000320136524194E-9</v>
      </c>
    </row>
    <row r="12" spans="1:24" x14ac:dyDescent="0.25">
      <c r="A12" s="16">
        <v>0.56000000000000005</v>
      </c>
      <c r="B12" s="45">
        <f t="shared" si="0"/>
        <v>560</v>
      </c>
      <c r="C12" s="16">
        <f t="shared" si="1"/>
        <v>0.89409836149402144</v>
      </c>
      <c r="D12" s="15">
        <f t="shared" si="2"/>
        <v>1.7279794448000002E+19</v>
      </c>
      <c r="E12" s="15">
        <f ca="1"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6.4358462181232192E+39</v>
      </c>
      <c r="F12" s="15">
        <f t="shared" si="3"/>
        <v>2.6878904418092843E+39</v>
      </c>
      <c r="H12" s="18">
        <f t="shared" ca="1" si="4"/>
        <v>9.1237366599325035E+39</v>
      </c>
      <c r="I12" s="16">
        <v>194.03</v>
      </c>
      <c r="J12" s="15">
        <f t="shared" si="10"/>
        <v>194030</v>
      </c>
      <c r="K12" s="45">
        <v>1</v>
      </c>
      <c r="L12" s="19">
        <f t="shared" ca="1" si="5"/>
        <v>189.39189587519587</v>
      </c>
      <c r="M12" s="16">
        <f t="shared" ca="1" si="6"/>
        <v>21.512009872525084</v>
      </c>
      <c r="P12" s="69">
        <f t="shared" si="7"/>
        <v>3.6466161335543597E-11</v>
      </c>
      <c r="Q12" s="45">
        <f t="shared" si="8"/>
        <v>7.2673904258200945E-18</v>
      </c>
      <c r="R12" s="45">
        <f t="shared" si="9"/>
        <v>2.1787088390022725E-9</v>
      </c>
    </row>
    <row r="13" spans="1:24" x14ac:dyDescent="0.25">
      <c r="A13" s="16">
        <v>0.7</v>
      </c>
      <c r="B13" s="45">
        <f t="shared" si="0"/>
        <v>700</v>
      </c>
      <c r="C13" s="16">
        <f t="shared" si="1"/>
        <v>1.1176229518675269</v>
      </c>
      <c r="D13" s="15">
        <f t="shared" si="2"/>
        <v>2.1599743059999998E+19</v>
      </c>
      <c r="E13" s="15">
        <f ca="1"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7.4627948148095025E+39</v>
      </c>
      <c r="F13" s="15">
        <f t="shared" si="3"/>
        <v>4.0391160553532988E+39</v>
      </c>
      <c r="H13" s="18">
        <f t="shared" ca="1" si="4"/>
        <v>1.1501910870162802E+40</v>
      </c>
      <c r="I13" s="16">
        <v>185.19</v>
      </c>
      <c r="J13" s="15">
        <f t="shared" si="10"/>
        <v>185190</v>
      </c>
      <c r="K13" s="45">
        <v>1</v>
      </c>
      <c r="L13" s="19">
        <f t="shared" ca="1" si="5"/>
        <v>190.59717488520758</v>
      </c>
      <c r="M13" s="16">
        <f t="shared" ca="1" si="6"/>
        <v>29.237540239219619</v>
      </c>
      <c r="P13" s="69">
        <f t="shared" si="7"/>
        <v>3.6466161335543597E-11</v>
      </c>
      <c r="Q13" s="45">
        <f t="shared" si="8"/>
        <v>5.2962170540342632E-18</v>
      </c>
      <c r="R13" s="45">
        <f t="shared" si="9"/>
        <v>1.5877659287304505E-9</v>
      </c>
    </row>
    <row r="14" spans="1:24" x14ac:dyDescent="0.25">
      <c r="A14" s="16">
        <v>0.86</v>
      </c>
      <c r="B14" s="45">
        <f t="shared" si="0"/>
        <v>860</v>
      </c>
      <c r="C14" s="16">
        <f t="shared" si="1"/>
        <v>1.3730796265801044</v>
      </c>
      <c r="D14" s="15">
        <f t="shared" si="2"/>
        <v>2.6536827187999998E+19</v>
      </c>
      <c r="E14" s="15">
        <f ca="1"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8.4480855426433797E+39</v>
      </c>
      <c r="F14" s="15">
        <f t="shared" si="3"/>
        <v>5.8321841612884802E+39</v>
      </c>
      <c r="H14" s="18">
        <f t="shared" ca="1" si="4"/>
        <v>1.4280269703931861E+40</v>
      </c>
      <c r="I14" s="16">
        <v>180.66</v>
      </c>
      <c r="J14" s="15">
        <f t="shared" si="10"/>
        <v>180660</v>
      </c>
      <c r="K14" s="45">
        <v>1</v>
      </c>
      <c r="L14" s="19">
        <f t="shared" ca="1" si="5"/>
        <v>192.04931723966072</v>
      </c>
      <c r="M14" s="16">
        <f t="shared" ca="1" si="6"/>
        <v>129.71654718563303</v>
      </c>
      <c r="P14" s="69">
        <f t="shared" si="7"/>
        <v>3.6466161335543597E-11</v>
      </c>
      <c r="Q14" s="45">
        <f t="shared" si="8"/>
        <v>4.1025540607515212E-18</v>
      </c>
      <c r="R14" s="45">
        <f t="shared" si="9"/>
        <v>1.2299147659505798E-9</v>
      </c>
    </row>
    <row r="15" spans="1:24" x14ac:dyDescent="0.25">
      <c r="A15" s="16">
        <v>1.04</v>
      </c>
      <c r="B15" s="45">
        <f t="shared" si="0"/>
        <v>1040</v>
      </c>
      <c r="C15" s="16">
        <f t="shared" si="1"/>
        <v>1.6604683856317541</v>
      </c>
      <c r="D15" s="15">
        <f t="shared" si="2"/>
        <v>3.2091046832E+19</v>
      </c>
      <c r="E15" s="15">
        <f ca="1"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9.371384247859533E+39</v>
      </c>
      <c r="F15" s="15">
        <f t="shared" si="3"/>
        <v>8.1167011759501039E+39</v>
      </c>
      <c r="H15" s="18">
        <f t="shared" ca="1" si="4"/>
        <v>1.7488085423809637E+40</v>
      </c>
      <c r="I15" s="16">
        <v>182.21</v>
      </c>
      <c r="J15" s="15">
        <f t="shared" si="10"/>
        <v>182210</v>
      </c>
      <c r="K15" s="45">
        <v>1</v>
      </c>
      <c r="L15" s="19">
        <f t="shared" ca="1" si="5"/>
        <v>193.75443399901332</v>
      </c>
      <c r="M15" s="16">
        <f t="shared" ca="1" si="6"/>
        <v>133.27395635757438</v>
      </c>
      <c r="P15" s="69">
        <f t="shared" si="7"/>
        <v>3.6466161335543597E-11</v>
      </c>
      <c r="Q15" s="45">
        <f t="shared" si="8"/>
        <v>3.4509592338739361E-18</v>
      </c>
      <c r="R15" s="45">
        <f t="shared" si="9"/>
        <v>1.0345715511808642E-9</v>
      </c>
      <c r="S15" s="15"/>
    </row>
    <row r="16" spans="1:24" x14ac:dyDescent="0.25">
      <c r="A16" s="16">
        <v>1.23</v>
      </c>
      <c r="B16" s="45">
        <f t="shared" si="0"/>
        <v>1230</v>
      </c>
      <c r="C16" s="16">
        <f t="shared" si="1"/>
        <v>1.9638231868529401</v>
      </c>
      <c r="D16" s="15">
        <f t="shared" si="2"/>
        <v>3.7953834233999999E+19</v>
      </c>
      <c r="E16" s="15">
        <f ca="1"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1.0183235862285001E+40</v>
      </c>
      <c r="F16" s="15">
        <f t="shared" si="3"/>
        <v>1.0778787090279062E+40</v>
      </c>
      <c r="H16" s="18">
        <f t="shared" ca="1" si="4"/>
        <v>2.0962022952564064E+40</v>
      </c>
      <c r="I16" s="16">
        <v>189.82</v>
      </c>
      <c r="J16" s="15">
        <f t="shared" si="10"/>
        <v>189820</v>
      </c>
      <c r="K16" s="45">
        <v>1</v>
      </c>
      <c r="L16" s="19">
        <f t="shared" ca="1" si="5"/>
        <v>195.56376462887522</v>
      </c>
      <c r="M16" s="16">
        <f t="shared" ca="1" si="6"/>
        <v>32.990832111918166</v>
      </c>
      <c r="P16" s="69">
        <f t="shared" si="7"/>
        <v>3.6466161335543597E-11</v>
      </c>
      <c r="Q16" s="45">
        <f t="shared" si="8"/>
        <v>3.1667047882217983E-18</v>
      </c>
      <c r="R16" s="45">
        <f t="shared" si="9"/>
        <v>9.4935421222138234E-10</v>
      </c>
    </row>
    <row r="17" spans="1:30" x14ac:dyDescent="0.25">
      <c r="A17" s="16">
        <v>1.45</v>
      </c>
      <c r="B17" s="45">
        <f t="shared" si="0"/>
        <v>1450</v>
      </c>
      <c r="C17" s="16">
        <f t="shared" si="1"/>
        <v>2.3150761145827343</v>
      </c>
      <c r="D17" s="15">
        <f t="shared" si="2"/>
        <v>4.4742324909999997E+19</v>
      </c>
      <c r="E17" s="15">
        <f ca="1"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1.0963743696685205E+40</v>
      </c>
      <c r="F17" s="15">
        <f t="shared" si="3"/>
        <v>1.4112163377341375E+40</v>
      </c>
      <c r="H17" s="18">
        <f t="shared" ca="1" si="4"/>
        <v>2.5075907074026577E+40</v>
      </c>
      <c r="I17" s="16">
        <v>194.68</v>
      </c>
      <c r="J17" s="15">
        <f t="shared" si="10"/>
        <v>194680</v>
      </c>
      <c r="K17" s="45">
        <v>1</v>
      </c>
      <c r="L17" s="19">
        <f t="shared" ca="1" si="5"/>
        <v>197.57674008841522</v>
      </c>
      <c r="M17" s="16">
        <f t="shared" ca="1" si="6"/>
        <v>8.3911031398317828</v>
      </c>
      <c r="P17" s="69">
        <f t="shared" si="7"/>
        <v>3.6466161335543597E-11</v>
      </c>
      <c r="Q17" s="45">
        <f t="shared" si="8"/>
        <v>2.8255527854715475E-18</v>
      </c>
      <c r="R17" s="45">
        <f t="shared" si="9"/>
        <v>8.4707941476526198E-10</v>
      </c>
    </row>
    <row r="18" spans="1:30" x14ac:dyDescent="0.25">
      <c r="A18" s="16">
        <v>1.68</v>
      </c>
      <c r="B18" s="45">
        <f t="shared" si="0"/>
        <v>1680</v>
      </c>
      <c r="C18" s="16">
        <f t="shared" si="1"/>
        <v>2.6822950844820643</v>
      </c>
      <c r="D18" s="15">
        <f t="shared" si="2"/>
        <v>5.1839383344E+19</v>
      </c>
      <c r="E18" s="15">
        <f ca="1"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1.1637981503036092E+40</v>
      </c>
      <c r="F18" s="15">
        <f t="shared" si="3"/>
        <v>1.7809118426975381E+40</v>
      </c>
      <c r="H18" s="18">
        <f t="shared" ca="1" si="4"/>
        <v>2.9447099930011472E+40</v>
      </c>
      <c r="I18" s="16">
        <v>200.29</v>
      </c>
      <c r="J18" s="15">
        <f t="shared" si="10"/>
        <v>200290</v>
      </c>
      <c r="K18" s="45">
        <v>1</v>
      </c>
      <c r="L18" s="19">
        <f t="shared" ca="1" si="5"/>
        <v>199.50478121796303</v>
      </c>
      <c r="M18" s="16">
        <f t="shared" ca="1" si="6"/>
        <v>0.61656853566361258</v>
      </c>
      <c r="P18" s="69">
        <f t="shared" si="7"/>
        <v>3.6466161335543597E-11</v>
      </c>
      <c r="Q18" s="45">
        <f t="shared" si="8"/>
        <v>2.5812971591334046E-18</v>
      </c>
      <c r="R18" s="45">
        <f t="shared" si="9"/>
        <v>7.7385342016502057E-10</v>
      </c>
    </row>
    <row r="19" spans="1:30" x14ac:dyDescent="0.25">
      <c r="A19" s="16">
        <v>1.94</v>
      </c>
      <c r="B19" s="45">
        <f t="shared" si="0"/>
        <v>1940</v>
      </c>
      <c r="C19" s="16">
        <f t="shared" si="1"/>
        <v>3.0974121808900028</v>
      </c>
      <c r="D19" s="15">
        <f t="shared" si="2"/>
        <v>5.9862145052000002E+19</v>
      </c>
      <c r="E19" s="15">
        <f ca="1"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1.2268630593924631E+40</v>
      </c>
      <c r="F19" s="15">
        <f t="shared" si="3"/>
        <v>2.2161489227952571E+40</v>
      </c>
      <c r="H19" s="18">
        <f t="shared" ca="1" si="4"/>
        <v>3.4430119821877202E+40</v>
      </c>
      <c r="I19" s="16">
        <v>205.46</v>
      </c>
      <c r="J19" s="15">
        <f t="shared" si="10"/>
        <v>205460</v>
      </c>
      <c r="K19" s="45">
        <v>1</v>
      </c>
      <c r="L19" s="19">
        <f t="shared" ca="1" si="5"/>
        <v>201.41838951094016</v>
      </c>
      <c r="M19" s="16">
        <f t="shared" ca="1" si="6"/>
        <v>16.334615345278593</v>
      </c>
      <c r="P19" s="69">
        <f t="shared" si="7"/>
        <v>3.6466161335543597E-11</v>
      </c>
      <c r="Q19" s="45">
        <f t="shared" si="8"/>
        <v>2.3522397767383055E-18</v>
      </c>
      <c r="R19" s="45">
        <f t="shared" si="9"/>
        <v>7.0518374447374787E-10</v>
      </c>
    </row>
    <row r="20" spans="1:30" s="17" customFormat="1" x14ac:dyDescent="0.25">
      <c r="A20" s="16">
        <v>2.23</v>
      </c>
      <c r="B20" s="45">
        <f t="shared" si="0"/>
        <v>2230</v>
      </c>
      <c r="C20" s="16">
        <f t="shared" si="1"/>
        <v>3.5604274038065498</v>
      </c>
      <c r="D20" s="15">
        <f t="shared" si="2"/>
        <v>6.8810610034000003E+19</v>
      </c>
      <c r="E20" s="15">
        <f ca="1"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1.284461752455503E+40</v>
      </c>
      <c r="F20" s="15">
        <f t="shared" si="3"/>
        <v>2.7133024432299763E+40</v>
      </c>
      <c r="G20" s="15"/>
      <c r="H20" s="18">
        <f t="shared" ca="1" si="4"/>
        <v>3.9977641956854793E+40</v>
      </c>
      <c r="I20" s="16">
        <v>209.93</v>
      </c>
      <c r="J20" s="15">
        <f t="shared" si="10"/>
        <v>209930</v>
      </c>
      <c r="K20" s="45">
        <v>1</v>
      </c>
      <c r="L20" s="19">
        <f t="shared" ca="1" si="5"/>
        <v>203.18558244602531</v>
      </c>
      <c r="M20" s="16">
        <f t="shared" ca="1" si="6"/>
        <v>45.487168142362066</v>
      </c>
      <c r="O20" s="45"/>
      <c r="P20" s="69">
        <f t="shared" si="7"/>
        <v>3.6466161335543597E-11</v>
      </c>
      <c r="Q20" s="45">
        <f t="shared" si="8"/>
        <v>2.1363524376604346E-18</v>
      </c>
      <c r="R20" s="45">
        <f t="shared" si="9"/>
        <v>6.404623484405134E-10</v>
      </c>
      <c r="S20" s="45"/>
      <c r="T20" s="45"/>
      <c r="U20" s="45"/>
      <c r="V20" s="45"/>
      <c r="W20" s="16"/>
      <c r="X20" s="16"/>
      <c r="Y20" s="45"/>
      <c r="Z20" s="45"/>
      <c r="AA20" s="45"/>
      <c r="AB20" s="45"/>
      <c r="AC20" s="45"/>
      <c r="AD20" s="45"/>
    </row>
    <row r="21" spans="1:30" s="17" customFormat="1" x14ac:dyDescent="0.25">
      <c r="A21" s="16">
        <v>2.54</v>
      </c>
      <c r="B21" s="45">
        <f t="shared" si="0"/>
        <v>2540</v>
      </c>
      <c r="C21" s="16">
        <f t="shared" si="1"/>
        <v>4.0553747110621687</v>
      </c>
      <c r="D21" s="15">
        <f t="shared" si="2"/>
        <v>7.8376210532000006E+19</v>
      </c>
      <c r="E21" s="15">
        <f ca="1"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1.3349109738583978E+40</v>
      </c>
      <c r="F21" s="15">
        <f t="shared" si="3"/>
        <v>3.2480342471721825E+40</v>
      </c>
      <c r="G21" s="15"/>
      <c r="H21" s="18">
        <f t="shared" ca="1" si="4"/>
        <v>4.5829452210305805E+40</v>
      </c>
      <c r="I21" s="16">
        <v>212.45</v>
      </c>
      <c r="J21" s="15">
        <f t="shared" si="10"/>
        <v>212450</v>
      </c>
      <c r="K21" s="45">
        <v>1</v>
      </c>
      <c r="L21" s="19">
        <f t="shared" ca="1" si="5"/>
        <v>204.65551390937475</v>
      </c>
      <c r="M21" s="16">
        <f t="shared" ca="1" si="6"/>
        <v>60.754013416950365</v>
      </c>
      <c r="O21" s="45"/>
      <c r="P21" s="69">
        <f t="shared" si="7"/>
        <v>3.6466161335543597E-11</v>
      </c>
      <c r="Q21" s="45">
        <f t="shared" si="8"/>
        <v>1.9209165853370641E-18</v>
      </c>
      <c r="R21" s="45">
        <f t="shared" si="9"/>
        <v>5.7587630473116523E-10</v>
      </c>
      <c r="S21" s="45"/>
      <c r="T21" s="45"/>
      <c r="U21" s="45"/>
      <c r="V21" s="45"/>
      <c r="W21" s="16"/>
      <c r="X21" s="16"/>
      <c r="Y21" s="45"/>
      <c r="Z21" s="45"/>
      <c r="AA21" s="45"/>
      <c r="AB21" s="45"/>
      <c r="AC21" s="45"/>
      <c r="AD21" s="45"/>
    </row>
    <row r="22" spans="1:30" s="17" customFormat="1" x14ac:dyDescent="0.25">
      <c r="A22" s="16">
        <v>2.89</v>
      </c>
      <c r="B22" s="45">
        <f t="shared" si="0"/>
        <v>2890</v>
      </c>
      <c r="C22" s="16">
        <f t="shared" si="1"/>
        <v>4.6141861869959326</v>
      </c>
      <c r="D22" s="15">
        <f t="shared" si="2"/>
        <v>8.9176082061999997E+19</v>
      </c>
      <c r="E22" s="15">
        <f ca="1"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1.3813567783915326E+40</v>
      </c>
      <c r="F22" s="15">
        <f t="shared" si="3"/>
        <v>3.8448241069020165E+40</v>
      </c>
      <c r="G22" s="15"/>
      <c r="H22" s="18">
        <f t="shared" ca="1" si="4"/>
        <v>5.2261808852935491E+40</v>
      </c>
      <c r="I22" s="16">
        <v>212.8</v>
      </c>
      <c r="J22" s="15">
        <f t="shared" si="10"/>
        <v>212800</v>
      </c>
      <c r="K22" s="45">
        <v>1</v>
      </c>
      <c r="L22" s="19">
        <f t="shared" ca="1" si="5"/>
        <v>205.8287624294187</v>
      </c>
      <c r="M22" s="16">
        <f t="shared" ca="1" si="6"/>
        <v>48.598153265484385</v>
      </c>
      <c r="O22" s="45"/>
      <c r="P22" s="69">
        <f t="shared" si="7"/>
        <v>3.6466161335543597E-11</v>
      </c>
      <c r="Q22" s="45">
        <f t="shared" si="8"/>
        <v>1.6938469113496189E-18</v>
      </c>
      <c r="R22" s="45">
        <f t="shared" si="9"/>
        <v>5.0780252902921033E-10</v>
      </c>
      <c r="S22" s="45"/>
      <c r="T22" s="45"/>
      <c r="U22" s="45"/>
      <c r="V22" s="45"/>
      <c r="W22" s="16"/>
      <c r="X22" s="16"/>
      <c r="Y22" s="45"/>
      <c r="Z22" s="45"/>
      <c r="AA22" s="45"/>
      <c r="AB22" s="45"/>
      <c r="AC22" s="45"/>
      <c r="AD22" s="45"/>
    </row>
    <row r="23" spans="1:30" s="17" customFormat="1" x14ac:dyDescent="0.25">
      <c r="A23" s="16">
        <v>3.27</v>
      </c>
      <c r="B23" s="45">
        <f t="shared" si="0"/>
        <v>3270</v>
      </c>
      <c r="C23" s="16">
        <f t="shared" si="1"/>
        <v>5.2208957894383037</v>
      </c>
      <c r="D23" s="15">
        <f t="shared" si="2"/>
        <v>1.0090165686599999E+20</v>
      </c>
      <c r="E23" s="15">
        <f ca="1"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1.4205787287522637E+40</v>
      </c>
      <c r="F23" s="15">
        <f t="shared" si="3"/>
        <v>4.4736710404313385E+40</v>
      </c>
      <c r="G23" s="15"/>
      <c r="H23" s="18">
        <f t="shared" ca="1" si="4"/>
        <v>5.8942497691836017E+40</v>
      </c>
      <c r="I23" s="16">
        <v>210.94</v>
      </c>
      <c r="J23" s="15">
        <f t="shared" si="10"/>
        <v>210940</v>
      </c>
      <c r="K23" s="45">
        <v>1</v>
      </c>
      <c r="L23" s="19">
        <f t="shared" ca="1" si="5"/>
        <v>206.55909603845851</v>
      </c>
      <c r="M23" s="16">
        <f t="shared" ca="1" si="6"/>
        <v>19.192319520249935</v>
      </c>
      <c r="O23" s="45"/>
      <c r="P23" s="69">
        <f t="shared" si="7"/>
        <v>3.6466161335543597E-11</v>
      </c>
      <c r="Q23" s="45">
        <f t="shared" si="8"/>
        <v>1.4709532926667427E-18</v>
      </c>
      <c r="R23" s="45">
        <f t="shared" si="9"/>
        <v>4.4098070321175613E-10</v>
      </c>
      <c r="S23" s="45"/>
      <c r="T23" s="45"/>
      <c r="U23" s="45"/>
      <c r="V23" s="45"/>
      <c r="W23" s="16"/>
      <c r="X23" s="16"/>
      <c r="Y23" s="45"/>
      <c r="Z23" s="45"/>
      <c r="AA23" s="45"/>
      <c r="AB23" s="45"/>
      <c r="AC23" s="45"/>
      <c r="AD23" s="45"/>
    </row>
    <row r="24" spans="1:30" s="17" customFormat="1" x14ac:dyDescent="0.25">
      <c r="A24" s="16">
        <v>3.69</v>
      </c>
      <c r="B24" s="45">
        <f t="shared" si="0"/>
        <v>3690</v>
      </c>
      <c r="C24" s="16">
        <f t="shared" si="1"/>
        <v>5.8914695605588205</v>
      </c>
      <c r="D24" s="15">
        <f t="shared" si="2"/>
        <v>1.13861502702E+20</v>
      </c>
      <c r="E24" s="15">
        <f ca="1"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1.4577870907803888E+40</v>
      </c>
      <c r="F24" s="15">
        <f t="shared" si="3"/>
        <v>5.1355291864475458E+40</v>
      </c>
      <c r="G24" s="15"/>
      <c r="H24" s="18">
        <f t="shared" ca="1" si="4"/>
        <v>6.5933162772279349E+40</v>
      </c>
      <c r="I24" s="16">
        <v>207.83</v>
      </c>
      <c r="J24" s="15">
        <f t="shared" si="10"/>
        <v>207830</v>
      </c>
      <c r="K24" s="45">
        <v>1</v>
      </c>
      <c r="L24" s="19">
        <f t="shared" ca="1" si="5"/>
        <v>206.87997721859693</v>
      </c>
      <c r="M24" s="16">
        <f t="shared" ca="1" si="6"/>
        <v>0.90254328518484039</v>
      </c>
      <c r="O24" s="45"/>
      <c r="P24" s="69">
        <f t="shared" si="7"/>
        <v>3.6466161335543597E-11</v>
      </c>
      <c r="Q24" s="45">
        <f t="shared" si="8"/>
        <v>1.265373867368581E-18</v>
      </c>
      <c r="R24" s="45">
        <f t="shared" si="9"/>
        <v>3.7934954198739293E-10</v>
      </c>
      <c r="S24" s="45"/>
      <c r="T24" s="45"/>
      <c r="U24" s="45"/>
      <c r="V24" s="45"/>
      <c r="W24" s="16"/>
      <c r="X24" s="16"/>
      <c r="Y24" s="45"/>
      <c r="Z24" s="45"/>
      <c r="AA24" s="45"/>
      <c r="AB24" s="45"/>
      <c r="AC24" s="45"/>
      <c r="AD24" s="45"/>
    </row>
    <row r="25" spans="1:30" s="17" customFormat="1" x14ac:dyDescent="0.25">
      <c r="A25" s="16">
        <v>4.1500000000000004</v>
      </c>
      <c r="B25" s="45">
        <f t="shared" si="0"/>
        <v>4150</v>
      </c>
      <c r="C25" s="16">
        <f t="shared" si="1"/>
        <v>6.6259075003574806</v>
      </c>
      <c r="D25" s="15">
        <f t="shared" si="2"/>
        <v>1.2805561957E+20</v>
      </c>
      <c r="E25" s="15">
        <f ca="1"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1.4892442917753547E+40</v>
      </c>
      <c r="F25" s="15">
        <f t="shared" si="3"/>
        <v>5.8120676773558364E+40</v>
      </c>
      <c r="G25" s="15"/>
      <c r="H25" s="18">
        <f t="shared" ca="1" si="4"/>
        <v>7.3013119691311909E+40</v>
      </c>
      <c r="I25" s="16">
        <v>208.1</v>
      </c>
      <c r="J25" s="15">
        <f t="shared" si="10"/>
        <v>208100</v>
      </c>
      <c r="K25" s="45">
        <v>1</v>
      </c>
      <c r="L25" s="19">
        <f t="shared" ca="1" si="5"/>
        <v>206.69570600947267</v>
      </c>
      <c r="M25" s="16">
        <f t="shared" ca="1" si="6"/>
        <v>1.972041611831149</v>
      </c>
      <c r="O25" s="45"/>
      <c r="P25" s="69">
        <f t="shared" si="7"/>
        <v>3.6466161335543597E-11</v>
      </c>
      <c r="Q25" s="45">
        <f t="shared" si="8"/>
        <v>1.1280408204778361E-18</v>
      </c>
      <c r="R25" s="45">
        <f t="shared" si="9"/>
        <v>3.3817813029538724E-10</v>
      </c>
      <c r="S25" s="45"/>
      <c r="T25" s="45"/>
      <c r="U25" s="45"/>
      <c r="V25" s="45"/>
      <c r="W25" s="16"/>
      <c r="X25" s="16"/>
      <c r="Y25" s="45"/>
      <c r="Z25" s="45"/>
      <c r="AA25" s="45"/>
      <c r="AB25" s="45"/>
      <c r="AC25" s="45"/>
      <c r="AD25" s="45"/>
    </row>
    <row r="26" spans="1:30" s="17" customFormat="1" x14ac:dyDescent="0.25">
      <c r="A26" s="16">
        <v>4.6500000000000004</v>
      </c>
      <c r="B26" s="45">
        <f t="shared" si="0"/>
        <v>4650</v>
      </c>
      <c r="C26" s="16">
        <f t="shared" si="1"/>
        <v>7.4242096088342855</v>
      </c>
      <c r="D26" s="15">
        <f t="shared" si="2"/>
        <v>1.4348400747000001E+20</v>
      </c>
      <c r="E26" s="15">
        <f ca="1"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1.5174356883171008E+40</v>
      </c>
      <c r="F26" s="15">
        <f t="shared" si="3"/>
        <v>6.4843767693580906E+40</v>
      </c>
      <c r="G26" s="15"/>
      <c r="H26" s="18">
        <f t="shared" ca="1" si="4"/>
        <v>8.0018124576751916E+40</v>
      </c>
      <c r="I26" s="16">
        <v>204.44</v>
      </c>
      <c r="J26" s="15">
        <f t="shared" si="10"/>
        <v>204440</v>
      </c>
      <c r="K26" s="45">
        <v>1</v>
      </c>
      <c r="L26" s="19">
        <f t="shared" ca="1" si="5"/>
        <v>206.0395671574428</v>
      </c>
      <c r="M26" s="16">
        <f t="shared" ca="1" si="6"/>
        <v>2.5586150911696581</v>
      </c>
      <c r="O26" s="45"/>
      <c r="P26" s="69">
        <f t="shared" si="7"/>
        <v>3.6466161335543597E-11</v>
      </c>
      <c r="Q26" s="45">
        <f t="shared" si="8"/>
        <v>9.7164482899322635E-19</v>
      </c>
      <c r="R26" s="45">
        <f t="shared" si="9"/>
        <v>2.9129179158686902E-10</v>
      </c>
      <c r="S26" s="45"/>
      <c r="T26" s="45"/>
      <c r="U26" s="45"/>
      <c r="V26" s="45"/>
      <c r="W26" s="16"/>
      <c r="X26" s="16"/>
      <c r="Y26" s="45"/>
      <c r="Z26" s="45"/>
      <c r="AA26" s="45"/>
      <c r="AB26" s="45"/>
      <c r="AC26" s="45"/>
      <c r="AD26" s="45"/>
    </row>
    <row r="27" spans="1:30" s="17" customFormat="1" x14ac:dyDescent="0.25">
      <c r="A27" s="16">
        <v>5.21</v>
      </c>
      <c r="B27" s="45">
        <f t="shared" si="0"/>
        <v>5210</v>
      </c>
      <c r="C27" s="16">
        <f t="shared" si="1"/>
        <v>8.3183079703283074</v>
      </c>
      <c r="D27" s="15">
        <f t="shared" si="2"/>
        <v>1.6076380191800001E+20</v>
      </c>
      <c r="E27" s="15">
        <f ca="1"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1.5425666776632109E+40</v>
      </c>
      <c r="F27" s="15">
        <f t="shared" si="3"/>
        <v>7.1570605290987921E+40</v>
      </c>
      <c r="G27" s="15"/>
      <c r="H27" s="18">
        <f t="shared" ca="1" si="4"/>
        <v>8.6996272067620035E+40</v>
      </c>
      <c r="I27" s="16">
        <v>199.61</v>
      </c>
      <c r="J27" s="15">
        <f t="shared" si="10"/>
        <v>199610</v>
      </c>
      <c r="K27" s="45">
        <v>1</v>
      </c>
      <c r="L27" s="19">
        <f t="shared" ca="1" si="5"/>
        <v>204.88724429416243</v>
      </c>
      <c r="M27" s="16">
        <f t="shared" ca="1" si="6"/>
        <v>27.849307340269764</v>
      </c>
      <c r="O27" s="45"/>
      <c r="P27" s="69">
        <f t="shared" si="7"/>
        <v>3.6466161335543597E-11</v>
      </c>
      <c r="Q27" s="45">
        <f t="shared" si="8"/>
        <v>8.2671462018254016E-19</v>
      </c>
      <c r="R27" s="45">
        <f t="shared" si="9"/>
        <v>2.4784280804906015E-10</v>
      </c>
      <c r="S27" s="45"/>
      <c r="T27" s="45"/>
      <c r="U27" s="45"/>
      <c r="V27" s="45"/>
      <c r="W27" s="16"/>
      <c r="X27" s="16"/>
      <c r="Y27" s="45"/>
      <c r="Z27" s="45"/>
      <c r="AA27" s="45"/>
      <c r="AB27" s="45"/>
      <c r="AC27" s="45"/>
      <c r="AD27" s="45"/>
    </row>
    <row r="28" spans="1:30" s="17" customFormat="1" x14ac:dyDescent="0.25">
      <c r="A28" s="16">
        <v>5.82</v>
      </c>
      <c r="B28" s="45">
        <f t="shared" si="0"/>
        <v>5820</v>
      </c>
      <c r="C28" s="16">
        <f t="shared" si="1"/>
        <v>9.2922365426700093</v>
      </c>
      <c r="D28" s="15">
        <f t="shared" si="2"/>
        <v>1.7958643515600001E+20</v>
      </c>
      <c r="E28" s="15">
        <f ca="1"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1.5640344574946419E+40</v>
      </c>
      <c r="F28" s="15">
        <f t="shared" si="3"/>
        <v>7.7954569129869158E+40</v>
      </c>
      <c r="G28" s="15"/>
      <c r="H28" s="18">
        <f t="shared" ca="1" si="4"/>
        <v>9.3594913704815584E+40</v>
      </c>
      <c r="I28" s="16">
        <v>201.07</v>
      </c>
      <c r="J28" s="15">
        <f t="shared" si="10"/>
        <v>201070</v>
      </c>
      <c r="K28" s="45">
        <v>1</v>
      </c>
      <c r="L28" s="19">
        <f t="shared" ca="1" si="5"/>
        <v>203.30291534989647</v>
      </c>
      <c r="M28" s="16">
        <f t="shared" ca="1" si="6"/>
        <v>4.985910959803288</v>
      </c>
      <c r="O28" s="45"/>
      <c r="P28" s="69">
        <f t="shared" si="7"/>
        <v>3.6466161335543597E-11</v>
      </c>
      <c r="Q28" s="45">
        <f t="shared" si="8"/>
        <v>7.5093150139591279E-19</v>
      </c>
      <c r="R28" s="45">
        <f t="shared" si="9"/>
        <v>2.2512360059311115E-10</v>
      </c>
      <c r="S28" s="45"/>
      <c r="T28" s="45"/>
      <c r="U28" s="45"/>
      <c r="V28" s="45"/>
      <c r="W28" s="16"/>
      <c r="X28" s="16"/>
      <c r="Y28" s="45"/>
      <c r="Z28" s="45"/>
      <c r="AA28" s="45"/>
      <c r="AB28" s="45"/>
      <c r="AC28" s="45"/>
      <c r="AD28" s="45"/>
    </row>
    <row r="29" spans="1:30" s="17" customFormat="1" x14ac:dyDescent="0.25">
      <c r="A29" s="16">
        <v>6.49</v>
      </c>
      <c r="B29" s="45">
        <f t="shared" si="0"/>
        <v>6490</v>
      </c>
      <c r="C29" s="16">
        <f t="shared" si="1"/>
        <v>10.361961368028927</v>
      </c>
      <c r="D29" s="15">
        <f t="shared" si="2"/>
        <v>2.0026047494200001E+20</v>
      </c>
      <c r="E29" s="15">
        <f ca="1"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1.5824518495131631E+40</v>
      </c>
      <c r="F29" s="15">
        <f t="shared" si="3"/>
        <v>8.3908085619167924E+40</v>
      </c>
      <c r="G29" s="15"/>
      <c r="H29" s="18">
        <f t="shared" ca="1" si="4"/>
        <v>9.9732604114299553E+40</v>
      </c>
      <c r="I29" s="16">
        <v>206.25</v>
      </c>
      <c r="J29" s="15">
        <f t="shared" si="10"/>
        <v>206250</v>
      </c>
      <c r="K29" s="45">
        <v>1</v>
      </c>
      <c r="L29" s="19">
        <f t="shared" ca="1" si="5"/>
        <v>201.34699286660702</v>
      </c>
      <c r="M29" s="16">
        <f t="shared" ca="1" si="6"/>
        <v>24.039478950102403</v>
      </c>
      <c r="O29" s="45"/>
      <c r="P29" s="69">
        <f t="shared" si="7"/>
        <v>3.6466161335543597E-11</v>
      </c>
      <c r="Q29" s="45">
        <f t="shared" si="8"/>
        <v>7.0855239395091528E-19</v>
      </c>
      <c r="R29" s="45">
        <f t="shared" si="9"/>
        <v>2.1241866380432924E-10</v>
      </c>
      <c r="S29" s="45"/>
      <c r="T29" s="45"/>
      <c r="U29" s="45"/>
      <c r="V29" s="45"/>
      <c r="W29" s="16"/>
      <c r="X29" s="16"/>
      <c r="Y29" s="45"/>
      <c r="Z29" s="45"/>
      <c r="AA29" s="45"/>
      <c r="AB29" s="45"/>
      <c r="AC29" s="45"/>
      <c r="AD29" s="45"/>
    </row>
    <row r="30" spans="1:30" s="17" customFormat="1" x14ac:dyDescent="0.25">
      <c r="A30" s="16">
        <v>7.23</v>
      </c>
      <c r="B30" s="45">
        <f t="shared" si="0"/>
        <v>7230</v>
      </c>
      <c r="C30" s="16">
        <f t="shared" si="1"/>
        <v>11.543448488574599</v>
      </c>
      <c r="D30" s="15">
        <f t="shared" si="2"/>
        <v>2.2309448903400001E+20</v>
      </c>
      <c r="E30" s="15">
        <f ca="1"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1.5983031352446277E+40</v>
      </c>
      <c r="F30" s="15">
        <f t="shared" si="3"/>
        <v>8.9331281060212027E+40</v>
      </c>
      <c r="G30" s="15"/>
      <c r="H30" s="18">
        <f t="shared" ca="1" si="4"/>
        <v>1.053143124126583E+41</v>
      </c>
      <c r="I30" s="16">
        <v>211.9</v>
      </c>
      <c r="J30" s="15">
        <f t="shared" si="10"/>
        <v>211900</v>
      </c>
      <c r="K30" s="45">
        <v>1</v>
      </c>
      <c r="L30" s="19">
        <f t="shared" ca="1" si="5"/>
        <v>199.10087839659633</v>
      </c>
      <c r="M30" s="16">
        <f t="shared" ca="1" si="6"/>
        <v>163.8175138187147</v>
      </c>
      <c r="O30" s="45"/>
      <c r="P30" s="69">
        <f t="shared" si="7"/>
        <v>3.6466161335543597E-11</v>
      </c>
      <c r="Q30" s="45">
        <f t="shared" si="8"/>
        <v>6.7135521712989011E-19</v>
      </c>
      <c r="R30" s="45">
        <f t="shared" si="9"/>
        <v>2.0126723073449346E-10</v>
      </c>
      <c r="S30" s="45"/>
      <c r="T30" s="45"/>
      <c r="U30" s="45"/>
      <c r="V30" s="45"/>
      <c r="W30" s="16"/>
      <c r="X30" s="16"/>
      <c r="Y30" s="45"/>
      <c r="Z30" s="45"/>
      <c r="AA30" s="45"/>
      <c r="AB30" s="45"/>
      <c r="AC30" s="45"/>
      <c r="AD30" s="45"/>
    </row>
    <row r="31" spans="1:30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12.852663946476561</v>
      </c>
      <c r="D31" s="15">
        <f t="shared" si="2"/>
        <v>2.4839704519000002E+20</v>
      </c>
      <c r="E31" s="15">
        <f ca="1"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1.6120019422557945E+40</v>
      </c>
      <c r="F31" s="15">
        <f t="shared" si="3"/>
        <v>9.4128244371852753E+40</v>
      </c>
      <c r="G31" s="15"/>
      <c r="H31" s="18">
        <f t="shared" ca="1" si="4"/>
        <v>1.1024826379441069E+41</v>
      </c>
      <c r="I31" s="16">
        <v>213.84</v>
      </c>
      <c r="J31" s="15">
        <f t="shared" si="10"/>
        <v>213840</v>
      </c>
      <c r="K31" s="45">
        <v>1</v>
      </c>
      <c r="L31" s="19">
        <f t="shared" ca="1" si="5"/>
        <v>196.67294670478265</v>
      </c>
      <c r="M31" s="16">
        <f t="shared" ca="1" si="6"/>
        <v>294.70771884083314</v>
      </c>
      <c r="O31" s="45"/>
      <c r="P31" s="69">
        <f t="shared" si="7"/>
        <v>3.6466161335543597E-11</v>
      </c>
      <c r="Q31" s="45">
        <f t="shared" si="8"/>
        <v>6.1405993626168538E-19</v>
      </c>
      <c r="R31" s="45">
        <f t="shared" si="9"/>
        <v>1.8409053765121399E-10</v>
      </c>
      <c r="S31" s="45"/>
      <c r="T31" s="45"/>
      <c r="U31" s="45"/>
      <c r="V31" s="45"/>
      <c r="W31" s="16"/>
      <c r="X31" s="16"/>
      <c r="Y31" s="45"/>
      <c r="Z31" s="45"/>
      <c r="AA31" s="45"/>
      <c r="AB31" s="45"/>
      <c r="AC31" s="45"/>
      <c r="AD31" s="45"/>
    </row>
    <row r="32" spans="1:30" s="17" customFormat="1" x14ac:dyDescent="0.25">
      <c r="A32" s="16">
        <v>8.94</v>
      </c>
      <c r="B32" s="45">
        <f t="shared" si="0"/>
        <v>8940</v>
      </c>
      <c r="C32" s="16">
        <f t="shared" si="1"/>
        <v>14.273641699565271</v>
      </c>
      <c r="D32" s="15">
        <f t="shared" si="2"/>
        <v>2.7585957565199997E+20</v>
      </c>
      <c r="E32" s="15">
        <f ca="1"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1.6232627022007327E+40</v>
      </c>
      <c r="F32" s="15">
        <f t="shared" si="3"/>
        <v>9.8146762198345911E+40</v>
      </c>
      <c r="G32" s="15"/>
      <c r="H32" s="18">
        <f t="shared" ca="1" si="4"/>
        <v>1.1437938922035324E+41</v>
      </c>
      <c r="I32" s="16">
        <v>212.18</v>
      </c>
      <c r="J32" s="15">
        <f t="shared" si="10"/>
        <v>212180</v>
      </c>
      <c r="K32" s="45">
        <v>1</v>
      </c>
      <c r="L32" s="19">
        <f t="shared" ca="1" si="5"/>
        <v>194.24781385467594</v>
      </c>
      <c r="M32" s="16">
        <f t="shared" ca="1" si="6"/>
        <v>321.56329995055245</v>
      </c>
      <c r="O32" s="45"/>
      <c r="P32" s="69">
        <f t="shared" si="7"/>
        <v>3.6466161335543597E-11</v>
      </c>
      <c r="Q32" s="45">
        <f t="shared" si="8"/>
        <v>5.4437744560124646E-19</v>
      </c>
      <c r="R32" s="45">
        <f t="shared" si="9"/>
        <v>1.6320025249655896E-10</v>
      </c>
      <c r="S32" s="45"/>
      <c r="T32" s="45"/>
      <c r="U32" s="45"/>
      <c r="V32" s="45"/>
      <c r="W32" s="16"/>
      <c r="X32" s="16"/>
      <c r="Y32" s="45"/>
      <c r="Z32" s="45"/>
      <c r="AA32" s="45"/>
      <c r="AB32" s="45"/>
      <c r="AC32" s="45"/>
      <c r="AD32" s="45"/>
    </row>
    <row r="33" spans="1:30" s="17" customFormat="1" x14ac:dyDescent="0.25">
      <c r="A33" s="16">
        <v>9.93</v>
      </c>
      <c r="B33" s="45">
        <f t="shared" si="0"/>
        <v>9930</v>
      </c>
      <c r="C33" s="16">
        <f t="shared" si="1"/>
        <v>15.854279874349345</v>
      </c>
      <c r="D33" s="15">
        <f t="shared" si="2"/>
        <v>3.06407783694E+20</v>
      </c>
      <c r="E33" s="15">
        <f ca="1"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1.6316344741478389E+40</v>
      </c>
      <c r="F33" s="15">
        <f t="shared" si="3"/>
        <v>1.0147099733230521E+41</v>
      </c>
      <c r="G33" s="15"/>
      <c r="H33" s="18">
        <f t="shared" ca="1" si="4"/>
        <v>1.177873420737836E+41</v>
      </c>
      <c r="I33" s="16">
        <v>210.32</v>
      </c>
      <c r="J33" s="15">
        <f t="shared" si="10"/>
        <v>210320</v>
      </c>
      <c r="K33" s="45">
        <v>1</v>
      </c>
      <c r="L33" s="19">
        <f t="shared" ca="1" si="5"/>
        <v>191.91037453014656</v>
      </c>
      <c r="M33" s="16">
        <f t="shared" ca="1" si="6"/>
        <v>338.91430994027644</v>
      </c>
      <c r="O33" s="45"/>
      <c r="P33" s="69">
        <f t="shared" si="7"/>
        <v>3.6466161335543597E-11</v>
      </c>
      <c r="Q33" s="45">
        <f t="shared" si="8"/>
        <v>4.815491823253384E-19</v>
      </c>
      <c r="R33" s="45">
        <f t="shared" si="9"/>
        <v>1.4436481301720335E-10</v>
      </c>
      <c r="S33" s="45"/>
      <c r="T33" s="45"/>
      <c r="U33" s="45"/>
      <c r="V33" s="45"/>
      <c r="W33" s="16"/>
      <c r="X33" s="16"/>
      <c r="Y33" s="45"/>
      <c r="Z33" s="45"/>
      <c r="AA33" s="45"/>
      <c r="AB33" s="45"/>
      <c r="AC33" s="45"/>
      <c r="AD33" s="45"/>
    </row>
    <row r="34" spans="1:30" s="17" customFormat="1" x14ac:dyDescent="0.25">
      <c r="A34" s="16">
        <v>11.01</v>
      </c>
      <c r="B34" s="45">
        <f t="shared" si="0"/>
        <v>11010</v>
      </c>
      <c r="C34" s="16">
        <f t="shared" si="1"/>
        <v>17.578612428659245</v>
      </c>
      <c r="D34" s="15">
        <f t="shared" si="2"/>
        <v>3.3973310155799999E+20</v>
      </c>
      <c r="E34" s="15">
        <f ca="1"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1.6387743272386402E+40</v>
      </c>
      <c r="F34" s="15">
        <f t="shared" si="3"/>
        <v>1.0405848477326959E+41</v>
      </c>
      <c r="G34" s="15"/>
      <c r="H34" s="18">
        <f t="shared" ca="1" si="4"/>
        <v>1.2044622804565598E+41</v>
      </c>
      <c r="I34" s="16">
        <v>209.29</v>
      </c>
      <c r="J34" s="15">
        <f t="shared" si="10"/>
        <v>209290</v>
      </c>
      <c r="K34" s="45">
        <v>1</v>
      </c>
      <c r="L34" s="19">
        <f t="shared" ca="1" si="5"/>
        <v>189.86970773122303</v>
      </c>
      <c r="M34" s="16">
        <f t="shared" ca="1" si="6"/>
        <v>377.14775180471821</v>
      </c>
      <c r="O34" s="45"/>
      <c r="P34" s="69">
        <f t="shared" si="7"/>
        <v>3.6466161335543597E-11</v>
      </c>
      <c r="Q34" s="45">
        <f t="shared" si="8"/>
        <v>4.3006924752713283E-19</v>
      </c>
      <c r="R34" s="45">
        <f t="shared" si="9"/>
        <v>1.2893151682636957E-10</v>
      </c>
      <c r="S34" s="45"/>
      <c r="T34" s="45"/>
      <c r="U34" s="45"/>
      <c r="V34" s="45"/>
      <c r="W34" s="16"/>
      <c r="X34" s="16"/>
      <c r="Y34" s="45"/>
      <c r="Z34" s="45"/>
      <c r="AA34" s="45"/>
      <c r="AB34" s="45"/>
      <c r="AC34" s="45"/>
      <c r="AD34" s="45"/>
    </row>
    <row r="35" spans="1:30" s="17" customFormat="1" x14ac:dyDescent="0.25">
      <c r="A35" s="16">
        <v>12.2</v>
      </c>
      <c r="B35" s="45">
        <f t="shared" si="0"/>
        <v>12200</v>
      </c>
      <c r="C35" s="16">
        <f t="shared" si="1"/>
        <v>19.478571446834039</v>
      </c>
      <c r="D35" s="15">
        <f t="shared" si="2"/>
        <v>3.7645266475999999E+20</v>
      </c>
      <c r="E35" s="15">
        <f ca="1"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1.6466413875886897E+40</v>
      </c>
      <c r="F35" s="15">
        <f t="shared" si="3"/>
        <v>1.0600596950078884E+41</v>
      </c>
      <c r="G35" s="15"/>
      <c r="H35" s="18">
        <f t="shared" ca="1" si="4"/>
        <v>1.2247238337667573E+41</v>
      </c>
      <c r="I35" s="16">
        <v>183.36</v>
      </c>
      <c r="J35" s="15">
        <f t="shared" si="10"/>
        <v>183360</v>
      </c>
      <c r="K35" s="45">
        <v>1</v>
      </c>
      <c r="L35" s="19">
        <f t="shared" ca="1" si="5"/>
        <v>188.25714352763327</v>
      </c>
      <c r="M35" s="16">
        <f t="shared" ca="1" si="6"/>
        <v>23.982014730240344</v>
      </c>
      <c r="O35" s="45"/>
      <c r="P35" s="69">
        <f t="shared" si="7"/>
        <v>3.6466161335543597E-11</v>
      </c>
      <c r="Q35" s="45">
        <f t="shared" si="8"/>
        <v>2.9790522604829181E-19</v>
      </c>
      <c r="R35" s="45">
        <f t="shared" si="9"/>
        <v>8.9309739968063014E-11</v>
      </c>
      <c r="S35" s="45"/>
      <c r="T35" s="45"/>
      <c r="U35" s="45"/>
      <c r="V35" s="45"/>
      <c r="W35" s="16"/>
      <c r="X35" s="16"/>
      <c r="Y35" s="45"/>
      <c r="Z35" s="45"/>
      <c r="AA35" s="45"/>
      <c r="AB35" s="45"/>
      <c r="AC35" s="45"/>
      <c r="AD35" s="45"/>
    </row>
    <row r="36" spans="1:30" s="17" customFormat="1" x14ac:dyDescent="0.25">
      <c r="A36" s="16">
        <v>13.51</v>
      </c>
      <c r="B36" s="45">
        <f t="shared" si="0"/>
        <v>13510</v>
      </c>
      <c r="C36" s="16">
        <f t="shared" si="1"/>
        <v>21.570122971043268</v>
      </c>
      <c r="D36" s="15">
        <f t="shared" si="2"/>
        <v>4.1687504105800001E+20</v>
      </c>
      <c r="E36" s="15">
        <f ca="1"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1.651741265154963E+40</v>
      </c>
      <c r="F36" s="15">
        <f t="shared" si="3"/>
        <v>1.0739971850242938E+41</v>
      </c>
      <c r="G36" s="15"/>
      <c r="H36" s="18">
        <f t="shared" ca="1" si="4"/>
        <v>1.2391713115397901E+41</v>
      </c>
      <c r="I36" s="16">
        <v>150.86000000000001</v>
      </c>
      <c r="J36" s="15">
        <f t="shared" si="10"/>
        <v>150860</v>
      </c>
      <c r="K36" s="45">
        <v>1</v>
      </c>
      <c r="L36" s="19">
        <f t="shared" ca="1" si="5"/>
        <v>187.19161155410183</v>
      </c>
      <c r="M36" s="16">
        <f t="shared" ca="1" si="6"/>
        <v>1319.9859981181444</v>
      </c>
      <c r="O36" s="45"/>
      <c r="P36" s="69">
        <f t="shared" si="7"/>
        <v>3.6466161335543597E-11</v>
      </c>
      <c r="Q36" s="45">
        <f t="shared" si="8"/>
        <v>1.8210489079071883E-19</v>
      </c>
      <c r="R36" s="45">
        <f t="shared" si="9"/>
        <v>5.4593672823971167E-11</v>
      </c>
      <c r="S36" s="45"/>
      <c r="T36" s="45"/>
      <c r="U36" s="45"/>
      <c r="V36" s="45"/>
      <c r="W36" s="16"/>
      <c r="X36" s="16"/>
      <c r="Y36" s="45"/>
      <c r="Z36" s="45"/>
      <c r="AA36" s="45"/>
      <c r="AB36" s="45"/>
      <c r="AC36" s="45"/>
      <c r="AD36" s="45"/>
    </row>
    <row r="37" spans="1:30" x14ac:dyDescent="0.25">
      <c r="I37" s="45"/>
      <c r="K37" s="45"/>
      <c r="M37" s="16">
        <f ca="1">SUM(M8:M36)/(COUNT(M8:M36)-4)</f>
        <v>163.50884277079356</v>
      </c>
    </row>
    <row r="38" spans="1:30" x14ac:dyDescent="0.25">
      <c r="I38" s="45"/>
      <c r="K38" s="45"/>
      <c r="M38" s="16"/>
    </row>
    <row r="39" spans="1:30" ht="21" x14ac:dyDescent="0.35">
      <c r="A39" s="48" t="s">
        <v>564</v>
      </c>
      <c r="I39" s="45"/>
      <c r="K39" s="45"/>
      <c r="M39" s="16"/>
    </row>
    <row r="40" spans="1:30" x14ac:dyDescent="0.25">
      <c r="A40" s="16" t="s">
        <v>30</v>
      </c>
      <c r="D40" s="16">
        <v>0.93</v>
      </c>
      <c r="E40" s="17">
        <f>$D$40*1000</f>
        <v>930</v>
      </c>
      <c r="F40" s="17"/>
      <c r="G40" s="17"/>
      <c r="H40" s="15"/>
      <c r="L40" s="15"/>
      <c r="M40" s="17"/>
      <c r="N40" s="45"/>
    </row>
    <row r="41" spans="1:30" x14ac:dyDescent="0.25">
      <c r="A41" s="16" t="s">
        <v>16</v>
      </c>
      <c r="D41" s="16">
        <v>1.6</v>
      </c>
      <c r="E41" s="15">
        <f>D41*10000000000*SolarMass</f>
        <v>3.1825599999999998E+40</v>
      </c>
      <c r="F41" s="43"/>
      <c r="G41" s="43"/>
      <c r="H41" s="15"/>
      <c r="L41" s="15"/>
      <c r="M41" s="17"/>
      <c r="N41" s="45"/>
    </row>
    <row r="42" spans="1:30" x14ac:dyDescent="0.25">
      <c r="A42" s="16" t="s">
        <v>569</v>
      </c>
      <c r="D42" s="16">
        <v>1.9</v>
      </c>
      <c r="E42" s="15">
        <f>D42*1000</f>
        <v>1900</v>
      </c>
      <c r="H42" s="15"/>
      <c r="L42" s="15"/>
      <c r="M42" s="17"/>
      <c r="N42" s="45"/>
    </row>
    <row r="43" spans="1:30" x14ac:dyDescent="0.25">
      <c r="A43" s="16" t="s">
        <v>17</v>
      </c>
      <c r="D43" s="45">
        <v>1.9</v>
      </c>
      <c r="G43" s="16"/>
      <c r="H43" s="15"/>
      <c r="L43" s="15"/>
      <c r="M43" s="17"/>
      <c r="N43" s="45"/>
    </row>
    <row r="44" spans="1:30" x14ac:dyDescent="0.25">
      <c r="A44" s="16" t="s">
        <v>570</v>
      </c>
      <c r="D44" s="16">
        <v>7.9</v>
      </c>
      <c r="E44" s="17">
        <f>D44*1000</f>
        <v>7900</v>
      </c>
      <c r="H44" s="15"/>
      <c r="L44" s="15"/>
      <c r="M44" s="17"/>
      <c r="N44" s="45"/>
    </row>
    <row r="45" spans="1:30" x14ac:dyDescent="0.25">
      <c r="A45" s="16" t="s">
        <v>571</v>
      </c>
      <c r="D45" s="16">
        <v>3.5</v>
      </c>
      <c r="G45" s="9"/>
      <c r="H45" s="15"/>
      <c r="L45" s="15"/>
      <c r="M45" s="17"/>
      <c r="N45" s="45"/>
    </row>
    <row r="46" spans="1:30" x14ac:dyDescent="0.25">
      <c r="D46" s="12"/>
      <c r="H46" s="15"/>
      <c r="L46" s="15"/>
      <c r="M46" s="17"/>
      <c r="N46" s="45"/>
    </row>
    <row r="47" spans="1:30" x14ac:dyDescent="0.25">
      <c r="A47" s="16" t="s">
        <v>567</v>
      </c>
      <c r="D47" s="17">
        <f>(D43*10000000000)/(2*PI()*DiskScaleLengthPc^2)</f>
        <v>837.65759522050178</v>
      </c>
      <c r="H47" s="15"/>
      <c r="L47" s="15"/>
      <c r="M47" s="17"/>
      <c r="N47" s="45"/>
    </row>
    <row r="48" spans="1:30" x14ac:dyDescent="0.25">
      <c r="A48" s="16" t="s">
        <v>565</v>
      </c>
      <c r="D48" s="9">
        <f>(D45*10000000000)/(4*PI()*(LCDMHaloScaleLengthPc)^3*(LN(2)-1/2))</f>
        <v>2.924748544272894E-2</v>
      </c>
      <c r="H48" s="15"/>
      <c r="L48" s="15"/>
      <c r="M48" s="17"/>
      <c r="N48" s="45"/>
    </row>
    <row r="49" spans="1:30" x14ac:dyDescent="0.25">
      <c r="H49" s="15"/>
      <c r="L49" s="15"/>
      <c r="M49" s="17"/>
      <c r="N49" s="45"/>
    </row>
    <row r="50" spans="1:30" ht="45" x14ac:dyDescent="0.25">
      <c r="A50" s="7" t="s">
        <v>20</v>
      </c>
      <c r="B50" s="3" t="s">
        <v>19</v>
      </c>
      <c r="C50" s="7" t="s">
        <v>27</v>
      </c>
      <c r="D50" s="4" t="s">
        <v>649</v>
      </c>
      <c r="E50" s="4" t="s">
        <v>21</v>
      </c>
      <c r="F50" s="4" t="s">
        <v>22</v>
      </c>
      <c r="G50" s="4" t="s">
        <v>28</v>
      </c>
      <c r="H50" s="4" t="s">
        <v>23</v>
      </c>
      <c r="I50" s="7" t="s">
        <v>645</v>
      </c>
      <c r="J50" s="4"/>
      <c r="K50" s="7" t="s">
        <v>646</v>
      </c>
      <c r="L50" s="25" t="s">
        <v>647</v>
      </c>
      <c r="M50" s="3" t="s">
        <v>648</v>
      </c>
      <c r="N50" s="3"/>
      <c r="O50" s="3"/>
      <c r="P50" s="3"/>
      <c r="Q50" s="3"/>
      <c r="R50" s="3"/>
      <c r="S50" s="3"/>
      <c r="T50" s="3"/>
      <c r="U50" s="3"/>
      <c r="V50" s="3"/>
      <c r="W50" s="7"/>
      <c r="X50" s="7"/>
      <c r="Y50" s="3"/>
      <c r="Z50" s="3"/>
      <c r="AA50" s="3"/>
      <c r="AB50" s="3"/>
      <c r="AC50" s="3"/>
      <c r="AD50" s="3"/>
    </row>
    <row r="51" spans="1:30" x14ac:dyDescent="0.25">
      <c r="A51" s="16">
        <v>0.09</v>
      </c>
      <c r="B51" s="45">
        <f>A51*1000</f>
        <v>90</v>
      </c>
      <c r="C51" s="16">
        <f>B51/LCDMBulgeEffectiveRadius</f>
        <v>9.6774193548387094E-2</v>
      </c>
      <c r="D51" s="15">
        <f>A51*kpc</f>
        <v>2.777109822E+18</v>
      </c>
      <c r="E51" s="15">
        <f ca="1"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1.3470154401032258E+39</v>
      </c>
      <c r="F51" s="15">
        <f t="shared" ref="F51:F79" si="11">2*PI()*LCDMDiskSurfaceDensity*LCDMScaleLength*(LCDMScaleLength-EXP(-RadiusPc/LCDMScaleLength)*(RadiusPc+LCDMScaleLength))*SolarMass</f>
        <v>4.1083799596407283E+37</v>
      </c>
      <c r="G51" s="15">
        <f t="shared" ref="G51:G79" si="12">4*PI()*LCDMHaloRepresentativeDensity*LCDMHaloScaleLengthPc^3*(LN(1+RadiusPc/LCDMHaloScaleLengthPc)-RadiusPc/(RadiusPc+LCDMHaloScaleLengthPc))*SolarMass</f>
        <v>2.3039574197395739E+37</v>
      </c>
      <c r="H51" s="15">
        <f t="shared" ref="H51:H79" ca="1" si="13">BulgeMass+DiskMass+HaloMass</f>
        <v>1.4111388138970289E+39</v>
      </c>
      <c r="I51" s="16">
        <v>156.13999999999999</v>
      </c>
      <c r="K51" s="45">
        <v>1</v>
      </c>
      <c r="L51" s="19">
        <f t="shared" ref="L51:L79" ca="1" si="14">SQRT(TotalMass*GravitationalConstant/RadiusM)/km</f>
        <v>184.15522501374528</v>
      </c>
      <c r="M51" s="16">
        <f t="shared" ref="M51:M79" ca="1" si="15">(ObservedVelocityKm-ModelVelocity)^2/(VelocityError)^2</f>
        <v>784.85283257078004</v>
      </c>
      <c r="N51" s="45"/>
    </row>
    <row r="52" spans="1:30" x14ac:dyDescent="0.25">
      <c r="A52" s="16">
        <v>0.19</v>
      </c>
      <c r="B52" s="45">
        <f t="shared" ref="B52:B79" si="16">A52*1000</f>
        <v>190</v>
      </c>
      <c r="C52" s="16">
        <f t="shared" ref="C52:C79" si="17">B52/LCDMBulgeEffectiveRadius</f>
        <v>0.20430107526881722</v>
      </c>
      <c r="D52" s="15">
        <f t="shared" ref="D52:D79" si="18">A52*kpc</f>
        <v>5.862787402E+18</v>
      </c>
      <c r="E52" s="15">
        <f ca="1"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3.2464979726107522E+39</v>
      </c>
      <c r="F52" s="15">
        <f t="shared" si="11"/>
        <v>1.7682693829966381E+38</v>
      </c>
      <c r="G52" s="15">
        <f t="shared" si="12"/>
        <v>1.0099125532051645E+38</v>
      </c>
      <c r="H52" s="15">
        <f t="shared" ca="1" si="13"/>
        <v>3.5243161662309327E+39</v>
      </c>
      <c r="I52" s="16">
        <v>194.81</v>
      </c>
      <c r="K52" s="45">
        <v>1</v>
      </c>
      <c r="L52" s="19">
        <f t="shared" ca="1" si="14"/>
        <v>200.30005201667629</v>
      </c>
      <c r="M52" s="16">
        <f t="shared" ca="1" si="15"/>
        <v>30.140671145811371</v>
      </c>
      <c r="N52" s="45"/>
    </row>
    <row r="53" spans="1:30" x14ac:dyDescent="0.25">
      <c r="A53" s="16">
        <v>0.3</v>
      </c>
      <c r="B53" s="45">
        <f t="shared" si="16"/>
        <v>300</v>
      </c>
      <c r="C53" s="16">
        <f t="shared" si="17"/>
        <v>0.32258064516129031</v>
      </c>
      <c r="D53" s="15">
        <f t="shared" si="18"/>
        <v>9.25703274E+18</v>
      </c>
      <c r="E53" s="15">
        <f ca="1"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5.1992764077419349E+39</v>
      </c>
      <c r="F53" s="15">
        <f t="shared" si="11"/>
        <v>4.243294443809739E+38</v>
      </c>
      <c r="G53" s="15">
        <f t="shared" si="12"/>
        <v>2.4727415574838545E+38</v>
      </c>
      <c r="H53" s="15">
        <f t="shared" ca="1" si="13"/>
        <v>5.8708800078712941E+39</v>
      </c>
      <c r="I53" s="16">
        <v>199.39</v>
      </c>
      <c r="K53" s="45">
        <v>1</v>
      </c>
      <c r="L53" s="19">
        <f t="shared" ca="1" si="14"/>
        <v>205.73652791437814</v>
      </c>
      <c r="M53" s="16">
        <f t="shared" ca="1" si="15"/>
        <v>40.278416567981161</v>
      </c>
      <c r="N53" s="45"/>
    </row>
    <row r="54" spans="1:30" x14ac:dyDescent="0.25">
      <c r="A54" s="16">
        <v>0.42</v>
      </c>
      <c r="B54" s="45">
        <f t="shared" si="16"/>
        <v>420</v>
      </c>
      <c r="C54" s="16">
        <f t="shared" si="17"/>
        <v>0.45161290322580644</v>
      </c>
      <c r="D54" s="15">
        <f t="shared" si="18"/>
        <v>1.2959845836E+19</v>
      </c>
      <c r="E54" s="15">
        <f ca="1"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7.1146436789677417E+39</v>
      </c>
      <c r="F54" s="15">
        <f t="shared" si="11"/>
        <v>7.9793130350279992E+38</v>
      </c>
      <c r="G54" s="15">
        <f t="shared" si="12"/>
        <v>4.7532526631527953E+38</v>
      </c>
      <c r="H54" s="15">
        <f t="shared" ca="1" si="13"/>
        <v>8.3879002487858214E+39</v>
      </c>
      <c r="I54" s="16">
        <v>197.18</v>
      </c>
      <c r="K54" s="45">
        <v>1</v>
      </c>
      <c r="L54" s="19">
        <f t="shared" ca="1" si="14"/>
        <v>207.83678459002189</v>
      </c>
      <c r="M54" s="16">
        <f t="shared" ca="1" si="15"/>
        <v>113.56705779812793</v>
      </c>
      <c r="N54" s="45"/>
    </row>
    <row r="55" spans="1:30" x14ac:dyDescent="0.25">
      <c r="A55" s="16">
        <v>0.56000000000000005</v>
      </c>
      <c r="B55" s="45">
        <f t="shared" si="16"/>
        <v>560</v>
      </c>
      <c r="C55" s="16">
        <f t="shared" si="17"/>
        <v>0.60215053763440862</v>
      </c>
      <c r="D55" s="15">
        <f t="shared" si="18"/>
        <v>1.7279794448000002E+19</v>
      </c>
      <c r="E55" s="15">
        <f ca="1"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9.0986515829677435E+39</v>
      </c>
      <c r="F55" s="15">
        <f t="shared" si="11"/>
        <v>1.3519961466934977E+39</v>
      </c>
      <c r="G55" s="15">
        <f t="shared" si="12"/>
        <v>8.2633687860141566E+38</v>
      </c>
      <c r="H55" s="15">
        <f t="shared" ca="1" si="13"/>
        <v>1.1276984608262658E+40</v>
      </c>
      <c r="I55" s="16">
        <v>194.03</v>
      </c>
      <c r="K55" s="45">
        <v>1</v>
      </c>
      <c r="L55" s="19">
        <f t="shared" ca="1" si="14"/>
        <v>208.70022240309197</v>
      </c>
      <c r="M55" s="16">
        <f t="shared" ca="1" si="15"/>
        <v>215.21542535618153</v>
      </c>
      <c r="N55" s="45"/>
    </row>
    <row r="56" spans="1:30" x14ac:dyDescent="0.25">
      <c r="A56" s="16">
        <v>0.7</v>
      </c>
      <c r="B56" s="45">
        <f t="shared" si="16"/>
        <v>700</v>
      </c>
      <c r="C56" s="16">
        <f t="shared" si="17"/>
        <v>0.75268817204301075</v>
      </c>
      <c r="D56" s="15">
        <f t="shared" si="18"/>
        <v>2.1599743059999998E+19</v>
      </c>
      <c r="E56" s="15">
        <f ca="1"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1.0809787476989247E+40</v>
      </c>
      <c r="F56" s="15">
        <f t="shared" si="11"/>
        <v>2.0140205248147728E+39</v>
      </c>
      <c r="G56" s="15">
        <f t="shared" si="12"/>
        <v>1.2630256031644518E+39</v>
      </c>
      <c r="H56" s="15">
        <f t="shared" ca="1" si="13"/>
        <v>1.4086833604968472E+40</v>
      </c>
      <c r="I56" s="16">
        <v>185.19</v>
      </c>
      <c r="K56" s="45">
        <v>1</v>
      </c>
      <c r="L56" s="19">
        <f t="shared" ca="1" si="14"/>
        <v>208.63064652110288</v>
      </c>
      <c r="M56" s="16">
        <f t="shared" ca="1" si="15"/>
        <v>549.46390932729241</v>
      </c>
      <c r="N56" s="45"/>
    </row>
    <row r="57" spans="1:30" x14ac:dyDescent="0.25">
      <c r="A57" s="16">
        <v>0.86</v>
      </c>
      <c r="B57" s="45">
        <f t="shared" si="16"/>
        <v>860</v>
      </c>
      <c r="C57" s="16">
        <f t="shared" si="17"/>
        <v>0.92473118279569888</v>
      </c>
      <c r="D57" s="15">
        <f t="shared" si="18"/>
        <v>2.6536827187999998E+19</v>
      </c>
      <c r="E57" s="15">
        <f ca="1"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1.2532058908903226E+40</v>
      </c>
      <c r="F57" s="15">
        <f t="shared" si="11"/>
        <v>2.8796480592792762E+39</v>
      </c>
      <c r="G57" s="15">
        <f t="shared" si="12"/>
        <v>1.8597510191868659E+39</v>
      </c>
      <c r="H57" s="15">
        <f t="shared" ca="1" si="13"/>
        <v>1.727145798736937E+40</v>
      </c>
      <c r="I57" s="16">
        <v>180.66</v>
      </c>
      <c r="K57" s="45">
        <v>1</v>
      </c>
      <c r="L57" s="19">
        <f t="shared" ca="1" si="14"/>
        <v>208.41823137482035</v>
      </c>
      <c r="M57" s="16">
        <f t="shared" ca="1" si="15"/>
        <v>770.51940905806111</v>
      </c>
      <c r="N57" s="45"/>
    </row>
    <row r="58" spans="1:30" x14ac:dyDescent="0.25">
      <c r="A58" s="16">
        <v>1.04</v>
      </c>
      <c r="B58" s="45">
        <f t="shared" si="16"/>
        <v>1040</v>
      </c>
      <c r="C58" s="16">
        <f t="shared" si="17"/>
        <v>1.118279569892473</v>
      </c>
      <c r="D58" s="15">
        <f t="shared" si="18"/>
        <v>3.2091046832E+19</v>
      </c>
      <c r="E58" s="15">
        <f ca="1"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1.4207512487741933E+40</v>
      </c>
      <c r="F58" s="15">
        <f t="shared" si="11"/>
        <v>3.9642347150654445E+39</v>
      </c>
      <c r="G58" s="15">
        <f t="shared" si="12"/>
        <v>2.6462745833129255E+39</v>
      </c>
      <c r="H58" s="15">
        <f t="shared" ca="1" si="13"/>
        <v>2.0818021786120304E+40</v>
      </c>
      <c r="I58" s="16">
        <v>182.21</v>
      </c>
      <c r="K58" s="45">
        <v>1</v>
      </c>
      <c r="L58" s="19">
        <f t="shared" ca="1" si="14"/>
        <v>208.07671902281541</v>
      </c>
      <c r="M58" s="16">
        <f t="shared" ca="1" si="15"/>
        <v>669.08715300528024</v>
      </c>
      <c r="N58" s="45"/>
    </row>
    <row r="59" spans="1:30" x14ac:dyDescent="0.25">
      <c r="A59" s="16">
        <v>1.23</v>
      </c>
      <c r="B59" s="45">
        <f t="shared" si="16"/>
        <v>1230</v>
      </c>
      <c r="C59" s="16">
        <f t="shared" si="17"/>
        <v>1.3225806451612903</v>
      </c>
      <c r="D59" s="15">
        <f t="shared" si="18"/>
        <v>3.7953834233999999E+19</v>
      </c>
      <c r="E59" s="15">
        <f ca="1"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1.5733200952774189E+40</v>
      </c>
      <c r="F59" s="15">
        <f t="shared" si="11"/>
        <v>5.2052966204654364E+39</v>
      </c>
      <c r="G59" s="15">
        <f t="shared" si="12"/>
        <v>3.598023880170492E+39</v>
      </c>
      <c r="H59" s="15">
        <f t="shared" ca="1" si="13"/>
        <v>2.4536521453410115E+40</v>
      </c>
      <c r="I59" s="16">
        <v>189.82</v>
      </c>
      <c r="K59" s="45">
        <v>1</v>
      </c>
      <c r="L59" s="19">
        <f t="shared" ca="1" si="14"/>
        <v>207.71811471007754</v>
      </c>
      <c r="M59" s="16">
        <f t="shared" ca="1" si="15"/>
        <v>320.34251017509439</v>
      </c>
      <c r="N59" s="45"/>
    </row>
    <row r="60" spans="1:30" x14ac:dyDescent="0.25">
      <c r="A60" s="16">
        <v>1.45</v>
      </c>
      <c r="B60" s="45">
        <f t="shared" si="16"/>
        <v>1450</v>
      </c>
      <c r="C60" s="16">
        <f t="shared" si="17"/>
        <v>1.5591397849462365</v>
      </c>
      <c r="D60" s="15">
        <f t="shared" si="18"/>
        <v>4.4742324909999997E+19</v>
      </c>
      <c r="E60" s="15">
        <f ca="1"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1.7251401846537638E+40</v>
      </c>
      <c r="F60" s="15">
        <f t="shared" si="11"/>
        <v>6.7282716685262596E+39</v>
      </c>
      <c r="G60" s="15">
        <f t="shared" si="12"/>
        <v>4.8419607334374076E+39</v>
      </c>
      <c r="H60" s="15">
        <f t="shared" ca="1" si="13"/>
        <v>2.8821634248501306E+40</v>
      </c>
      <c r="I60" s="16">
        <v>194.68</v>
      </c>
      <c r="K60" s="45">
        <v>1</v>
      </c>
      <c r="L60" s="19">
        <f t="shared" ca="1" si="14"/>
        <v>207.34603347055335</v>
      </c>
      <c r="M60" s="16">
        <f t="shared" ca="1" si="15"/>
        <v>160.4284038771776</v>
      </c>
      <c r="N60" s="45"/>
    </row>
    <row r="61" spans="1:30" x14ac:dyDescent="0.25">
      <c r="A61" s="16">
        <v>1.68</v>
      </c>
      <c r="B61" s="45">
        <f t="shared" si="16"/>
        <v>1680</v>
      </c>
      <c r="C61" s="16">
        <f t="shared" si="17"/>
        <v>1.8064516129032258</v>
      </c>
      <c r="D61" s="15">
        <f t="shared" si="18"/>
        <v>5.1839383344E+19</v>
      </c>
      <c r="E61" s="15">
        <f ca="1"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1.8615655811096773E+40</v>
      </c>
      <c r="F61" s="15">
        <f t="shared" si="11"/>
        <v>8.3804032893096267E+39</v>
      </c>
      <c r="G61" s="15">
        <f t="shared" si="12"/>
        <v>6.2895413732718853E+39</v>
      </c>
      <c r="H61" s="15">
        <f t="shared" ca="1" si="13"/>
        <v>3.3285600473678285E+40</v>
      </c>
      <c r="I61" s="16">
        <v>200.29</v>
      </c>
      <c r="K61" s="45">
        <v>1</v>
      </c>
      <c r="L61" s="19">
        <f t="shared" ca="1" si="14"/>
        <v>207.0112695081844</v>
      </c>
      <c r="M61" s="16">
        <f t="shared" ca="1" si="15"/>
        <v>45.17546380164945</v>
      </c>
      <c r="N61" s="45"/>
    </row>
    <row r="62" spans="1:30" x14ac:dyDescent="0.25">
      <c r="A62" s="16">
        <v>1.94</v>
      </c>
      <c r="B62" s="45">
        <f t="shared" si="16"/>
        <v>1940</v>
      </c>
      <c r="C62" s="16">
        <f t="shared" si="17"/>
        <v>2.086021505376344</v>
      </c>
      <c r="D62" s="15">
        <f t="shared" si="18"/>
        <v>5.9862145052000002E+19</v>
      </c>
      <c r="E62" s="15">
        <f ca="1"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1.9930278950193545E+40</v>
      </c>
      <c r="F62" s="15">
        <f t="shared" si="11"/>
        <v>1.0279116338847786E+40</v>
      </c>
      <c r="G62" s="15">
        <f t="shared" si="12"/>
        <v>8.0877873473819691E+39</v>
      </c>
      <c r="H62" s="15">
        <f t="shared" ca="1" si="13"/>
        <v>3.8297182636423299E+40</v>
      </c>
      <c r="I62" s="16">
        <v>205.46</v>
      </c>
      <c r="K62" s="45">
        <v>1</v>
      </c>
      <c r="L62" s="19">
        <f t="shared" ca="1" si="14"/>
        <v>206.63456939487281</v>
      </c>
      <c r="M62" s="16">
        <f t="shared" ca="1" si="15"/>
        <v>1.3796132633718665</v>
      </c>
      <c r="N62" s="45"/>
    </row>
    <row r="63" spans="1:30" x14ac:dyDescent="0.25">
      <c r="A63" s="16">
        <v>2.23</v>
      </c>
      <c r="B63" s="45">
        <f t="shared" si="16"/>
        <v>2230</v>
      </c>
      <c r="C63" s="16">
        <f t="shared" si="17"/>
        <v>2.3978494623655915</v>
      </c>
      <c r="D63" s="15">
        <f t="shared" si="18"/>
        <v>6.8810610034000003E+19</v>
      </c>
      <c r="E63" s="15">
        <f ca="1"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2.1176613933591399E+40</v>
      </c>
      <c r="F63" s="15">
        <f t="shared" si="11"/>
        <v>1.239007052256993E+40</v>
      </c>
      <c r="G63" s="15">
        <f t="shared" si="12"/>
        <v>1.0272746352487412E+40</v>
      </c>
      <c r="H63" s="15">
        <f t="shared" ca="1" si="13"/>
        <v>4.3839430808648737E+40</v>
      </c>
      <c r="I63" s="16">
        <v>209.93</v>
      </c>
      <c r="K63" s="45">
        <v>1</v>
      </c>
      <c r="L63" s="19">
        <f t="shared" ca="1" si="14"/>
        <v>206.2055990657181</v>
      </c>
      <c r="M63" s="16">
        <f t="shared" ca="1" si="15"/>
        <v>13.871162319279909</v>
      </c>
      <c r="N63" s="45"/>
    </row>
    <row r="64" spans="1:30" x14ac:dyDescent="0.25">
      <c r="A64" s="16">
        <v>2.54</v>
      </c>
      <c r="B64" s="45">
        <f t="shared" si="16"/>
        <v>2540</v>
      </c>
      <c r="C64" s="16">
        <f t="shared" si="17"/>
        <v>2.7311827956989245</v>
      </c>
      <c r="D64" s="15">
        <f t="shared" si="18"/>
        <v>7.8376210532000006E+19</v>
      </c>
      <c r="E64" s="15">
        <f ca="1"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2.2301423034494624E+40</v>
      </c>
      <c r="F64" s="15">
        <f t="shared" si="11"/>
        <v>1.4594585172140404E+40</v>
      </c>
      <c r="G64" s="15">
        <f t="shared" si="12"/>
        <v>1.279096099093319E+40</v>
      </c>
      <c r="H64" s="15">
        <f t="shared" ca="1" si="13"/>
        <v>4.9686969197568217E+40</v>
      </c>
      <c r="I64" s="16">
        <v>212.45</v>
      </c>
      <c r="K64" s="45">
        <v>1</v>
      </c>
      <c r="L64" s="19">
        <f t="shared" ca="1" si="14"/>
        <v>205.69551692568319</v>
      </c>
      <c r="M64" s="16">
        <f t="shared" ca="1" si="15"/>
        <v>45.62304160123206</v>
      </c>
      <c r="N64" s="45"/>
    </row>
    <row r="65" spans="1:14" x14ac:dyDescent="0.25">
      <c r="A65" s="16">
        <v>2.89</v>
      </c>
      <c r="B65" s="45">
        <f t="shared" si="16"/>
        <v>2890</v>
      </c>
      <c r="C65" s="16">
        <f t="shared" si="17"/>
        <v>3.10752688172043</v>
      </c>
      <c r="D65" s="15">
        <f t="shared" si="18"/>
        <v>8.9176082061999997E+19</v>
      </c>
      <c r="E65" s="15">
        <f ca="1"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2.3374476181161286E+40</v>
      </c>
      <c r="F65" s="15">
        <f t="shared" si="11"/>
        <v>1.6976416517875815E+40</v>
      </c>
      <c r="G65" s="15">
        <f t="shared" si="12"/>
        <v>1.582935738557665E+40</v>
      </c>
      <c r="H65" s="15">
        <f t="shared" ca="1" si="13"/>
        <v>5.6180250084613752E+40</v>
      </c>
      <c r="I65" s="16">
        <v>212.8</v>
      </c>
      <c r="K65" s="45">
        <v>1</v>
      </c>
      <c r="L65" s="19">
        <f t="shared" ca="1" si="14"/>
        <v>205.05168584747918</v>
      </c>
      <c r="M65" s="16">
        <f t="shared" ca="1" si="15"/>
        <v>60.036372206154645</v>
      </c>
      <c r="N65" s="45"/>
    </row>
    <row r="66" spans="1:14" x14ac:dyDescent="0.25">
      <c r="A66" s="16">
        <v>3.27</v>
      </c>
      <c r="B66" s="45">
        <f t="shared" si="16"/>
        <v>3270</v>
      </c>
      <c r="C66" s="16">
        <f t="shared" si="17"/>
        <v>3.5161290322580645</v>
      </c>
      <c r="D66" s="15">
        <f t="shared" si="18"/>
        <v>1.0090165686599999E+20</v>
      </c>
      <c r="E66" s="15">
        <f ca="1"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2.4349140314322579E+40</v>
      </c>
      <c r="F66" s="15">
        <f t="shared" si="11"/>
        <v>1.939774297027289E+40</v>
      </c>
      <c r="G66" s="15">
        <f t="shared" si="12"/>
        <v>1.9327091496529265E+40</v>
      </c>
      <c r="H66" s="15">
        <f t="shared" ca="1" si="13"/>
        <v>6.3073974781124733E+40</v>
      </c>
      <c r="I66" s="16">
        <v>210.94</v>
      </c>
      <c r="K66" s="45">
        <v>1</v>
      </c>
      <c r="L66" s="19">
        <f t="shared" ca="1" si="14"/>
        <v>204.25451028812751</v>
      </c>
      <c r="M66" s="16">
        <f t="shared" ca="1" si="15"/>
        <v>44.695772687552939</v>
      </c>
      <c r="N66" s="45"/>
    </row>
    <row r="67" spans="1:14" x14ac:dyDescent="0.25">
      <c r="A67" s="16">
        <v>3.69</v>
      </c>
      <c r="B67" s="45">
        <f t="shared" si="16"/>
        <v>3690</v>
      </c>
      <c r="C67" s="16">
        <f t="shared" si="17"/>
        <v>3.967741935483871</v>
      </c>
      <c r="D67" s="15">
        <f t="shared" si="18"/>
        <v>1.13861502702E+20</v>
      </c>
      <c r="E67" s="15">
        <f ca="1"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2.5248151916387094E+40</v>
      </c>
      <c r="F67" s="15">
        <f t="shared" si="11"/>
        <v>2.1847962318199813E+40</v>
      </c>
      <c r="G67" s="15">
        <f t="shared" si="12"/>
        <v>2.3393449965340883E+40</v>
      </c>
      <c r="H67" s="15">
        <f t="shared" ca="1" si="13"/>
        <v>7.0489564199927791E+40</v>
      </c>
      <c r="I67" s="16">
        <v>207.83</v>
      </c>
      <c r="K67" s="45">
        <v>1</v>
      </c>
      <c r="L67" s="19">
        <f t="shared" ca="1" si="14"/>
        <v>203.26830290529998</v>
      </c>
      <c r="M67" s="16">
        <f t="shared" ca="1" si="15"/>
        <v>20.809080383794758</v>
      </c>
      <c r="N67" s="45"/>
    </row>
    <row r="68" spans="1:14" x14ac:dyDescent="0.25">
      <c r="A68" s="16">
        <v>4.1500000000000004</v>
      </c>
      <c r="B68" s="45">
        <f t="shared" si="16"/>
        <v>4150</v>
      </c>
      <c r="C68" s="16">
        <f t="shared" si="17"/>
        <v>4.4623655913978491</v>
      </c>
      <c r="D68" s="15">
        <f t="shared" si="18"/>
        <v>1.2805561957E+20</v>
      </c>
      <c r="E68" s="15">
        <f ca="1"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2.6065878198365592E+40</v>
      </c>
      <c r="F68" s="15">
        <f t="shared" si="11"/>
        <v>2.4246577424486801E+40</v>
      </c>
      <c r="G68" s="15">
        <f t="shared" si="12"/>
        <v>2.8043728834694464E+40</v>
      </c>
      <c r="H68" s="15">
        <f t="shared" ca="1" si="13"/>
        <v>7.8356184457546853E+40</v>
      </c>
      <c r="I68" s="16">
        <v>208.1</v>
      </c>
      <c r="K68" s="45">
        <v>1</v>
      </c>
      <c r="L68" s="19">
        <f t="shared" ca="1" si="14"/>
        <v>202.08450884185305</v>
      </c>
      <c r="M68" s="16">
        <f t="shared" ca="1" si="15"/>
        <v>36.186133873744055</v>
      </c>
      <c r="N68" s="45"/>
    </row>
    <row r="69" spans="1:14" x14ac:dyDescent="0.25">
      <c r="A69" s="16">
        <v>4.6500000000000004</v>
      </c>
      <c r="B69" s="45">
        <f t="shared" si="16"/>
        <v>4650</v>
      </c>
      <c r="C69" s="16">
        <f t="shared" si="17"/>
        <v>5</v>
      </c>
      <c r="D69" s="15">
        <f t="shared" si="18"/>
        <v>1.4348400747000001E+20</v>
      </c>
      <c r="E69" s="15">
        <f ca="1"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2.6801610784E+40</v>
      </c>
      <c r="F69" s="15">
        <f t="shared" si="11"/>
        <v>2.6520424062203778E+40</v>
      </c>
      <c r="G69" s="15">
        <f t="shared" si="12"/>
        <v>3.3283275101832435E+40</v>
      </c>
      <c r="H69" s="15">
        <f t="shared" ca="1" si="13"/>
        <v>8.6605309948036213E+40</v>
      </c>
      <c r="I69" s="16">
        <v>204.44</v>
      </c>
      <c r="K69" s="45">
        <v>1</v>
      </c>
      <c r="L69" s="19">
        <f t="shared" ca="1" si="14"/>
        <v>200.70870797408367</v>
      </c>
      <c r="M69" s="16">
        <f t="shared" ca="1" si="15"/>
        <v>13.922540182666806</v>
      </c>
      <c r="N69" s="45"/>
    </row>
    <row r="70" spans="1:14" x14ac:dyDescent="0.25">
      <c r="A70" s="16">
        <v>5.21</v>
      </c>
      <c r="B70" s="45">
        <f t="shared" si="16"/>
        <v>5210</v>
      </c>
      <c r="C70" s="16">
        <f t="shared" si="17"/>
        <v>5.602150537634409</v>
      </c>
      <c r="D70" s="15">
        <f t="shared" si="18"/>
        <v>1.6076380191800001E+20</v>
      </c>
      <c r="E70" s="15">
        <f ca="1"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2.7437465739354836E+40</v>
      </c>
      <c r="F70" s="15">
        <f t="shared" si="11"/>
        <v>2.8680242794847769E+40</v>
      </c>
      <c r="G70" s="15">
        <f t="shared" si="12"/>
        <v>3.9326458387524494E+40</v>
      </c>
      <c r="H70" s="15">
        <f t="shared" ca="1" si="13"/>
        <v>9.5444166921727104E+40</v>
      </c>
      <c r="I70" s="16">
        <v>199.61</v>
      </c>
      <c r="K70" s="45">
        <v>1</v>
      </c>
      <c r="L70" s="19">
        <f t="shared" ca="1" si="14"/>
        <v>199.05645511280497</v>
      </c>
      <c r="M70" s="16">
        <f t="shared" ca="1" si="15"/>
        <v>0.30641194213977513</v>
      </c>
      <c r="N70" s="45"/>
    </row>
    <row r="71" spans="1:14" x14ac:dyDescent="0.25">
      <c r="A71" s="16">
        <v>5.82</v>
      </c>
      <c r="B71" s="45">
        <f t="shared" si="16"/>
        <v>5820</v>
      </c>
      <c r="C71" s="16">
        <f t="shared" si="17"/>
        <v>6.258064516129032</v>
      </c>
      <c r="D71" s="15">
        <f t="shared" si="18"/>
        <v>1.7958643515600001E+20</v>
      </c>
      <c r="E71" s="15">
        <f ca="1"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2.8057161502967738E+40</v>
      </c>
      <c r="F71" s="15">
        <f t="shared" si="11"/>
        <v>3.0615595911425719E+40</v>
      </c>
      <c r="G71" s="15">
        <f t="shared" si="12"/>
        <v>4.6062280370368754E+40</v>
      </c>
      <c r="H71" s="15">
        <f t="shared" ca="1" si="13"/>
        <v>1.047350377847622E+41</v>
      </c>
      <c r="I71" s="16">
        <v>201.07</v>
      </c>
      <c r="K71" s="45">
        <v>1</v>
      </c>
      <c r="L71" s="19">
        <f t="shared" ca="1" si="14"/>
        <v>197.28993788584171</v>
      </c>
      <c r="M71" s="16">
        <f t="shared" ca="1" si="15"/>
        <v>14.288869586894794</v>
      </c>
      <c r="N71" s="45"/>
    </row>
    <row r="72" spans="1:14" x14ac:dyDescent="0.25">
      <c r="A72" s="16">
        <v>6.49</v>
      </c>
      <c r="B72" s="45">
        <f t="shared" si="16"/>
        <v>6490</v>
      </c>
      <c r="C72" s="16">
        <f t="shared" si="17"/>
        <v>6.978494623655914</v>
      </c>
      <c r="D72" s="15">
        <f t="shared" si="18"/>
        <v>2.0026047494200001E+20</v>
      </c>
      <c r="E72" s="15">
        <f ca="1"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2.8614314829419353E+40</v>
      </c>
      <c r="F72" s="15">
        <f t="shared" si="11"/>
        <v>3.2310634571376299E+40</v>
      </c>
      <c r="G72" s="15">
        <f t="shared" si="12"/>
        <v>5.3584542092712097E+40</v>
      </c>
      <c r="H72" s="15">
        <f t="shared" ca="1" si="13"/>
        <v>1.1450949149350775E+41</v>
      </c>
      <c r="I72" s="16">
        <v>206.25</v>
      </c>
      <c r="K72" s="45">
        <v>1</v>
      </c>
      <c r="L72" s="19">
        <f t="shared" ca="1" si="14"/>
        <v>195.35243376756864</v>
      </c>
      <c r="M72" s="16">
        <f t="shared" ca="1" si="15"/>
        <v>118.75694979022821</v>
      </c>
      <c r="N72" s="45"/>
    </row>
    <row r="73" spans="1:14" x14ac:dyDescent="0.25">
      <c r="A73" s="16">
        <v>7.23</v>
      </c>
      <c r="B73" s="45">
        <f t="shared" si="16"/>
        <v>7230</v>
      </c>
      <c r="C73" s="16">
        <f t="shared" si="17"/>
        <v>7.774193548387097</v>
      </c>
      <c r="D73" s="15">
        <f t="shared" si="18"/>
        <v>2.2309448903400001E+20</v>
      </c>
      <c r="E73" s="15">
        <f ca="1"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2.9082089551483868E+40</v>
      </c>
      <c r="F73" s="15">
        <f t="shared" si="11"/>
        <v>3.3751585926372258E+40</v>
      </c>
      <c r="G73" s="15">
        <f t="shared" si="12"/>
        <v>6.1981088984186451E+40</v>
      </c>
      <c r="H73" s="15">
        <f t="shared" ca="1" si="13"/>
        <v>1.2481476446204257E+41</v>
      </c>
      <c r="I73" s="16">
        <v>211.9</v>
      </c>
      <c r="K73" s="45">
        <v>1</v>
      </c>
      <c r="L73" s="19">
        <f t="shared" ca="1" si="14"/>
        <v>193.2343202032813</v>
      </c>
      <c r="M73" s="16">
        <f t="shared" ca="1" si="15"/>
        <v>348.40760227363285</v>
      </c>
      <c r="N73" s="45"/>
    </row>
    <row r="74" spans="1:14" x14ac:dyDescent="0.25">
      <c r="A74" s="16">
        <v>8.0500000000000007</v>
      </c>
      <c r="B74" s="45">
        <f t="shared" si="16"/>
        <v>8050.0000000000009</v>
      </c>
      <c r="C74" s="16">
        <f t="shared" si="17"/>
        <v>8.655913978494624</v>
      </c>
      <c r="D74" s="15">
        <f t="shared" si="18"/>
        <v>2.4839704519000002E+20</v>
      </c>
      <c r="E74" s="15">
        <f ca="1"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2.9507799727827956E+40</v>
      </c>
      <c r="F74" s="15">
        <f t="shared" si="11"/>
        <v>3.4932396054498698E+40</v>
      </c>
      <c r="G74" s="15">
        <f t="shared" si="12"/>
        <v>7.1329411719238687E+40</v>
      </c>
      <c r="H74" s="15">
        <f t="shared" ca="1" si="13"/>
        <v>1.3576960750156534E+41</v>
      </c>
      <c r="I74" s="16">
        <v>213.84</v>
      </c>
      <c r="K74" s="45">
        <v>1</v>
      </c>
      <c r="L74" s="19">
        <f t="shared" ca="1" si="14"/>
        <v>190.99578038270576</v>
      </c>
      <c r="M74" s="16">
        <f t="shared" ca="1" si="15"/>
        <v>521.85836992317115</v>
      </c>
      <c r="N74" s="45"/>
    </row>
    <row r="75" spans="1:14" x14ac:dyDescent="0.25">
      <c r="A75" s="16">
        <v>8.94</v>
      </c>
      <c r="B75" s="45">
        <f t="shared" si="16"/>
        <v>8940</v>
      </c>
      <c r="C75" s="16">
        <f t="shared" si="17"/>
        <v>9.612903225806452</v>
      </c>
      <c r="D75" s="15">
        <f t="shared" si="18"/>
        <v>2.7585957565199997E+20</v>
      </c>
      <c r="E75" s="15">
        <f ca="1"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2.9877832214709679E+40</v>
      </c>
      <c r="F75" s="15">
        <f t="shared" si="11"/>
        <v>3.5842085054111079E+40</v>
      </c>
      <c r="G75" s="15">
        <f t="shared" si="12"/>
        <v>8.1465607456222014E+40</v>
      </c>
      <c r="H75" s="15">
        <f t="shared" ca="1" si="13"/>
        <v>1.4718552472504277E+41</v>
      </c>
      <c r="I75" s="16">
        <v>212.18</v>
      </c>
      <c r="K75" s="45">
        <v>1</v>
      </c>
      <c r="L75" s="19">
        <f t="shared" ca="1" si="14"/>
        <v>188.70535405345524</v>
      </c>
      <c r="M75" s="16">
        <f t="shared" ca="1" si="15"/>
        <v>551.05900231563078</v>
      </c>
      <c r="N75" s="45"/>
    </row>
    <row r="76" spans="1:14" x14ac:dyDescent="0.25">
      <c r="A76" s="16">
        <v>9.93</v>
      </c>
      <c r="B76" s="45">
        <f t="shared" si="16"/>
        <v>9930</v>
      </c>
      <c r="C76" s="16">
        <f t="shared" si="17"/>
        <v>10.67741935483871</v>
      </c>
      <c r="D76" s="15">
        <f t="shared" si="18"/>
        <v>3.06407783694E+20</v>
      </c>
      <c r="E76" s="15">
        <f ca="1"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3.020380848929032E+40</v>
      </c>
      <c r="F76" s="15">
        <f t="shared" si="11"/>
        <v>3.652850941306866E+40</v>
      </c>
      <c r="G76" s="15">
        <f t="shared" si="12"/>
        <v>9.2667358639027292E+40</v>
      </c>
      <c r="H76" s="15">
        <f t="shared" ca="1" si="13"/>
        <v>1.5939967654138627E+41</v>
      </c>
      <c r="I76" s="16">
        <v>210.32</v>
      </c>
      <c r="K76" s="45">
        <v>1</v>
      </c>
      <c r="L76" s="19">
        <f t="shared" ca="1" si="14"/>
        <v>186.33289227888264</v>
      </c>
      <c r="M76" s="16">
        <f t="shared" ca="1" si="15"/>
        <v>575.38133682448779</v>
      </c>
      <c r="N76" s="45"/>
    </row>
    <row r="77" spans="1:14" x14ac:dyDescent="0.25">
      <c r="A77" s="16">
        <v>11.01</v>
      </c>
      <c r="B77" s="45">
        <f t="shared" si="16"/>
        <v>11010</v>
      </c>
      <c r="C77" s="16">
        <f t="shared" si="17"/>
        <v>11.838709677419354</v>
      </c>
      <c r="D77" s="15">
        <f t="shared" si="18"/>
        <v>3.3973310155799999E+20</v>
      </c>
      <c r="E77" s="15">
        <f ca="1"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3.0483935367225807E+40</v>
      </c>
      <c r="F77" s="15">
        <f t="shared" si="11"/>
        <v>3.7011343057838105E+40</v>
      </c>
      <c r="G77" s="15">
        <f t="shared" si="12"/>
        <v>1.0474340012082811E+41</v>
      </c>
      <c r="H77" s="15">
        <f t="shared" ca="1" si="13"/>
        <v>1.7223867854589203E+41</v>
      </c>
      <c r="I77" s="16">
        <v>209.29</v>
      </c>
      <c r="K77" s="45">
        <v>1</v>
      </c>
      <c r="L77" s="19">
        <f t="shared" ca="1" si="14"/>
        <v>183.94674805794997</v>
      </c>
      <c r="M77" s="16">
        <f t="shared" ca="1" si="15"/>
        <v>642.28041899822199</v>
      </c>
      <c r="N77" s="45"/>
    </row>
    <row r="78" spans="1:14" x14ac:dyDescent="0.25">
      <c r="A78" s="16">
        <v>12.2</v>
      </c>
      <c r="B78" s="45">
        <f t="shared" si="16"/>
        <v>12200</v>
      </c>
      <c r="C78" s="16">
        <f t="shared" si="17"/>
        <v>13.118279569892474</v>
      </c>
      <c r="D78" s="15">
        <f t="shared" si="18"/>
        <v>3.7645266475999999E+20</v>
      </c>
      <c r="E78" s="15">
        <f ca="1"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3.0723051708559139E+40</v>
      </c>
      <c r="F78" s="15">
        <f t="shared" si="11"/>
        <v>3.7336602589505705E+40</v>
      </c>
      <c r="G78" s="15">
        <f t="shared" si="12"/>
        <v>1.1782580715718991E+41</v>
      </c>
      <c r="H78" s="15">
        <f t="shared" ca="1" si="13"/>
        <v>1.8588546145525475E+41</v>
      </c>
      <c r="I78" s="16">
        <v>183.36</v>
      </c>
      <c r="K78" s="45">
        <v>1</v>
      </c>
      <c r="L78" s="19">
        <f t="shared" ca="1" si="14"/>
        <v>181.53619490046381</v>
      </c>
      <c r="M78" s="16">
        <f t="shared" ca="1" si="15"/>
        <v>3.3262650410942545</v>
      </c>
      <c r="N78" s="45"/>
    </row>
    <row r="79" spans="1:14" x14ac:dyDescent="0.25">
      <c r="A79" s="16">
        <v>13.51</v>
      </c>
      <c r="B79" s="45">
        <f t="shared" si="16"/>
        <v>13510</v>
      </c>
      <c r="C79" s="16">
        <f t="shared" si="17"/>
        <v>14.526881720430108</v>
      </c>
      <c r="D79" s="15">
        <f t="shared" si="18"/>
        <v>4.1687504105800001E+20</v>
      </c>
      <c r="E79" s="15">
        <f ca="1"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3.092420318898925E+40</v>
      </c>
      <c r="F79" s="15">
        <f t="shared" si="11"/>
        <v>3.7542636845900608E+40</v>
      </c>
      <c r="G79" s="15">
        <f t="shared" si="12"/>
        <v>1.3191548400609045E+41</v>
      </c>
      <c r="H79" s="15">
        <f t="shared" ca="1" si="13"/>
        <v>2.0038232404098031E+41</v>
      </c>
      <c r="I79" s="16">
        <v>150.86000000000001</v>
      </c>
      <c r="K79" s="45">
        <v>1</v>
      </c>
      <c r="L79" s="19">
        <f t="shared" ca="1" si="14"/>
        <v>179.11108373932822</v>
      </c>
      <c r="M79" s="16">
        <f t="shared" ca="1" si="15"/>
        <v>798.12373244653475</v>
      </c>
      <c r="N79" s="45"/>
    </row>
    <row r="80" spans="1:14" x14ac:dyDescent="0.25">
      <c r="H80" s="15"/>
      <c r="L80" s="45"/>
      <c r="M80" s="16">
        <f ca="1">SUM(M51:M79)/(COUNT(M51:M79)-6)</f>
        <v>326.49495340622911</v>
      </c>
      <c r="N80" s="45"/>
    </row>
    <row r="81" spans="1:30" x14ac:dyDescent="0.25">
      <c r="H81" s="15"/>
      <c r="L81" s="45"/>
      <c r="M81" s="17"/>
      <c r="N81" s="45"/>
    </row>
    <row r="82" spans="1:30" x14ac:dyDescent="0.25">
      <c r="I82" s="45"/>
      <c r="K82" s="45"/>
      <c r="M82" s="16"/>
    </row>
    <row r="83" spans="1:30" x14ac:dyDescent="0.25">
      <c r="I83" s="45"/>
      <c r="K83" s="45"/>
      <c r="M83" s="16"/>
    </row>
    <row r="84" spans="1:30" x14ac:dyDescent="0.25">
      <c r="I84" s="45"/>
      <c r="K84" s="45"/>
      <c r="M84" s="16"/>
    </row>
    <row r="85" spans="1:30" x14ac:dyDescent="0.25">
      <c r="I85" s="45"/>
      <c r="K85" s="45"/>
      <c r="M85" s="16"/>
    </row>
    <row r="86" spans="1:30" x14ac:dyDescent="0.25">
      <c r="I86" s="45"/>
      <c r="K86" s="45"/>
      <c r="M86" s="16"/>
    </row>
    <row r="87" spans="1:30" x14ac:dyDescent="0.25">
      <c r="I87" s="45"/>
      <c r="K87" s="45"/>
      <c r="M87" s="16"/>
    </row>
    <row r="88" spans="1:30" x14ac:dyDescent="0.25">
      <c r="I88" s="45"/>
      <c r="K88" s="45"/>
      <c r="M88" s="16"/>
    </row>
    <row r="89" spans="1:30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15"/>
      <c r="K89" s="45"/>
      <c r="L89" s="19"/>
      <c r="M89" s="16"/>
      <c r="O89" s="45"/>
      <c r="P89" s="45"/>
      <c r="Q89" s="45"/>
      <c r="R89" s="45"/>
      <c r="S89" s="45"/>
      <c r="T89" s="45"/>
      <c r="U89" s="45"/>
      <c r="V89" s="45"/>
      <c r="W89" s="16"/>
      <c r="X89" s="16"/>
      <c r="Y89" s="45"/>
      <c r="Z89" s="45"/>
      <c r="AA89" s="45"/>
      <c r="AB89" s="45"/>
      <c r="AC89" s="45"/>
      <c r="AD89" s="45"/>
    </row>
    <row r="90" spans="1:30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15"/>
      <c r="K90" s="45"/>
      <c r="L90" s="19"/>
      <c r="M90" s="16"/>
      <c r="O90" s="45"/>
      <c r="P90" s="45"/>
      <c r="Q90" s="45"/>
      <c r="R90" s="45"/>
      <c r="S90" s="45"/>
      <c r="T90" s="45"/>
      <c r="U90" s="45"/>
      <c r="V90" s="45"/>
      <c r="W90" s="16"/>
      <c r="X90" s="16"/>
      <c r="Y90" s="45"/>
      <c r="Z90" s="45"/>
      <c r="AA90" s="45"/>
      <c r="AB90" s="45"/>
      <c r="AC90" s="45"/>
      <c r="AD90" s="45"/>
    </row>
    <row r="91" spans="1:30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15"/>
      <c r="K91" s="45"/>
      <c r="L91" s="19"/>
      <c r="M91" s="16"/>
      <c r="O91" s="45"/>
      <c r="P91" s="45"/>
      <c r="Q91" s="45"/>
      <c r="R91" s="45"/>
      <c r="S91" s="45"/>
      <c r="T91" s="45"/>
      <c r="U91" s="45"/>
      <c r="V91" s="45"/>
      <c r="W91" s="16"/>
      <c r="X91" s="16"/>
      <c r="Y91" s="45"/>
      <c r="Z91" s="45"/>
      <c r="AA91" s="45"/>
      <c r="AB91" s="45"/>
      <c r="AC91" s="45"/>
      <c r="AD91" s="45"/>
    </row>
    <row r="92" spans="1:30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15"/>
      <c r="K92" s="45"/>
      <c r="L92" s="19"/>
      <c r="M92" s="16"/>
      <c r="O92" s="45"/>
      <c r="P92" s="45"/>
      <c r="Q92" s="45"/>
      <c r="R92" s="45"/>
      <c r="S92" s="45"/>
      <c r="T92" s="45"/>
      <c r="U92" s="45"/>
      <c r="V92" s="45"/>
      <c r="W92" s="16"/>
      <c r="X92" s="16"/>
      <c r="Y92" s="45"/>
      <c r="Z92" s="45"/>
      <c r="AA92" s="45"/>
      <c r="AB92" s="45"/>
      <c r="AC92" s="45"/>
      <c r="AD92" s="45"/>
    </row>
    <row r="93" spans="1:30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15"/>
      <c r="K93" s="45"/>
      <c r="L93" s="19"/>
      <c r="M93" s="16"/>
      <c r="O93" s="45"/>
      <c r="P93" s="45"/>
      <c r="Q93" s="45"/>
      <c r="R93" s="45"/>
      <c r="S93" s="45"/>
      <c r="T93" s="45"/>
      <c r="U93" s="45"/>
      <c r="V93" s="45"/>
      <c r="W93" s="16"/>
      <c r="X93" s="16"/>
      <c r="Y93" s="45"/>
      <c r="Z93" s="45"/>
      <c r="AA93" s="45"/>
      <c r="AB93" s="45"/>
      <c r="AC93" s="45"/>
      <c r="AD93" s="45"/>
    </row>
    <row r="94" spans="1:30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15"/>
      <c r="K94" s="45"/>
      <c r="L94" s="19"/>
      <c r="M94" s="16"/>
      <c r="O94" s="45"/>
      <c r="P94" s="45"/>
      <c r="Q94" s="45"/>
      <c r="R94" s="45"/>
      <c r="S94" s="45"/>
      <c r="T94" s="45"/>
      <c r="U94" s="45"/>
      <c r="V94" s="45"/>
      <c r="W94" s="16"/>
      <c r="X94" s="16"/>
      <c r="Y94" s="45"/>
      <c r="Z94" s="45"/>
      <c r="AA94" s="45"/>
      <c r="AB94" s="45"/>
      <c r="AC94" s="45"/>
      <c r="AD94" s="45"/>
    </row>
    <row r="95" spans="1:30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15"/>
      <c r="K95" s="45"/>
      <c r="L95" s="19"/>
      <c r="M95" s="16"/>
      <c r="O95" s="45"/>
      <c r="P95" s="45"/>
      <c r="Q95" s="45"/>
      <c r="R95" s="45"/>
      <c r="S95" s="45"/>
      <c r="T95" s="45"/>
      <c r="U95" s="45"/>
      <c r="V95" s="45"/>
      <c r="W95" s="16"/>
      <c r="X95" s="16"/>
      <c r="Y95" s="45"/>
      <c r="Z95" s="45"/>
      <c r="AA95" s="45"/>
      <c r="AB95" s="45"/>
      <c r="AC95" s="45"/>
      <c r="AD95" s="45"/>
    </row>
    <row r="96" spans="1:30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15"/>
      <c r="K96" s="45"/>
      <c r="L96" s="19"/>
      <c r="M96" s="16"/>
      <c r="O96" s="45"/>
      <c r="P96" s="45"/>
      <c r="Q96" s="45"/>
      <c r="R96" s="45"/>
      <c r="S96" s="45"/>
      <c r="T96" s="45"/>
      <c r="U96" s="45"/>
      <c r="V96" s="45"/>
      <c r="W96" s="16"/>
      <c r="X96" s="16"/>
      <c r="Y96" s="45"/>
      <c r="Z96" s="45"/>
      <c r="AA96" s="45"/>
      <c r="AB96" s="45"/>
      <c r="AC96" s="45"/>
      <c r="AD96" s="45"/>
    </row>
    <row r="97" spans="1:30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15"/>
      <c r="K97" s="45"/>
      <c r="L97" s="19"/>
      <c r="M97" s="16"/>
      <c r="O97" s="45"/>
      <c r="P97" s="45"/>
      <c r="Q97" s="45"/>
      <c r="R97" s="45"/>
      <c r="S97" s="45"/>
      <c r="T97" s="45"/>
      <c r="U97" s="45"/>
      <c r="V97" s="45"/>
      <c r="W97" s="16"/>
      <c r="X97" s="16"/>
      <c r="Y97" s="45"/>
      <c r="Z97" s="45"/>
      <c r="AA97" s="45"/>
      <c r="AB97" s="45"/>
      <c r="AC97" s="45"/>
      <c r="AD97" s="45"/>
    </row>
    <row r="98" spans="1:30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15"/>
      <c r="K98" s="45"/>
      <c r="L98" s="19"/>
      <c r="M98" s="16"/>
      <c r="O98" s="45"/>
      <c r="P98" s="45"/>
      <c r="Q98" s="45"/>
      <c r="R98" s="45"/>
      <c r="S98" s="45"/>
      <c r="T98" s="45"/>
      <c r="U98" s="45"/>
      <c r="V98" s="45"/>
      <c r="W98" s="16"/>
      <c r="X98" s="16"/>
      <c r="Y98" s="45"/>
      <c r="Z98" s="45"/>
      <c r="AA98" s="45"/>
      <c r="AB98" s="45"/>
      <c r="AC98" s="45"/>
      <c r="AD98" s="45"/>
    </row>
    <row r="99" spans="1:30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15"/>
      <c r="K99" s="45"/>
      <c r="L99" s="19"/>
      <c r="M99" s="16"/>
      <c r="O99" s="45"/>
      <c r="P99" s="45"/>
      <c r="Q99" s="45"/>
      <c r="R99" s="45"/>
      <c r="S99" s="45"/>
      <c r="T99" s="45"/>
      <c r="U99" s="45"/>
      <c r="V99" s="45"/>
      <c r="W99" s="16"/>
      <c r="X99" s="16"/>
      <c r="Y99" s="45"/>
      <c r="Z99" s="45"/>
      <c r="AA99" s="45"/>
      <c r="AB99" s="45"/>
      <c r="AC99" s="45"/>
      <c r="AD99" s="45"/>
    </row>
    <row r="100" spans="1:30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15"/>
      <c r="K100" s="45"/>
      <c r="L100" s="19"/>
      <c r="M100" s="16"/>
      <c r="O100" s="45"/>
      <c r="P100" s="45"/>
      <c r="Q100" s="45"/>
      <c r="R100" s="45"/>
      <c r="S100" s="45"/>
      <c r="T100" s="45"/>
      <c r="U100" s="45"/>
      <c r="V100" s="45"/>
      <c r="W100" s="16"/>
      <c r="X100" s="16"/>
      <c r="Y100" s="45"/>
      <c r="Z100" s="45"/>
      <c r="AA100" s="45"/>
      <c r="AB100" s="45"/>
      <c r="AC100" s="45"/>
      <c r="AD100" s="45"/>
    </row>
    <row r="101" spans="1:30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15"/>
      <c r="K101" s="45"/>
      <c r="L101" s="19"/>
      <c r="M101" s="16"/>
      <c r="O101" s="45"/>
      <c r="P101" s="45"/>
      <c r="Q101" s="45"/>
      <c r="R101" s="45"/>
      <c r="S101" s="45"/>
      <c r="T101" s="45"/>
      <c r="U101" s="45"/>
      <c r="V101" s="45"/>
      <c r="W101" s="16"/>
      <c r="X101" s="16"/>
      <c r="Y101" s="45"/>
      <c r="Z101" s="45"/>
      <c r="AA101" s="45"/>
      <c r="AB101" s="45"/>
      <c r="AC101" s="45"/>
      <c r="AD101" s="45"/>
    </row>
    <row r="102" spans="1:30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15"/>
      <c r="K102" s="45"/>
      <c r="L102" s="19"/>
      <c r="M102" s="16"/>
      <c r="O102" s="45"/>
      <c r="P102" s="45"/>
      <c r="Q102" s="45"/>
      <c r="R102" s="45"/>
      <c r="S102" s="45"/>
      <c r="T102" s="45"/>
      <c r="U102" s="45"/>
      <c r="V102" s="45"/>
      <c r="W102" s="16"/>
      <c r="X102" s="16"/>
      <c r="Y102" s="45"/>
      <c r="Z102" s="45"/>
      <c r="AA102" s="45"/>
      <c r="AB102" s="45"/>
      <c r="AC102" s="45"/>
      <c r="AD102" s="45"/>
    </row>
    <row r="103" spans="1:30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15"/>
      <c r="K103" s="45"/>
      <c r="L103" s="19"/>
      <c r="M103" s="16"/>
      <c r="O103" s="45"/>
      <c r="P103" s="45"/>
      <c r="Q103" s="45"/>
      <c r="R103" s="45"/>
      <c r="S103" s="45"/>
      <c r="T103" s="45"/>
      <c r="U103" s="45"/>
      <c r="V103" s="45"/>
      <c r="W103" s="16"/>
      <c r="X103" s="16"/>
      <c r="Y103" s="45"/>
      <c r="Z103" s="45"/>
      <c r="AA103" s="45"/>
      <c r="AB103" s="45"/>
      <c r="AC103" s="45"/>
      <c r="AD103" s="45"/>
    </row>
    <row r="104" spans="1:30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15"/>
      <c r="K104" s="45"/>
      <c r="L104" s="19"/>
      <c r="M104" s="16"/>
      <c r="O104" s="45"/>
      <c r="P104" s="45"/>
      <c r="Q104" s="45"/>
      <c r="R104" s="45"/>
      <c r="S104" s="45"/>
      <c r="T104" s="45"/>
      <c r="U104" s="45"/>
      <c r="V104" s="45"/>
      <c r="W104" s="16"/>
      <c r="X104" s="16"/>
      <c r="Y104" s="45"/>
      <c r="Z104" s="45"/>
      <c r="AA104" s="45"/>
      <c r="AB104" s="45"/>
      <c r="AC104" s="45"/>
      <c r="AD104" s="45"/>
    </row>
    <row r="105" spans="1:30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15"/>
      <c r="K105" s="45"/>
      <c r="L105" s="19"/>
      <c r="M105" s="16"/>
      <c r="O105" s="45"/>
      <c r="P105" s="45"/>
      <c r="Q105" s="45"/>
      <c r="R105" s="45"/>
      <c r="S105" s="45"/>
      <c r="T105" s="45"/>
      <c r="U105" s="45"/>
      <c r="V105" s="45"/>
      <c r="W105" s="16"/>
      <c r="X105" s="16"/>
      <c r="Y105" s="45"/>
      <c r="Z105" s="45"/>
      <c r="AA105" s="45"/>
      <c r="AB105" s="45"/>
      <c r="AC105" s="45"/>
      <c r="AD105" s="45"/>
    </row>
    <row r="106" spans="1:30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15"/>
      <c r="K106" s="45"/>
      <c r="L106" s="19"/>
      <c r="M106" s="16"/>
      <c r="O106" s="45"/>
      <c r="P106" s="45"/>
      <c r="Q106" s="45"/>
      <c r="R106" s="45"/>
      <c r="S106" s="45"/>
      <c r="T106" s="45"/>
      <c r="U106" s="45"/>
      <c r="V106" s="45"/>
      <c r="W106" s="16"/>
      <c r="X106" s="16"/>
      <c r="Y106" s="45"/>
      <c r="Z106" s="45"/>
      <c r="AA106" s="45"/>
      <c r="AB106" s="45"/>
      <c r="AC106" s="45"/>
      <c r="AD106" s="45"/>
    </row>
    <row r="107" spans="1:30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15"/>
      <c r="K107" s="45"/>
      <c r="L107" s="19"/>
      <c r="M107" s="16"/>
      <c r="O107" s="45"/>
      <c r="P107" s="45"/>
      <c r="Q107" s="45"/>
      <c r="R107" s="45"/>
      <c r="S107" s="45"/>
      <c r="T107" s="45"/>
      <c r="U107" s="45"/>
      <c r="V107" s="45"/>
      <c r="W107" s="16"/>
      <c r="X107" s="16"/>
      <c r="Y107" s="45"/>
      <c r="Z107" s="45"/>
      <c r="AA107" s="45"/>
      <c r="AB107" s="45"/>
      <c r="AC107" s="45"/>
      <c r="AD107" s="45"/>
    </row>
    <row r="108" spans="1:30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15"/>
      <c r="K108" s="45"/>
      <c r="L108" s="19"/>
      <c r="M108" s="16"/>
      <c r="O108" s="45"/>
      <c r="P108" s="45"/>
      <c r="Q108" s="45"/>
      <c r="R108" s="45"/>
      <c r="S108" s="45"/>
      <c r="T108" s="45"/>
      <c r="U108" s="45"/>
      <c r="V108" s="45"/>
      <c r="W108" s="16"/>
      <c r="X108" s="16"/>
      <c r="Y108" s="45"/>
      <c r="Z108" s="45"/>
      <c r="AA108" s="45"/>
      <c r="AB108" s="45"/>
      <c r="AC108" s="45"/>
      <c r="AD108" s="45"/>
    </row>
    <row r="109" spans="1:30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15"/>
      <c r="K109" s="45"/>
      <c r="L109" s="19"/>
      <c r="M109" s="16"/>
      <c r="O109" s="45"/>
      <c r="P109" s="45"/>
      <c r="Q109" s="45"/>
      <c r="R109" s="45"/>
      <c r="S109" s="45"/>
      <c r="T109" s="45"/>
      <c r="U109" s="45"/>
      <c r="V109" s="45"/>
      <c r="W109" s="16"/>
      <c r="X109" s="16"/>
      <c r="Y109" s="45"/>
      <c r="Z109" s="45"/>
      <c r="AA109" s="45"/>
      <c r="AB109" s="45"/>
      <c r="AC109" s="45"/>
      <c r="AD109" s="45"/>
    </row>
    <row r="110" spans="1:30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15"/>
      <c r="K110" s="45"/>
      <c r="L110" s="19"/>
      <c r="M110" s="16"/>
      <c r="O110" s="45"/>
      <c r="P110" s="45"/>
      <c r="Q110" s="45"/>
      <c r="R110" s="45"/>
      <c r="S110" s="45"/>
      <c r="T110" s="45"/>
      <c r="U110" s="45"/>
      <c r="V110" s="45"/>
      <c r="W110" s="16"/>
      <c r="X110" s="16"/>
      <c r="Y110" s="45"/>
      <c r="Z110" s="45"/>
      <c r="AA110" s="45"/>
      <c r="AB110" s="45"/>
      <c r="AC110" s="45"/>
      <c r="AD110" s="45"/>
    </row>
    <row r="111" spans="1:30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15"/>
      <c r="K111" s="45"/>
      <c r="L111" s="19"/>
      <c r="M111" s="16"/>
      <c r="O111" s="45"/>
      <c r="P111" s="45"/>
      <c r="Q111" s="45"/>
      <c r="R111" s="45"/>
      <c r="S111" s="45"/>
      <c r="T111" s="45"/>
      <c r="U111" s="45"/>
      <c r="V111" s="45"/>
      <c r="W111" s="16"/>
      <c r="X111" s="16"/>
      <c r="Y111" s="45"/>
      <c r="Z111" s="45"/>
      <c r="AA111" s="45"/>
      <c r="AB111" s="45"/>
      <c r="AC111" s="45"/>
      <c r="AD111" s="45"/>
    </row>
    <row r="112" spans="1:30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15"/>
      <c r="K112" s="45"/>
      <c r="L112" s="19"/>
      <c r="M112" s="16"/>
      <c r="O112" s="45"/>
      <c r="P112" s="45"/>
      <c r="Q112" s="45"/>
      <c r="R112" s="45"/>
      <c r="S112" s="45"/>
      <c r="T112" s="45"/>
      <c r="U112" s="45"/>
      <c r="V112" s="45"/>
      <c r="W112" s="16"/>
      <c r="X112" s="16"/>
      <c r="Y112" s="45"/>
      <c r="Z112" s="45"/>
      <c r="AA112" s="45"/>
      <c r="AB112" s="45"/>
      <c r="AC112" s="45"/>
      <c r="AD112" s="45"/>
    </row>
    <row r="113" spans="1:30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15"/>
      <c r="K113" s="45"/>
      <c r="L113" s="19"/>
      <c r="M113" s="16"/>
      <c r="O113" s="45"/>
      <c r="P113" s="45"/>
      <c r="Q113" s="45"/>
      <c r="R113" s="45"/>
      <c r="S113" s="45"/>
      <c r="T113" s="45"/>
      <c r="U113" s="45"/>
      <c r="V113" s="45"/>
      <c r="W113" s="16"/>
      <c r="X113" s="16"/>
      <c r="Y113" s="45"/>
      <c r="Z113" s="45"/>
      <c r="AA113" s="45"/>
      <c r="AB113" s="45"/>
      <c r="AC113" s="45"/>
      <c r="AD113" s="45"/>
    </row>
    <row r="114" spans="1:30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15"/>
      <c r="K114" s="45"/>
      <c r="L114" s="19"/>
      <c r="M114" s="16"/>
      <c r="O114" s="45"/>
      <c r="P114" s="45"/>
      <c r="Q114" s="45"/>
      <c r="R114" s="45"/>
      <c r="S114" s="45"/>
      <c r="T114" s="45"/>
      <c r="U114" s="45"/>
      <c r="V114" s="45"/>
      <c r="W114" s="16"/>
      <c r="X114" s="16"/>
      <c r="Y114" s="45"/>
      <c r="Z114" s="45"/>
      <c r="AA114" s="45"/>
      <c r="AB114" s="45"/>
      <c r="AC114" s="45"/>
      <c r="AD114" s="45"/>
    </row>
    <row r="115" spans="1:30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15"/>
      <c r="K115" s="45"/>
      <c r="L115" s="19"/>
      <c r="M115" s="16"/>
      <c r="O115" s="45"/>
      <c r="P115" s="45"/>
      <c r="Q115" s="45"/>
      <c r="R115" s="45"/>
      <c r="S115" s="45"/>
      <c r="T115" s="45"/>
      <c r="U115" s="45"/>
      <c r="V115" s="45"/>
      <c r="W115" s="16"/>
      <c r="X115" s="16"/>
      <c r="Y115" s="45"/>
      <c r="Z115" s="45"/>
      <c r="AA115" s="45"/>
      <c r="AB115" s="45"/>
      <c r="AC115" s="45"/>
      <c r="AD115" s="45"/>
    </row>
    <row r="116" spans="1:30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15"/>
      <c r="K116" s="45"/>
      <c r="L116" s="19"/>
      <c r="M116" s="16"/>
      <c r="O116" s="45"/>
      <c r="P116" s="45"/>
      <c r="Q116" s="45"/>
      <c r="R116" s="45"/>
      <c r="S116" s="45"/>
      <c r="T116" s="45"/>
      <c r="U116" s="45"/>
      <c r="V116" s="45"/>
      <c r="W116" s="16"/>
      <c r="X116" s="16"/>
      <c r="Y116" s="45"/>
      <c r="Z116" s="45"/>
      <c r="AA116" s="45"/>
      <c r="AB116" s="45"/>
      <c r="AC116" s="45"/>
      <c r="AD116" s="45"/>
    </row>
    <row r="117" spans="1:30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15"/>
      <c r="K117" s="45"/>
      <c r="L117" s="19"/>
      <c r="M117" s="16"/>
      <c r="O117" s="45"/>
      <c r="P117" s="45"/>
      <c r="Q117" s="45"/>
      <c r="R117" s="45"/>
      <c r="S117" s="45"/>
      <c r="T117" s="45"/>
      <c r="U117" s="45"/>
      <c r="V117" s="45"/>
      <c r="W117" s="16"/>
      <c r="X117" s="16"/>
      <c r="Y117" s="45"/>
      <c r="Z117" s="45"/>
      <c r="AA117" s="45"/>
      <c r="AB117" s="45"/>
      <c r="AC117" s="45"/>
      <c r="AD117" s="45"/>
    </row>
    <row r="118" spans="1:30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15"/>
      <c r="K118" s="45"/>
      <c r="L118" s="19"/>
      <c r="M118" s="16"/>
      <c r="O118" s="45"/>
      <c r="P118" s="45"/>
      <c r="Q118" s="45"/>
      <c r="R118" s="45"/>
      <c r="S118" s="45"/>
      <c r="T118" s="45"/>
      <c r="U118" s="45"/>
      <c r="V118" s="45"/>
      <c r="W118" s="16"/>
      <c r="X118" s="16"/>
      <c r="Y118" s="45"/>
      <c r="Z118" s="45"/>
      <c r="AA118" s="45"/>
      <c r="AB118" s="45"/>
      <c r="AC118" s="45"/>
      <c r="AD118" s="45"/>
    </row>
    <row r="119" spans="1:30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15"/>
      <c r="K119" s="45"/>
      <c r="L119" s="19"/>
      <c r="M119" s="16"/>
      <c r="O119" s="45"/>
      <c r="P119" s="45"/>
      <c r="Q119" s="45"/>
      <c r="R119" s="45"/>
      <c r="S119" s="45"/>
      <c r="T119" s="45"/>
      <c r="U119" s="45"/>
      <c r="V119" s="45"/>
      <c r="W119" s="16"/>
      <c r="X119" s="16"/>
      <c r="Y119" s="45"/>
      <c r="Z119" s="45"/>
      <c r="AA119" s="45"/>
      <c r="AB119" s="45"/>
      <c r="AC119" s="45"/>
      <c r="AD119" s="45"/>
    </row>
    <row r="120" spans="1:30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15"/>
      <c r="K120" s="45"/>
      <c r="L120" s="19"/>
      <c r="M120" s="16"/>
      <c r="O120" s="45"/>
      <c r="P120" s="45"/>
      <c r="Q120" s="45"/>
      <c r="R120" s="45"/>
      <c r="S120" s="45"/>
      <c r="T120" s="45"/>
      <c r="U120" s="45"/>
      <c r="V120" s="45"/>
      <c r="W120" s="16"/>
      <c r="X120" s="16"/>
      <c r="Y120" s="45"/>
      <c r="Z120" s="45"/>
      <c r="AA120" s="45"/>
      <c r="AB120" s="45"/>
      <c r="AC120" s="45"/>
      <c r="AD120" s="45"/>
    </row>
    <row r="121" spans="1:30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15"/>
      <c r="K121" s="45"/>
      <c r="L121" s="19"/>
      <c r="M121" s="16"/>
      <c r="O121" s="45"/>
      <c r="P121" s="45"/>
      <c r="Q121" s="45"/>
      <c r="R121" s="45"/>
      <c r="S121" s="45"/>
      <c r="T121" s="45"/>
      <c r="U121" s="45"/>
      <c r="V121" s="45"/>
      <c r="W121" s="16"/>
      <c r="X121" s="16"/>
      <c r="Y121" s="45"/>
      <c r="Z121" s="45"/>
      <c r="AA121" s="45"/>
      <c r="AB121" s="45"/>
      <c r="AC121" s="45"/>
      <c r="AD121" s="45"/>
    </row>
    <row r="122" spans="1:30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15"/>
      <c r="K122" s="45"/>
      <c r="L122" s="19"/>
      <c r="M122" s="16"/>
      <c r="O122" s="45"/>
      <c r="P122" s="45"/>
      <c r="Q122" s="45"/>
      <c r="R122" s="45"/>
      <c r="S122" s="45"/>
      <c r="T122" s="45"/>
      <c r="U122" s="45"/>
      <c r="V122" s="45"/>
      <c r="W122" s="16"/>
      <c r="X122" s="16"/>
      <c r="Y122" s="45"/>
      <c r="Z122" s="45"/>
      <c r="AA122" s="45"/>
      <c r="AB122" s="45"/>
      <c r="AC122" s="45"/>
      <c r="AD122" s="45"/>
    </row>
    <row r="123" spans="1:30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15"/>
      <c r="K123" s="45"/>
      <c r="L123" s="19"/>
      <c r="M123" s="16"/>
      <c r="O123" s="45"/>
      <c r="P123" s="45"/>
      <c r="Q123" s="45"/>
      <c r="R123" s="45"/>
      <c r="S123" s="45"/>
      <c r="T123" s="45"/>
      <c r="U123" s="45"/>
      <c r="V123" s="45"/>
      <c r="W123" s="16"/>
      <c r="X123" s="16"/>
      <c r="Y123" s="45"/>
      <c r="Z123" s="45"/>
      <c r="AA123" s="45"/>
      <c r="AB123" s="45"/>
      <c r="AC123" s="45"/>
      <c r="AD123" s="45"/>
    </row>
    <row r="124" spans="1:30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15"/>
      <c r="K124" s="45"/>
      <c r="L124" s="19"/>
      <c r="M124" s="16"/>
      <c r="O124" s="45"/>
      <c r="P124" s="45"/>
      <c r="Q124" s="45"/>
      <c r="R124" s="45"/>
      <c r="S124" s="45"/>
      <c r="T124" s="45"/>
      <c r="U124" s="45"/>
      <c r="V124" s="45"/>
      <c r="W124" s="16"/>
      <c r="X124" s="16"/>
      <c r="Y124" s="45"/>
      <c r="Z124" s="45"/>
      <c r="AA124" s="45"/>
      <c r="AB124" s="45"/>
      <c r="AC124" s="45"/>
      <c r="AD124" s="45"/>
    </row>
    <row r="125" spans="1:30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15"/>
      <c r="K125" s="45"/>
      <c r="L125" s="19"/>
      <c r="M125" s="16"/>
      <c r="O125" s="45"/>
      <c r="P125" s="45"/>
      <c r="Q125" s="45"/>
      <c r="R125" s="45"/>
      <c r="S125" s="45"/>
      <c r="T125" s="45"/>
      <c r="U125" s="45"/>
      <c r="V125" s="45"/>
      <c r="W125" s="16"/>
      <c r="X125" s="16"/>
      <c r="Y125" s="45"/>
      <c r="Z125" s="45"/>
      <c r="AA125" s="45"/>
      <c r="AB125" s="45"/>
      <c r="AC125" s="45"/>
      <c r="AD125" s="45"/>
    </row>
    <row r="126" spans="1:30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15"/>
      <c r="K126" s="45"/>
      <c r="L126" s="19"/>
      <c r="M126" s="16"/>
      <c r="O126" s="45"/>
      <c r="P126" s="45"/>
      <c r="Q126" s="45"/>
      <c r="R126" s="45"/>
      <c r="S126" s="45"/>
      <c r="T126" s="45"/>
      <c r="U126" s="45"/>
      <c r="V126" s="45"/>
      <c r="W126" s="16"/>
      <c r="X126" s="16"/>
      <c r="Y126" s="45"/>
      <c r="Z126" s="45"/>
      <c r="AA126" s="45"/>
      <c r="AB126" s="45"/>
      <c r="AC126" s="45"/>
      <c r="AD126" s="45"/>
    </row>
    <row r="127" spans="1:30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15"/>
      <c r="K127" s="45"/>
      <c r="L127" s="19"/>
      <c r="M127" s="16"/>
      <c r="O127" s="45"/>
      <c r="P127" s="45"/>
      <c r="Q127" s="45"/>
      <c r="R127" s="45"/>
      <c r="S127" s="45"/>
      <c r="T127" s="45"/>
      <c r="U127" s="45"/>
      <c r="V127" s="45"/>
      <c r="W127" s="16"/>
      <c r="X127" s="16"/>
      <c r="Y127" s="45"/>
      <c r="Z127" s="45"/>
      <c r="AA127" s="45"/>
      <c r="AB127" s="45"/>
      <c r="AC127" s="45"/>
      <c r="AD127" s="45"/>
    </row>
    <row r="128" spans="1:30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15"/>
      <c r="K128" s="45"/>
      <c r="L128" s="19"/>
      <c r="M128" s="16"/>
      <c r="O128" s="45"/>
      <c r="P128" s="45"/>
      <c r="Q128" s="45"/>
      <c r="R128" s="45"/>
      <c r="S128" s="45"/>
      <c r="T128" s="45"/>
      <c r="U128" s="45"/>
      <c r="V128" s="45"/>
      <c r="W128" s="16"/>
      <c r="X128" s="16"/>
      <c r="Y128" s="45"/>
      <c r="Z128" s="45"/>
      <c r="AA128" s="45"/>
      <c r="AB128" s="45"/>
      <c r="AC128" s="45"/>
      <c r="AD128" s="45"/>
    </row>
    <row r="129" spans="1:30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5"/>
      <c r="L129" s="19"/>
      <c r="M129" s="16"/>
      <c r="O129" s="45"/>
      <c r="P129" s="45"/>
      <c r="Q129" s="45"/>
      <c r="R129" s="45"/>
      <c r="S129" s="45"/>
      <c r="T129" s="45"/>
      <c r="U129" s="45"/>
      <c r="V129" s="45"/>
      <c r="W129" s="16"/>
      <c r="X129" s="16"/>
      <c r="Y129" s="45"/>
      <c r="Z129" s="45"/>
      <c r="AA129" s="45"/>
      <c r="AB129" s="45"/>
      <c r="AC129" s="45"/>
      <c r="AD129" s="45"/>
    </row>
    <row r="130" spans="1:30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5"/>
      <c r="L130" s="19"/>
      <c r="M130" s="16"/>
      <c r="O130" s="45"/>
      <c r="P130" s="45"/>
      <c r="Q130" s="45"/>
      <c r="R130" s="45"/>
      <c r="S130" s="45"/>
      <c r="T130" s="45"/>
      <c r="U130" s="45"/>
      <c r="V130" s="45"/>
      <c r="W130" s="16"/>
      <c r="X130" s="16"/>
      <c r="Y130" s="45"/>
      <c r="Z130" s="45"/>
      <c r="AA130" s="45"/>
      <c r="AB130" s="45"/>
      <c r="AC130" s="45"/>
      <c r="AD130" s="45"/>
    </row>
    <row r="131" spans="1:30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5"/>
      <c r="L131" s="19"/>
      <c r="M131" s="16"/>
      <c r="O131" s="45"/>
      <c r="P131" s="45"/>
      <c r="Q131" s="45"/>
      <c r="R131" s="45"/>
      <c r="S131" s="45"/>
      <c r="T131" s="45"/>
      <c r="U131" s="45"/>
      <c r="V131" s="45"/>
      <c r="W131" s="16"/>
      <c r="X131" s="16"/>
      <c r="Y131" s="45"/>
      <c r="Z131" s="45"/>
      <c r="AA131" s="45"/>
      <c r="AB131" s="45"/>
      <c r="AC131" s="45"/>
      <c r="AD131" s="45"/>
    </row>
    <row r="132" spans="1:30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5"/>
      <c r="L132" s="19"/>
      <c r="M132" s="16"/>
      <c r="O132" s="45"/>
      <c r="P132" s="45"/>
      <c r="Q132" s="45"/>
      <c r="R132" s="45"/>
      <c r="S132" s="45"/>
      <c r="T132" s="45"/>
      <c r="U132" s="45"/>
      <c r="V132" s="45"/>
      <c r="W132" s="16"/>
      <c r="X132" s="16"/>
      <c r="Y132" s="45"/>
      <c r="Z132" s="45"/>
      <c r="AA132" s="45"/>
      <c r="AB132" s="45"/>
      <c r="AC132" s="45"/>
      <c r="AD132" s="45"/>
    </row>
    <row r="133" spans="1:30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5"/>
      <c r="L133" s="19"/>
      <c r="M133" s="16"/>
      <c r="O133" s="45"/>
      <c r="P133" s="45"/>
      <c r="Q133" s="45"/>
      <c r="R133" s="45"/>
      <c r="S133" s="45"/>
      <c r="T133" s="45"/>
      <c r="U133" s="45"/>
      <c r="V133" s="45"/>
      <c r="W133" s="16"/>
      <c r="X133" s="16"/>
      <c r="Y133" s="45"/>
      <c r="Z133" s="45"/>
      <c r="AA133" s="45"/>
      <c r="AB133" s="45"/>
      <c r="AC133" s="45"/>
      <c r="AD133" s="45"/>
    </row>
    <row r="134" spans="1:30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5"/>
      <c r="L134" s="19"/>
      <c r="M134" s="16"/>
      <c r="O134" s="45"/>
      <c r="P134" s="45"/>
      <c r="Q134" s="45"/>
      <c r="R134" s="45"/>
      <c r="S134" s="45"/>
      <c r="T134" s="45"/>
      <c r="U134" s="45"/>
      <c r="V134" s="45"/>
      <c r="W134" s="16"/>
      <c r="X134" s="16"/>
      <c r="Y134" s="45"/>
      <c r="Z134" s="45"/>
      <c r="AA134" s="45"/>
      <c r="AB134" s="45"/>
      <c r="AC134" s="45"/>
      <c r="AD134" s="45"/>
    </row>
    <row r="135" spans="1:30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5"/>
      <c r="L135" s="19"/>
      <c r="M135" s="16"/>
      <c r="O135" s="45"/>
      <c r="P135" s="45"/>
      <c r="Q135" s="45"/>
      <c r="R135" s="45"/>
      <c r="S135" s="45"/>
      <c r="T135" s="45"/>
      <c r="U135" s="45"/>
      <c r="V135" s="45"/>
      <c r="W135" s="16"/>
      <c r="X135" s="16"/>
      <c r="Y135" s="45"/>
      <c r="Z135" s="45"/>
      <c r="AA135" s="45"/>
      <c r="AB135" s="45"/>
      <c r="AC135" s="45"/>
      <c r="AD135" s="45"/>
    </row>
    <row r="136" spans="1:30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5"/>
      <c r="L136" s="19"/>
      <c r="M136" s="16"/>
      <c r="O136" s="45"/>
      <c r="P136" s="45"/>
      <c r="Q136" s="45"/>
      <c r="R136" s="45"/>
      <c r="S136" s="45"/>
      <c r="T136" s="45"/>
      <c r="U136" s="45"/>
      <c r="V136" s="45"/>
      <c r="W136" s="16"/>
      <c r="X136" s="16"/>
      <c r="Y136" s="45"/>
      <c r="Z136" s="45"/>
      <c r="AA136" s="45"/>
      <c r="AB136" s="45"/>
      <c r="AC136" s="45"/>
      <c r="AD136" s="45"/>
    </row>
    <row r="137" spans="1:30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5"/>
      <c r="L137" s="19"/>
      <c r="M137" s="16"/>
      <c r="O137" s="45"/>
      <c r="P137" s="45"/>
      <c r="Q137" s="45"/>
      <c r="R137" s="45"/>
      <c r="S137" s="45"/>
      <c r="T137" s="45"/>
      <c r="U137" s="45"/>
      <c r="V137" s="45"/>
      <c r="W137" s="16"/>
      <c r="X137" s="16"/>
      <c r="Y137" s="45"/>
      <c r="Z137" s="45"/>
      <c r="AA137" s="45"/>
      <c r="AB137" s="45"/>
      <c r="AC137" s="45"/>
      <c r="AD137" s="45"/>
    </row>
    <row r="138" spans="1:30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5"/>
      <c r="L138" s="19"/>
      <c r="M138" s="16"/>
      <c r="O138" s="45"/>
      <c r="P138" s="45"/>
      <c r="Q138" s="45"/>
      <c r="R138" s="45"/>
      <c r="S138" s="45"/>
      <c r="T138" s="45"/>
      <c r="U138" s="45"/>
      <c r="V138" s="45"/>
      <c r="W138" s="16"/>
      <c r="X138" s="16"/>
      <c r="Y138" s="45"/>
      <c r="Z138" s="45"/>
      <c r="AA138" s="45"/>
      <c r="AB138" s="45"/>
      <c r="AC138" s="45"/>
      <c r="AD138" s="45"/>
    </row>
    <row r="139" spans="1:30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5"/>
      <c r="L139" s="19"/>
      <c r="M139" s="16"/>
      <c r="O139" s="45"/>
      <c r="P139" s="45"/>
      <c r="Q139" s="45"/>
      <c r="R139" s="45"/>
      <c r="S139" s="45"/>
      <c r="T139" s="45"/>
      <c r="U139" s="45"/>
      <c r="V139" s="45"/>
      <c r="W139" s="16"/>
      <c r="X139" s="16"/>
      <c r="Y139" s="45"/>
      <c r="Z139" s="45"/>
      <c r="AA139" s="45"/>
      <c r="AB139" s="45"/>
      <c r="AC139" s="45"/>
      <c r="AD139" s="45"/>
    </row>
    <row r="140" spans="1:30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5"/>
      <c r="L140" s="19"/>
      <c r="M140" s="16"/>
      <c r="O140" s="45"/>
      <c r="P140" s="45"/>
      <c r="Q140" s="45"/>
      <c r="R140" s="45"/>
      <c r="S140" s="45"/>
      <c r="T140" s="45"/>
      <c r="U140" s="45"/>
      <c r="V140" s="45"/>
      <c r="W140" s="16"/>
      <c r="X140" s="16"/>
      <c r="Y140" s="45"/>
      <c r="Z140" s="45"/>
      <c r="AA140" s="45"/>
      <c r="AB140" s="45"/>
      <c r="AC140" s="45"/>
      <c r="AD140" s="45"/>
    </row>
    <row r="141" spans="1:30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5"/>
      <c r="L141" s="19"/>
      <c r="M141" s="16"/>
      <c r="O141" s="45"/>
      <c r="P141" s="45"/>
      <c r="Q141" s="45"/>
      <c r="R141" s="45"/>
      <c r="S141" s="45"/>
      <c r="T141" s="45"/>
      <c r="U141" s="45"/>
      <c r="V141" s="45"/>
      <c r="W141" s="16"/>
      <c r="X141" s="16"/>
      <c r="Y141" s="45"/>
      <c r="Z141" s="45"/>
      <c r="AA141" s="45"/>
      <c r="AB141" s="45"/>
      <c r="AC141" s="45"/>
      <c r="AD141" s="45"/>
    </row>
    <row r="142" spans="1:30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5"/>
      <c r="L142" s="19"/>
      <c r="M142" s="16"/>
      <c r="O142" s="45"/>
      <c r="P142" s="45"/>
      <c r="Q142" s="45"/>
      <c r="R142" s="45"/>
      <c r="S142" s="45"/>
      <c r="T142" s="45"/>
      <c r="U142" s="45"/>
      <c r="V142" s="45"/>
      <c r="W142" s="16"/>
      <c r="X142" s="16"/>
      <c r="Y142" s="45"/>
      <c r="Z142" s="45"/>
      <c r="AA142" s="45"/>
      <c r="AB142" s="45"/>
      <c r="AC142" s="45"/>
      <c r="AD142" s="45"/>
    </row>
    <row r="143" spans="1:30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5"/>
      <c r="L143" s="19"/>
      <c r="M143" s="16"/>
      <c r="O143" s="45"/>
      <c r="P143" s="45"/>
      <c r="Q143" s="45"/>
      <c r="R143" s="45"/>
      <c r="S143" s="45"/>
      <c r="T143" s="45"/>
      <c r="U143" s="45"/>
      <c r="V143" s="45"/>
      <c r="W143" s="16"/>
      <c r="X143" s="16"/>
      <c r="Y143" s="45"/>
      <c r="Z143" s="45"/>
      <c r="AA143" s="45"/>
      <c r="AB143" s="45"/>
      <c r="AC143" s="45"/>
      <c r="AD143" s="45"/>
    </row>
    <row r="144" spans="1:30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5"/>
      <c r="L144" s="19"/>
      <c r="M144" s="16"/>
      <c r="O144" s="45"/>
      <c r="P144" s="45"/>
      <c r="Q144" s="45"/>
      <c r="R144" s="45"/>
      <c r="S144" s="45"/>
      <c r="T144" s="45"/>
      <c r="U144" s="45"/>
      <c r="V144" s="45"/>
      <c r="W144" s="16"/>
      <c r="X144" s="16"/>
      <c r="Y144" s="45"/>
      <c r="Z144" s="45"/>
      <c r="AA144" s="45"/>
      <c r="AB144" s="45"/>
      <c r="AC144" s="45"/>
      <c r="AD144" s="45"/>
    </row>
    <row r="145" spans="1:30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5"/>
      <c r="L145" s="19"/>
      <c r="M145" s="16"/>
      <c r="O145" s="45"/>
      <c r="P145" s="45"/>
      <c r="Q145" s="45"/>
      <c r="R145" s="45"/>
      <c r="S145" s="45"/>
      <c r="T145" s="45"/>
      <c r="U145" s="45"/>
      <c r="V145" s="45"/>
      <c r="W145" s="16"/>
      <c r="X145" s="16"/>
      <c r="Y145" s="45"/>
      <c r="Z145" s="45"/>
      <c r="AA145" s="45"/>
      <c r="AB145" s="45"/>
      <c r="AC145" s="45"/>
      <c r="AD145" s="45"/>
    </row>
    <row r="146" spans="1:30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5"/>
      <c r="L146" s="19"/>
      <c r="M146" s="16"/>
      <c r="O146" s="45"/>
      <c r="P146" s="45"/>
      <c r="Q146" s="45"/>
      <c r="R146" s="45"/>
      <c r="S146" s="45"/>
      <c r="T146" s="45"/>
      <c r="U146" s="45"/>
      <c r="V146" s="45"/>
      <c r="W146" s="16"/>
      <c r="X146" s="16"/>
      <c r="Y146" s="45"/>
      <c r="Z146" s="45"/>
      <c r="AA146" s="45"/>
      <c r="AB146" s="45"/>
      <c r="AC146" s="45"/>
      <c r="AD146" s="45"/>
    </row>
    <row r="147" spans="1:30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5"/>
      <c r="L147" s="19"/>
      <c r="M147" s="16"/>
      <c r="O147" s="45"/>
      <c r="P147" s="45"/>
      <c r="Q147" s="45"/>
      <c r="R147" s="45"/>
      <c r="S147" s="45"/>
      <c r="T147" s="45"/>
      <c r="U147" s="45"/>
      <c r="V147" s="45"/>
      <c r="W147" s="16"/>
      <c r="X147" s="16"/>
      <c r="Y147" s="45"/>
      <c r="Z147" s="45"/>
      <c r="AA147" s="45"/>
      <c r="AB147" s="45"/>
      <c r="AC147" s="45"/>
      <c r="AD147" s="45"/>
    </row>
    <row r="148" spans="1:30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5"/>
      <c r="L148" s="19"/>
      <c r="M148" s="16"/>
      <c r="O148" s="45"/>
      <c r="P148" s="45"/>
      <c r="Q148" s="45"/>
      <c r="R148" s="45"/>
      <c r="S148" s="45"/>
      <c r="T148" s="45"/>
      <c r="U148" s="45"/>
      <c r="V148" s="45"/>
      <c r="W148" s="16"/>
      <c r="X148" s="16"/>
      <c r="Y148" s="45"/>
      <c r="Z148" s="45"/>
      <c r="AA148" s="45"/>
      <c r="AB148" s="45"/>
      <c r="AC148" s="45"/>
      <c r="AD148" s="45"/>
    </row>
    <row r="149" spans="1:30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5"/>
      <c r="L149" s="19"/>
      <c r="M149" s="16"/>
      <c r="O149" s="45"/>
      <c r="P149" s="45"/>
      <c r="Q149" s="45"/>
      <c r="R149" s="45"/>
      <c r="S149" s="45"/>
      <c r="T149" s="45"/>
      <c r="U149" s="45"/>
      <c r="V149" s="45"/>
      <c r="W149" s="16"/>
      <c r="X149" s="16"/>
      <c r="Y149" s="45"/>
      <c r="Z149" s="45"/>
      <c r="AA149" s="45"/>
      <c r="AB149" s="45"/>
      <c r="AC149" s="45"/>
      <c r="AD149" s="45"/>
    </row>
    <row r="150" spans="1:30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5"/>
      <c r="L150" s="19"/>
      <c r="M150" s="16"/>
      <c r="O150" s="45"/>
      <c r="P150" s="45"/>
      <c r="Q150" s="45"/>
      <c r="R150" s="45"/>
      <c r="S150" s="45"/>
      <c r="T150" s="45"/>
      <c r="U150" s="45"/>
      <c r="V150" s="45"/>
      <c r="W150" s="16"/>
      <c r="X150" s="16"/>
      <c r="Y150" s="45"/>
      <c r="Z150" s="45"/>
      <c r="AA150" s="45"/>
      <c r="AB150" s="45"/>
      <c r="AC150" s="45"/>
      <c r="AD150" s="45"/>
    </row>
    <row r="151" spans="1:30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5"/>
      <c r="L151" s="19"/>
      <c r="M151" s="16"/>
      <c r="O151" s="45"/>
      <c r="P151" s="45"/>
      <c r="Q151" s="45"/>
      <c r="R151" s="45"/>
      <c r="S151" s="45"/>
      <c r="T151" s="45"/>
      <c r="U151" s="45"/>
      <c r="V151" s="45"/>
      <c r="W151" s="16"/>
      <c r="X151" s="16"/>
      <c r="Y151" s="45"/>
      <c r="Z151" s="45"/>
      <c r="AA151" s="45"/>
      <c r="AB151" s="45"/>
      <c r="AC151" s="45"/>
      <c r="AD151" s="45"/>
    </row>
    <row r="152" spans="1:30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5"/>
      <c r="L152" s="19"/>
      <c r="M152" s="16"/>
      <c r="O152" s="45"/>
      <c r="P152" s="45"/>
      <c r="Q152" s="45"/>
      <c r="R152" s="45"/>
      <c r="S152" s="45"/>
      <c r="T152" s="45"/>
      <c r="U152" s="45"/>
      <c r="V152" s="45"/>
      <c r="W152" s="16"/>
      <c r="X152" s="16"/>
      <c r="Y152" s="45"/>
      <c r="Z152" s="45"/>
      <c r="AA152" s="45"/>
      <c r="AB152" s="45"/>
      <c r="AC152" s="45"/>
      <c r="AD152" s="45"/>
    </row>
    <row r="153" spans="1:30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5"/>
      <c r="L153" s="19"/>
      <c r="M153" s="16"/>
      <c r="O153" s="45"/>
      <c r="P153" s="45"/>
      <c r="Q153" s="45"/>
      <c r="R153" s="45"/>
      <c r="S153" s="45"/>
      <c r="T153" s="45"/>
      <c r="U153" s="45"/>
      <c r="V153" s="45"/>
      <c r="W153" s="16"/>
      <c r="X153" s="16"/>
      <c r="Y153" s="45"/>
      <c r="Z153" s="45"/>
      <c r="AA153" s="45"/>
      <c r="AB153" s="45"/>
      <c r="AC153" s="45"/>
      <c r="AD153" s="45"/>
    </row>
    <row r="154" spans="1:30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5"/>
      <c r="L154" s="19"/>
      <c r="M154" s="16"/>
      <c r="O154" s="45"/>
      <c r="P154" s="45"/>
      <c r="Q154" s="45"/>
      <c r="R154" s="45"/>
      <c r="S154" s="45"/>
      <c r="T154" s="45"/>
      <c r="U154" s="45"/>
      <c r="V154" s="45"/>
      <c r="W154" s="16"/>
      <c r="X154" s="16"/>
      <c r="Y154" s="45"/>
      <c r="Z154" s="45"/>
      <c r="AA154" s="45"/>
      <c r="AB154" s="45"/>
      <c r="AC154" s="45"/>
      <c r="AD154" s="45"/>
    </row>
    <row r="155" spans="1:30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5"/>
      <c r="L155" s="19"/>
      <c r="M155" s="16"/>
      <c r="O155" s="45"/>
      <c r="P155" s="45"/>
      <c r="Q155" s="45"/>
      <c r="R155" s="45"/>
      <c r="S155" s="45"/>
      <c r="T155" s="45"/>
      <c r="U155" s="45"/>
      <c r="V155" s="45"/>
      <c r="W155" s="16"/>
      <c r="X155" s="16"/>
      <c r="Y155" s="45"/>
      <c r="Z155" s="45"/>
      <c r="AA155" s="45"/>
      <c r="AB155" s="45"/>
      <c r="AC155" s="45"/>
      <c r="AD155" s="45"/>
    </row>
    <row r="156" spans="1:30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5"/>
      <c r="L156" s="19"/>
      <c r="M156" s="16"/>
      <c r="O156" s="45"/>
      <c r="P156" s="45"/>
      <c r="Q156" s="45"/>
      <c r="R156" s="45"/>
      <c r="S156" s="45"/>
      <c r="T156" s="45"/>
      <c r="U156" s="45"/>
      <c r="V156" s="45"/>
      <c r="W156" s="16"/>
      <c r="X156" s="16"/>
      <c r="Y156" s="45"/>
      <c r="Z156" s="45"/>
      <c r="AA156" s="45"/>
      <c r="AB156" s="45"/>
      <c r="AC156" s="45"/>
      <c r="AD156" s="45"/>
    </row>
    <row r="157" spans="1:30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5"/>
      <c r="L157" s="19"/>
      <c r="M157" s="16"/>
      <c r="O157" s="45"/>
      <c r="P157" s="45"/>
      <c r="Q157" s="45"/>
      <c r="R157" s="45"/>
      <c r="S157" s="45"/>
      <c r="T157" s="45"/>
      <c r="U157" s="45"/>
      <c r="V157" s="45"/>
      <c r="W157" s="16"/>
      <c r="X157" s="16"/>
      <c r="Y157" s="45"/>
      <c r="Z157" s="45"/>
      <c r="AA157" s="45"/>
      <c r="AB157" s="45"/>
      <c r="AC157" s="45"/>
      <c r="AD157" s="45"/>
    </row>
    <row r="158" spans="1:30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5"/>
      <c r="L158" s="19"/>
      <c r="M158" s="16"/>
      <c r="O158" s="45"/>
      <c r="P158" s="45"/>
      <c r="Q158" s="45"/>
      <c r="R158" s="45"/>
      <c r="S158" s="45"/>
      <c r="T158" s="45"/>
      <c r="U158" s="45"/>
      <c r="V158" s="45"/>
      <c r="W158" s="16"/>
      <c r="X158" s="16"/>
      <c r="Y158" s="45"/>
      <c r="Z158" s="45"/>
      <c r="AA158" s="45"/>
      <c r="AB158" s="45"/>
      <c r="AC158" s="45"/>
      <c r="AD158" s="45"/>
    </row>
    <row r="159" spans="1:30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5"/>
      <c r="L159" s="19"/>
      <c r="M159" s="16"/>
      <c r="O159" s="45"/>
      <c r="P159" s="45"/>
      <c r="Q159" s="45"/>
      <c r="R159" s="45"/>
      <c r="S159" s="45"/>
      <c r="T159" s="45"/>
      <c r="U159" s="45"/>
      <c r="V159" s="45"/>
      <c r="W159" s="16"/>
      <c r="X159" s="16"/>
      <c r="Y159" s="45"/>
      <c r="Z159" s="45"/>
      <c r="AA159" s="45"/>
      <c r="AB159" s="45"/>
      <c r="AC159" s="45"/>
      <c r="AD159" s="45"/>
    </row>
    <row r="160" spans="1:30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5"/>
      <c r="L160" s="19"/>
      <c r="M160" s="16"/>
      <c r="O160" s="45"/>
      <c r="P160" s="45"/>
      <c r="Q160" s="45"/>
      <c r="R160" s="45"/>
      <c r="S160" s="45"/>
      <c r="T160" s="45"/>
      <c r="U160" s="45"/>
      <c r="V160" s="45"/>
      <c r="W160" s="16"/>
      <c r="X160" s="16"/>
      <c r="Y160" s="45"/>
      <c r="Z160" s="45"/>
      <c r="AA160" s="45"/>
      <c r="AB160" s="45"/>
      <c r="AC160" s="45"/>
      <c r="AD160" s="45"/>
    </row>
    <row r="161" spans="1:30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5"/>
      <c r="L161" s="19"/>
      <c r="M161" s="16"/>
      <c r="O161" s="45"/>
      <c r="P161" s="45"/>
      <c r="Q161" s="45"/>
      <c r="R161" s="45"/>
      <c r="S161" s="45"/>
      <c r="T161" s="45"/>
      <c r="U161" s="45"/>
      <c r="V161" s="45"/>
      <c r="W161" s="16"/>
      <c r="X161" s="16"/>
      <c r="Y161" s="45"/>
      <c r="Z161" s="45"/>
      <c r="AA161" s="45"/>
      <c r="AB161" s="45"/>
      <c r="AC161" s="45"/>
      <c r="AD161" s="45"/>
    </row>
    <row r="162" spans="1:30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5"/>
      <c r="L162" s="19"/>
      <c r="M162" s="16"/>
      <c r="O162" s="45"/>
      <c r="P162" s="45"/>
      <c r="Q162" s="45"/>
      <c r="R162" s="45"/>
      <c r="S162" s="45"/>
      <c r="T162" s="45"/>
      <c r="U162" s="45"/>
      <c r="V162" s="45"/>
      <c r="W162" s="16"/>
      <c r="X162" s="16"/>
      <c r="Y162" s="45"/>
      <c r="Z162" s="45"/>
      <c r="AA162" s="45"/>
      <c r="AB162" s="45"/>
      <c r="AC162" s="45"/>
      <c r="AD162" s="45"/>
    </row>
    <row r="163" spans="1:30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5"/>
      <c r="L163" s="19"/>
      <c r="M163" s="16"/>
      <c r="O163" s="45"/>
      <c r="P163" s="45"/>
      <c r="Q163" s="45"/>
      <c r="R163" s="45"/>
      <c r="S163" s="45"/>
      <c r="T163" s="45"/>
      <c r="U163" s="45"/>
      <c r="V163" s="45"/>
      <c r="W163" s="16"/>
      <c r="X163" s="16"/>
      <c r="Y163" s="45"/>
      <c r="Z163" s="45"/>
      <c r="AA163" s="45"/>
      <c r="AB163" s="45"/>
      <c r="AC163" s="45"/>
      <c r="AD163" s="45"/>
    </row>
    <row r="164" spans="1:30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5"/>
      <c r="L164" s="19"/>
      <c r="M164" s="16"/>
      <c r="O164" s="45"/>
      <c r="P164" s="45"/>
      <c r="Q164" s="45"/>
      <c r="R164" s="45"/>
      <c r="S164" s="45"/>
      <c r="T164" s="45"/>
      <c r="U164" s="45"/>
      <c r="V164" s="45"/>
      <c r="W164" s="16"/>
      <c r="X164" s="16"/>
      <c r="Y164" s="45"/>
      <c r="Z164" s="45"/>
      <c r="AA164" s="45"/>
      <c r="AB164" s="45"/>
      <c r="AC164" s="45"/>
      <c r="AD164" s="45"/>
    </row>
    <row r="165" spans="1:30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5"/>
      <c r="L165" s="19"/>
      <c r="M165" s="16"/>
      <c r="O165" s="45"/>
      <c r="P165" s="45"/>
      <c r="Q165" s="45"/>
      <c r="R165" s="45"/>
      <c r="S165" s="45"/>
      <c r="T165" s="45"/>
      <c r="U165" s="45"/>
      <c r="V165" s="45"/>
      <c r="W165" s="16"/>
      <c r="X165" s="16"/>
      <c r="Y165" s="45"/>
      <c r="Z165" s="45"/>
      <c r="AA165" s="45"/>
      <c r="AB165" s="45"/>
      <c r="AC165" s="45"/>
      <c r="AD165" s="45"/>
    </row>
    <row r="166" spans="1:30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5"/>
      <c r="L166" s="19"/>
      <c r="M166" s="16"/>
      <c r="O166" s="45"/>
      <c r="P166" s="45"/>
      <c r="Q166" s="45"/>
      <c r="R166" s="45"/>
      <c r="S166" s="45"/>
      <c r="T166" s="45"/>
      <c r="U166" s="45"/>
      <c r="V166" s="45"/>
      <c r="W166" s="16"/>
      <c r="X166" s="16"/>
      <c r="Y166" s="45"/>
      <c r="Z166" s="45"/>
      <c r="AA166" s="45"/>
      <c r="AB166" s="45"/>
      <c r="AC166" s="45"/>
      <c r="AD166" s="45"/>
    </row>
    <row r="167" spans="1:30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5"/>
      <c r="L167" s="19"/>
      <c r="M167" s="16"/>
      <c r="O167" s="45"/>
      <c r="P167" s="45"/>
      <c r="Q167" s="45"/>
      <c r="R167" s="45"/>
      <c r="S167" s="45"/>
      <c r="T167" s="45"/>
      <c r="U167" s="45"/>
      <c r="V167" s="45"/>
      <c r="W167" s="16"/>
      <c r="X167" s="16"/>
      <c r="Y167" s="45"/>
      <c r="Z167" s="45"/>
      <c r="AA167" s="45"/>
      <c r="AB167" s="45"/>
      <c r="AC167" s="45"/>
      <c r="AD167" s="45"/>
    </row>
    <row r="168" spans="1:30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5"/>
      <c r="L168" s="19"/>
      <c r="M168" s="16"/>
      <c r="O168" s="45"/>
      <c r="P168" s="45"/>
      <c r="Q168" s="45"/>
      <c r="R168" s="45"/>
      <c r="S168" s="45"/>
      <c r="T168" s="45"/>
      <c r="U168" s="45"/>
      <c r="V168" s="45"/>
      <c r="W168" s="16"/>
      <c r="X168" s="16"/>
      <c r="Y168" s="45"/>
      <c r="Z168" s="45"/>
      <c r="AA168" s="45"/>
      <c r="AB168" s="45"/>
      <c r="AC168" s="45"/>
      <c r="AD168" s="45"/>
    </row>
    <row r="169" spans="1:30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5"/>
      <c r="L169" s="19"/>
      <c r="M169" s="16"/>
      <c r="O169" s="45"/>
      <c r="P169" s="45"/>
      <c r="Q169" s="45"/>
      <c r="R169" s="45"/>
      <c r="S169" s="45"/>
      <c r="T169" s="45"/>
      <c r="U169" s="45"/>
      <c r="V169" s="45"/>
      <c r="W169" s="16"/>
      <c r="X169" s="16"/>
      <c r="Y169" s="45"/>
      <c r="Z169" s="45"/>
      <c r="AA169" s="45"/>
      <c r="AB169" s="45"/>
      <c r="AC169" s="45"/>
      <c r="AD169" s="45"/>
    </row>
    <row r="170" spans="1:30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5"/>
      <c r="L170" s="19"/>
      <c r="M170" s="16"/>
      <c r="O170" s="45"/>
      <c r="P170" s="45"/>
      <c r="Q170" s="45"/>
      <c r="R170" s="45"/>
      <c r="S170" s="45"/>
      <c r="T170" s="45"/>
      <c r="U170" s="45"/>
      <c r="V170" s="45"/>
      <c r="W170" s="16"/>
      <c r="X170" s="16"/>
      <c r="Y170" s="45"/>
      <c r="Z170" s="45"/>
      <c r="AA170" s="45"/>
      <c r="AB170" s="45"/>
      <c r="AC170" s="45"/>
      <c r="AD170" s="45"/>
    </row>
    <row r="171" spans="1:30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5"/>
      <c r="L171" s="19"/>
      <c r="M171" s="16"/>
      <c r="O171" s="45"/>
      <c r="P171" s="45"/>
      <c r="Q171" s="45"/>
      <c r="R171" s="45"/>
      <c r="S171" s="45"/>
      <c r="T171" s="45"/>
      <c r="U171" s="45"/>
      <c r="V171" s="45"/>
      <c r="W171" s="16"/>
      <c r="X171" s="16"/>
      <c r="Y171" s="45"/>
      <c r="Z171" s="45"/>
      <c r="AA171" s="45"/>
      <c r="AB171" s="45"/>
      <c r="AC171" s="45"/>
      <c r="AD171" s="45"/>
    </row>
    <row r="172" spans="1:30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5"/>
      <c r="L172" s="19"/>
      <c r="M172" s="16"/>
      <c r="O172" s="45"/>
      <c r="P172" s="45"/>
      <c r="Q172" s="45"/>
      <c r="R172" s="45"/>
      <c r="S172" s="45"/>
      <c r="T172" s="45"/>
      <c r="U172" s="45"/>
      <c r="V172" s="45"/>
      <c r="W172" s="16"/>
      <c r="X172" s="16"/>
      <c r="Y172" s="45"/>
      <c r="Z172" s="45"/>
      <c r="AA172" s="45"/>
      <c r="AB172" s="45"/>
      <c r="AC172" s="45"/>
      <c r="AD172" s="45"/>
    </row>
    <row r="173" spans="1:30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5"/>
      <c r="L173" s="19"/>
      <c r="M173" s="16"/>
      <c r="O173" s="45"/>
      <c r="P173" s="45"/>
      <c r="Q173" s="45"/>
      <c r="R173" s="45"/>
      <c r="S173" s="45"/>
      <c r="T173" s="45"/>
      <c r="U173" s="45"/>
      <c r="V173" s="45"/>
      <c r="W173" s="16"/>
      <c r="X173" s="16"/>
      <c r="Y173" s="45"/>
      <c r="Z173" s="45"/>
      <c r="AA173" s="45"/>
      <c r="AB173" s="45"/>
      <c r="AC173" s="45"/>
      <c r="AD173" s="45"/>
    </row>
    <row r="174" spans="1:30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5"/>
      <c r="L174" s="19"/>
      <c r="M174" s="16"/>
      <c r="O174" s="45"/>
      <c r="P174" s="45"/>
      <c r="Q174" s="45"/>
      <c r="R174" s="45"/>
      <c r="S174" s="45"/>
      <c r="T174" s="45"/>
      <c r="U174" s="45"/>
      <c r="V174" s="45"/>
      <c r="W174" s="16"/>
      <c r="X174" s="16"/>
      <c r="Y174" s="45"/>
      <c r="Z174" s="45"/>
      <c r="AA174" s="45"/>
      <c r="AB174" s="45"/>
      <c r="AC174" s="45"/>
      <c r="AD174" s="45"/>
    </row>
    <row r="175" spans="1:30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5"/>
      <c r="L175" s="19"/>
      <c r="M175" s="16"/>
      <c r="O175" s="45"/>
      <c r="P175" s="45"/>
      <c r="Q175" s="45"/>
      <c r="R175" s="45"/>
      <c r="S175" s="45"/>
      <c r="T175" s="45"/>
      <c r="U175" s="45"/>
      <c r="V175" s="45"/>
      <c r="W175" s="16"/>
      <c r="X175" s="16"/>
      <c r="Y175" s="45"/>
      <c r="Z175" s="45"/>
      <c r="AA175" s="45"/>
      <c r="AB175" s="45"/>
      <c r="AC175" s="45"/>
      <c r="AD175" s="45"/>
    </row>
    <row r="176" spans="1:30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5"/>
      <c r="L176" s="19"/>
      <c r="M176" s="16"/>
      <c r="O176" s="45"/>
      <c r="P176" s="45"/>
      <c r="Q176" s="45"/>
      <c r="R176" s="45"/>
      <c r="S176" s="45"/>
      <c r="T176" s="45"/>
      <c r="U176" s="45"/>
      <c r="V176" s="45"/>
      <c r="W176" s="16"/>
      <c r="X176" s="16"/>
      <c r="Y176" s="45"/>
      <c r="Z176" s="45"/>
      <c r="AA176" s="45"/>
      <c r="AB176" s="45"/>
      <c r="AC176" s="45"/>
      <c r="AD176" s="45"/>
    </row>
    <row r="177" spans="1:30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5"/>
      <c r="L177" s="19"/>
      <c r="M177" s="16"/>
      <c r="O177" s="45"/>
      <c r="P177" s="45"/>
      <c r="Q177" s="45"/>
      <c r="R177" s="45"/>
      <c r="S177" s="45"/>
      <c r="T177" s="45"/>
      <c r="U177" s="45"/>
      <c r="V177" s="45"/>
      <c r="W177" s="16"/>
      <c r="X177" s="16"/>
      <c r="Y177" s="45"/>
      <c r="Z177" s="45"/>
      <c r="AA177" s="45"/>
      <c r="AB177" s="45"/>
      <c r="AC177" s="45"/>
      <c r="AD177" s="45"/>
    </row>
    <row r="178" spans="1:30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5"/>
      <c r="L178" s="19"/>
      <c r="M178" s="16"/>
      <c r="O178" s="45"/>
      <c r="P178" s="45"/>
      <c r="Q178" s="45"/>
      <c r="R178" s="45"/>
      <c r="S178" s="45"/>
      <c r="T178" s="45"/>
      <c r="U178" s="45"/>
      <c r="V178" s="45"/>
      <c r="W178" s="16"/>
      <c r="X178" s="16"/>
      <c r="Y178" s="45"/>
      <c r="Z178" s="45"/>
      <c r="AA178" s="45"/>
      <c r="AB178" s="45"/>
      <c r="AC178" s="45"/>
      <c r="AD178" s="45"/>
    </row>
    <row r="179" spans="1:30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5"/>
      <c r="L179" s="19"/>
      <c r="M179" s="16"/>
      <c r="O179" s="45"/>
      <c r="P179" s="45"/>
      <c r="Q179" s="45"/>
      <c r="R179" s="45"/>
      <c r="S179" s="45"/>
      <c r="T179" s="45"/>
      <c r="U179" s="45"/>
      <c r="V179" s="45"/>
      <c r="W179" s="16"/>
      <c r="X179" s="16"/>
      <c r="Y179" s="45"/>
      <c r="Z179" s="45"/>
      <c r="AA179" s="45"/>
      <c r="AB179" s="45"/>
      <c r="AC179" s="45"/>
      <c r="AD179" s="45"/>
    </row>
    <row r="180" spans="1:30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5"/>
      <c r="L180" s="19"/>
      <c r="M180" s="16"/>
      <c r="O180" s="45"/>
      <c r="P180" s="45"/>
      <c r="Q180" s="45"/>
      <c r="R180" s="45"/>
      <c r="S180" s="45"/>
      <c r="T180" s="45"/>
      <c r="U180" s="45"/>
      <c r="V180" s="45"/>
      <c r="W180" s="16"/>
      <c r="X180" s="16"/>
      <c r="Y180" s="45"/>
      <c r="Z180" s="45"/>
      <c r="AA180" s="45"/>
      <c r="AB180" s="45"/>
      <c r="AC180" s="45"/>
      <c r="AD180" s="45"/>
    </row>
    <row r="181" spans="1:30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5"/>
      <c r="L181" s="19"/>
      <c r="M181" s="16"/>
      <c r="O181" s="45"/>
      <c r="P181" s="45"/>
      <c r="Q181" s="45"/>
      <c r="R181" s="45"/>
      <c r="S181" s="45"/>
      <c r="T181" s="45"/>
      <c r="U181" s="45"/>
      <c r="V181" s="45"/>
      <c r="W181" s="16"/>
      <c r="X181" s="16"/>
      <c r="Y181" s="45"/>
      <c r="Z181" s="45"/>
      <c r="AA181" s="45"/>
      <c r="AB181" s="45"/>
      <c r="AC181" s="45"/>
      <c r="AD181" s="45"/>
    </row>
    <row r="182" spans="1:30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5"/>
      <c r="L182" s="19"/>
      <c r="M182" s="16"/>
      <c r="O182" s="45"/>
      <c r="P182" s="45"/>
      <c r="Q182" s="45"/>
      <c r="R182" s="45"/>
      <c r="S182" s="45"/>
      <c r="T182" s="45"/>
      <c r="U182" s="45"/>
      <c r="V182" s="45"/>
      <c r="W182" s="16"/>
      <c r="X182" s="16"/>
      <c r="Y182" s="45"/>
      <c r="Z182" s="45"/>
      <c r="AA182" s="45"/>
      <c r="AB182" s="45"/>
      <c r="AC182" s="45"/>
      <c r="AD182" s="45"/>
    </row>
    <row r="183" spans="1:30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5"/>
      <c r="L183" s="19"/>
      <c r="M183" s="16"/>
      <c r="O183" s="45"/>
      <c r="P183" s="45"/>
      <c r="Q183" s="45"/>
      <c r="R183" s="45"/>
      <c r="S183" s="45"/>
      <c r="T183" s="45"/>
      <c r="U183" s="45"/>
      <c r="V183" s="45"/>
      <c r="W183" s="16"/>
      <c r="X183" s="16"/>
      <c r="Y183" s="45"/>
      <c r="Z183" s="45"/>
      <c r="AA183" s="45"/>
      <c r="AB183" s="45"/>
      <c r="AC183" s="45"/>
      <c r="AD183" s="45"/>
    </row>
    <row r="184" spans="1:30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5"/>
      <c r="L184" s="19"/>
      <c r="M184" s="16"/>
      <c r="O184" s="45"/>
      <c r="P184" s="45"/>
      <c r="Q184" s="45"/>
      <c r="R184" s="45"/>
      <c r="S184" s="45"/>
      <c r="T184" s="45"/>
      <c r="U184" s="45"/>
      <c r="V184" s="45"/>
      <c r="W184" s="16"/>
      <c r="X184" s="16"/>
      <c r="Y184" s="45"/>
      <c r="Z184" s="45"/>
      <c r="AA184" s="45"/>
      <c r="AB184" s="45"/>
      <c r="AC184" s="45"/>
      <c r="AD184" s="45"/>
    </row>
    <row r="185" spans="1:30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5"/>
      <c r="L185" s="19"/>
      <c r="M185" s="16"/>
      <c r="O185" s="45"/>
      <c r="P185" s="45"/>
      <c r="Q185" s="45"/>
      <c r="R185" s="45"/>
      <c r="S185" s="45"/>
      <c r="T185" s="45"/>
      <c r="U185" s="45"/>
      <c r="V185" s="45"/>
      <c r="W185" s="16"/>
      <c r="X185" s="16"/>
      <c r="Y185" s="45"/>
      <c r="Z185" s="45"/>
      <c r="AA185" s="45"/>
      <c r="AB185" s="45"/>
      <c r="AC185" s="45"/>
      <c r="AD185" s="45"/>
    </row>
    <row r="186" spans="1:30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5"/>
      <c r="L186" s="19"/>
      <c r="M186" s="16"/>
      <c r="O186" s="45"/>
      <c r="P186" s="45"/>
      <c r="Q186" s="45"/>
      <c r="R186" s="45"/>
      <c r="S186" s="45"/>
      <c r="T186" s="45"/>
      <c r="U186" s="45"/>
      <c r="V186" s="45"/>
      <c r="W186" s="16"/>
      <c r="X186" s="16"/>
      <c r="Y186" s="45"/>
      <c r="Z186" s="45"/>
      <c r="AA186" s="45"/>
      <c r="AB186" s="45"/>
      <c r="AC186" s="45"/>
      <c r="AD186" s="45"/>
    </row>
    <row r="187" spans="1:30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5"/>
      <c r="L187" s="19"/>
      <c r="M187" s="16"/>
      <c r="O187" s="45"/>
      <c r="P187" s="45"/>
      <c r="Q187" s="45"/>
      <c r="R187" s="45"/>
      <c r="S187" s="45"/>
      <c r="T187" s="45"/>
      <c r="U187" s="45"/>
      <c r="V187" s="45"/>
      <c r="W187" s="16"/>
      <c r="X187" s="16"/>
      <c r="Y187" s="45"/>
      <c r="Z187" s="45"/>
      <c r="AA187" s="45"/>
      <c r="AB187" s="45"/>
      <c r="AC187" s="45"/>
      <c r="AD187" s="45"/>
    </row>
    <row r="188" spans="1:30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5"/>
      <c r="L188" s="19"/>
      <c r="M188" s="16"/>
      <c r="O188" s="45"/>
      <c r="P188" s="45"/>
      <c r="Q188" s="45"/>
      <c r="R188" s="45"/>
      <c r="S188" s="45"/>
      <c r="T188" s="45"/>
      <c r="U188" s="45"/>
      <c r="V188" s="45"/>
      <c r="W188" s="16"/>
      <c r="X188" s="16"/>
      <c r="Y188" s="45"/>
      <c r="Z188" s="45"/>
      <c r="AA188" s="45"/>
      <c r="AB188" s="45"/>
      <c r="AC188" s="45"/>
      <c r="AD188" s="45"/>
    </row>
    <row r="189" spans="1:30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5"/>
      <c r="L189" s="19"/>
      <c r="M189" s="16"/>
      <c r="O189" s="45"/>
      <c r="P189" s="45"/>
      <c r="Q189" s="45"/>
      <c r="R189" s="45"/>
      <c r="S189" s="45"/>
      <c r="T189" s="45"/>
      <c r="U189" s="45"/>
      <c r="V189" s="45"/>
      <c r="W189" s="16"/>
      <c r="X189" s="16"/>
      <c r="Y189" s="45"/>
      <c r="Z189" s="45"/>
      <c r="AA189" s="45"/>
      <c r="AB189" s="45"/>
      <c r="AC189" s="45"/>
      <c r="AD189" s="45"/>
    </row>
    <row r="190" spans="1:30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5"/>
      <c r="L190" s="19"/>
      <c r="M190" s="16"/>
      <c r="O190" s="45"/>
      <c r="P190" s="45"/>
      <c r="Q190" s="45"/>
      <c r="R190" s="45"/>
      <c r="S190" s="45"/>
      <c r="T190" s="45"/>
      <c r="U190" s="45"/>
      <c r="V190" s="45"/>
      <c r="W190" s="16"/>
      <c r="X190" s="16"/>
      <c r="Y190" s="45"/>
      <c r="Z190" s="45"/>
      <c r="AA190" s="45"/>
      <c r="AB190" s="45"/>
      <c r="AC190" s="45"/>
      <c r="AD190" s="45"/>
    </row>
    <row r="191" spans="1:30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5"/>
      <c r="L191" s="19"/>
      <c r="M191" s="16"/>
      <c r="O191" s="45"/>
      <c r="P191" s="45"/>
      <c r="Q191" s="45"/>
      <c r="R191" s="45"/>
      <c r="S191" s="45"/>
      <c r="T191" s="45"/>
      <c r="U191" s="45"/>
      <c r="V191" s="45"/>
      <c r="W191" s="16"/>
      <c r="X191" s="16"/>
      <c r="Y191" s="45"/>
      <c r="Z191" s="45"/>
      <c r="AA191" s="45"/>
      <c r="AB191" s="45"/>
      <c r="AC191" s="45"/>
      <c r="AD191" s="45"/>
    </row>
    <row r="192" spans="1:30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5"/>
      <c r="L192" s="19"/>
      <c r="M192" s="16"/>
      <c r="O192" s="45"/>
      <c r="P192" s="45"/>
      <c r="Q192" s="45"/>
      <c r="R192" s="45"/>
      <c r="S192" s="45"/>
      <c r="T192" s="45"/>
      <c r="U192" s="45"/>
      <c r="V192" s="45"/>
      <c r="W192" s="16"/>
      <c r="X192" s="16"/>
      <c r="Y192" s="45"/>
      <c r="Z192" s="45"/>
      <c r="AA192" s="45"/>
      <c r="AB192" s="45"/>
      <c r="AC192" s="45"/>
      <c r="AD192" s="45"/>
    </row>
    <row r="193" spans="1:30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5"/>
      <c r="L193" s="19"/>
      <c r="M193" s="16"/>
      <c r="O193" s="45"/>
      <c r="P193" s="45"/>
      <c r="Q193" s="45"/>
      <c r="R193" s="45"/>
      <c r="S193" s="45"/>
      <c r="T193" s="45"/>
      <c r="U193" s="45"/>
      <c r="V193" s="45"/>
      <c r="W193" s="16"/>
      <c r="X193" s="16"/>
      <c r="Y193" s="45"/>
      <c r="Z193" s="45"/>
      <c r="AA193" s="45"/>
      <c r="AB193" s="45"/>
      <c r="AC193" s="45"/>
      <c r="AD193" s="45"/>
    </row>
    <row r="194" spans="1:30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5"/>
      <c r="L194" s="19"/>
      <c r="M194" s="16"/>
      <c r="O194" s="45"/>
      <c r="P194" s="45"/>
      <c r="Q194" s="45"/>
      <c r="R194" s="45"/>
      <c r="S194" s="45"/>
      <c r="T194" s="45"/>
      <c r="U194" s="45"/>
      <c r="V194" s="45"/>
      <c r="W194" s="16"/>
      <c r="X194" s="16"/>
      <c r="Y194" s="45"/>
      <c r="Z194" s="45"/>
      <c r="AA194" s="45"/>
      <c r="AB194" s="45"/>
      <c r="AC194" s="45"/>
      <c r="AD194" s="45"/>
    </row>
    <row r="195" spans="1:30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5"/>
      <c r="L195" s="19"/>
      <c r="M195" s="16"/>
      <c r="O195" s="45"/>
      <c r="P195" s="45"/>
      <c r="Q195" s="45"/>
      <c r="R195" s="45"/>
      <c r="S195" s="45"/>
      <c r="T195" s="45"/>
      <c r="U195" s="45"/>
      <c r="V195" s="45"/>
      <c r="W195" s="16"/>
      <c r="X195" s="16"/>
      <c r="Y195" s="45"/>
      <c r="Z195" s="45"/>
      <c r="AA195" s="45"/>
      <c r="AB195" s="45"/>
      <c r="AC195" s="45"/>
      <c r="AD195" s="45"/>
    </row>
    <row r="196" spans="1:30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5"/>
      <c r="L196" s="19"/>
      <c r="M196" s="16"/>
      <c r="O196" s="45"/>
      <c r="P196" s="45"/>
      <c r="Q196" s="45"/>
      <c r="R196" s="45"/>
      <c r="S196" s="45"/>
      <c r="T196" s="45"/>
      <c r="U196" s="45"/>
      <c r="V196" s="45"/>
      <c r="W196" s="16"/>
      <c r="X196" s="16"/>
      <c r="Y196" s="45"/>
      <c r="Z196" s="45"/>
      <c r="AA196" s="45"/>
      <c r="AB196" s="45"/>
      <c r="AC196" s="45"/>
      <c r="AD196" s="45"/>
    </row>
    <row r="197" spans="1:30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5"/>
      <c r="L197" s="19"/>
      <c r="M197" s="16"/>
      <c r="O197" s="45"/>
      <c r="P197" s="45"/>
      <c r="Q197" s="45"/>
      <c r="R197" s="45"/>
      <c r="S197" s="45"/>
      <c r="T197" s="45"/>
      <c r="U197" s="45"/>
      <c r="V197" s="45"/>
      <c r="W197" s="16"/>
      <c r="X197" s="16"/>
      <c r="Y197" s="45"/>
      <c r="Z197" s="45"/>
      <c r="AA197" s="45"/>
      <c r="AB197" s="45"/>
      <c r="AC197" s="45"/>
      <c r="AD197" s="45"/>
    </row>
    <row r="198" spans="1:30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5"/>
      <c r="L198" s="19"/>
      <c r="M198" s="16"/>
      <c r="O198" s="45"/>
      <c r="P198" s="45"/>
      <c r="Q198" s="45"/>
      <c r="R198" s="45"/>
      <c r="S198" s="45"/>
      <c r="T198" s="45"/>
      <c r="U198" s="45"/>
      <c r="V198" s="45"/>
      <c r="W198" s="16"/>
      <c r="X198" s="16"/>
      <c r="Y198" s="45"/>
      <c r="Z198" s="45"/>
      <c r="AA198" s="45"/>
      <c r="AB198" s="45"/>
      <c r="AC198" s="45"/>
      <c r="AD198" s="45"/>
    </row>
    <row r="199" spans="1:30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5"/>
      <c r="L199" s="19"/>
      <c r="M199" s="16"/>
      <c r="O199" s="45"/>
      <c r="P199" s="45"/>
      <c r="Q199" s="45"/>
      <c r="R199" s="45"/>
      <c r="S199" s="45"/>
      <c r="T199" s="45"/>
      <c r="U199" s="45"/>
      <c r="V199" s="45"/>
      <c r="W199" s="16"/>
      <c r="X199" s="16"/>
      <c r="Y199" s="45"/>
      <c r="Z199" s="45"/>
      <c r="AA199" s="45"/>
      <c r="AB199" s="45"/>
      <c r="AC199" s="45"/>
      <c r="AD199" s="45"/>
    </row>
    <row r="200" spans="1:30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5"/>
      <c r="L200" s="19"/>
      <c r="M200" s="16"/>
      <c r="O200" s="45"/>
      <c r="P200" s="45"/>
      <c r="Q200" s="45"/>
      <c r="R200" s="45"/>
      <c r="S200" s="45"/>
      <c r="T200" s="45"/>
      <c r="U200" s="45"/>
      <c r="V200" s="45"/>
      <c r="W200" s="16"/>
      <c r="X200" s="16"/>
      <c r="Y200" s="45"/>
      <c r="Z200" s="45"/>
      <c r="AA200" s="45"/>
      <c r="AB200" s="45"/>
      <c r="AC200" s="45"/>
      <c r="AD200" s="45"/>
    </row>
    <row r="201" spans="1:30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5"/>
      <c r="L201" s="19"/>
      <c r="M201" s="16"/>
      <c r="O201" s="45"/>
      <c r="P201" s="45"/>
      <c r="Q201" s="45"/>
      <c r="R201" s="45"/>
      <c r="S201" s="45"/>
      <c r="T201" s="45"/>
      <c r="U201" s="45"/>
      <c r="V201" s="45"/>
      <c r="W201" s="16"/>
      <c r="X201" s="16"/>
      <c r="Y201" s="45"/>
      <c r="Z201" s="45"/>
      <c r="AA201" s="45"/>
      <c r="AB201" s="45"/>
      <c r="AC201" s="45"/>
      <c r="AD201" s="45"/>
    </row>
    <row r="202" spans="1:30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5"/>
      <c r="L202" s="19"/>
      <c r="M202" s="16"/>
      <c r="O202" s="45"/>
      <c r="P202" s="45"/>
      <c r="Q202" s="45"/>
      <c r="R202" s="45"/>
      <c r="S202" s="45"/>
      <c r="T202" s="45"/>
      <c r="U202" s="45"/>
      <c r="V202" s="45"/>
      <c r="W202" s="16"/>
      <c r="X202" s="16"/>
      <c r="Y202" s="45"/>
      <c r="Z202" s="45"/>
      <c r="AA202" s="45"/>
      <c r="AB202" s="45"/>
      <c r="AC202" s="45"/>
      <c r="AD202" s="45"/>
    </row>
    <row r="203" spans="1:30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5"/>
      <c r="L203" s="19"/>
      <c r="M203" s="16"/>
      <c r="O203" s="45"/>
      <c r="P203" s="45"/>
      <c r="Q203" s="45"/>
      <c r="R203" s="45"/>
      <c r="S203" s="45"/>
      <c r="T203" s="45"/>
      <c r="U203" s="45"/>
      <c r="V203" s="45"/>
      <c r="W203" s="16"/>
      <c r="X203" s="16"/>
      <c r="Y203" s="45"/>
      <c r="Z203" s="45"/>
      <c r="AA203" s="45"/>
      <c r="AB203" s="45"/>
      <c r="AC203" s="45"/>
      <c r="AD203" s="45"/>
    </row>
    <row r="204" spans="1:30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5"/>
      <c r="L204" s="19"/>
      <c r="M204" s="16"/>
      <c r="O204" s="45"/>
      <c r="P204" s="45"/>
      <c r="Q204" s="45"/>
      <c r="R204" s="45"/>
      <c r="S204" s="45"/>
      <c r="T204" s="45"/>
      <c r="U204" s="45"/>
      <c r="V204" s="45"/>
      <c r="W204" s="16"/>
      <c r="X204" s="16"/>
      <c r="Y204" s="45"/>
      <c r="Z204" s="45"/>
      <c r="AA204" s="45"/>
      <c r="AB204" s="45"/>
      <c r="AC204" s="45"/>
      <c r="AD204" s="45"/>
    </row>
    <row r="205" spans="1:30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5"/>
      <c r="L205" s="19"/>
      <c r="M205" s="16"/>
      <c r="O205" s="45"/>
      <c r="P205" s="45"/>
      <c r="Q205" s="45"/>
      <c r="R205" s="45"/>
      <c r="S205" s="45"/>
      <c r="T205" s="45"/>
      <c r="U205" s="45"/>
      <c r="V205" s="45"/>
      <c r="W205" s="16"/>
      <c r="X205" s="16"/>
      <c r="Y205" s="45"/>
      <c r="Z205" s="45"/>
      <c r="AA205" s="45"/>
      <c r="AB205" s="45"/>
      <c r="AC205" s="45"/>
      <c r="AD205" s="45"/>
    </row>
    <row r="206" spans="1:30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5"/>
      <c r="L206" s="19"/>
      <c r="M206" s="16"/>
      <c r="O206" s="45"/>
      <c r="P206" s="45"/>
      <c r="Q206" s="45"/>
      <c r="R206" s="45"/>
      <c r="S206" s="45"/>
      <c r="T206" s="45"/>
      <c r="U206" s="45"/>
      <c r="V206" s="45"/>
      <c r="W206" s="16"/>
      <c r="X206" s="16"/>
      <c r="Y206" s="45"/>
      <c r="Z206" s="45"/>
      <c r="AA206" s="45"/>
      <c r="AB206" s="45"/>
      <c r="AC206" s="45"/>
      <c r="AD206" s="45"/>
    </row>
    <row r="207" spans="1:30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5"/>
      <c r="L207" s="19"/>
      <c r="M207" s="16"/>
      <c r="O207" s="45"/>
      <c r="P207" s="45"/>
      <c r="Q207" s="45"/>
      <c r="R207" s="45"/>
      <c r="S207" s="45"/>
      <c r="T207" s="45"/>
      <c r="U207" s="45"/>
      <c r="V207" s="45"/>
      <c r="W207" s="16"/>
      <c r="X207" s="16"/>
      <c r="Y207" s="45"/>
      <c r="Z207" s="45"/>
      <c r="AA207" s="45"/>
      <c r="AB207" s="45"/>
      <c r="AC207" s="45"/>
      <c r="AD207" s="45"/>
    </row>
    <row r="208" spans="1:30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5"/>
      <c r="L208" s="19"/>
      <c r="M208" s="16"/>
      <c r="O208" s="45"/>
      <c r="P208" s="45"/>
      <c r="Q208" s="45"/>
      <c r="R208" s="45"/>
      <c r="S208" s="45"/>
      <c r="T208" s="45"/>
      <c r="U208" s="45"/>
      <c r="V208" s="45"/>
      <c r="W208" s="16"/>
      <c r="X208" s="16"/>
      <c r="Y208" s="45"/>
      <c r="Z208" s="45"/>
      <c r="AA208" s="45"/>
      <c r="AB208" s="45"/>
      <c r="AC208" s="45"/>
      <c r="AD208" s="45"/>
    </row>
    <row r="209" spans="1:30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5"/>
      <c r="L209" s="19"/>
      <c r="M209" s="16"/>
      <c r="O209" s="45"/>
      <c r="P209" s="45"/>
      <c r="Q209" s="45"/>
      <c r="R209" s="45"/>
      <c r="S209" s="45"/>
      <c r="T209" s="45"/>
      <c r="U209" s="45"/>
      <c r="V209" s="45"/>
      <c r="W209" s="16"/>
      <c r="X209" s="16"/>
      <c r="Y209" s="45"/>
      <c r="Z209" s="45"/>
      <c r="AA209" s="45"/>
      <c r="AB209" s="45"/>
      <c r="AC209" s="45"/>
      <c r="AD209" s="45"/>
    </row>
    <row r="210" spans="1:30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5"/>
      <c r="L210" s="19"/>
      <c r="M210" s="16"/>
      <c r="O210" s="45"/>
      <c r="P210" s="45"/>
      <c r="Q210" s="45"/>
      <c r="R210" s="45"/>
      <c r="S210" s="45"/>
      <c r="T210" s="45"/>
      <c r="U210" s="45"/>
      <c r="V210" s="45"/>
      <c r="W210" s="16"/>
      <c r="X210" s="16"/>
      <c r="Y210" s="45"/>
      <c r="Z210" s="45"/>
      <c r="AA210" s="45"/>
      <c r="AB210" s="45"/>
      <c r="AC210" s="45"/>
      <c r="AD210" s="45"/>
    </row>
    <row r="211" spans="1:30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5"/>
      <c r="L211" s="19"/>
      <c r="M211" s="16"/>
      <c r="O211" s="45"/>
      <c r="P211" s="45"/>
      <c r="Q211" s="45"/>
      <c r="R211" s="45"/>
      <c r="S211" s="45"/>
      <c r="T211" s="45"/>
      <c r="U211" s="45"/>
      <c r="V211" s="45"/>
      <c r="W211" s="16"/>
      <c r="X211" s="16"/>
      <c r="Y211" s="45"/>
      <c r="Z211" s="45"/>
      <c r="AA211" s="45"/>
      <c r="AB211" s="45"/>
      <c r="AC211" s="45"/>
      <c r="AD211" s="45"/>
    </row>
    <row r="212" spans="1:30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5"/>
      <c r="L212" s="19"/>
      <c r="M212" s="16"/>
      <c r="O212" s="45"/>
      <c r="P212" s="45"/>
      <c r="Q212" s="45"/>
      <c r="R212" s="45"/>
      <c r="S212" s="45"/>
      <c r="T212" s="45"/>
      <c r="U212" s="45"/>
      <c r="V212" s="45"/>
      <c r="W212" s="16"/>
      <c r="X212" s="16"/>
      <c r="Y212" s="45"/>
      <c r="Z212" s="45"/>
      <c r="AA212" s="45"/>
      <c r="AB212" s="45"/>
      <c r="AC212" s="45"/>
      <c r="AD212" s="45"/>
    </row>
    <row r="213" spans="1:30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5"/>
      <c r="L213" s="19"/>
      <c r="M213" s="16"/>
      <c r="O213" s="45"/>
      <c r="P213" s="45"/>
      <c r="Q213" s="45"/>
      <c r="R213" s="45"/>
      <c r="S213" s="45"/>
      <c r="T213" s="45"/>
      <c r="U213" s="45"/>
      <c r="V213" s="45"/>
      <c r="W213" s="16"/>
      <c r="X213" s="16"/>
      <c r="Y213" s="45"/>
      <c r="Z213" s="45"/>
      <c r="AA213" s="45"/>
      <c r="AB213" s="45"/>
      <c r="AC213" s="45"/>
      <c r="AD213" s="45"/>
    </row>
    <row r="214" spans="1:30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5"/>
      <c r="L214" s="19"/>
      <c r="M214" s="16"/>
      <c r="O214" s="45"/>
      <c r="P214" s="45"/>
      <c r="Q214" s="45"/>
      <c r="R214" s="45"/>
      <c r="S214" s="45"/>
      <c r="T214" s="45"/>
      <c r="U214" s="45"/>
      <c r="V214" s="45"/>
      <c r="W214" s="16"/>
      <c r="X214" s="16"/>
      <c r="Y214" s="45"/>
      <c r="Z214" s="45"/>
      <c r="AA214" s="45"/>
      <c r="AB214" s="45"/>
      <c r="AC214" s="45"/>
      <c r="AD214" s="45"/>
    </row>
    <row r="215" spans="1:30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5"/>
      <c r="L215" s="19"/>
      <c r="M215" s="16"/>
      <c r="O215" s="45"/>
      <c r="P215" s="45"/>
      <c r="Q215" s="45"/>
      <c r="R215" s="45"/>
      <c r="S215" s="45"/>
      <c r="T215" s="45"/>
      <c r="U215" s="45"/>
      <c r="V215" s="45"/>
      <c r="W215" s="16"/>
      <c r="X215" s="16"/>
      <c r="Y215" s="45"/>
      <c r="Z215" s="45"/>
      <c r="AA215" s="45"/>
      <c r="AB215" s="45"/>
      <c r="AC215" s="45"/>
      <c r="AD215" s="45"/>
    </row>
    <row r="216" spans="1:30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5"/>
      <c r="L216" s="19"/>
      <c r="M216" s="16"/>
      <c r="O216" s="45"/>
      <c r="P216" s="45"/>
      <c r="Q216" s="45"/>
      <c r="R216" s="45"/>
      <c r="S216" s="45"/>
      <c r="T216" s="45"/>
      <c r="U216" s="45"/>
      <c r="V216" s="45"/>
      <c r="W216" s="16"/>
      <c r="X216" s="16"/>
      <c r="Y216" s="45"/>
      <c r="Z216" s="45"/>
      <c r="AA216" s="45"/>
      <c r="AB216" s="45"/>
      <c r="AC216" s="45"/>
      <c r="AD216" s="45"/>
    </row>
    <row r="217" spans="1:30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5"/>
      <c r="L217" s="19"/>
      <c r="M217" s="16"/>
      <c r="O217" s="45"/>
      <c r="P217" s="45"/>
      <c r="Q217" s="45"/>
      <c r="R217" s="45"/>
      <c r="S217" s="45"/>
      <c r="T217" s="45"/>
      <c r="U217" s="45"/>
      <c r="V217" s="45"/>
      <c r="W217" s="16"/>
      <c r="X217" s="16"/>
      <c r="Y217" s="45"/>
      <c r="Z217" s="45"/>
      <c r="AA217" s="45"/>
      <c r="AB217" s="45"/>
      <c r="AC217" s="45"/>
      <c r="AD217" s="45"/>
    </row>
    <row r="218" spans="1:30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5"/>
      <c r="L218" s="19"/>
      <c r="M218" s="16"/>
      <c r="O218" s="45"/>
      <c r="P218" s="45"/>
      <c r="Q218" s="45"/>
      <c r="R218" s="45"/>
      <c r="S218" s="45"/>
      <c r="T218" s="45"/>
      <c r="U218" s="45"/>
      <c r="V218" s="45"/>
      <c r="W218" s="16"/>
      <c r="X218" s="16"/>
      <c r="Y218" s="45"/>
      <c r="Z218" s="45"/>
      <c r="AA218" s="45"/>
      <c r="AB218" s="45"/>
      <c r="AC218" s="45"/>
      <c r="AD218" s="45"/>
    </row>
    <row r="219" spans="1:30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5"/>
      <c r="L219" s="19"/>
      <c r="M219" s="16"/>
      <c r="O219" s="45"/>
      <c r="P219" s="45"/>
      <c r="Q219" s="45"/>
      <c r="R219" s="45"/>
      <c r="S219" s="45"/>
      <c r="T219" s="45"/>
      <c r="U219" s="45"/>
      <c r="V219" s="45"/>
      <c r="W219" s="16"/>
      <c r="X219" s="16"/>
      <c r="Y219" s="45"/>
      <c r="Z219" s="45"/>
      <c r="AA219" s="45"/>
      <c r="AB219" s="45"/>
      <c r="AC219" s="45"/>
      <c r="AD219" s="45"/>
    </row>
    <row r="220" spans="1:30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5"/>
      <c r="L220" s="19"/>
      <c r="M220" s="16"/>
      <c r="O220" s="45"/>
      <c r="P220" s="45"/>
      <c r="Q220" s="45"/>
      <c r="R220" s="45"/>
      <c r="S220" s="45"/>
      <c r="T220" s="45"/>
      <c r="U220" s="45"/>
      <c r="V220" s="45"/>
      <c r="W220" s="16"/>
      <c r="X220" s="16"/>
      <c r="Y220" s="45"/>
      <c r="Z220" s="45"/>
      <c r="AA220" s="45"/>
      <c r="AB220" s="45"/>
      <c r="AC220" s="45"/>
      <c r="AD220" s="45"/>
    </row>
    <row r="221" spans="1:30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5"/>
      <c r="L221" s="19"/>
      <c r="M221" s="16"/>
      <c r="O221" s="45"/>
      <c r="P221" s="45"/>
      <c r="Q221" s="45"/>
      <c r="R221" s="45"/>
      <c r="S221" s="45"/>
      <c r="T221" s="45"/>
      <c r="U221" s="45"/>
      <c r="V221" s="45"/>
      <c r="W221" s="16"/>
      <c r="X221" s="16"/>
      <c r="Y221" s="45"/>
      <c r="Z221" s="45"/>
      <c r="AA221" s="45"/>
      <c r="AB221" s="45"/>
      <c r="AC221" s="45"/>
      <c r="AD221" s="45"/>
    </row>
    <row r="222" spans="1:30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5"/>
      <c r="L222" s="19"/>
      <c r="M222" s="16"/>
      <c r="O222" s="45"/>
      <c r="P222" s="45"/>
      <c r="Q222" s="45"/>
      <c r="R222" s="45"/>
      <c r="S222" s="45"/>
      <c r="T222" s="45"/>
      <c r="U222" s="45"/>
      <c r="V222" s="45"/>
      <c r="W222" s="16"/>
      <c r="X222" s="16"/>
      <c r="Y222" s="45"/>
      <c r="Z222" s="45"/>
      <c r="AA222" s="45"/>
      <c r="AB222" s="45"/>
      <c r="AC222" s="45"/>
      <c r="AD222" s="45"/>
    </row>
    <row r="223" spans="1:30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5"/>
      <c r="L223" s="19"/>
      <c r="M223" s="16"/>
      <c r="O223" s="45"/>
      <c r="P223" s="45"/>
      <c r="Q223" s="45"/>
      <c r="R223" s="45"/>
      <c r="S223" s="45"/>
      <c r="T223" s="45"/>
      <c r="U223" s="45"/>
      <c r="V223" s="45"/>
      <c r="W223" s="16"/>
      <c r="X223" s="16"/>
      <c r="Y223" s="45"/>
      <c r="Z223" s="45"/>
      <c r="AA223" s="45"/>
      <c r="AB223" s="45"/>
      <c r="AC223" s="45"/>
      <c r="AD223" s="45"/>
    </row>
    <row r="224" spans="1:30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5"/>
      <c r="L224" s="19"/>
      <c r="M224" s="16"/>
      <c r="O224" s="45"/>
      <c r="P224" s="45"/>
      <c r="Q224" s="45"/>
      <c r="R224" s="45"/>
      <c r="S224" s="45"/>
      <c r="T224" s="45"/>
      <c r="U224" s="45"/>
      <c r="V224" s="45"/>
      <c r="W224" s="16"/>
      <c r="X224" s="16"/>
      <c r="Y224" s="45"/>
      <c r="Z224" s="45"/>
      <c r="AA224" s="45"/>
      <c r="AB224" s="45"/>
      <c r="AC224" s="45"/>
      <c r="AD224" s="45"/>
    </row>
    <row r="225" spans="1:30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5"/>
      <c r="L225" s="19"/>
      <c r="M225" s="16"/>
      <c r="O225" s="45"/>
      <c r="P225" s="45"/>
      <c r="Q225" s="45"/>
      <c r="R225" s="45"/>
      <c r="S225" s="45"/>
      <c r="T225" s="45"/>
      <c r="U225" s="45"/>
      <c r="V225" s="45"/>
      <c r="W225" s="16"/>
      <c r="X225" s="16"/>
      <c r="Y225" s="45"/>
      <c r="Z225" s="45"/>
      <c r="AA225" s="45"/>
      <c r="AB225" s="45"/>
      <c r="AC225" s="45"/>
      <c r="AD225" s="45"/>
    </row>
    <row r="226" spans="1:30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5"/>
      <c r="L226" s="19"/>
      <c r="M226" s="16"/>
      <c r="O226" s="45"/>
      <c r="P226" s="45"/>
      <c r="Q226" s="45"/>
      <c r="R226" s="45"/>
      <c r="S226" s="45"/>
      <c r="T226" s="45"/>
      <c r="U226" s="45"/>
      <c r="V226" s="45"/>
      <c r="W226" s="16"/>
      <c r="X226" s="16"/>
      <c r="Y226" s="45"/>
      <c r="Z226" s="45"/>
      <c r="AA226" s="45"/>
      <c r="AB226" s="45"/>
      <c r="AC226" s="45"/>
      <c r="AD226" s="45"/>
    </row>
    <row r="227" spans="1:30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5"/>
      <c r="L227" s="19"/>
      <c r="M227" s="16"/>
      <c r="O227" s="45"/>
      <c r="P227" s="45"/>
      <c r="Q227" s="45"/>
      <c r="R227" s="45"/>
      <c r="S227" s="45"/>
      <c r="T227" s="45"/>
      <c r="U227" s="45"/>
      <c r="V227" s="45"/>
      <c r="W227" s="16"/>
      <c r="X227" s="16"/>
      <c r="Y227" s="45"/>
      <c r="Z227" s="45"/>
      <c r="AA227" s="45"/>
      <c r="AB227" s="45"/>
      <c r="AC227" s="45"/>
      <c r="AD227" s="45"/>
    </row>
    <row r="228" spans="1:30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5"/>
      <c r="L228" s="19"/>
      <c r="M228" s="16"/>
      <c r="O228" s="45"/>
      <c r="P228" s="45"/>
      <c r="Q228" s="45"/>
      <c r="R228" s="45"/>
      <c r="S228" s="45"/>
      <c r="T228" s="45"/>
      <c r="U228" s="45"/>
      <c r="V228" s="45"/>
      <c r="W228" s="16"/>
      <c r="X228" s="16"/>
      <c r="Y228" s="45"/>
      <c r="Z228" s="45"/>
      <c r="AA228" s="45"/>
      <c r="AB228" s="45"/>
      <c r="AC228" s="45"/>
      <c r="AD228" s="45"/>
    </row>
    <row r="229" spans="1:30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5"/>
      <c r="L229" s="19"/>
      <c r="M229" s="16"/>
      <c r="O229" s="45"/>
      <c r="P229" s="45"/>
      <c r="Q229" s="45"/>
      <c r="R229" s="45"/>
      <c r="S229" s="45"/>
      <c r="T229" s="45"/>
      <c r="U229" s="45"/>
      <c r="V229" s="45"/>
      <c r="W229" s="16"/>
      <c r="X229" s="16"/>
      <c r="Y229" s="45"/>
      <c r="Z229" s="45"/>
      <c r="AA229" s="45"/>
      <c r="AB229" s="45"/>
      <c r="AC229" s="45"/>
      <c r="AD229" s="45"/>
    </row>
    <row r="230" spans="1:30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5"/>
      <c r="L230" s="19"/>
      <c r="M230" s="16"/>
      <c r="O230" s="45"/>
      <c r="P230" s="45"/>
      <c r="Q230" s="45"/>
      <c r="R230" s="45"/>
      <c r="S230" s="45"/>
      <c r="T230" s="45"/>
      <c r="U230" s="45"/>
      <c r="V230" s="45"/>
      <c r="W230" s="16"/>
      <c r="X230" s="16"/>
      <c r="Y230" s="45"/>
      <c r="Z230" s="45"/>
      <c r="AA230" s="45"/>
      <c r="AB230" s="45"/>
      <c r="AC230" s="45"/>
      <c r="AD230" s="45"/>
    </row>
    <row r="231" spans="1:30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5"/>
      <c r="L231" s="19"/>
      <c r="M231" s="16"/>
      <c r="O231" s="45"/>
      <c r="P231" s="45"/>
      <c r="Q231" s="45"/>
      <c r="R231" s="45"/>
      <c r="S231" s="45"/>
      <c r="T231" s="45"/>
      <c r="U231" s="45"/>
      <c r="V231" s="45"/>
      <c r="W231" s="16"/>
      <c r="X231" s="16"/>
      <c r="Y231" s="45"/>
      <c r="Z231" s="45"/>
      <c r="AA231" s="45"/>
      <c r="AB231" s="45"/>
      <c r="AC231" s="45"/>
      <c r="AD231" s="45"/>
    </row>
    <row r="232" spans="1:30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5"/>
      <c r="L232" s="19"/>
      <c r="M232" s="16"/>
      <c r="O232" s="45"/>
      <c r="P232" s="45"/>
      <c r="Q232" s="45"/>
      <c r="R232" s="45"/>
      <c r="S232" s="45"/>
      <c r="T232" s="45"/>
      <c r="U232" s="45"/>
      <c r="V232" s="45"/>
      <c r="W232" s="16"/>
      <c r="X232" s="16"/>
      <c r="Y232" s="45"/>
      <c r="Z232" s="45"/>
      <c r="AA232" s="45"/>
      <c r="AB232" s="45"/>
      <c r="AC232" s="45"/>
      <c r="AD232" s="45"/>
    </row>
    <row r="233" spans="1:30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5"/>
      <c r="L233" s="19"/>
      <c r="M233" s="16"/>
      <c r="O233" s="45"/>
      <c r="P233" s="45"/>
      <c r="Q233" s="45"/>
      <c r="R233" s="45"/>
      <c r="S233" s="45"/>
      <c r="T233" s="45"/>
      <c r="U233" s="45"/>
      <c r="V233" s="45"/>
      <c r="W233" s="16"/>
      <c r="X233" s="16"/>
      <c r="Y233" s="45"/>
      <c r="Z233" s="45"/>
      <c r="AA233" s="45"/>
      <c r="AB233" s="45"/>
      <c r="AC233" s="45"/>
      <c r="AD233" s="45"/>
    </row>
    <row r="234" spans="1:30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5"/>
      <c r="L234" s="19"/>
      <c r="M234" s="16"/>
      <c r="O234" s="45"/>
      <c r="P234" s="45"/>
      <c r="Q234" s="45"/>
      <c r="R234" s="45"/>
      <c r="S234" s="45"/>
      <c r="T234" s="45"/>
      <c r="U234" s="45"/>
      <c r="V234" s="45"/>
      <c r="W234" s="16"/>
      <c r="X234" s="16"/>
      <c r="Y234" s="45"/>
      <c r="Z234" s="45"/>
      <c r="AA234" s="45"/>
      <c r="AB234" s="45"/>
      <c r="AC234" s="45"/>
      <c r="AD234" s="45"/>
    </row>
    <row r="235" spans="1:30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5"/>
      <c r="L235" s="19"/>
      <c r="M235" s="16"/>
      <c r="O235" s="45"/>
      <c r="P235" s="45"/>
      <c r="Q235" s="45"/>
      <c r="R235" s="45"/>
      <c r="S235" s="45"/>
      <c r="T235" s="45"/>
      <c r="U235" s="45"/>
      <c r="V235" s="45"/>
      <c r="W235" s="16"/>
      <c r="X235" s="16"/>
      <c r="Y235" s="45"/>
      <c r="Z235" s="45"/>
      <c r="AA235" s="45"/>
      <c r="AB235" s="45"/>
      <c r="AC235" s="45"/>
      <c r="AD235" s="45"/>
    </row>
    <row r="236" spans="1:30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5"/>
      <c r="L236" s="19"/>
      <c r="M236" s="16"/>
      <c r="O236" s="45"/>
      <c r="P236" s="45"/>
      <c r="Q236" s="45"/>
      <c r="R236" s="45"/>
      <c r="S236" s="45"/>
      <c r="T236" s="45"/>
      <c r="U236" s="45"/>
      <c r="V236" s="45"/>
      <c r="W236" s="16"/>
      <c r="X236" s="16"/>
      <c r="Y236" s="45"/>
      <c r="Z236" s="45"/>
      <c r="AA236" s="45"/>
      <c r="AB236" s="45"/>
      <c r="AC236" s="45"/>
      <c r="AD236" s="45"/>
    </row>
    <row r="237" spans="1:30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5"/>
      <c r="L237" s="19"/>
      <c r="M237" s="16"/>
      <c r="O237" s="45"/>
      <c r="P237" s="45"/>
      <c r="Q237" s="45"/>
      <c r="R237" s="45"/>
      <c r="S237" s="45"/>
      <c r="T237" s="45"/>
      <c r="U237" s="45"/>
      <c r="V237" s="45"/>
      <c r="W237" s="16"/>
      <c r="X237" s="16"/>
      <c r="Y237" s="45"/>
      <c r="Z237" s="45"/>
      <c r="AA237" s="45"/>
      <c r="AB237" s="45"/>
      <c r="AC237" s="45"/>
      <c r="AD237" s="45"/>
    </row>
    <row r="238" spans="1:30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5"/>
      <c r="L238" s="19"/>
      <c r="M238" s="16"/>
      <c r="O238" s="45"/>
      <c r="P238" s="45"/>
      <c r="Q238" s="45"/>
      <c r="R238" s="45"/>
      <c r="S238" s="45"/>
      <c r="T238" s="45"/>
      <c r="U238" s="45"/>
      <c r="V238" s="45"/>
      <c r="W238" s="16"/>
      <c r="X238" s="16"/>
      <c r="Y238" s="45"/>
      <c r="Z238" s="45"/>
      <c r="AA238" s="45"/>
      <c r="AB238" s="45"/>
      <c r="AC238" s="45"/>
      <c r="AD238" s="45"/>
    </row>
    <row r="239" spans="1:30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5"/>
      <c r="L239" s="19"/>
      <c r="M239" s="16"/>
      <c r="O239" s="45"/>
      <c r="P239" s="45"/>
      <c r="Q239" s="45"/>
      <c r="R239" s="45"/>
      <c r="S239" s="45"/>
      <c r="T239" s="45"/>
      <c r="U239" s="45"/>
      <c r="V239" s="45"/>
      <c r="W239" s="16"/>
      <c r="X239" s="16"/>
      <c r="Y239" s="45"/>
      <c r="Z239" s="45"/>
      <c r="AA239" s="45"/>
      <c r="AB239" s="45"/>
      <c r="AC239" s="45"/>
      <c r="AD239" s="45"/>
    </row>
    <row r="240" spans="1:30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5"/>
      <c r="L240" s="19"/>
      <c r="M240" s="16"/>
      <c r="O240" s="45"/>
      <c r="P240" s="45"/>
      <c r="Q240" s="45"/>
      <c r="R240" s="45"/>
      <c r="S240" s="45"/>
      <c r="T240" s="45"/>
      <c r="U240" s="45"/>
      <c r="V240" s="45"/>
      <c r="W240" s="16"/>
      <c r="X240" s="16"/>
      <c r="Y240" s="45"/>
      <c r="Z240" s="45"/>
      <c r="AA240" s="45"/>
      <c r="AB240" s="45"/>
      <c r="AC240" s="45"/>
      <c r="AD240" s="45"/>
    </row>
    <row r="241" spans="1:30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5"/>
      <c r="L241" s="19"/>
      <c r="M241" s="16"/>
      <c r="O241" s="45"/>
      <c r="P241" s="45"/>
      <c r="Q241" s="45"/>
      <c r="R241" s="45"/>
      <c r="S241" s="45"/>
      <c r="T241" s="45"/>
      <c r="U241" s="45"/>
      <c r="V241" s="45"/>
      <c r="W241" s="16"/>
      <c r="X241" s="16"/>
      <c r="Y241" s="45"/>
      <c r="Z241" s="45"/>
      <c r="AA241" s="45"/>
      <c r="AB241" s="45"/>
      <c r="AC241" s="45"/>
      <c r="AD241" s="45"/>
    </row>
    <row r="242" spans="1:30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5"/>
      <c r="L242" s="19"/>
      <c r="M242" s="16"/>
      <c r="O242" s="45"/>
      <c r="P242" s="45"/>
      <c r="Q242" s="45"/>
      <c r="R242" s="45"/>
      <c r="S242" s="45"/>
      <c r="T242" s="45"/>
      <c r="U242" s="45"/>
      <c r="V242" s="45"/>
      <c r="W242" s="16"/>
      <c r="X242" s="16"/>
      <c r="Y242" s="45"/>
      <c r="Z242" s="45"/>
      <c r="AA242" s="45"/>
      <c r="AB242" s="45"/>
      <c r="AC242" s="45"/>
      <c r="AD242" s="45"/>
    </row>
    <row r="243" spans="1:30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5"/>
      <c r="L243" s="19"/>
      <c r="M243" s="16"/>
      <c r="O243" s="45"/>
      <c r="P243" s="45"/>
      <c r="Q243" s="45"/>
      <c r="R243" s="45"/>
      <c r="S243" s="45"/>
      <c r="T243" s="45"/>
      <c r="U243" s="45"/>
      <c r="V243" s="45"/>
      <c r="W243" s="16"/>
      <c r="X243" s="16"/>
      <c r="Y243" s="45"/>
      <c r="Z243" s="45"/>
      <c r="AA243" s="45"/>
      <c r="AB243" s="45"/>
      <c r="AC243" s="45"/>
      <c r="AD243" s="45"/>
    </row>
    <row r="244" spans="1:30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5"/>
      <c r="L244" s="19"/>
      <c r="M244" s="16"/>
      <c r="O244" s="45"/>
      <c r="P244" s="45"/>
      <c r="Q244" s="45"/>
      <c r="R244" s="45"/>
      <c r="S244" s="45"/>
      <c r="T244" s="45"/>
      <c r="U244" s="45"/>
      <c r="V244" s="45"/>
      <c r="W244" s="16"/>
      <c r="X244" s="16"/>
      <c r="Y244" s="45"/>
      <c r="Z244" s="45"/>
      <c r="AA244" s="45"/>
      <c r="AB244" s="45"/>
      <c r="AC244" s="45"/>
      <c r="AD244" s="45"/>
    </row>
    <row r="245" spans="1:30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5"/>
      <c r="L245" s="19"/>
      <c r="M245" s="16"/>
      <c r="O245" s="45"/>
      <c r="P245" s="45"/>
      <c r="Q245" s="45"/>
      <c r="R245" s="45"/>
      <c r="S245" s="45"/>
      <c r="T245" s="45"/>
      <c r="U245" s="45"/>
      <c r="V245" s="45"/>
      <c r="W245" s="16"/>
      <c r="X245" s="16"/>
      <c r="Y245" s="45"/>
      <c r="Z245" s="45"/>
      <c r="AA245" s="45"/>
      <c r="AB245" s="45"/>
      <c r="AC245" s="45"/>
      <c r="AD245" s="45"/>
    </row>
    <row r="246" spans="1:30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5"/>
      <c r="L246" s="19"/>
      <c r="M246" s="16"/>
      <c r="O246" s="45"/>
      <c r="P246" s="45"/>
      <c r="Q246" s="45"/>
      <c r="R246" s="45"/>
      <c r="S246" s="45"/>
      <c r="T246" s="45"/>
      <c r="U246" s="45"/>
      <c r="V246" s="45"/>
      <c r="W246" s="16"/>
      <c r="X246" s="16"/>
      <c r="Y246" s="45"/>
      <c r="Z246" s="45"/>
      <c r="AA246" s="45"/>
      <c r="AB246" s="45"/>
      <c r="AC246" s="45"/>
      <c r="AD246" s="45"/>
    </row>
    <row r="247" spans="1:30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5"/>
      <c r="L247" s="19"/>
      <c r="M247" s="16"/>
      <c r="O247" s="45"/>
      <c r="P247" s="45"/>
      <c r="Q247" s="45"/>
      <c r="R247" s="45"/>
      <c r="S247" s="45"/>
      <c r="T247" s="45"/>
      <c r="U247" s="45"/>
      <c r="V247" s="45"/>
      <c r="W247" s="16"/>
      <c r="X247" s="16"/>
      <c r="Y247" s="45"/>
      <c r="Z247" s="45"/>
      <c r="AA247" s="45"/>
      <c r="AB247" s="45"/>
      <c r="AC247" s="45"/>
      <c r="AD247" s="45"/>
    </row>
    <row r="248" spans="1:30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5"/>
      <c r="L248" s="19"/>
      <c r="M248" s="16"/>
      <c r="O248" s="45"/>
      <c r="P248" s="45"/>
      <c r="Q248" s="45"/>
      <c r="R248" s="45"/>
      <c r="S248" s="45"/>
      <c r="T248" s="45"/>
      <c r="U248" s="45"/>
      <c r="V248" s="45"/>
      <c r="W248" s="16"/>
      <c r="X248" s="16"/>
      <c r="Y248" s="45"/>
      <c r="Z248" s="45"/>
      <c r="AA248" s="45"/>
      <c r="AB248" s="45"/>
      <c r="AC248" s="45"/>
      <c r="AD248" s="45"/>
    </row>
    <row r="249" spans="1:30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5"/>
      <c r="L249" s="19"/>
      <c r="M249" s="16"/>
      <c r="O249" s="45"/>
      <c r="P249" s="45"/>
      <c r="Q249" s="45"/>
      <c r="R249" s="45"/>
      <c r="S249" s="45"/>
      <c r="T249" s="45"/>
      <c r="U249" s="45"/>
      <c r="V249" s="45"/>
      <c r="W249" s="16"/>
      <c r="X249" s="16"/>
      <c r="Y249" s="45"/>
      <c r="Z249" s="45"/>
      <c r="AA249" s="45"/>
      <c r="AB249" s="45"/>
      <c r="AC249" s="45"/>
      <c r="AD249" s="45"/>
    </row>
    <row r="250" spans="1:30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5"/>
      <c r="L250" s="19"/>
      <c r="M250" s="16"/>
      <c r="O250" s="45"/>
      <c r="P250" s="45"/>
      <c r="Q250" s="45"/>
      <c r="R250" s="45"/>
      <c r="S250" s="45"/>
      <c r="T250" s="45"/>
      <c r="U250" s="45"/>
      <c r="V250" s="45"/>
      <c r="W250" s="16"/>
      <c r="X250" s="16"/>
      <c r="Y250" s="45"/>
      <c r="Z250" s="45"/>
      <c r="AA250" s="45"/>
      <c r="AB250" s="45"/>
      <c r="AC250" s="45"/>
      <c r="AD250" s="45"/>
    </row>
    <row r="251" spans="1:30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5"/>
      <c r="L251" s="19"/>
      <c r="M251" s="16"/>
      <c r="O251" s="45"/>
      <c r="P251" s="45"/>
      <c r="Q251" s="45"/>
      <c r="R251" s="45"/>
      <c r="S251" s="45"/>
      <c r="T251" s="45"/>
      <c r="U251" s="45"/>
      <c r="V251" s="45"/>
      <c r="W251" s="16"/>
      <c r="X251" s="16"/>
      <c r="Y251" s="45"/>
      <c r="Z251" s="45"/>
      <c r="AA251" s="45"/>
      <c r="AB251" s="45"/>
      <c r="AC251" s="45"/>
      <c r="AD251" s="45"/>
    </row>
    <row r="252" spans="1:30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5"/>
      <c r="L252" s="19"/>
      <c r="M252" s="16"/>
      <c r="O252" s="45"/>
      <c r="P252" s="45"/>
      <c r="Q252" s="45"/>
      <c r="R252" s="45"/>
      <c r="S252" s="45"/>
      <c r="T252" s="45"/>
      <c r="U252" s="45"/>
      <c r="V252" s="45"/>
      <c r="W252" s="16"/>
      <c r="X252" s="16"/>
      <c r="Y252" s="45"/>
      <c r="Z252" s="45"/>
      <c r="AA252" s="45"/>
      <c r="AB252" s="45"/>
      <c r="AC252" s="45"/>
      <c r="AD252" s="45"/>
    </row>
    <row r="253" spans="1:30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5"/>
      <c r="L253" s="19"/>
      <c r="M253" s="16"/>
      <c r="O253" s="45"/>
      <c r="P253" s="45"/>
      <c r="Q253" s="45"/>
      <c r="R253" s="45"/>
      <c r="S253" s="45"/>
      <c r="T253" s="45"/>
      <c r="U253" s="45"/>
      <c r="V253" s="45"/>
      <c r="W253" s="16"/>
      <c r="X253" s="16"/>
      <c r="Y253" s="45"/>
      <c r="Z253" s="45"/>
      <c r="AA253" s="45"/>
      <c r="AB253" s="45"/>
      <c r="AC253" s="45"/>
      <c r="AD253" s="45"/>
    </row>
    <row r="254" spans="1:30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5"/>
      <c r="L254" s="19"/>
      <c r="M254" s="16"/>
      <c r="O254" s="45"/>
      <c r="P254" s="45"/>
      <c r="Q254" s="45"/>
      <c r="R254" s="45"/>
      <c r="S254" s="45"/>
      <c r="T254" s="45"/>
      <c r="U254" s="45"/>
      <c r="V254" s="45"/>
      <c r="W254" s="16"/>
      <c r="X254" s="16"/>
      <c r="Y254" s="45"/>
      <c r="Z254" s="45"/>
      <c r="AA254" s="45"/>
      <c r="AB254" s="45"/>
      <c r="AC254" s="45"/>
      <c r="AD254" s="45"/>
    </row>
    <row r="255" spans="1:30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5"/>
      <c r="L255" s="19"/>
      <c r="M255" s="16"/>
      <c r="O255" s="45"/>
      <c r="P255" s="45"/>
      <c r="Q255" s="45"/>
      <c r="R255" s="45"/>
      <c r="S255" s="45"/>
      <c r="T255" s="45"/>
      <c r="U255" s="45"/>
      <c r="V255" s="45"/>
      <c r="W255" s="16"/>
      <c r="X255" s="16"/>
      <c r="Y255" s="45"/>
      <c r="Z255" s="45"/>
      <c r="AA255" s="45"/>
      <c r="AB255" s="45"/>
      <c r="AC255" s="45"/>
      <c r="AD255" s="45"/>
    </row>
    <row r="256" spans="1:30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5"/>
      <c r="L256" s="19"/>
      <c r="M256" s="16"/>
      <c r="O256" s="45"/>
      <c r="P256" s="45"/>
      <c r="Q256" s="45"/>
      <c r="R256" s="45"/>
      <c r="S256" s="45"/>
      <c r="T256" s="45"/>
      <c r="U256" s="45"/>
      <c r="V256" s="45"/>
      <c r="W256" s="16"/>
      <c r="X256" s="16"/>
      <c r="Y256" s="45"/>
      <c r="Z256" s="45"/>
      <c r="AA256" s="45"/>
      <c r="AB256" s="45"/>
      <c r="AC256" s="45"/>
      <c r="AD256" s="45"/>
    </row>
    <row r="257" spans="1:30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5"/>
      <c r="L257" s="19"/>
      <c r="M257" s="16"/>
      <c r="O257" s="45"/>
      <c r="P257" s="45"/>
      <c r="Q257" s="45"/>
      <c r="R257" s="45"/>
      <c r="S257" s="45"/>
      <c r="T257" s="45"/>
      <c r="U257" s="45"/>
      <c r="V257" s="45"/>
      <c r="W257" s="16"/>
      <c r="X257" s="16"/>
      <c r="Y257" s="45"/>
      <c r="Z257" s="45"/>
      <c r="AA257" s="45"/>
      <c r="AB257" s="45"/>
      <c r="AC257" s="45"/>
      <c r="AD257" s="45"/>
    </row>
    <row r="258" spans="1:30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5"/>
      <c r="L258" s="19"/>
      <c r="M258" s="16"/>
      <c r="O258" s="45"/>
      <c r="P258" s="45"/>
      <c r="Q258" s="45"/>
      <c r="R258" s="45"/>
      <c r="S258" s="45"/>
      <c r="T258" s="45"/>
      <c r="U258" s="45"/>
      <c r="V258" s="45"/>
      <c r="W258" s="16"/>
      <c r="X258" s="16"/>
      <c r="Y258" s="45"/>
      <c r="Z258" s="45"/>
      <c r="AA258" s="45"/>
      <c r="AB258" s="45"/>
      <c r="AC258" s="45"/>
      <c r="AD258" s="45"/>
    </row>
    <row r="259" spans="1:30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5"/>
      <c r="L259" s="19"/>
      <c r="M259" s="16"/>
      <c r="O259" s="45"/>
      <c r="P259" s="45"/>
      <c r="Q259" s="45"/>
      <c r="R259" s="45"/>
      <c r="S259" s="45"/>
      <c r="T259" s="45"/>
      <c r="U259" s="45"/>
      <c r="V259" s="45"/>
      <c r="W259" s="16"/>
      <c r="X259" s="16"/>
      <c r="Y259" s="45"/>
      <c r="Z259" s="45"/>
      <c r="AA259" s="45"/>
      <c r="AB259" s="45"/>
      <c r="AC259" s="45"/>
      <c r="AD259" s="45"/>
    </row>
    <row r="260" spans="1:30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5"/>
      <c r="L260" s="19"/>
      <c r="M260" s="16"/>
      <c r="O260" s="45"/>
      <c r="P260" s="45"/>
      <c r="Q260" s="45"/>
      <c r="R260" s="45"/>
      <c r="S260" s="45"/>
      <c r="T260" s="45"/>
      <c r="U260" s="45"/>
      <c r="V260" s="45"/>
      <c r="W260" s="16"/>
      <c r="X260" s="16"/>
      <c r="Y260" s="45"/>
      <c r="Z260" s="45"/>
      <c r="AA260" s="45"/>
      <c r="AB260" s="45"/>
      <c r="AC260" s="45"/>
      <c r="AD260" s="45"/>
    </row>
    <row r="261" spans="1:30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5"/>
      <c r="L261" s="19"/>
      <c r="M261" s="16"/>
      <c r="O261" s="45"/>
      <c r="P261" s="45"/>
      <c r="Q261" s="45"/>
      <c r="R261" s="45"/>
      <c r="S261" s="45"/>
      <c r="T261" s="45"/>
      <c r="U261" s="45"/>
      <c r="V261" s="45"/>
      <c r="W261" s="16"/>
      <c r="X261" s="16"/>
      <c r="Y261" s="45"/>
      <c r="Z261" s="45"/>
      <c r="AA261" s="45"/>
      <c r="AB261" s="45"/>
      <c r="AC261" s="45"/>
      <c r="AD261" s="45"/>
    </row>
    <row r="262" spans="1:30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5"/>
      <c r="L262" s="19"/>
      <c r="M262" s="16"/>
      <c r="O262" s="45"/>
      <c r="P262" s="45"/>
      <c r="Q262" s="45"/>
      <c r="R262" s="45"/>
      <c r="S262" s="45"/>
      <c r="T262" s="45"/>
      <c r="U262" s="45"/>
      <c r="V262" s="45"/>
      <c r="W262" s="16"/>
      <c r="X262" s="16"/>
      <c r="Y262" s="45"/>
      <c r="Z262" s="45"/>
      <c r="AA262" s="45"/>
      <c r="AB262" s="45"/>
      <c r="AC262" s="45"/>
      <c r="AD262" s="45"/>
    </row>
    <row r="263" spans="1:30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5"/>
      <c r="L263" s="19"/>
      <c r="M263" s="16"/>
      <c r="O263" s="45"/>
      <c r="P263" s="45"/>
      <c r="Q263" s="45"/>
      <c r="R263" s="45"/>
      <c r="S263" s="45"/>
      <c r="T263" s="45"/>
      <c r="U263" s="45"/>
      <c r="V263" s="45"/>
      <c r="W263" s="16"/>
      <c r="X263" s="16"/>
      <c r="Y263" s="45"/>
      <c r="Z263" s="45"/>
      <c r="AA263" s="45"/>
      <c r="AB263" s="45"/>
      <c r="AC263" s="45"/>
      <c r="AD263" s="45"/>
    </row>
    <row r="264" spans="1:30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5"/>
      <c r="L264" s="19"/>
      <c r="M264" s="16"/>
      <c r="O264" s="45"/>
      <c r="P264" s="45"/>
      <c r="Q264" s="45"/>
      <c r="R264" s="45"/>
      <c r="S264" s="45"/>
      <c r="T264" s="45"/>
      <c r="U264" s="45"/>
      <c r="V264" s="45"/>
      <c r="W264" s="16"/>
      <c r="X264" s="16"/>
      <c r="Y264" s="45"/>
      <c r="Z264" s="45"/>
      <c r="AA264" s="45"/>
      <c r="AB264" s="45"/>
      <c r="AC264" s="45"/>
      <c r="AD264" s="45"/>
    </row>
    <row r="265" spans="1:30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5"/>
      <c r="L265" s="19"/>
      <c r="M265" s="16"/>
      <c r="O265" s="45"/>
      <c r="P265" s="45"/>
      <c r="Q265" s="45"/>
      <c r="R265" s="45"/>
      <c r="S265" s="45"/>
      <c r="T265" s="45"/>
      <c r="U265" s="45"/>
      <c r="V265" s="45"/>
      <c r="W265" s="16"/>
      <c r="X265" s="16"/>
      <c r="Y265" s="45"/>
      <c r="Z265" s="45"/>
      <c r="AA265" s="45"/>
      <c r="AB265" s="45"/>
      <c r="AC265" s="45"/>
      <c r="AD265" s="45"/>
    </row>
    <row r="266" spans="1:30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5"/>
      <c r="L266" s="19"/>
      <c r="M266" s="16"/>
      <c r="O266" s="45"/>
      <c r="P266" s="45"/>
      <c r="Q266" s="45"/>
      <c r="R266" s="45"/>
      <c r="S266" s="45"/>
      <c r="T266" s="45"/>
      <c r="U266" s="45"/>
      <c r="V266" s="45"/>
      <c r="W266" s="16"/>
      <c r="X266" s="16"/>
      <c r="Y266" s="45"/>
      <c r="Z266" s="45"/>
      <c r="AA266" s="45"/>
      <c r="AB266" s="45"/>
      <c r="AC266" s="45"/>
      <c r="AD266" s="45"/>
    </row>
    <row r="267" spans="1:30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5"/>
      <c r="L267" s="19"/>
      <c r="M267" s="16"/>
      <c r="O267" s="45"/>
      <c r="P267" s="45"/>
      <c r="Q267" s="45"/>
      <c r="R267" s="45"/>
      <c r="S267" s="45"/>
      <c r="T267" s="45"/>
      <c r="U267" s="45"/>
      <c r="V267" s="45"/>
      <c r="W267" s="16"/>
      <c r="X267" s="16"/>
      <c r="Y267" s="45"/>
      <c r="Z267" s="45"/>
      <c r="AA267" s="45"/>
      <c r="AB267" s="45"/>
      <c r="AC267" s="45"/>
      <c r="AD267" s="45"/>
    </row>
    <row r="268" spans="1:30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5"/>
      <c r="L268" s="19"/>
      <c r="M268" s="16"/>
      <c r="O268" s="45"/>
      <c r="P268" s="45"/>
      <c r="Q268" s="45"/>
      <c r="R268" s="45"/>
      <c r="S268" s="45"/>
      <c r="T268" s="45"/>
      <c r="U268" s="45"/>
      <c r="V268" s="45"/>
      <c r="W268" s="16"/>
      <c r="X268" s="16"/>
      <c r="Y268" s="45"/>
      <c r="Z268" s="45"/>
      <c r="AA268" s="45"/>
      <c r="AB268" s="45"/>
      <c r="AC268" s="45"/>
      <c r="AD268" s="45"/>
    </row>
    <row r="269" spans="1:30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5"/>
      <c r="L269" s="19"/>
      <c r="M269" s="16"/>
      <c r="O269" s="45"/>
      <c r="P269" s="45"/>
      <c r="Q269" s="45"/>
      <c r="R269" s="45"/>
      <c r="S269" s="45"/>
      <c r="T269" s="45"/>
      <c r="U269" s="45"/>
      <c r="V269" s="45"/>
      <c r="W269" s="16"/>
      <c r="X269" s="16"/>
      <c r="Y269" s="45"/>
      <c r="Z269" s="45"/>
      <c r="AA269" s="45"/>
      <c r="AB269" s="45"/>
      <c r="AC269" s="45"/>
      <c r="AD269" s="45"/>
    </row>
    <row r="270" spans="1:30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5"/>
      <c r="L270" s="19"/>
      <c r="M270" s="16"/>
      <c r="O270" s="45"/>
      <c r="P270" s="45"/>
      <c r="Q270" s="45"/>
      <c r="R270" s="45"/>
      <c r="S270" s="45"/>
      <c r="T270" s="45"/>
      <c r="U270" s="45"/>
      <c r="V270" s="45"/>
      <c r="W270" s="16"/>
      <c r="X270" s="16"/>
      <c r="Y270" s="45"/>
      <c r="Z270" s="45"/>
      <c r="AA270" s="45"/>
      <c r="AB270" s="45"/>
      <c r="AC270" s="45"/>
      <c r="AD270" s="45"/>
    </row>
    <row r="271" spans="1:30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5"/>
      <c r="L271" s="19"/>
      <c r="M271" s="16"/>
      <c r="O271" s="45"/>
      <c r="P271" s="45"/>
      <c r="Q271" s="45"/>
      <c r="R271" s="45"/>
      <c r="S271" s="45"/>
      <c r="T271" s="45"/>
      <c r="U271" s="45"/>
      <c r="V271" s="45"/>
      <c r="W271" s="16"/>
      <c r="X271" s="16"/>
      <c r="Y271" s="45"/>
      <c r="Z271" s="45"/>
      <c r="AA271" s="45"/>
      <c r="AB271" s="45"/>
      <c r="AC271" s="45"/>
      <c r="AD271" s="45"/>
    </row>
    <row r="272" spans="1:30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5"/>
      <c r="L272" s="19"/>
      <c r="M272" s="16"/>
      <c r="O272" s="45"/>
      <c r="P272" s="45"/>
      <c r="Q272" s="45"/>
      <c r="R272" s="45"/>
      <c r="S272" s="45"/>
      <c r="T272" s="45"/>
      <c r="U272" s="45"/>
      <c r="V272" s="45"/>
      <c r="W272" s="16"/>
      <c r="X272" s="16"/>
      <c r="Y272" s="45"/>
      <c r="Z272" s="45"/>
      <c r="AA272" s="45"/>
      <c r="AB272" s="45"/>
      <c r="AC272" s="45"/>
      <c r="AD272" s="45"/>
    </row>
    <row r="273" spans="1:30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5"/>
      <c r="L273" s="19"/>
      <c r="M273" s="16"/>
      <c r="O273" s="45"/>
      <c r="P273" s="45"/>
      <c r="Q273" s="45"/>
      <c r="R273" s="45"/>
      <c r="S273" s="45"/>
      <c r="T273" s="45"/>
      <c r="U273" s="45"/>
      <c r="V273" s="45"/>
      <c r="W273" s="16"/>
      <c r="X273" s="16"/>
      <c r="Y273" s="45"/>
      <c r="Z273" s="45"/>
      <c r="AA273" s="45"/>
      <c r="AB273" s="45"/>
      <c r="AC273" s="45"/>
      <c r="AD273" s="45"/>
    </row>
    <row r="274" spans="1:30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5"/>
      <c r="L274" s="19"/>
      <c r="M274" s="16"/>
      <c r="O274" s="45"/>
      <c r="P274" s="45"/>
      <c r="Q274" s="45"/>
      <c r="R274" s="45"/>
      <c r="S274" s="45"/>
      <c r="T274" s="45"/>
      <c r="U274" s="45"/>
      <c r="V274" s="45"/>
      <c r="W274" s="16"/>
      <c r="X274" s="16"/>
      <c r="Y274" s="45"/>
      <c r="Z274" s="45"/>
      <c r="AA274" s="45"/>
      <c r="AB274" s="45"/>
      <c r="AC274" s="45"/>
      <c r="AD274" s="45"/>
    </row>
    <row r="275" spans="1:30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5"/>
      <c r="L275" s="19"/>
      <c r="M275" s="16"/>
      <c r="O275" s="45"/>
      <c r="P275" s="45"/>
      <c r="Q275" s="45"/>
      <c r="R275" s="45"/>
      <c r="S275" s="45"/>
      <c r="T275" s="45"/>
      <c r="U275" s="45"/>
      <c r="V275" s="45"/>
      <c r="W275" s="16"/>
      <c r="X275" s="16"/>
      <c r="Y275" s="45"/>
      <c r="Z275" s="45"/>
      <c r="AA275" s="45"/>
      <c r="AB275" s="45"/>
      <c r="AC275" s="45"/>
      <c r="AD275" s="45"/>
    </row>
    <row r="276" spans="1:30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5"/>
      <c r="L276" s="19"/>
      <c r="M276" s="16"/>
      <c r="O276" s="45"/>
      <c r="P276" s="45"/>
      <c r="Q276" s="45"/>
      <c r="R276" s="45"/>
      <c r="S276" s="45"/>
      <c r="T276" s="45"/>
      <c r="U276" s="45"/>
      <c r="V276" s="45"/>
      <c r="W276" s="16"/>
      <c r="X276" s="16"/>
      <c r="Y276" s="45"/>
      <c r="Z276" s="45"/>
      <c r="AA276" s="45"/>
      <c r="AB276" s="45"/>
      <c r="AC276" s="45"/>
      <c r="AD276" s="45"/>
    </row>
    <row r="277" spans="1:30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5"/>
      <c r="L277" s="19"/>
      <c r="M277" s="16"/>
      <c r="O277" s="45"/>
      <c r="P277" s="45"/>
      <c r="Q277" s="45"/>
      <c r="R277" s="45"/>
      <c r="S277" s="45"/>
      <c r="T277" s="45"/>
      <c r="U277" s="45"/>
      <c r="V277" s="45"/>
      <c r="W277" s="16"/>
      <c r="X277" s="16"/>
      <c r="Y277" s="45"/>
      <c r="Z277" s="45"/>
      <c r="AA277" s="45"/>
      <c r="AB277" s="45"/>
      <c r="AC277" s="45"/>
      <c r="AD277" s="45"/>
    </row>
    <row r="278" spans="1:30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5"/>
      <c r="L278" s="19"/>
      <c r="M278" s="16"/>
      <c r="O278" s="45"/>
      <c r="P278" s="45"/>
      <c r="Q278" s="45"/>
      <c r="R278" s="45"/>
      <c r="S278" s="45"/>
      <c r="T278" s="45"/>
      <c r="U278" s="45"/>
      <c r="V278" s="45"/>
      <c r="W278" s="16"/>
      <c r="X278" s="16"/>
      <c r="Y278" s="45"/>
      <c r="Z278" s="45"/>
      <c r="AA278" s="45"/>
      <c r="AB278" s="45"/>
      <c r="AC278" s="45"/>
      <c r="AD278" s="45"/>
    </row>
    <row r="279" spans="1:30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5"/>
      <c r="L279" s="19"/>
      <c r="M279" s="16"/>
      <c r="O279" s="45"/>
      <c r="P279" s="45"/>
      <c r="Q279" s="45"/>
      <c r="R279" s="45"/>
      <c r="S279" s="45"/>
      <c r="T279" s="45"/>
      <c r="U279" s="45"/>
      <c r="V279" s="45"/>
      <c r="W279" s="16"/>
      <c r="X279" s="16"/>
      <c r="Y279" s="45"/>
      <c r="Z279" s="45"/>
      <c r="AA279" s="45"/>
      <c r="AB279" s="45"/>
      <c r="AC279" s="45"/>
      <c r="AD279" s="45"/>
    </row>
    <row r="280" spans="1:30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5"/>
      <c r="L280" s="19"/>
      <c r="M280" s="16"/>
      <c r="O280" s="45"/>
      <c r="P280" s="45"/>
      <c r="Q280" s="45"/>
      <c r="R280" s="45"/>
      <c r="S280" s="45"/>
      <c r="T280" s="45"/>
      <c r="U280" s="45"/>
      <c r="V280" s="45"/>
      <c r="W280" s="16"/>
      <c r="X280" s="16"/>
      <c r="Y280" s="45"/>
      <c r="Z280" s="45"/>
      <c r="AA280" s="45"/>
      <c r="AB280" s="45"/>
      <c r="AC280" s="45"/>
      <c r="AD280" s="45"/>
    </row>
    <row r="281" spans="1:30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5"/>
      <c r="L281" s="19"/>
      <c r="M281" s="16"/>
      <c r="O281" s="45"/>
      <c r="P281" s="45"/>
      <c r="Q281" s="45"/>
      <c r="R281" s="45"/>
      <c r="S281" s="45"/>
      <c r="T281" s="45"/>
      <c r="U281" s="45"/>
      <c r="V281" s="45"/>
      <c r="W281" s="16"/>
      <c r="X281" s="16"/>
      <c r="Y281" s="45"/>
      <c r="Z281" s="45"/>
      <c r="AA281" s="45"/>
      <c r="AB281" s="45"/>
      <c r="AC281" s="45"/>
      <c r="AD281" s="45"/>
    </row>
    <row r="282" spans="1:30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5"/>
      <c r="L282" s="19"/>
      <c r="M282" s="16"/>
      <c r="O282" s="45"/>
      <c r="P282" s="45"/>
      <c r="Q282" s="45"/>
      <c r="R282" s="45"/>
      <c r="S282" s="45"/>
      <c r="T282" s="45"/>
      <c r="U282" s="45"/>
      <c r="V282" s="45"/>
      <c r="W282" s="16"/>
      <c r="X282" s="16"/>
      <c r="Y282" s="45"/>
      <c r="Z282" s="45"/>
      <c r="AA282" s="45"/>
      <c r="AB282" s="45"/>
      <c r="AC282" s="45"/>
      <c r="AD282" s="45"/>
    </row>
    <row r="283" spans="1:30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5"/>
      <c r="L283" s="19"/>
      <c r="M283" s="16"/>
      <c r="O283" s="45"/>
      <c r="P283" s="45"/>
      <c r="Q283" s="45"/>
      <c r="R283" s="45"/>
      <c r="S283" s="45"/>
      <c r="T283" s="45"/>
      <c r="U283" s="45"/>
      <c r="V283" s="45"/>
      <c r="W283" s="16"/>
      <c r="X283" s="16"/>
      <c r="Y283" s="45"/>
      <c r="Z283" s="45"/>
      <c r="AA283" s="45"/>
      <c r="AB283" s="45"/>
      <c r="AC283" s="45"/>
      <c r="AD283" s="45"/>
    </row>
    <row r="284" spans="1:30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5"/>
      <c r="L284" s="19"/>
      <c r="M284" s="16"/>
      <c r="O284" s="45"/>
      <c r="P284" s="45"/>
      <c r="Q284" s="45"/>
      <c r="R284" s="45"/>
      <c r="S284" s="45"/>
      <c r="T284" s="45"/>
      <c r="U284" s="45"/>
      <c r="V284" s="45"/>
      <c r="W284" s="16"/>
      <c r="X284" s="16"/>
      <c r="Y284" s="45"/>
      <c r="Z284" s="45"/>
      <c r="AA284" s="45"/>
      <c r="AB284" s="45"/>
      <c r="AC284" s="45"/>
      <c r="AD284" s="45"/>
    </row>
    <row r="285" spans="1:30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5"/>
      <c r="L285" s="19"/>
      <c r="M285" s="16"/>
      <c r="O285" s="45"/>
      <c r="P285" s="45"/>
      <c r="Q285" s="45"/>
      <c r="R285" s="45"/>
      <c r="S285" s="45"/>
      <c r="T285" s="45"/>
      <c r="U285" s="45"/>
      <c r="V285" s="45"/>
      <c r="W285" s="16"/>
      <c r="X285" s="16"/>
      <c r="Y285" s="45"/>
      <c r="Z285" s="45"/>
      <c r="AA285" s="45"/>
      <c r="AB285" s="45"/>
      <c r="AC285" s="45"/>
      <c r="AD285" s="45"/>
    </row>
    <row r="286" spans="1:30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5"/>
      <c r="L286" s="19"/>
      <c r="M286" s="16"/>
      <c r="O286" s="45"/>
      <c r="P286" s="45"/>
      <c r="Q286" s="45"/>
      <c r="R286" s="45"/>
      <c r="S286" s="45"/>
      <c r="T286" s="45"/>
      <c r="U286" s="45"/>
      <c r="V286" s="45"/>
      <c r="W286" s="16"/>
      <c r="X286" s="16"/>
      <c r="Y286" s="45"/>
      <c r="Z286" s="45"/>
      <c r="AA286" s="45"/>
      <c r="AB286" s="45"/>
      <c r="AC286" s="45"/>
      <c r="AD286" s="45"/>
    </row>
    <row r="287" spans="1:30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5"/>
      <c r="L287" s="19"/>
      <c r="M287" s="16"/>
      <c r="O287" s="45"/>
      <c r="P287" s="45"/>
      <c r="Q287" s="45"/>
      <c r="R287" s="45"/>
      <c r="S287" s="45"/>
      <c r="T287" s="45"/>
      <c r="U287" s="45"/>
      <c r="V287" s="45"/>
      <c r="W287" s="16"/>
      <c r="X287" s="16"/>
      <c r="Y287" s="45"/>
      <c r="Z287" s="45"/>
      <c r="AA287" s="45"/>
      <c r="AB287" s="45"/>
      <c r="AC287" s="45"/>
      <c r="AD287" s="45"/>
    </row>
    <row r="288" spans="1:30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5"/>
      <c r="L288" s="19"/>
      <c r="M288" s="16"/>
      <c r="O288" s="45"/>
      <c r="P288" s="45"/>
      <c r="Q288" s="45"/>
      <c r="R288" s="45"/>
      <c r="S288" s="45"/>
      <c r="T288" s="45"/>
      <c r="U288" s="45"/>
      <c r="V288" s="45"/>
      <c r="W288" s="16"/>
      <c r="X288" s="16"/>
      <c r="Y288" s="45"/>
      <c r="Z288" s="45"/>
      <c r="AA288" s="45"/>
      <c r="AB288" s="45"/>
      <c r="AC288" s="45"/>
      <c r="AD288" s="45"/>
    </row>
    <row r="289" spans="1:30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5"/>
      <c r="L289" s="19"/>
      <c r="M289" s="16"/>
      <c r="O289" s="45"/>
      <c r="P289" s="45"/>
      <c r="Q289" s="45"/>
      <c r="R289" s="45"/>
      <c r="S289" s="45"/>
      <c r="T289" s="45"/>
      <c r="U289" s="45"/>
      <c r="V289" s="45"/>
      <c r="W289" s="16"/>
      <c r="X289" s="16"/>
      <c r="Y289" s="45"/>
      <c r="Z289" s="45"/>
      <c r="AA289" s="45"/>
      <c r="AB289" s="45"/>
      <c r="AC289" s="45"/>
      <c r="AD289" s="45"/>
    </row>
    <row r="290" spans="1:30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5"/>
      <c r="L290" s="19"/>
      <c r="M290" s="16"/>
      <c r="O290" s="45"/>
      <c r="P290" s="45"/>
      <c r="Q290" s="45"/>
      <c r="R290" s="45"/>
      <c r="S290" s="45"/>
      <c r="T290" s="45"/>
      <c r="U290" s="45"/>
      <c r="V290" s="45"/>
      <c r="W290" s="16"/>
      <c r="X290" s="16"/>
      <c r="Y290" s="45"/>
      <c r="Z290" s="45"/>
      <c r="AA290" s="45"/>
      <c r="AB290" s="45"/>
      <c r="AC290" s="45"/>
      <c r="AD290" s="45"/>
    </row>
    <row r="291" spans="1:30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5"/>
      <c r="L291" s="19"/>
      <c r="M291" s="16"/>
      <c r="O291" s="45"/>
      <c r="P291" s="45"/>
      <c r="Q291" s="45"/>
      <c r="R291" s="45"/>
      <c r="S291" s="45"/>
      <c r="T291" s="45"/>
      <c r="U291" s="45"/>
      <c r="V291" s="45"/>
      <c r="W291" s="16"/>
      <c r="X291" s="16"/>
      <c r="Y291" s="45"/>
      <c r="Z291" s="45"/>
      <c r="AA291" s="45"/>
      <c r="AB291" s="45"/>
      <c r="AC291" s="45"/>
      <c r="AD291" s="45"/>
    </row>
    <row r="292" spans="1:30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5"/>
      <c r="L292" s="19"/>
      <c r="M292" s="16"/>
      <c r="O292" s="45"/>
      <c r="P292" s="45"/>
      <c r="Q292" s="45"/>
      <c r="R292" s="45"/>
      <c r="S292" s="45"/>
      <c r="T292" s="45"/>
      <c r="U292" s="45"/>
      <c r="V292" s="45"/>
      <c r="W292" s="16"/>
      <c r="X292" s="16"/>
      <c r="Y292" s="45"/>
      <c r="Z292" s="45"/>
      <c r="AA292" s="45"/>
      <c r="AB292" s="45"/>
      <c r="AC292" s="45"/>
      <c r="AD292" s="45"/>
    </row>
    <row r="293" spans="1:30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5"/>
      <c r="L293" s="19"/>
      <c r="M293" s="16"/>
      <c r="O293" s="45"/>
      <c r="P293" s="45"/>
      <c r="Q293" s="45"/>
      <c r="R293" s="45"/>
      <c r="S293" s="45"/>
      <c r="T293" s="45"/>
      <c r="U293" s="45"/>
      <c r="V293" s="45"/>
      <c r="W293" s="16"/>
      <c r="X293" s="16"/>
      <c r="Y293" s="45"/>
      <c r="Z293" s="45"/>
      <c r="AA293" s="45"/>
      <c r="AB293" s="45"/>
      <c r="AC293" s="45"/>
      <c r="AD293" s="45"/>
    </row>
    <row r="294" spans="1:30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5"/>
      <c r="L294" s="19"/>
      <c r="M294" s="16"/>
      <c r="O294" s="45"/>
      <c r="P294" s="45"/>
      <c r="Q294" s="45"/>
      <c r="R294" s="45"/>
      <c r="S294" s="45"/>
      <c r="T294" s="45"/>
      <c r="U294" s="45"/>
      <c r="V294" s="45"/>
      <c r="W294" s="16"/>
      <c r="X294" s="16"/>
      <c r="Y294" s="45"/>
      <c r="Z294" s="45"/>
      <c r="AA294" s="45"/>
      <c r="AB294" s="45"/>
      <c r="AC294" s="45"/>
      <c r="AD294" s="45"/>
    </row>
    <row r="295" spans="1:30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5"/>
      <c r="L295" s="19"/>
      <c r="M295" s="16"/>
      <c r="O295" s="45"/>
      <c r="P295" s="45"/>
      <c r="Q295" s="45"/>
      <c r="R295" s="45"/>
      <c r="S295" s="45"/>
      <c r="T295" s="45"/>
      <c r="U295" s="45"/>
      <c r="V295" s="45"/>
      <c r="W295" s="16"/>
      <c r="X295" s="16"/>
      <c r="Y295" s="45"/>
      <c r="Z295" s="45"/>
      <c r="AA295" s="45"/>
      <c r="AB295" s="45"/>
      <c r="AC295" s="45"/>
      <c r="AD295" s="45"/>
    </row>
    <row r="296" spans="1:30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5"/>
      <c r="L296" s="19"/>
      <c r="M296" s="16"/>
      <c r="O296" s="45"/>
      <c r="P296" s="45"/>
      <c r="Q296" s="45"/>
      <c r="R296" s="45"/>
      <c r="S296" s="45"/>
      <c r="T296" s="45"/>
      <c r="U296" s="45"/>
      <c r="V296" s="45"/>
      <c r="W296" s="16"/>
      <c r="X296" s="16"/>
      <c r="Y296" s="45"/>
      <c r="Z296" s="45"/>
      <c r="AA296" s="45"/>
      <c r="AB296" s="45"/>
      <c r="AC296" s="45"/>
      <c r="AD296" s="45"/>
    </row>
    <row r="297" spans="1:30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5"/>
      <c r="L297" s="19"/>
      <c r="M297" s="16"/>
      <c r="O297" s="45"/>
      <c r="P297" s="45"/>
      <c r="Q297" s="45"/>
      <c r="R297" s="45"/>
      <c r="S297" s="45"/>
      <c r="T297" s="45"/>
      <c r="U297" s="45"/>
      <c r="V297" s="45"/>
      <c r="W297" s="16"/>
      <c r="X297" s="16"/>
      <c r="Y297" s="45"/>
      <c r="Z297" s="45"/>
      <c r="AA297" s="45"/>
      <c r="AB297" s="45"/>
      <c r="AC297" s="45"/>
      <c r="AD297" s="45"/>
    </row>
    <row r="298" spans="1:30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5"/>
      <c r="L298" s="19"/>
      <c r="M298" s="16"/>
      <c r="O298" s="45"/>
      <c r="P298" s="45"/>
      <c r="Q298" s="45"/>
      <c r="R298" s="45"/>
      <c r="S298" s="45"/>
      <c r="T298" s="45"/>
      <c r="U298" s="45"/>
      <c r="V298" s="45"/>
      <c r="W298" s="16"/>
      <c r="X298" s="16"/>
      <c r="Y298" s="45"/>
      <c r="Z298" s="45"/>
      <c r="AA298" s="45"/>
      <c r="AB298" s="45"/>
      <c r="AC298" s="45"/>
      <c r="AD298" s="45"/>
    </row>
    <row r="299" spans="1:30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5"/>
      <c r="L299" s="19"/>
      <c r="M299" s="16"/>
      <c r="O299" s="45"/>
      <c r="P299" s="45"/>
      <c r="Q299" s="45"/>
      <c r="R299" s="45"/>
      <c r="S299" s="45"/>
      <c r="T299" s="45"/>
      <c r="U299" s="45"/>
      <c r="V299" s="45"/>
      <c r="W299" s="16"/>
      <c r="X299" s="16"/>
      <c r="Y299" s="45"/>
      <c r="Z299" s="45"/>
      <c r="AA299" s="45"/>
      <c r="AB299" s="45"/>
      <c r="AC299" s="45"/>
      <c r="AD299" s="45"/>
    </row>
    <row r="300" spans="1:30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5"/>
      <c r="L300" s="19"/>
      <c r="M300" s="16"/>
      <c r="O300" s="45"/>
      <c r="P300" s="45"/>
      <c r="Q300" s="45"/>
      <c r="R300" s="45"/>
      <c r="S300" s="45"/>
      <c r="T300" s="45"/>
      <c r="U300" s="45"/>
      <c r="V300" s="45"/>
      <c r="W300" s="16"/>
      <c r="X300" s="16"/>
      <c r="Y300" s="45"/>
      <c r="Z300" s="45"/>
      <c r="AA300" s="45"/>
      <c r="AB300" s="45"/>
      <c r="AC300" s="45"/>
      <c r="AD300" s="45"/>
    </row>
    <row r="301" spans="1:30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5"/>
      <c r="L301" s="19"/>
      <c r="M301" s="16"/>
      <c r="O301" s="45"/>
      <c r="P301" s="45"/>
      <c r="Q301" s="45"/>
      <c r="R301" s="45"/>
      <c r="S301" s="45"/>
      <c r="T301" s="45"/>
      <c r="U301" s="45"/>
      <c r="V301" s="45"/>
      <c r="W301" s="16"/>
      <c r="X301" s="16"/>
      <c r="Y301" s="45"/>
      <c r="Z301" s="45"/>
      <c r="AA301" s="45"/>
      <c r="AB301" s="45"/>
      <c r="AC301" s="45"/>
      <c r="AD301" s="45"/>
    </row>
    <row r="302" spans="1:30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5"/>
      <c r="L302" s="19"/>
      <c r="M302" s="16"/>
      <c r="O302" s="45"/>
      <c r="P302" s="45"/>
      <c r="Q302" s="45"/>
      <c r="R302" s="45"/>
      <c r="S302" s="45"/>
      <c r="T302" s="45"/>
      <c r="U302" s="45"/>
      <c r="V302" s="45"/>
      <c r="W302" s="16"/>
      <c r="X302" s="16"/>
      <c r="Y302" s="45"/>
      <c r="Z302" s="45"/>
      <c r="AA302" s="45"/>
      <c r="AB302" s="45"/>
      <c r="AC302" s="45"/>
      <c r="AD302" s="45"/>
    </row>
    <row r="303" spans="1:30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5"/>
      <c r="L303" s="19"/>
      <c r="M303" s="16"/>
      <c r="O303" s="45"/>
      <c r="P303" s="45"/>
      <c r="Q303" s="45"/>
      <c r="R303" s="45"/>
      <c r="S303" s="45"/>
      <c r="T303" s="45"/>
      <c r="U303" s="45"/>
      <c r="V303" s="45"/>
      <c r="W303" s="16"/>
      <c r="X303" s="16"/>
      <c r="Y303" s="45"/>
      <c r="Z303" s="45"/>
      <c r="AA303" s="45"/>
      <c r="AB303" s="45"/>
      <c r="AC303" s="45"/>
      <c r="AD303" s="45"/>
    </row>
    <row r="304" spans="1:30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5"/>
      <c r="L304" s="19"/>
      <c r="M304" s="16"/>
      <c r="O304" s="45"/>
      <c r="P304" s="45"/>
      <c r="Q304" s="45"/>
      <c r="R304" s="45"/>
      <c r="S304" s="45"/>
      <c r="T304" s="45"/>
      <c r="U304" s="45"/>
      <c r="V304" s="45"/>
      <c r="W304" s="16"/>
      <c r="X304" s="16"/>
      <c r="Y304" s="45"/>
      <c r="Z304" s="45"/>
      <c r="AA304" s="45"/>
      <c r="AB304" s="45"/>
      <c r="AC304" s="45"/>
      <c r="AD304" s="45"/>
    </row>
    <row r="305" spans="1:30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5"/>
      <c r="L305" s="19"/>
      <c r="M305" s="16"/>
      <c r="O305" s="45"/>
      <c r="P305" s="45"/>
      <c r="Q305" s="45"/>
      <c r="R305" s="45"/>
      <c r="S305" s="45"/>
      <c r="T305" s="45"/>
      <c r="U305" s="45"/>
      <c r="V305" s="45"/>
      <c r="W305" s="16"/>
      <c r="X305" s="16"/>
      <c r="Y305" s="45"/>
      <c r="Z305" s="45"/>
      <c r="AA305" s="45"/>
      <c r="AB305" s="45"/>
      <c r="AC305" s="45"/>
      <c r="AD305" s="45"/>
    </row>
    <row r="306" spans="1:30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5"/>
      <c r="L306" s="19"/>
      <c r="M306" s="16"/>
      <c r="O306" s="45"/>
      <c r="P306" s="45"/>
      <c r="Q306" s="45"/>
      <c r="R306" s="45"/>
      <c r="S306" s="45"/>
      <c r="T306" s="45"/>
      <c r="U306" s="45"/>
      <c r="V306" s="45"/>
      <c r="W306" s="16"/>
      <c r="X306" s="16"/>
      <c r="Y306" s="45"/>
      <c r="Z306" s="45"/>
      <c r="AA306" s="45"/>
      <c r="AB306" s="45"/>
      <c r="AC306" s="45"/>
      <c r="AD306" s="45"/>
    </row>
    <row r="307" spans="1:30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5"/>
      <c r="L307" s="19"/>
      <c r="M307" s="16"/>
      <c r="O307" s="45"/>
      <c r="P307" s="45"/>
      <c r="Q307" s="45"/>
      <c r="R307" s="45"/>
      <c r="S307" s="45"/>
      <c r="T307" s="45"/>
      <c r="U307" s="45"/>
      <c r="V307" s="45"/>
      <c r="W307" s="16"/>
      <c r="X307" s="16"/>
      <c r="Y307" s="45"/>
      <c r="Z307" s="45"/>
      <c r="AA307" s="45"/>
      <c r="AB307" s="45"/>
      <c r="AC307" s="45"/>
      <c r="AD307" s="45"/>
    </row>
    <row r="308" spans="1:30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5"/>
      <c r="L308" s="19"/>
      <c r="M308" s="16"/>
      <c r="O308" s="45"/>
      <c r="P308" s="45"/>
      <c r="Q308" s="45"/>
      <c r="R308" s="45"/>
      <c r="S308" s="45"/>
      <c r="T308" s="45"/>
      <c r="U308" s="45"/>
      <c r="V308" s="45"/>
      <c r="W308" s="16"/>
      <c r="X308" s="16"/>
      <c r="Y308" s="45"/>
      <c r="Z308" s="45"/>
      <c r="AA308" s="45"/>
      <c r="AB308" s="45"/>
      <c r="AC308" s="45"/>
      <c r="AD308" s="45"/>
    </row>
    <row r="309" spans="1:30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5"/>
      <c r="L309" s="19"/>
      <c r="M309" s="16"/>
      <c r="O309" s="45"/>
      <c r="P309" s="45"/>
      <c r="Q309" s="45"/>
      <c r="R309" s="45"/>
      <c r="S309" s="45"/>
      <c r="T309" s="45"/>
      <c r="U309" s="45"/>
      <c r="V309" s="45"/>
      <c r="W309" s="16"/>
      <c r="X309" s="16"/>
      <c r="Y309" s="45"/>
      <c r="Z309" s="45"/>
      <c r="AA309" s="45"/>
      <c r="AB309" s="45"/>
      <c r="AC309" s="45"/>
      <c r="AD309" s="45"/>
    </row>
    <row r="310" spans="1:30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5"/>
      <c r="L310" s="19"/>
      <c r="M310" s="16"/>
      <c r="O310" s="45"/>
      <c r="P310" s="45"/>
      <c r="Q310" s="45"/>
      <c r="R310" s="45"/>
      <c r="S310" s="45"/>
      <c r="T310" s="45"/>
      <c r="U310" s="45"/>
      <c r="V310" s="45"/>
      <c r="W310" s="16"/>
      <c r="X310" s="16"/>
      <c r="Y310" s="45"/>
      <c r="Z310" s="45"/>
      <c r="AA310" s="45"/>
      <c r="AB310" s="45"/>
      <c r="AC310" s="45"/>
      <c r="AD310" s="45"/>
    </row>
    <row r="311" spans="1:30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5"/>
      <c r="L311" s="19"/>
      <c r="M311" s="16"/>
      <c r="O311" s="45"/>
      <c r="P311" s="45"/>
      <c r="Q311" s="45"/>
      <c r="R311" s="45"/>
      <c r="S311" s="45"/>
      <c r="T311" s="45"/>
      <c r="U311" s="45"/>
      <c r="V311" s="45"/>
      <c r="W311" s="16"/>
      <c r="X311" s="16"/>
      <c r="Y311" s="45"/>
      <c r="Z311" s="45"/>
      <c r="AA311" s="45"/>
      <c r="AB311" s="45"/>
      <c r="AC311" s="45"/>
      <c r="AD311" s="45"/>
    </row>
    <row r="312" spans="1:30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5"/>
      <c r="L312" s="19"/>
      <c r="M312" s="16"/>
      <c r="O312" s="45"/>
      <c r="P312" s="45"/>
      <c r="Q312" s="45"/>
      <c r="R312" s="45"/>
      <c r="S312" s="45"/>
      <c r="T312" s="45"/>
      <c r="U312" s="45"/>
      <c r="V312" s="45"/>
      <c r="W312" s="16"/>
      <c r="X312" s="16"/>
      <c r="Y312" s="45"/>
      <c r="Z312" s="45"/>
      <c r="AA312" s="45"/>
      <c r="AB312" s="45"/>
      <c r="AC312" s="45"/>
      <c r="AD312" s="45"/>
    </row>
    <row r="313" spans="1:30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5"/>
      <c r="L313" s="19"/>
      <c r="M313" s="16"/>
      <c r="O313" s="45"/>
      <c r="P313" s="45"/>
      <c r="Q313" s="45"/>
      <c r="R313" s="45"/>
      <c r="S313" s="45"/>
      <c r="T313" s="45"/>
      <c r="U313" s="45"/>
      <c r="V313" s="45"/>
      <c r="W313" s="16"/>
      <c r="X313" s="16"/>
      <c r="Y313" s="45"/>
      <c r="Z313" s="45"/>
      <c r="AA313" s="45"/>
      <c r="AB313" s="45"/>
      <c r="AC313" s="45"/>
      <c r="AD313" s="45"/>
    </row>
    <row r="314" spans="1:30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5"/>
      <c r="L314" s="19"/>
      <c r="M314" s="16"/>
      <c r="O314" s="45"/>
      <c r="P314" s="45"/>
      <c r="Q314" s="45"/>
      <c r="R314" s="45"/>
      <c r="S314" s="45"/>
      <c r="T314" s="45"/>
      <c r="U314" s="45"/>
      <c r="V314" s="45"/>
      <c r="W314" s="16"/>
      <c r="X314" s="16"/>
      <c r="Y314" s="45"/>
      <c r="Z314" s="45"/>
      <c r="AA314" s="45"/>
      <c r="AB314" s="45"/>
      <c r="AC314" s="45"/>
      <c r="AD314" s="45"/>
    </row>
    <row r="315" spans="1:30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5"/>
      <c r="L315" s="19"/>
      <c r="M315" s="16"/>
      <c r="O315" s="45"/>
      <c r="P315" s="45"/>
      <c r="Q315" s="45"/>
      <c r="R315" s="45"/>
      <c r="S315" s="45"/>
      <c r="T315" s="45"/>
      <c r="U315" s="45"/>
      <c r="V315" s="45"/>
      <c r="W315" s="16"/>
      <c r="X315" s="16"/>
      <c r="Y315" s="45"/>
      <c r="Z315" s="45"/>
      <c r="AA315" s="45"/>
      <c r="AB315" s="45"/>
      <c r="AC315" s="45"/>
      <c r="AD315" s="45"/>
    </row>
    <row r="316" spans="1:30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5"/>
      <c r="L316" s="19"/>
      <c r="M316" s="16"/>
      <c r="O316" s="45"/>
      <c r="P316" s="45"/>
      <c r="Q316" s="45"/>
      <c r="R316" s="45"/>
      <c r="S316" s="45"/>
      <c r="T316" s="45"/>
      <c r="U316" s="45"/>
      <c r="V316" s="45"/>
      <c r="W316" s="16"/>
      <c r="X316" s="16"/>
      <c r="Y316" s="45"/>
      <c r="Z316" s="45"/>
      <c r="AA316" s="45"/>
      <c r="AB316" s="45"/>
      <c r="AC316" s="45"/>
      <c r="AD316" s="45"/>
    </row>
    <row r="317" spans="1:30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5"/>
      <c r="L317" s="19"/>
      <c r="M317" s="16"/>
      <c r="O317" s="45"/>
      <c r="P317" s="45"/>
      <c r="Q317" s="45"/>
      <c r="R317" s="45"/>
      <c r="S317" s="45"/>
      <c r="T317" s="45"/>
      <c r="U317" s="45"/>
      <c r="V317" s="45"/>
      <c r="W317" s="16"/>
      <c r="X317" s="16"/>
      <c r="Y317" s="45"/>
      <c r="Z317" s="45"/>
      <c r="AA317" s="45"/>
      <c r="AB317" s="45"/>
      <c r="AC317" s="45"/>
      <c r="AD317" s="45"/>
    </row>
    <row r="318" spans="1:30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5"/>
      <c r="L318" s="19"/>
      <c r="M318" s="16"/>
      <c r="O318" s="45"/>
      <c r="P318" s="45"/>
      <c r="Q318" s="45"/>
      <c r="R318" s="45"/>
      <c r="S318" s="45"/>
      <c r="T318" s="45"/>
      <c r="U318" s="45"/>
      <c r="V318" s="45"/>
      <c r="W318" s="16"/>
      <c r="X318" s="16"/>
      <c r="Y318" s="45"/>
      <c r="Z318" s="45"/>
      <c r="AA318" s="45"/>
      <c r="AB318" s="45"/>
      <c r="AC318" s="45"/>
      <c r="AD318" s="45"/>
    </row>
    <row r="319" spans="1:30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5"/>
      <c r="L319" s="19"/>
      <c r="M319" s="16"/>
      <c r="O319" s="45"/>
      <c r="P319" s="45"/>
      <c r="Q319" s="45"/>
      <c r="R319" s="45"/>
      <c r="S319" s="45"/>
      <c r="T319" s="45"/>
      <c r="U319" s="45"/>
      <c r="V319" s="45"/>
      <c r="W319" s="16"/>
      <c r="X319" s="16"/>
      <c r="Y319" s="45"/>
      <c r="Z319" s="45"/>
      <c r="AA319" s="45"/>
      <c r="AB319" s="45"/>
      <c r="AC319" s="45"/>
      <c r="AD319" s="45"/>
    </row>
    <row r="320" spans="1:30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5"/>
      <c r="L320" s="19"/>
      <c r="M320" s="16"/>
      <c r="O320" s="45"/>
      <c r="P320" s="45"/>
      <c r="Q320" s="45"/>
      <c r="R320" s="45"/>
      <c r="S320" s="45"/>
      <c r="T320" s="45"/>
      <c r="U320" s="45"/>
      <c r="V320" s="45"/>
      <c r="W320" s="16"/>
      <c r="X320" s="16"/>
      <c r="Y320" s="45"/>
      <c r="Z320" s="45"/>
      <c r="AA320" s="45"/>
      <c r="AB320" s="45"/>
      <c r="AC320" s="45"/>
      <c r="AD320" s="45"/>
    </row>
    <row r="321" spans="1:30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5"/>
      <c r="L321" s="19"/>
      <c r="M321" s="16"/>
      <c r="O321" s="45"/>
      <c r="P321" s="45"/>
      <c r="Q321" s="45"/>
      <c r="R321" s="45"/>
      <c r="S321" s="45"/>
      <c r="T321" s="45"/>
      <c r="U321" s="45"/>
      <c r="V321" s="45"/>
      <c r="W321" s="16"/>
      <c r="X321" s="16"/>
      <c r="Y321" s="45"/>
      <c r="Z321" s="45"/>
      <c r="AA321" s="45"/>
      <c r="AB321" s="45"/>
      <c r="AC321" s="45"/>
      <c r="AD321" s="45"/>
    </row>
    <row r="322" spans="1:30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5"/>
      <c r="L322" s="19"/>
      <c r="M322" s="16"/>
      <c r="O322" s="45"/>
      <c r="P322" s="45"/>
      <c r="Q322" s="45"/>
      <c r="R322" s="45"/>
      <c r="S322" s="45"/>
      <c r="T322" s="45"/>
      <c r="U322" s="45"/>
      <c r="V322" s="45"/>
      <c r="W322" s="16"/>
      <c r="X322" s="16"/>
      <c r="Y322" s="45"/>
      <c r="Z322" s="45"/>
      <c r="AA322" s="45"/>
      <c r="AB322" s="45"/>
      <c r="AC322" s="45"/>
      <c r="AD322" s="45"/>
    </row>
    <row r="323" spans="1:30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5"/>
      <c r="L323" s="19"/>
      <c r="M323" s="16"/>
      <c r="O323" s="45"/>
      <c r="P323" s="45"/>
      <c r="Q323" s="45"/>
      <c r="R323" s="45"/>
      <c r="S323" s="45"/>
      <c r="T323" s="45"/>
      <c r="U323" s="45"/>
      <c r="V323" s="45"/>
      <c r="W323" s="16"/>
      <c r="X323" s="16"/>
      <c r="Y323" s="45"/>
      <c r="Z323" s="45"/>
      <c r="AA323" s="45"/>
      <c r="AB323" s="45"/>
      <c r="AC323" s="45"/>
      <c r="AD323" s="45"/>
    </row>
    <row r="324" spans="1:30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5"/>
      <c r="L324" s="19"/>
      <c r="M324" s="16"/>
      <c r="O324" s="45"/>
      <c r="P324" s="45"/>
      <c r="Q324" s="45"/>
      <c r="R324" s="45"/>
      <c r="S324" s="45"/>
      <c r="T324" s="45"/>
      <c r="U324" s="45"/>
      <c r="V324" s="45"/>
      <c r="W324" s="16"/>
      <c r="X324" s="16"/>
      <c r="Y324" s="45"/>
      <c r="Z324" s="45"/>
      <c r="AA324" s="45"/>
      <c r="AB324" s="45"/>
      <c r="AC324" s="45"/>
      <c r="AD324" s="45"/>
    </row>
    <row r="325" spans="1:30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5"/>
      <c r="L325" s="19"/>
      <c r="M325" s="16"/>
      <c r="O325" s="45"/>
      <c r="P325" s="45"/>
      <c r="Q325" s="45"/>
      <c r="R325" s="45"/>
      <c r="S325" s="45"/>
      <c r="T325" s="45"/>
      <c r="U325" s="45"/>
      <c r="V325" s="45"/>
      <c r="W325" s="16"/>
      <c r="X325" s="16"/>
      <c r="Y325" s="45"/>
      <c r="Z325" s="45"/>
      <c r="AA325" s="45"/>
      <c r="AB325" s="45"/>
      <c r="AC325" s="45"/>
      <c r="AD325" s="45"/>
    </row>
    <row r="326" spans="1:30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5"/>
      <c r="L326" s="19"/>
      <c r="M326" s="16"/>
      <c r="O326" s="45"/>
      <c r="P326" s="45"/>
      <c r="Q326" s="45"/>
      <c r="R326" s="45"/>
      <c r="S326" s="45"/>
      <c r="T326" s="45"/>
      <c r="U326" s="45"/>
      <c r="V326" s="45"/>
      <c r="W326" s="16"/>
      <c r="X326" s="16"/>
      <c r="Y326" s="45"/>
      <c r="Z326" s="45"/>
      <c r="AA326" s="45"/>
      <c r="AB326" s="45"/>
      <c r="AC326" s="45"/>
      <c r="AD326" s="45"/>
    </row>
    <row r="327" spans="1:30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5"/>
      <c r="L327" s="19"/>
      <c r="M327" s="16"/>
      <c r="O327" s="45"/>
      <c r="P327" s="45"/>
      <c r="Q327" s="45"/>
      <c r="R327" s="45"/>
      <c r="S327" s="45"/>
      <c r="T327" s="45"/>
      <c r="U327" s="45"/>
      <c r="V327" s="45"/>
      <c r="W327" s="16"/>
      <c r="X327" s="16"/>
      <c r="Y327" s="45"/>
      <c r="Z327" s="45"/>
      <c r="AA327" s="45"/>
      <c r="AB327" s="45"/>
      <c r="AC327" s="45"/>
      <c r="AD327" s="45"/>
    </row>
    <row r="328" spans="1:30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5"/>
      <c r="L328" s="19"/>
      <c r="M328" s="16"/>
      <c r="O328" s="45"/>
      <c r="P328" s="45"/>
      <c r="Q328" s="45"/>
      <c r="R328" s="45"/>
      <c r="S328" s="45"/>
      <c r="T328" s="45"/>
      <c r="U328" s="45"/>
      <c r="V328" s="45"/>
      <c r="W328" s="16"/>
      <c r="X328" s="16"/>
      <c r="Y328" s="45"/>
      <c r="Z328" s="45"/>
      <c r="AA328" s="45"/>
      <c r="AB328" s="45"/>
      <c r="AC328" s="45"/>
      <c r="AD328" s="45"/>
    </row>
    <row r="329" spans="1:30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5"/>
      <c r="L329" s="19"/>
      <c r="M329" s="16"/>
      <c r="O329" s="45"/>
      <c r="P329" s="45"/>
      <c r="Q329" s="45"/>
      <c r="R329" s="45"/>
      <c r="S329" s="45"/>
      <c r="T329" s="45"/>
      <c r="U329" s="45"/>
      <c r="V329" s="45"/>
      <c r="W329" s="16"/>
      <c r="X329" s="16"/>
      <c r="Y329" s="45"/>
      <c r="Z329" s="45"/>
      <c r="AA329" s="45"/>
      <c r="AB329" s="45"/>
      <c r="AC329" s="45"/>
      <c r="AD329" s="45"/>
    </row>
    <row r="330" spans="1:30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5"/>
      <c r="L330" s="19"/>
      <c r="M330" s="16"/>
      <c r="O330" s="45"/>
      <c r="P330" s="45"/>
      <c r="Q330" s="45"/>
      <c r="R330" s="45"/>
      <c r="S330" s="45"/>
      <c r="T330" s="45"/>
      <c r="U330" s="45"/>
      <c r="V330" s="45"/>
      <c r="W330" s="16"/>
      <c r="X330" s="16"/>
      <c r="Y330" s="45"/>
      <c r="Z330" s="45"/>
      <c r="AA330" s="45"/>
      <c r="AB330" s="45"/>
      <c r="AC330" s="45"/>
      <c r="AD330" s="45"/>
    </row>
    <row r="331" spans="1:30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5"/>
      <c r="L331" s="19"/>
      <c r="M331" s="16"/>
      <c r="O331" s="45"/>
      <c r="P331" s="45"/>
      <c r="Q331" s="45"/>
      <c r="R331" s="45"/>
      <c r="S331" s="45"/>
      <c r="T331" s="45"/>
      <c r="U331" s="45"/>
      <c r="V331" s="45"/>
      <c r="W331" s="16"/>
      <c r="X331" s="16"/>
      <c r="Y331" s="45"/>
      <c r="Z331" s="45"/>
      <c r="AA331" s="45"/>
      <c r="AB331" s="45"/>
      <c r="AC331" s="45"/>
      <c r="AD331" s="45"/>
    </row>
    <row r="332" spans="1:30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5"/>
      <c r="L332" s="19"/>
      <c r="M332" s="16"/>
      <c r="O332" s="45"/>
      <c r="P332" s="45"/>
      <c r="Q332" s="45"/>
      <c r="R332" s="45"/>
      <c r="S332" s="45"/>
      <c r="T332" s="45"/>
      <c r="U332" s="45"/>
      <c r="V332" s="45"/>
      <c r="W332" s="16"/>
      <c r="X332" s="16"/>
      <c r="Y332" s="45"/>
      <c r="Z332" s="45"/>
      <c r="AA332" s="45"/>
      <c r="AB332" s="45"/>
      <c r="AC332" s="45"/>
      <c r="AD332" s="45"/>
    </row>
    <row r="333" spans="1:30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5"/>
      <c r="L333" s="19"/>
      <c r="M333" s="16"/>
      <c r="O333" s="45"/>
      <c r="P333" s="45"/>
      <c r="Q333" s="45"/>
      <c r="R333" s="45"/>
      <c r="S333" s="45"/>
      <c r="T333" s="45"/>
      <c r="U333" s="45"/>
      <c r="V333" s="45"/>
      <c r="W333" s="16"/>
      <c r="X333" s="16"/>
      <c r="Y333" s="45"/>
      <c r="Z333" s="45"/>
      <c r="AA333" s="45"/>
      <c r="AB333" s="45"/>
      <c r="AC333" s="45"/>
      <c r="AD333" s="45"/>
    </row>
    <row r="334" spans="1:30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5"/>
      <c r="L334" s="19"/>
      <c r="M334" s="16"/>
      <c r="O334" s="45"/>
      <c r="P334" s="45"/>
      <c r="Q334" s="45"/>
      <c r="R334" s="45"/>
      <c r="S334" s="45"/>
      <c r="T334" s="45"/>
      <c r="U334" s="45"/>
      <c r="V334" s="45"/>
      <c r="W334" s="16"/>
      <c r="X334" s="16"/>
      <c r="Y334" s="45"/>
      <c r="Z334" s="45"/>
      <c r="AA334" s="45"/>
      <c r="AB334" s="45"/>
      <c r="AC334" s="45"/>
      <c r="AD334" s="45"/>
    </row>
    <row r="335" spans="1:30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5"/>
      <c r="L335" s="19"/>
      <c r="M335" s="16"/>
      <c r="O335" s="45"/>
      <c r="P335" s="45"/>
      <c r="Q335" s="45"/>
      <c r="R335" s="45"/>
      <c r="S335" s="45"/>
      <c r="T335" s="45"/>
      <c r="U335" s="45"/>
      <c r="V335" s="45"/>
      <c r="W335" s="16"/>
      <c r="X335" s="16"/>
      <c r="Y335" s="45"/>
      <c r="Z335" s="45"/>
      <c r="AA335" s="45"/>
      <c r="AB335" s="45"/>
      <c r="AC335" s="45"/>
      <c r="AD335" s="45"/>
    </row>
    <row r="336" spans="1:30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5"/>
      <c r="L336" s="19"/>
      <c r="M336" s="16"/>
      <c r="O336" s="45"/>
      <c r="P336" s="45"/>
      <c r="Q336" s="45"/>
      <c r="R336" s="45"/>
      <c r="S336" s="45"/>
      <c r="T336" s="45"/>
      <c r="U336" s="45"/>
      <c r="V336" s="45"/>
      <c r="W336" s="16"/>
      <c r="X336" s="16"/>
      <c r="Y336" s="45"/>
      <c r="Z336" s="45"/>
      <c r="AA336" s="45"/>
      <c r="AB336" s="45"/>
      <c r="AC336" s="45"/>
      <c r="AD336" s="45"/>
    </row>
    <row r="337" spans="1:30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5"/>
      <c r="L337" s="19"/>
      <c r="M337" s="16"/>
      <c r="O337" s="45"/>
      <c r="P337" s="45"/>
      <c r="Q337" s="45"/>
      <c r="R337" s="45"/>
      <c r="S337" s="45"/>
      <c r="T337" s="45"/>
      <c r="U337" s="45"/>
      <c r="V337" s="45"/>
      <c r="W337" s="16"/>
      <c r="X337" s="16"/>
      <c r="Y337" s="45"/>
      <c r="Z337" s="45"/>
      <c r="AA337" s="45"/>
      <c r="AB337" s="45"/>
      <c r="AC337" s="45"/>
      <c r="AD337" s="45"/>
    </row>
    <row r="338" spans="1:30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5"/>
      <c r="L338" s="19"/>
      <c r="M338" s="16"/>
      <c r="O338" s="45"/>
      <c r="P338" s="45"/>
      <c r="Q338" s="45"/>
      <c r="R338" s="45"/>
      <c r="S338" s="45"/>
      <c r="T338" s="45"/>
      <c r="U338" s="45"/>
      <c r="V338" s="45"/>
      <c r="W338" s="16"/>
      <c r="X338" s="16"/>
      <c r="Y338" s="45"/>
      <c r="Z338" s="45"/>
      <c r="AA338" s="45"/>
      <c r="AB338" s="45"/>
      <c r="AC338" s="45"/>
      <c r="AD338" s="45"/>
    </row>
    <row r="339" spans="1:30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5"/>
      <c r="L339" s="19"/>
      <c r="M339" s="16"/>
      <c r="O339" s="45"/>
      <c r="P339" s="45"/>
      <c r="Q339" s="45"/>
      <c r="R339" s="45"/>
      <c r="S339" s="45"/>
      <c r="T339" s="45"/>
      <c r="U339" s="45"/>
      <c r="V339" s="45"/>
      <c r="W339" s="16"/>
      <c r="X339" s="16"/>
      <c r="Y339" s="45"/>
      <c r="Z339" s="45"/>
      <c r="AA339" s="45"/>
      <c r="AB339" s="45"/>
      <c r="AC339" s="45"/>
      <c r="AD339" s="45"/>
    </row>
    <row r="340" spans="1:30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5"/>
      <c r="L340" s="19"/>
      <c r="M340" s="16"/>
      <c r="O340" s="45"/>
      <c r="P340" s="45"/>
      <c r="Q340" s="45"/>
      <c r="R340" s="45"/>
      <c r="S340" s="45"/>
      <c r="T340" s="45"/>
      <c r="U340" s="45"/>
      <c r="V340" s="45"/>
      <c r="W340" s="16"/>
      <c r="X340" s="16"/>
      <c r="Y340" s="45"/>
      <c r="Z340" s="45"/>
      <c r="AA340" s="45"/>
      <c r="AB340" s="45"/>
      <c r="AC340" s="45"/>
      <c r="AD340" s="45"/>
    </row>
    <row r="341" spans="1:30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5"/>
      <c r="L341" s="19"/>
      <c r="M341" s="16"/>
      <c r="O341" s="45"/>
      <c r="P341" s="45"/>
      <c r="Q341" s="45"/>
      <c r="R341" s="45"/>
      <c r="S341" s="45"/>
      <c r="T341" s="45"/>
      <c r="U341" s="45"/>
      <c r="V341" s="45"/>
      <c r="W341" s="16"/>
      <c r="X341" s="16"/>
      <c r="Y341" s="45"/>
      <c r="Z341" s="45"/>
      <c r="AA341" s="45"/>
      <c r="AB341" s="45"/>
      <c r="AC341" s="45"/>
      <c r="AD341" s="45"/>
    </row>
    <row r="342" spans="1:30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5"/>
      <c r="L342" s="19"/>
      <c r="M342" s="16"/>
      <c r="O342" s="45"/>
      <c r="P342" s="45"/>
      <c r="Q342" s="45"/>
      <c r="R342" s="45"/>
      <c r="S342" s="45"/>
      <c r="T342" s="45"/>
      <c r="U342" s="45"/>
      <c r="V342" s="45"/>
      <c r="W342" s="16"/>
      <c r="X342" s="16"/>
      <c r="Y342" s="45"/>
      <c r="Z342" s="45"/>
      <c r="AA342" s="45"/>
      <c r="AB342" s="45"/>
      <c r="AC342" s="45"/>
      <c r="AD342" s="45"/>
    </row>
    <row r="343" spans="1:30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5"/>
      <c r="L343" s="19"/>
      <c r="M343" s="16"/>
      <c r="O343" s="45"/>
      <c r="P343" s="45"/>
      <c r="Q343" s="45"/>
      <c r="R343" s="45"/>
      <c r="S343" s="45"/>
      <c r="T343" s="45"/>
      <c r="U343" s="45"/>
      <c r="V343" s="45"/>
      <c r="W343" s="16"/>
      <c r="X343" s="16"/>
      <c r="Y343" s="45"/>
      <c r="Z343" s="45"/>
      <c r="AA343" s="45"/>
      <c r="AB343" s="45"/>
      <c r="AC343" s="45"/>
      <c r="AD343" s="45"/>
    </row>
    <row r="344" spans="1:30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5"/>
      <c r="L344" s="19"/>
      <c r="M344" s="16"/>
      <c r="O344" s="45"/>
      <c r="P344" s="45"/>
      <c r="Q344" s="45"/>
      <c r="R344" s="45"/>
      <c r="S344" s="45"/>
      <c r="T344" s="45"/>
      <c r="U344" s="45"/>
      <c r="V344" s="45"/>
      <c r="W344" s="16"/>
      <c r="X344" s="16"/>
      <c r="Y344" s="45"/>
      <c r="Z344" s="45"/>
      <c r="AA344" s="45"/>
      <c r="AB344" s="45"/>
      <c r="AC344" s="45"/>
      <c r="AD344" s="45"/>
    </row>
    <row r="345" spans="1:30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5"/>
      <c r="L345" s="19"/>
      <c r="M345" s="16"/>
      <c r="O345" s="45"/>
      <c r="P345" s="45"/>
      <c r="Q345" s="45"/>
      <c r="R345" s="45"/>
      <c r="S345" s="45"/>
      <c r="T345" s="45"/>
      <c r="U345" s="45"/>
      <c r="V345" s="45"/>
      <c r="W345" s="16"/>
      <c r="X345" s="16"/>
      <c r="Y345" s="45"/>
      <c r="Z345" s="45"/>
      <c r="AA345" s="45"/>
      <c r="AB345" s="45"/>
      <c r="AC345" s="45"/>
      <c r="AD345" s="45"/>
    </row>
    <row r="346" spans="1:30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5"/>
      <c r="L346" s="19"/>
      <c r="M346" s="16"/>
      <c r="O346" s="45"/>
      <c r="P346" s="45"/>
      <c r="Q346" s="45"/>
      <c r="R346" s="45"/>
      <c r="S346" s="45"/>
      <c r="T346" s="45"/>
      <c r="U346" s="45"/>
      <c r="V346" s="45"/>
      <c r="W346" s="16"/>
      <c r="X346" s="16"/>
      <c r="Y346" s="45"/>
      <c r="Z346" s="45"/>
      <c r="AA346" s="45"/>
      <c r="AB346" s="45"/>
      <c r="AC346" s="45"/>
      <c r="AD346" s="45"/>
    </row>
    <row r="347" spans="1:30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5"/>
      <c r="L347" s="19"/>
      <c r="M347" s="16"/>
      <c r="O347" s="45"/>
      <c r="P347" s="45"/>
      <c r="Q347" s="45"/>
      <c r="R347" s="45"/>
      <c r="S347" s="45"/>
      <c r="T347" s="45"/>
      <c r="U347" s="45"/>
      <c r="V347" s="45"/>
      <c r="W347" s="16"/>
      <c r="X347" s="16"/>
      <c r="Y347" s="45"/>
      <c r="Z347" s="45"/>
      <c r="AA347" s="45"/>
      <c r="AB347" s="45"/>
      <c r="AC347" s="45"/>
      <c r="AD347" s="45"/>
    </row>
    <row r="348" spans="1:30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5"/>
      <c r="L348" s="19"/>
      <c r="M348" s="16"/>
      <c r="O348" s="45"/>
      <c r="P348" s="45"/>
      <c r="Q348" s="45"/>
      <c r="R348" s="45"/>
      <c r="S348" s="45"/>
      <c r="T348" s="45"/>
      <c r="U348" s="45"/>
      <c r="V348" s="45"/>
      <c r="W348" s="16"/>
      <c r="X348" s="16"/>
      <c r="Y348" s="45"/>
      <c r="Z348" s="45"/>
      <c r="AA348" s="45"/>
      <c r="AB348" s="45"/>
      <c r="AC348" s="45"/>
      <c r="AD348" s="45"/>
    </row>
    <row r="349" spans="1:30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5"/>
      <c r="L349" s="19"/>
      <c r="M349" s="16"/>
      <c r="O349" s="45"/>
      <c r="P349" s="45"/>
      <c r="Q349" s="45"/>
      <c r="R349" s="45"/>
      <c r="S349" s="45"/>
      <c r="T349" s="45"/>
      <c r="U349" s="45"/>
      <c r="V349" s="45"/>
      <c r="W349" s="16"/>
      <c r="X349" s="16"/>
      <c r="Y349" s="45"/>
      <c r="Z349" s="45"/>
      <c r="AA349" s="45"/>
      <c r="AB349" s="45"/>
      <c r="AC349" s="45"/>
      <c r="AD349" s="45"/>
    </row>
    <row r="350" spans="1:30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5"/>
      <c r="L350" s="19"/>
      <c r="M350" s="16"/>
      <c r="O350" s="45"/>
      <c r="P350" s="45"/>
      <c r="Q350" s="45"/>
      <c r="R350" s="45"/>
      <c r="S350" s="45"/>
      <c r="T350" s="45"/>
      <c r="U350" s="45"/>
      <c r="V350" s="45"/>
      <c r="W350" s="16"/>
      <c r="X350" s="16"/>
      <c r="Y350" s="45"/>
      <c r="Z350" s="45"/>
      <c r="AA350" s="45"/>
      <c r="AB350" s="45"/>
      <c r="AC350" s="45"/>
      <c r="AD350" s="45"/>
    </row>
    <row r="351" spans="1:30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5"/>
      <c r="L351" s="19"/>
      <c r="M351" s="16"/>
      <c r="O351" s="45"/>
      <c r="P351" s="45"/>
      <c r="Q351" s="45"/>
      <c r="R351" s="45"/>
      <c r="S351" s="45"/>
      <c r="T351" s="45"/>
      <c r="U351" s="45"/>
      <c r="V351" s="45"/>
      <c r="W351" s="16"/>
      <c r="X351" s="16"/>
      <c r="Y351" s="45"/>
      <c r="Z351" s="45"/>
      <c r="AA351" s="45"/>
      <c r="AB351" s="45"/>
      <c r="AC351" s="45"/>
      <c r="AD351" s="45"/>
    </row>
    <row r="352" spans="1:30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5"/>
      <c r="L352" s="19"/>
      <c r="M352" s="16"/>
      <c r="O352" s="45"/>
      <c r="P352" s="45"/>
      <c r="Q352" s="45"/>
      <c r="R352" s="45"/>
      <c r="S352" s="45"/>
      <c r="T352" s="45"/>
      <c r="U352" s="45"/>
      <c r="V352" s="45"/>
      <c r="W352" s="16"/>
      <c r="X352" s="16"/>
      <c r="Y352" s="45"/>
      <c r="Z352" s="45"/>
      <c r="AA352" s="45"/>
      <c r="AB352" s="45"/>
      <c r="AC352" s="45"/>
      <c r="AD352" s="45"/>
    </row>
    <row r="353" spans="1:30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5"/>
      <c r="L353" s="19"/>
      <c r="M353" s="16"/>
      <c r="O353" s="45"/>
      <c r="P353" s="45"/>
      <c r="Q353" s="45"/>
      <c r="R353" s="45"/>
      <c r="S353" s="45"/>
      <c r="T353" s="45"/>
      <c r="U353" s="45"/>
      <c r="V353" s="45"/>
      <c r="W353" s="16"/>
      <c r="X353" s="16"/>
      <c r="Y353" s="45"/>
      <c r="Z353" s="45"/>
      <c r="AA353" s="45"/>
      <c r="AB353" s="45"/>
      <c r="AC353" s="45"/>
      <c r="AD353" s="45"/>
    </row>
    <row r="354" spans="1:30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5"/>
      <c r="L354" s="19"/>
      <c r="M354" s="16"/>
      <c r="O354" s="45"/>
      <c r="P354" s="45"/>
      <c r="Q354" s="45"/>
      <c r="R354" s="45"/>
      <c r="S354" s="45"/>
      <c r="T354" s="45"/>
      <c r="U354" s="45"/>
      <c r="V354" s="45"/>
      <c r="W354" s="16"/>
      <c r="X354" s="16"/>
      <c r="Y354" s="45"/>
      <c r="Z354" s="45"/>
      <c r="AA354" s="45"/>
      <c r="AB354" s="45"/>
      <c r="AC354" s="45"/>
      <c r="AD354" s="45"/>
    </row>
    <row r="355" spans="1:30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5"/>
      <c r="L355" s="19"/>
      <c r="M355" s="16"/>
      <c r="O355" s="45"/>
      <c r="P355" s="45"/>
      <c r="Q355" s="45"/>
      <c r="R355" s="45"/>
      <c r="S355" s="45"/>
      <c r="T355" s="45"/>
      <c r="U355" s="45"/>
      <c r="V355" s="45"/>
      <c r="W355" s="16"/>
      <c r="X355" s="16"/>
      <c r="Y355" s="45"/>
      <c r="Z355" s="45"/>
      <c r="AA355" s="45"/>
      <c r="AB355" s="45"/>
      <c r="AC355" s="45"/>
      <c r="AD355" s="45"/>
    </row>
    <row r="356" spans="1:30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5"/>
      <c r="L356" s="19"/>
      <c r="M356" s="16"/>
      <c r="O356" s="45"/>
      <c r="P356" s="45"/>
      <c r="Q356" s="45"/>
      <c r="R356" s="45"/>
      <c r="S356" s="45"/>
      <c r="T356" s="45"/>
      <c r="U356" s="45"/>
      <c r="V356" s="45"/>
      <c r="W356" s="16"/>
      <c r="X356" s="16"/>
      <c r="Y356" s="45"/>
      <c r="Z356" s="45"/>
      <c r="AA356" s="45"/>
      <c r="AB356" s="45"/>
      <c r="AC356" s="45"/>
      <c r="AD356" s="45"/>
    </row>
    <row r="357" spans="1:30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5"/>
      <c r="L357" s="19"/>
      <c r="M357" s="16"/>
      <c r="O357" s="45"/>
      <c r="P357" s="45"/>
      <c r="Q357" s="45"/>
      <c r="R357" s="45"/>
      <c r="S357" s="45"/>
      <c r="T357" s="45"/>
      <c r="U357" s="45"/>
      <c r="V357" s="45"/>
      <c r="W357" s="16"/>
      <c r="X357" s="16"/>
      <c r="Y357" s="45"/>
      <c r="Z357" s="45"/>
      <c r="AA357" s="45"/>
      <c r="AB357" s="45"/>
      <c r="AC357" s="45"/>
      <c r="AD357" s="45"/>
    </row>
    <row r="358" spans="1:30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5"/>
      <c r="L358" s="19"/>
      <c r="M358" s="16"/>
      <c r="O358" s="45"/>
      <c r="P358" s="45"/>
      <c r="Q358" s="45"/>
      <c r="R358" s="45"/>
      <c r="S358" s="45"/>
      <c r="T358" s="45"/>
      <c r="U358" s="45"/>
      <c r="V358" s="45"/>
      <c r="W358" s="16"/>
      <c r="X358" s="16"/>
      <c r="Y358" s="45"/>
      <c r="Z358" s="45"/>
      <c r="AA358" s="45"/>
      <c r="AB358" s="45"/>
      <c r="AC358" s="45"/>
      <c r="AD358" s="45"/>
    </row>
    <row r="359" spans="1:30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5"/>
      <c r="L359" s="19"/>
      <c r="M359" s="16"/>
      <c r="O359" s="45"/>
      <c r="P359" s="45"/>
      <c r="Q359" s="45"/>
      <c r="R359" s="45"/>
      <c r="S359" s="45"/>
      <c r="T359" s="45"/>
      <c r="U359" s="45"/>
      <c r="V359" s="45"/>
      <c r="W359" s="16"/>
      <c r="X359" s="16"/>
      <c r="Y359" s="45"/>
      <c r="Z359" s="45"/>
      <c r="AA359" s="45"/>
      <c r="AB359" s="45"/>
      <c r="AC359" s="45"/>
      <c r="AD359" s="45"/>
    </row>
    <row r="360" spans="1:30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5"/>
      <c r="L360" s="19"/>
      <c r="M360" s="16"/>
      <c r="O360" s="45"/>
      <c r="P360" s="45"/>
      <c r="Q360" s="45"/>
      <c r="R360" s="45"/>
      <c r="S360" s="45"/>
      <c r="T360" s="45"/>
      <c r="U360" s="45"/>
      <c r="V360" s="45"/>
      <c r="W360" s="16"/>
      <c r="X360" s="16"/>
      <c r="Y360" s="45"/>
      <c r="Z360" s="45"/>
      <c r="AA360" s="45"/>
      <c r="AB360" s="45"/>
      <c r="AC360" s="45"/>
      <c r="AD360" s="45"/>
    </row>
    <row r="361" spans="1:30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5"/>
      <c r="L361" s="19"/>
      <c r="M361" s="16"/>
      <c r="O361" s="45"/>
      <c r="P361" s="45"/>
      <c r="Q361" s="45"/>
      <c r="R361" s="45"/>
      <c r="S361" s="45"/>
      <c r="T361" s="45"/>
      <c r="U361" s="45"/>
      <c r="V361" s="45"/>
      <c r="W361" s="16"/>
      <c r="X361" s="16"/>
      <c r="Y361" s="45"/>
      <c r="Z361" s="45"/>
      <c r="AA361" s="45"/>
      <c r="AB361" s="45"/>
      <c r="AC361" s="45"/>
      <c r="AD361" s="45"/>
    </row>
    <row r="362" spans="1:30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5"/>
      <c r="L362" s="19"/>
      <c r="M362" s="16"/>
      <c r="O362" s="45"/>
      <c r="P362" s="45"/>
      <c r="Q362" s="45"/>
      <c r="R362" s="45"/>
      <c r="S362" s="45"/>
      <c r="T362" s="45"/>
      <c r="U362" s="45"/>
      <c r="V362" s="45"/>
      <c r="W362" s="16"/>
      <c r="X362" s="16"/>
      <c r="Y362" s="45"/>
      <c r="Z362" s="45"/>
      <c r="AA362" s="45"/>
      <c r="AB362" s="45"/>
      <c r="AC362" s="45"/>
      <c r="AD362" s="45"/>
    </row>
    <row r="363" spans="1:30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5"/>
      <c r="L363" s="19"/>
      <c r="M363" s="16"/>
      <c r="O363" s="45"/>
      <c r="P363" s="45"/>
      <c r="Q363" s="45"/>
      <c r="R363" s="45"/>
      <c r="S363" s="45"/>
      <c r="T363" s="45"/>
      <c r="U363" s="45"/>
      <c r="V363" s="45"/>
      <c r="W363" s="16"/>
      <c r="X363" s="16"/>
      <c r="Y363" s="45"/>
      <c r="Z363" s="45"/>
      <c r="AA363" s="45"/>
      <c r="AB363" s="45"/>
      <c r="AC363" s="45"/>
      <c r="AD363" s="45"/>
    </row>
    <row r="364" spans="1:30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5"/>
      <c r="L364" s="19"/>
      <c r="M364" s="16"/>
      <c r="O364" s="45"/>
      <c r="P364" s="45"/>
      <c r="Q364" s="45"/>
      <c r="R364" s="45"/>
      <c r="S364" s="45"/>
      <c r="T364" s="45"/>
      <c r="U364" s="45"/>
      <c r="V364" s="45"/>
      <c r="W364" s="16"/>
      <c r="X364" s="16"/>
      <c r="Y364" s="45"/>
      <c r="Z364" s="45"/>
      <c r="AA364" s="45"/>
      <c r="AB364" s="45"/>
      <c r="AC364" s="45"/>
      <c r="AD364" s="45"/>
    </row>
    <row r="365" spans="1:30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5"/>
      <c r="L365" s="19"/>
      <c r="M365" s="16"/>
      <c r="O365" s="45"/>
      <c r="P365" s="45"/>
      <c r="Q365" s="45"/>
      <c r="R365" s="45"/>
      <c r="S365" s="45"/>
      <c r="T365" s="45"/>
      <c r="U365" s="45"/>
      <c r="V365" s="45"/>
      <c r="W365" s="16"/>
      <c r="X365" s="16"/>
      <c r="Y365" s="45"/>
      <c r="Z365" s="45"/>
      <c r="AA365" s="45"/>
      <c r="AB365" s="45"/>
      <c r="AC365" s="45"/>
      <c r="AD365" s="45"/>
    </row>
    <row r="366" spans="1:30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5"/>
      <c r="L366" s="19"/>
      <c r="M366" s="16"/>
      <c r="O366" s="45"/>
      <c r="P366" s="45"/>
      <c r="Q366" s="45"/>
      <c r="R366" s="45"/>
      <c r="S366" s="45"/>
      <c r="T366" s="45"/>
      <c r="U366" s="45"/>
      <c r="V366" s="45"/>
      <c r="W366" s="16"/>
      <c r="X366" s="16"/>
      <c r="Y366" s="45"/>
      <c r="Z366" s="45"/>
      <c r="AA366" s="45"/>
      <c r="AB366" s="45"/>
      <c r="AC366" s="45"/>
      <c r="AD366" s="45"/>
    </row>
    <row r="367" spans="1:30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5"/>
      <c r="L367" s="19"/>
      <c r="M367" s="16"/>
      <c r="O367" s="45"/>
      <c r="P367" s="45"/>
      <c r="Q367" s="45"/>
      <c r="R367" s="45"/>
      <c r="S367" s="45"/>
      <c r="T367" s="45"/>
      <c r="U367" s="45"/>
      <c r="V367" s="45"/>
      <c r="W367" s="16"/>
      <c r="X367" s="16"/>
      <c r="Y367" s="45"/>
      <c r="Z367" s="45"/>
      <c r="AA367" s="45"/>
      <c r="AB367" s="45"/>
      <c r="AC367" s="45"/>
      <c r="AD367" s="45"/>
    </row>
    <row r="368" spans="1:30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5"/>
      <c r="L368" s="19"/>
      <c r="M368" s="16"/>
      <c r="O368" s="45"/>
      <c r="P368" s="45"/>
      <c r="Q368" s="45"/>
      <c r="R368" s="45"/>
      <c r="S368" s="45"/>
      <c r="T368" s="45"/>
      <c r="U368" s="45"/>
      <c r="V368" s="45"/>
      <c r="W368" s="16"/>
      <c r="X368" s="16"/>
      <c r="Y368" s="45"/>
      <c r="Z368" s="45"/>
      <c r="AA368" s="45"/>
      <c r="AB368" s="45"/>
      <c r="AC368" s="45"/>
      <c r="AD368" s="45"/>
    </row>
    <row r="369" spans="1:30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5"/>
      <c r="L369" s="19"/>
      <c r="M369" s="16"/>
      <c r="O369" s="45"/>
      <c r="P369" s="45"/>
      <c r="Q369" s="45"/>
      <c r="R369" s="45"/>
      <c r="S369" s="45"/>
      <c r="T369" s="45"/>
      <c r="U369" s="45"/>
      <c r="V369" s="45"/>
      <c r="W369" s="16"/>
      <c r="X369" s="16"/>
      <c r="Y369" s="45"/>
      <c r="Z369" s="45"/>
      <c r="AA369" s="45"/>
      <c r="AB369" s="45"/>
      <c r="AC369" s="45"/>
      <c r="AD369" s="45"/>
    </row>
    <row r="370" spans="1:30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5"/>
      <c r="L370" s="19"/>
      <c r="M370" s="16"/>
      <c r="O370" s="45"/>
      <c r="P370" s="45"/>
      <c r="Q370" s="45"/>
      <c r="R370" s="45"/>
      <c r="S370" s="45"/>
      <c r="T370" s="45"/>
      <c r="U370" s="45"/>
      <c r="V370" s="45"/>
      <c r="W370" s="16"/>
      <c r="X370" s="16"/>
      <c r="Y370" s="45"/>
      <c r="Z370" s="45"/>
      <c r="AA370" s="45"/>
      <c r="AB370" s="45"/>
      <c r="AC370" s="45"/>
      <c r="AD370" s="45"/>
    </row>
    <row r="371" spans="1:30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5"/>
      <c r="L371" s="19"/>
      <c r="M371" s="16"/>
      <c r="O371" s="45"/>
      <c r="P371" s="45"/>
      <c r="Q371" s="45"/>
      <c r="R371" s="45"/>
      <c r="S371" s="45"/>
      <c r="T371" s="45"/>
      <c r="U371" s="45"/>
      <c r="V371" s="45"/>
      <c r="W371" s="16"/>
      <c r="X371" s="16"/>
      <c r="Y371" s="45"/>
      <c r="Z371" s="45"/>
      <c r="AA371" s="45"/>
      <c r="AB371" s="45"/>
      <c r="AC371" s="45"/>
      <c r="AD371" s="45"/>
    </row>
    <row r="372" spans="1:30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5"/>
      <c r="L372" s="19"/>
      <c r="M372" s="16"/>
      <c r="O372" s="45"/>
      <c r="P372" s="45"/>
      <c r="Q372" s="45"/>
      <c r="R372" s="45"/>
      <c r="S372" s="45"/>
      <c r="T372" s="45"/>
      <c r="U372" s="45"/>
      <c r="V372" s="45"/>
      <c r="W372" s="16"/>
      <c r="X372" s="16"/>
      <c r="Y372" s="45"/>
      <c r="Z372" s="45"/>
      <c r="AA372" s="45"/>
      <c r="AB372" s="45"/>
      <c r="AC372" s="45"/>
      <c r="AD372" s="45"/>
    </row>
    <row r="373" spans="1:30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5"/>
      <c r="L373" s="19"/>
      <c r="M373" s="16"/>
      <c r="O373" s="45"/>
      <c r="P373" s="45"/>
      <c r="Q373" s="45"/>
      <c r="R373" s="45"/>
      <c r="S373" s="45"/>
      <c r="T373" s="45"/>
      <c r="U373" s="45"/>
      <c r="V373" s="45"/>
      <c r="W373" s="16"/>
      <c r="X373" s="16"/>
      <c r="Y373" s="45"/>
      <c r="Z373" s="45"/>
      <c r="AA373" s="45"/>
      <c r="AB373" s="45"/>
      <c r="AC373" s="45"/>
      <c r="AD373" s="45"/>
    </row>
    <row r="374" spans="1:30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5"/>
      <c r="L374" s="19"/>
      <c r="M374" s="16"/>
      <c r="O374" s="45"/>
      <c r="P374" s="45"/>
      <c r="Q374" s="45"/>
      <c r="R374" s="45"/>
      <c r="S374" s="45"/>
      <c r="T374" s="45"/>
      <c r="U374" s="45"/>
      <c r="V374" s="45"/>
      <c r="W374" s="16"/>
      <c r="X374" s="16"/>
      <c r="Y374" s="45"/>
      <c r="Z374" s="45"/>
      <c r="AA374" s="45"/>
      <c r="AB374" s="45"/>
      <c r="AC374" s="45"/>
      <c r="AD374" s="45"/>
    </row>
    <row r="375" spans="1:30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5"/>
      <c r="L375" s="19"/>
      <c r="M375" s="16"/>
      <c r="O375" s="45"/>
      <c r="P375" s="45"/>
      <c r="Q375" s="45"/>
      <c r="R375" s="45"/>
      <c r="S375" s="45"/>
      <c r="T375" s="45"/>
      <c r="U375" s="45"/>
      <c r="V375" s="45"/>
      <c r="W375" s="16"/>
      <c r="X375" s="16"/>
      <c r="Y375" s="45"/>
      <c r="Z375" s="45"/>
      <c r="AA375" s="45"/>
      <c r="AB375" s="45"/>
      <c r="AC375" s="45"/>
      <c r="AD375" s="45"/>
    </row>
    <row r="376" spans="1:30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5"/>
      <c r="L376" s="19"/>
      <c r="M376" s="16"/>
      <c r="O376" s="45"/>
      <c r="P376" s="45"/>
      <c r="Q376" s="45"/>
      <c r="R376" s="45"/>
      <c r="S376" s="45"/>
      <c r="T376" s="45"/>
      <c r="U376" s="45"/>
      <c r="V376" s="45"/>
      <c r="W376" s="16"/>
      <c r="X376" s="16"/>
      <c r="Y376" s="45"/>
      <c r="Z376" s="45"/>
      <c r="AA376" s="45"/>
      <c r="AB376" s="45"/>
      <c r="AC376" s="45"/>
      <c r="AD376" s="45"/>
    </row>
    <row r="377" spans="1:30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5"/>
      <c r="L377" s="19"/>
      <c r="M377" s="16"/>
      <c r="O377" s="45"/>
      <c r="P377" s="45"/>
      <c r="Q377" s="45"/>
      <c r="R377" s="45"/>
      <c r="S377" s="45"/>
      <c r="T377" s="45"/>
      <c r="U377" s="45"/>
      <c r="V377" s="45"/>
      <c r="W377" s="16"/>
      <c r="X377" s="16"/>
      <c r="Y377" s="45"/>
      <c r="Z377" s="45"/>
      <c r="AA377" s="45"/>
      <c r="AB377" s="45"/>
      <c r="AC377" s="45"/>
      <c r="AD377" s="45"/>
    </row>
    <row r="378" spans="1:30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5"/>
      <c r="L378" s="19"/>
      <c r="M378" s="16"/>
      <c r="O378" s="45"/>
      <c r="P378" s="45"/>
      <c r="Q378" s="45"/>
      <c r="R378" s="45"/>
      <c r="S378" s="45"/>
      <c r="T378" s="45"/>
      <c r="U378" s="45"/>
      <c r="V378" s="45"/>
      <c r="W378" s="16"/>
      <c r="X378" s="16"/>
      <c r="Y378" s="45"/>
      <c r="Z378" s="45"/>
      <c r="AA378" s="45"/>
      <c r="AB378" s="45"/>
      <c r="AC378" s="45"/>
      <c r="AD378" s="45"/>
    </row>
    <row r="379" spans="1:30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5"/>
      <c r="L379" s="19"/>
      <c r="M379" s="16"/>
      <c r="O379" s="45"/>
      <c r="P379" s="45"/>
      <c r="Q379" s="45"/>
      <c r="R379" s="45"/>
      <c r="S379" s="45"/>
      <c r="T379" s="45"/>
      <c r="U379" s="45"/>
      <c r="V379" s="45"/>
      <c r="W379" s="16"/>
      <c r="X379" s="16"/>
      <c r="Y379" s="45"/>
      <c r="Z379" s="45"/>
      <c r="AA379" s="45"/>
      <c r="AB379" s="45"/>
      <c r="AC379" s="45"/>
      <c r="AD379" s="45"/>
    </row>
    <row r="380" spans="1:30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5"/>
      <c r="L380" s="19"/>
      <c r="M380" s="16"/>
      <c r="O380" s="45"/>
      <c r="P380" s="45"/>
      <c r="Q380" s="45"/>
      <c r="R380" s="45"/>
      <c r="S380" s="45"/>
      <c r="T380" s="45"/>
      <c r="U380" s="45"/>
      <c r="V380" s="45"/>
      <c r="W380" s="16"/>
      <c r="X380" s="16"/>
      <c r="Y380" s="45"/>
      <c r="Z380" s="45"/>
      <c r="AA380" s="45"/>
      <c r="AB380" s="45"/>
      <c r="AC380" s="45"/>
      <c r="AD380" s="45"/>
    </row>
    <row r="381" spans="1:30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5"/>
      <c r="L381" s="19"/>
      <c r="M381" s="16"/>
      <c r="O381" s="45"/>
      <c r="P381" s="45"/>
      <c r="Q381" s="45"/>
      <c r="R381" s="45"/>
      <c r="S381" s="45"/>
      <c r="T381" s="45"/>
      <c r="U381" s="45"/>
      <c r="V381" s="45"/>
      <c r="W381" s="16"/>
      <c r="X381" s="16"/>
      <c r="Y381" s="45"/>
      <c r="Z381" s="45"/>
      <c r="AA381" s="45"/>
      <c r="AB381" s="45"/>
      <c r="AC381" s="45"/>
      <c r="AD381" s="45"/>
    </row>
    <row r="382" spans="1:30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5"/>
      <c r="L382" s="19"/>
      <c r="M382" s="16"/>
      <c r="O382" s="45"/>
      <c r="P382" s="45"/>
      <c r="Q382" s="45"/>
      <c r="R382" s="45"/>
      <c r="S382" s="45"/>
      <c r="T382" s="45"/>
      <c r="U382" s="45"/>
      <c r="V382" s="45"/>
      <c r="W382" s="16"/>
      <c r="X382" s="16"/>
      <c r="Y382" s="45"/>
      <c r="Z382" s="45"/>
      <c r="AA382" s="45"/>
      <c r="AB382" s="45"/>
      <c r="AC382" s="45"/>
      <c r="AD382" s="45"/>
    </row>
    <row r="383" spans="1:30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5"/>
      <c r="L383" s="19"/>
      <c r="M383" s="16"/>
      <c r="O383" s="45"/>
      <c r="P383" s="45"/>
      <c r="Q383" s="45"/>
      <c r="R383" s="45"/>
      <c r="S383" s="45"/>
      <c r="T383" s="45"/>
      <c r="U383" s="45"/>
      <c r="V383" s="45"/>
      <c r="W383" s="16"/>
      <c r="X383" s="16"/>
      <c r="Y383" s="45"/>
      <c r="Z383" s="45"/>
      <c r="AA383" s="45"/>
      <c r="AB383" s="45"/>
      <c r="AC383" s="45"/>
      <c r="AD383" s="45"/>
    </row>
    <row r="384" spans="1:30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5"/>
      <c r="L384" s="19"/>
      <c r="M384" s="16"/>
      <c r="O384" s="45"/>
      <c r="P384" s="45"/>
      <c r="Q384" s="45"/>
      <c r="R384" s="45"/>
      <c r="S384" s="45"/>
      <c r="T384" s="45"/>
      <c r="U384" s="45"/>
      <c r="V384" s="45"/>
      <c r="W384" s="16"/>
      <c r="X384" s="16"/>
      <c r="Y384" s="45"/>
      <c r="Z384" s="45"/>
      <c r="AA384" s="45"/>
      <c r="AB384" s="45"/>
      <c r="AC384" s="45"/>
      <c r="AD384" s="45"/>
    </row>
    <row r="385" spans="1:30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5"/>
      <c r="L385" s="19"/>
      <c r="M385" s="16"/>
      <c r="O385" s="45"/>
      <c r="P385" s="45"/>
      <c r="Q385" s="45"/>
      <c r="R385" s="45"/>
      <c r="S385" s="45"/>
      <c r="T385" s="45"/>
      <c r="U385" s="45"/>
      <c r="V385" s="45"/>
      <c r="W385" s="16"/>
      <c r="X385" s="16"/>
      <c r="Y385" s="45"/>
      <c r="Z385" s="45"/>
      <c r="AA385" s="45"/>
      <c r="AB385" s="45"/>
      <c r="AC385" s="45"/>
      <c r="AD385" s="45"/>
    </row>
    <row r="386" spans="1:30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5"/>
      <c r="L386" s="19"/>
      <c r="M386" s="16"/>
      <c r="O386" s="45"/>
      <c r="P386" s="45"/>
      <c r="Q386" s="45"/>
      <c r="R386" s="45"/>
      <c r="S386" s="45"/>
      <c r="T386" s="45"/>
      <c r="U386" s="45"/>
      <c r="V386" s="45"/>
      <c r="W386" s="16"/>
      <c r="X386" s="16"/>
      <c r="Y386" s="45"/>
      <c r="Z386" s="45"/>
      <c r="AA386" s="45"/>
      <c r="AB386" s="45"/>
      <c r="AC386" s="45"/>
      <c r="AD386" s="45"/>
    </row>
    <row r="387" spans="1:30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5"/>
      <c r="L387" s="19"/>
      <c r="M387" s="16"/>
      <c r="O387" s="45"/>
      <c r="P387" s="45"/>
      <c r="Q387" s="45"/>
      <c r="R387" s="45"/>
      <c r="S387" s="45"/>
      <c r="T387" s="45"/>
      <c r="U387" s="45"/>
      <c r="V387" s="45"/>
      <c r="W387" s="16"/>
      <c r="X387" s="16"/>
      <c r="Y387" s="45"/>
      <c r="Z387" s="45"/>
      <c r="AA387" s="45"/>
      <c r="AB387" s="45"/>
      <c r="AC387" s="45"/>
      <c r="AD387" s="45"/>
    </row>
    <row r="388" spans="1:30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5"/>
      <c r="L388" s="19"/>
      <c r="M388" s="16"/>
      <c r="O388" s="45"/>
      <c r="P388" s="45"/>
      <c r="Q388" s="45"/>
      <c r="R388" s="45"/>
      <c r="S388" s="45"/>
      <c r="T388" s="45"/>
      <c r="U388" s="45"/>
      <c r="V388" s="45"/>
      <c r="W388" s="16"/>
      <c r="X388" s="16"/>
      <c r="Y388" s="45"/>
      <c r="Z388" s="45"/>
      <c r="AA388" s="45"/>
      <c r="AB388" s="45"/>
      <c r="AC388" s="45"/>
      <c r="AD388" s="45"/>
    </row>
    <row r="389" spans="1:30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5"/>
      <c r="L389" s="19"/>
      <c r="M389" s="16"/>
      <c r="O389" s="45"/>
      <c r="P389" s="45"/>
      <c r="Q389" s="45"/>
      <c r="R389" s="45"/>
      <c r="S389" s="45"/>
      <c r="T389" s="45"/>
      <c r="U389" s="45"/>
      <c r="V389" s="45"/>
      <c r="W389" s="16"/>
      <c r="X389" s="16"/>
      <c r="Y389" s="45"/>
      <c r="Z389" s="45"/>
      <c r="AA389" s="45"/>
      <c r="AB389" s="45"/>
      <c r="AC389" s="45"/>
      <c r="AD389" s="45"/>
    </row>
    <row r="390" spans="1:30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5"/>
      <c r="L390" s="19"/>
      <c r="M390" s="16"/>
      <c r="O390" s="45"/>
      <c r="P390" s="45"/>
      <c r="Q390" s="45"/>
      <c r="R390" s="45"/>
      <c r="S390" s="45"/>
      <c r="T390" s="45"/>
      <c r="U390" s="45"/>
      <c r="V390" s="45"/>
      <c r="W390" s="16"/>
      <c r="X390" s="16"/>
      <c r="Y390" s="45"/>
      <c r="Z390" s="45"/>
      <c r="AA390" s="45"/>
      <c r="AB390" s="45"/>
      <c r="AC390" s="45"/>
      <c r="AD390" s="45"/>
    </row>
    <row r="391" spans="1:30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5"/>
      <c r="L391" s="19"/>
      <c r="M391" s="16"/>
      <c r="O391" s="45"/>
      <c r="P391" s="45"/>
      <c r="Q391" s="45"/>
      <c r="R391" s="45"/>
      <c r="S391" s="45"/>
      <c r="T391" s="45"/>
      <c r="U391" s="45"/>
      <c r="V391" s="45"/>
      <c r="W391" s="16"/>
      <c r="X391" s="16"/>
      <c r="Y391" s="45"/>
      <c r="Z391" s="45"/>
      <c r="AA391" s="45"/>
      <c r="AB391" s="45"/>
      <c r="AC391" s="45"/>
      <c r="AD391" s="45"/>
    </row>
    <row r="392" spans="1:30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5"/>
      <c r="L392" s="19"/>
      <c r="M392" s="16"/>
      <c r="O392" s="45"/>
      <c r="P392" s="45"/>
      <c r="Q392" s="45"/>
      <c r="R392" s="45"/>
      <c r="S392" s="45"/>
      <c r="T392" s="45"/>
      <c r="U392" s="45"/>
      <c r="V392" s="45"/>
      <c r="W392" s="16"/>
      <c r="X392" s="16"/>
      <c r="Y392" s="45"/>
      <c r="Z392" s="45"/>
      <c r="AA392" s="45"/>
      <c r="AB392" s="45"/>
      <c r="AC392" s="45"/>
      <c r="AD392" s="45"/>
    </row>
    <row r="393" spans="1:30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5"/>
      <c r="L393" s="19"/>
      <c r="M393" s="16"/>
      <c r="O393" s="45"/>
      <c r="P393" s="45"/>
      <c r="Q393" s="45"/>
      <c r="R393" s="45"/>
      <c r="S393" s="45"/>
      <c r="T393" s="45"/>
      <c r="U393" s="45"/>
      <c r="V393" s="45"/>
      <c r="W393" s="16"/>
      <c r="X393" s="16"/>
      <c r="Y393" s="45"/>
      <c r="Z393" s="45"/>
      <c r="AA393" s="45"/>
      <c r="AB393" s="45"/>
      <c r="AC393" s="45"/>
      <c r="AD393" s="45"/>
    </row>
    <row r="394" spans="1:30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5"/>
      <c r="L394" s="19"/>
      <c r="M394" s="16"/>
      <c r="O394" s="45"/>
      <c r="P394" s="45"/>
      <c r="Q394" s="45"/>
      <c r="R394" s="45"/>
      <c r="S394" s="45"/>
      <c r="T394" s="45"/>
      <c r="U394" s="45"/>
      <c r="V394" s="45"/>
      <c r="W394" s="16"/>
      <c r="X394" s="16"/>
      <c r="Y394" s="45"/>
      <c r="Z394" s="45"/>
      <c r="AA394" s="45"/>
      <c r="AB394" s="45"/>
      <c r="AC394" s="45"/>
      <c r="AD394" s="45"/>
    </row>
    <row r="395" spans="1:30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5"/>
      <c r="L395" s="19"/>
      <c r="M395" s="16"/>
      <c r="O395" s="45"/>
      <c r="P395" s="45"/>
      <c r="Q395" s="45"/>
      <c r="R395" s="45"/>
      <c r="S395" s="45"/>
      <c r="T395" s="45"/>
      <c r="U395" s="45"/>
      <c r="V395" s="45"/>
      <c r="W395" s="16"/>
      <c r="X395" s="16"/>
      <c r="Y395" s="45"/>
      <c r="Z395" s="45"/>
      <c r="AA395" s="45"/>
      <c r="AB395" s="45"/>
      <c r="AC395" s="45"/>
      <c r="AD395" s="45"/>
    </row>
    <row r="396" spans="1:30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5"/>
      <c r="L396" s="19"/>
      <c r="M396" s="16"/>
      <c r="O396" s="45"/>
      <c r="P396" s="45"/>
      <c r="Q396" s="45"/>
      <c r="R396" s="45"/>
      <c r="S396" s="45"/>
      <c r="T396" s="45"/>
      <c r="U396" s="45"/>
      <c r="V396" s="45"/>
      <c r="W396" s="16"/>
      <c r="X396" s="16"/>
      <c r="Y396" s="45"/>
      <c r="Z396" s="45"/>
      <c r="AA396" s="45"/>
      <c r="AB396" s="45"/>
      <c r="AC396" s="45"/>
      <c r="AD396" s="45"/>
    </row>
    <row r="397" spans="1:30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5"/>
      <c r="L397" s="19"/>
      <c r="M397" s="16"/>
      <c r="O397" s="45"/>
      <c r="P397" s="45"/>
      <c r="Q397" s="45"/>
      <c r="R397" s="45"/>
      <c r="S397" s="45"/>
      <c r="T397" s="45"/>
      <c r="U397" s="45"/>
      <c r="V397" s="45"/>
      <c r="W397" s="16"/>
      <c r="X397" s="16"/>
      <c r="Y397" s="45"/>
      <c r="Z397" s="45"/>
      <c r="AA397" s="45"/>
      <c r="AB397" s="45"/>
      <c r="AC397" s="45"/>
      <c r="AD397" s="45"/>
    </row>
    <row r="398" spans="1:30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5"/>
      <c r="L398" s="19"/>
      <c r="M398" s="16"/>
      <c r="O398" s="45"/>
      <c r="P398" s="45"/>
      <c r="Q398" s="45"/>
      <c r="R398" s="45"/>
      <c r="S398" s="45"/>
      <c r="T398" s="45"/>
      <c r="U398" s="45"/>
      <c r="V398" s="45"/>
      <c r="W398" s="16"/>
      <c r="X398" s="16"/>
      <c r="Y398" s="45"/>
      <c r="Z398" s="45"/>
      <c r="AA398" s="45"/>
      <c r="AB398" s="45"/>
      <c r="AC398" s="45"/>
      <c r="AD398" s="45"/>
    </row>
    <row r="399" spans="1:30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5"/>
      <c r="L399" s="19"/>
      <c r="M399" s="16"/>
      <c r="O399" s="45"/>
      <c r="P399" s="45"/>
      <c r="Q399" s="45"/>
      <c r="R399" s="45"/>
      <c r="S399" s="45"/>
      <c r="T399" s="45"/>
      <c r="U399" s="45"/>
      <c r="V399" s="45"/>
      <c r="W399" s="16"/>
      <c r="X399" s="16"/>
      <c r="Y399" s="45"/>
      <c r="Z399" s="45"/>
      <c r="AA399" s="45"/>
      <c r="AB399" s="45"/>
      <c r="AC399" s="45"/>
      <c r="AD399" s="45"/>
    </row>
    <row r="400" spans="1:30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5"/>
      <c r="L400" s="19"/>
      <c r="M400" s="16"/>
      <c r="O400" s="45"/>
      <c r="P400" s="45"/>
      <c r="Q400" s="45"/>
      <c r="R400" s="45"/>
      <c r="S400" s="45"/>
      <c r="T400" s="45"/>
      <c r="U400" s="45"/>
      <c r="V400" s="45"/>
      <c r="W400" s="16"/>
      <c r="X400" s="16"/>
      <c r="Y400" s="45"/>
      <c r="Z400" s="45"/>
      <c r="AA400" s="45"/>
      <c r="AB400" s="45"/>
      <c r="AC400" s="45"/>
      <c r="AD400" s="45"/>
    </row>
    <row r="401" spans="1:30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5"/>
      <c r="L401" s="19"/>
      <c r="M401" s="16"/>
      <c r="O401" s="45"/>
      <c r="P401" s="45"/>
      <c r="Q401" s="45"/>
      <c r="R401" s="45"/>
      <c r="S401" s="45"/>
      <c r="T401" s="45"/>
      <c r="U401" s="45"/>
      <c r="V401" s="45"/>
      <c r="W401" s="16"/>
      <c r="X401" s="16"/>
      <c r="Y401" s="45"/>
      <c r="Z401" s="45"/>
      <c r="AA401" s="45"/>
      <c r="AB401" s="45"/>
      <c r="AC401" s="45"/>
      <c r="AD401" s="45"/>
    </row>
    <row r="402" spans="1:30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5"/>
      <c r="L402" s="19"/>
      <c r="M402" s="16"/>
      <c r="O402" s="45"/>
      <c r="P402" s="45"/>
      <c r="Q402" s="45"/>
      <c r="R402" s="45"/>
      <c r="S402" s="45"/>
      <c r="T402" s="45"/>
      <c r="U402" s="45"/>
      <c r="V402" s="45"/>
      <c r="W402" s="16"/>
      <c r="X402" s="16"/>
      <c r="Y402" s="45"/>
      <c r="Z402" s="45"/>
      <c r="AA402" s="45"/>
      <c r="AB402" s="45"/>
      <c r="AC402" s="45"/>
      <c r="AD402" s="45"/>
    </row>
    <row r="403" spans="1:30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5"/>
      <c r="L403" s="19"/>
      <c r="M403" s="16"/>
      <c r="O403" s="45"/>
      <c r="P403" s="45"/>
      <c r="Q403" s="45"/>
      <c r="R403" s="45"/>
      <c r="S403" s="45"/>
      <c r="T403" s="45"/>
      <c r="U403" s="45"/>
      <c r="V403" s="45"/>
      <c r="W403" s="16"/>
      <c r="X403" s="16"/>
      <c r="Y403" s="45"/>
      <c r="Z403" s="45"/>
      <c r="AA403" s="45"/>
      <c r="AB403" s="45"/>
      <c r="AC403" s="45"/>
      <c r="AD403" s="45"/>
    </row>
    <row r="404" spans="1:30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5"/>
      <c r="L404" s="19"/>
      <c r="M404" s="16"/>
      <c r="O404" s="45"/>
      <c r="P404" s="45"/>
      <c r="Q404" s="45"/>
      <c r="R404" s="45"/>
      <c r="S404" s="45"/>
      <c r="T404" s="45"/>
      <c r="U404" s="45"/>
      <c r="V404" s="45"/>
      <c r="W404" s="16"/>
      <c r="X404" s="16"/>
      <c r="Y404" s="45"/>
      <c r="Z404" s="45"/>
      <c r="AA404" s="45"/>
      <c r="AB404" s="45"/>
      <c r="AC404" s="45"/>
      <c r="AD404" s="45"/>
    </row>
    <row r="405" spans="1:30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5"/>
      <c r="L405" s="19"/>
      <c r="M405" s="16"/>
      <c r="O405" s="45"/>
      <c r="P405" s="45"/>
      <c r="Q405" s="45"/>
      <c r="R405" s="45"/>
      <c r="S405" s="45"/>
      <c r="T405" s="45"/>
      <c r="U405" s="45"/>
      <c r="V405" s="45"/>
      <c r="W405" s="16"/>
      <c r="X405" s="16"/>
      <c r="Y405" s="45"/>
      <c r="Z405" s="45"/>
      <c r="AA405" s="45"/>
      <c r="AB405" s="45"/>
      <c r="AC405" s="45"/>
      <c r="AD405" s="45"/>
    </row>
    <row r="406" spans="1:30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5"/>
      <c r="L406" s="19"/>
      <c r="M406" s="16"/>
      <c r="O406" s="45"/>
      <c r="P406" s="45"/>
      <c r="Q406" s="45"/>
      <c r="R406" s="45"/>
      <c r="S406" s="45"/>
      <c r="T406" s="45"/>
      <c r="U406" s="45"/>
      <c r="V406" s="45"/>
      <c r="W406" s="16"/>
      <c r="X406" s="16"/>
      <c r="Y406" s="45"/>
      <c r="Z406" s="45"/>
      <c r="AA406" s="45"/>
      <c r="AB406" s="45"/>
      <c r="AC406" s="45"/>
      <c r="AD406" s="45"/>
    </row>
    <row r="407" spans="1:30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5"/>
      <c r="L407" s="19"/>
      <c r="M407" s="16"/>
      <c r="O407" s="45"/>
      <c r="P407" s="45"/>
      <c r="Q407" s="45"/>
      <c r="R407" s="45"/>
      <c r="S407" s="45"/>
      <c r="T407" s="45"/>
      <c r="U407" s="45"/>
      <c r="V407" s="45"/>
      <c r="W407" s="16"/>
      <c r="X407" s="16"/>
      <c r="Y407" s="45"/>
      <c r="Z407" s="45"/>
      <c r="AA407" s="45"/>
      <c r="AB407" s="45"/>
      <c r="AC407" s="45"/>
      <c r="AD407" s="45"/>
    </row>
    <row r="408" spans="1:30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5"/>
      <c r="L408" s="19"/>
      <c r="M408" s="16"/>
      <c r="O408" s="45"/>
      <c r="P408" s="45"/>
      <c r="Q408" s="45"/>
      <c r="R408" s="45"/>
      <c r="S408" s="45"/>
      <c r="T408" s="45"/>
      <c r="U408" s="45"/>
      <c r="V408" s="45"/>
      <c r="W408" s="16"/>
      <c r="X408" s="16"/>
      <c r="Y408" s="45"/>
      <c r="Z408" s="45"/>
      <c r="AA408" s="45"/>
      <c r="AB408" s="45"/>
      <c r="AC408" s="45"/>
      <c r="AD408" s="45"/>
    </row>
    <row r="409" spans="1:30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5"/>
      <c r="L409" s="19"/>
      <c r="M409" s="16"/>
      <c r="O409" s="45"/>
      <c r="P409" s="45"/>
      <c r="Q409" s="45"/>
      <c r="R409" s="45"/>
      <c r="S409" s="45"/>
      <c r="T409" s="45"/>
      <c r="U409" s="45"/>
      <c r="V409" s="45"/>
      <c r="W409" s="16"/>
      <c r="X409" s="16"/>
      <c r="Y409" s="45"/>
      <c r="Z409" s="45"/>
      <c r="AA409" s="45"/>
      <c r="AB409" s="45"/>
      <c r="AC409" s="45"/>
      <c r="AD409" s="45"/>
    </row>
    <row r="410" spans="1:30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5"/>
      <c r="L410" s="19"/>
      <c r="M410" s="16"/>
      <c r="O410" s="45"/>
      <c r="P410" s="45"/>
      <c r="Q410" s="45"/>
      <c r="R410" s="45"/>
      <c r="S410" s="45"/>
      <c r="T410" s="45"/>
      <c r="U410" s="45"/>
      <c r="V410" s="45"/>
      <c r="W410" s="16"/>
      <c r="X410" s="16"/>
      <c r="Y410" s="45"/>
      <c r="Z410" s="45"/>
      <c r="AA410" s="45"/>
      <c r="AB410" s="45"/>
      <c r="AC410" s="45"/>
      <c r="AD410" s="45"/>
    </row>
    <row r="411" spans="1:30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5"/>
      <c r="L411" s="19"/>
      <c r="M411" s="16"/>
      <c r="O411" s="45"/>
      <c r="P411" s="45"/>
      <c r="Q411" s="45"/>
      <c r="R411" s="45"/>
      <c r="S411" s="45"/>
      <c r="T411" s="45"/>
      <c r="U411" s="45"/>
      <c r="V411" s="45"/>
      <c r="W411" s="16"/>
      <c r="X411" s="16"/>
      <c r="Y411" s="45"/>
      <c r="Z411" s="45"/>
      <c r="AA411" s="45"/>
      <c r="AB411" s="45"/>
      <c r="AC411" s="45"/>
      <c r="AD411" s="45"/>
    </row>
    <row r="412" spans="1:30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5"/>
      <c r="L412" s="19"/>
      <c r="M412" s="16"/>
      <c r="O412" s="45"/>
      <c r="P412" s="45"/>
      <c r="Q412" s="45"/>
      <c r="R412" s="45"/>
      <c r="S412" s="45"/>
      <c r="T412" s="45"/>
      <c r="U412" s="45"/>
      <c r="V412" s="45"/>
      <c r="W412" s="16"/>
      <c r="X412" s="16"/>
      <c r="Y412" s="45"/>
      <c r="Z412" s="45"/>
      <c r="AA412" s="45"/>
      <c r="AB412" s="45"/>
      <c r="AC412" s="45"/>
      <c r="AD412" s="45"/>
    </row>
    <row r="413" spans="1:30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5"/>
      <c r="L413" s="19"/>
      <c r="M413" s="16"/>
      <c r="O413" s="45"/>
      <c r="P413" s="45"/>
      <c r="Q413" s="45"/>
      <c r="R413" s="45"/>
      <c r="S413" s="45"/>
      <c r="T413" s="45"/>
      <c r="U413" s="45"/>
      <c r="V413" s="45"/>
      <c r="W413" s="16"/>
      <c r="X413" s="16"/>
      <c r="Y413" s="45"/>
      <c r="Z413" s="45"/>
      <c r="AA413" s="45"/>
      <c r="AB413" s="45"/>
      <c r="AC413" s="45"/>
      <c r="AD413" s="45"/>
    </row>
    <row r="414" spans="1:30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5"/>
      <c r="L414" s="19"/>
      <c r="M414" s="16"/>
      <c r="O414" s="45"/>
      <c r="P414" s="45"/>
      <c r="Q414" s="45"/>
      <c r="R414" s="45"/>
      <c r="S414" s="45"/>
      <c r="T414" s="45"/>
      <c r="U414" s="45"/>
      <c r="V414" s="45"/>
      <c r="W414" s="16"/>
      <c r="X414" s="16"/>
      <c r="Y414" s="45"/>
      <c r="Z414" s="45"/>
      <c r="AA414" s="45"/>
      <c r="AB414" s="45"/>
      <c r="AC414" s="45"/>
      <c r="AD414" s="45"/>
    </row>
    <row r="415" spans="1:30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5"/>
      <c r="L415" s="19"/>
      <c r="M415" s="16"/>
      <c r="O415" s="45"/>
      <c r="P415" s="45"/>
      <c r="Q415" s="45"/>
      <c r="R415" s="45"/>
      <c r="S415" s="45"/>
      <c r="T415" s="45"/>
      <c r="U415" s="45"/>
      <c r="V415" s="45"/>
      <c r="W415" s="16"/>
      <c r="X415" s="16"/>
      <c r="Y415" s="45"/>
      <c r="Z415" s="45"/>
      <c r="AA415" s="45"/>
      <c r="AB415" s="45"/>
      <c r="AC415" s="45"/>
      <c r="AD415" s="45"/>
    </row>
    <row r="416" spans="1:30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5"/>
      <c r="L416" s="19"/>
      <c r="M416" s="16"/>
      <c r="O416" s="45"/>
      <c r="P416" s="45"/>
      <c r="Q416" s="45"/>
      <c r="R416" s="45"/>
      <c r="S416" s="45"/>
      <c r="T416" s="45"/>
      <c r="U416" s="45"/>
      <c r="V416" s="45"/>
      <c r="W416" s="16"/>
      <c r="X416" s="16"/>
      <c r="Y416" s="45"/>
      <c r="Z416" s="45"/>
      <c r="AA416" s="45"/>
      <c r="AB416" s="45"/>
      <c r="AC416" s="45"/>
      <c r="AD416" s="45"/>
    </row>
    <row r="417" spans="1:30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5"/>
      <c r="L417" s="19"/>
      <c r="M417" s="16"/>
      <c r="O417" s="45"/>
      <c r="P417" s="45"/>
      <c r="Q417" s="45"/>
      <c r="R417" s="45"/>
      <c r="S417" s="45"/>
      <c r="T417" s="45"/>
      <c r="U417" s="45"/>
      <c r="V417" s="45"/>
      <c r="W417" s="16"/>
      <c r="X417" s="16"/>
      <c r="Y417" s="45"/>
      <c r="Z417" s="45"/>
      <c r="AA417" s="45"/>
      <c r="AB417" s="45"/>
      <c r="AC417" s="45"/>
      <c r="AD417" s="45"/>
    </row>
    <row r="418" spans="1:30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5"/>
      <c r="L418" s="19"/>
      <c r="M418" s="16"/>
      <c r="O418" s="45"/>
      <c r="P418" s="45"/>
      <c r="Q418" s="45"/>
      <c r="R418" s="45"/>
      <c r="S418" s="45"/>
      <c r="T418" s="45"/>
      <c r="U418" s="45"/>
      <c r="V418" s="45"/>
      <c r="W418" s="16"/>
      <c r="X418" s="16"/>
      <c r="Y418" s="45"/>
      <c r="Z418" s="45"/>
      <c r="AA418" s="45"/>
      <c r="AB418" s="45"/>
      <c r="AC418" s="45"/>
      <c r="AD418" s="45"/>
    </row>
    <row r="419" spans="1:30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5"/>
      <c r="L419" s="19"/>
      <c r="M419" s="16"/>
      <c r="O419" s="45"/>
      <c r="P419" s="45"/>
      <c r="Q419" s="45"/>
      <c r="R419" s="45"/>
      <c r="S419" s="45"/>
      <c r="T419" s="45"/>
      <c r="U419" s="45"/>
      <c r="V419" s="45"/>
      <c r="W419" s="16"/>
      <c r="X419" s="16"/>
      <c r="Y419" s="45"/>
      <c r="Z419" s="45"/>
      <c r="AA419" s="45"/>
      <c r="AB419" s="45"/>
      <c r="AC419" s="45"/>
      <c r="AD419" s="45"/>
    </row>
    <row r="420" spans="1:30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5"/>
      <c r="L420" s="19"/>
      <c r="M420" s="16"/>
      <c r="O420" s="45"/>
      <c r="P420" s="45"/>
      <c r="Q420" s="45"/>
      <c r="R420" s="45"/>
      <c r="S420" s="45"/>
      <c r="T420" s="45"/>
      <c r="U420" s="45"/>
      <c r="V420" s="45"/>
      <c r="W420" s="16"/>
      <c r="X420" s="16"/>
      <c r="Y420" s="45"/>
      <c r="Z420" s="45"/>
      <c r="AA420" s="45"/>
      <c r="AB420" s="45"/>
      <c r="AC420" s="45"/>
      <c r="AD420" s="45"/>
    </row>
    <row r="421" spans="1:30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5"/>
      <c r="L421" s="19"/>
      <c r="M421" s="16"/>
      <c r="O421" s="45"/>
      <c r="P421" s="45"/>
      <c r="Q421" s="45"/>
      <c r="R421" s="45"/>
      <c r="S421" s="45"/>
      <c r="T421" s="45"/>
      <c r="U421" s="45"/>
      <c r="V421" s="45"/>
      <c r="W421" s="16"/>
      <c r="X421" s="16"/>
      <c r="Y421" s="45"/>
      <c r="Z421" s="45"/>
      <c r="AA421" s="45"/>
      <c r="AB421" s="45"/>
      <c r="AC421" s="45"/>
      <c r="AD421" s="45"/>
    </row>
    <row r="422" spans="1:30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5"/>
      <c r="L422" s="19"/>
      <c r="M422" s="16"/>
      <c r="O422" s="45"/>
      <c r="P422" s="45"/>
      <c r="Q422" s="45"/>
      <c r="R422" s="45"/>
      <c r="S422" s="45"/>
      <c r="T422" s="45"/>
      <c r="U422" s="45"/>
      <c r="V422" s="45"/>
      <c r="W422" s="16"/>
      <c r="X422" s="16"/>
      <c r="Y422" s="45"/>
      <c r="Z422" s="45"/>
      <c r="AA422" s="45"/>
      <c r="AB422" s="45"/>
      <c r="AC422" s="45"/>
      <c r="AD422" s="45"/>
    </row>
    <row r="423" spans="1:30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5"/>
      <c r="L423" s="19"/>
      <c r="M423" s="16"/>
      <c r="O423" s="45"/>
      <c r="P423" s="45"/>
      <c r="Q423" s="45"/>
      <c r="R423" s="45"/>
      <c r="S423" s="45"/>
      <c r="T423" s="45"/>
      <c r="U423" s="45"/>
      <c r="V423" s="45"/>
      <c r="W423" s="16"/>
      <c r="X423" s="16"/>
      <c r="Y423" s="45"/>
      <c r="Z423" s="45"/>
      <c r="AA423" s="45"/>
      <c r="AB423" s="45"/>
      <c r="AC423" s="45"/>
      <c r="AD423" s="45"/>
    </row>
    <row r="424" spans="1:30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5"/>
      <c r="L424" s="19"/>
      <c r="M424" s="16"/>
      <c r="O424" s="45"/>
      <c r="P424" s="45"/>
      <c r="Q424" s="45"/>
      <c r="R424" s="45"/>
      <c r="S424" s="45"/>
      <c r="T424" s="45"/>
      <c r="U424" s="45"/>
      <c r="V424" s="45"/>
      <c r="W424" s="16"/>
      <c r="X424" s="16"/>
      <c r="Y424" s="45"/>
      <c r="Z424" s="45"/>
      <c r="AA424" s="45"/>
      <c r="AB424" s="45"/>
      <c r="AC424" s="45"/>
      <c r="AD424" s="45"/>
    </row>
    <row r="425" spans="1:30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5"/>
      <c r="L425" s="19"/>
      <c r="M425" s="16"/>
      <c r="O425" s="45"/>
      <c r="P425" s="45"/>
      <c r="Q425" s="45"/>
      <c r="R425" s="45"/>
      <c r="S425" s="45"/>
      <c r="T425" s="45"/>
      <c r="U425" s="45"/>
      <c r="V425" s="45"/>
      <c r="W425" s="16"/>
      <c r="X425" s="16"/>
      <c r="Y425" s="45"/>
      <c r="Z425" s="45"/>
      <c r="AA425" s="45"/>
      <c r="AB425" s="45"/>
      <c r="AC425" s="45"/>
      <c r="AD425" s="45"/>
    </row>
    <row r="426" spans="1:30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5"/>
      <c r="L426" s="19"/>
      <c r="M426" s="16"/>
      <c r="O426" s="45"/>
      <c r="P426" s="45"/>
      <c r="Q426" s="45"/>
      <c r="R426" s="45"/>
      <c r="S426" s="45"/>
      <c r="T426" s="45"/>
      <c r="U426" s="45"/>
      <c r="V426" s="45"/>
      <c r="W426" s="16"/>
      <c r="X426" s="16"/>
      <c r="Y426" s="45"/>
      <c r="Z426" s="45"/>
      <c r="AA426" s="45"/>
      <c r="AB426" s="45"/>
      <c r="AC426" s="45"/>
      <c r="AD426" s="45"/>
    </row>
    <row r="427" spans="1:30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5"/>
      <c r="L427" s="19"/>
      <c r="M427" s="16"/>
      <c r="O427" s="45"/>
      <c r="P427" s="45"/>
      <c r="Q427" s="45"/>
      <c r="R427" s="45"/>
      <c r="S427" s="45"/>
      <c r="T427" s="45"/>
      <c r="U427" s="45"/>
      <c r="V427" s="45"/>
      <c r="W427" s="16"/>
      <c r="X427" s="16"/>
      <c r="Y427" s="45"/>
      <c r="Z427" s="45"/>
      <c r="AA427" s="45"/>
      <c r="AB427" s="45"/>
      <c r="AC427" s="45"/>
      <c r="AD427" s="45"/>
    </row>
    <row r="428" spans="1:30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5"/>
      <c r="L428" s="19"/>
      <c r="M428" s="16"/>
      <c r="O428" s="45"/>
      <c r="P428" s="45"/>
      <c r="Q428" s="45"/>
      <c r="R428" s="45"/>
      <c r="S428" s="45"/>
      <c r="T428" s="45"/>
      <c r="U428" s="45"/>
      <c r="V428" s="45"/>
      <c r="W428" s="16"/>
      <c r="X428" s="16"/>
      <c r="Y428" s="45"/>
      <c r="Z428" s="45"/>
      <c r="AA428" s="45"/>
      <c r="AB428" s="45"/>
      <c r="AC428" s="45"/>
      <c r="AD428" s="45"/>
    </row>
    <row r="429" spans="1:30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5"/>
      <c r="L429" s="19"/>
      <c r="M429" s="16"/>
      <c r="O429" s="45"/>
      <c r="P429" s="45"/>
      <c r="Q429" s="45"/>
      <c r="R429" s="45"/>
      <c r="S429" s="45"/>
      <c r="T429" s="45"/>
      <c r="U429" s="45"/>
      <c r="V429" s="45"/>
      <c r="W429" s="16"/>
      <c r="X429" s="16"/>
      <c r="Y429" s="45"/>
      <c r="Z429" s="45"/>
      <c r="AA429" s="45"/>
      <c r="AB429" s="45"/>
      <c r="AC429" s="45"/>
      <c r="AD429" s="45"/>
    </row>
    <row r="430" spans="1:30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5"/>
      <c r="L430" s="19"/>
      <c r="M430" s="16"/>
      <c r="O430" s="45"/>
      <c r="P430" s="45"/>
      <c r="Q430" s="45"/>
      <c r="R430" s="45"/>
      <c r="S430" s="45"/>
      <c r="T430" s="45"/>
      <c r="U430" s="45"/>
      <c r="V430" s="45"/>
      <c r="W430" s="16"/>
      <c r="X430" s="16"/>
      <c r="Y430" s="45"/>
      <c r="Z430" s="45"/>
      <c r="AA430" s="45"/>
      <c r="AB430" s="45"/>
      <c r="AC430" s="45"/>
      <c r="AD430" s="45"/>
    </row>
    <row r="431" spans="1:30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5"/>
      <c r="L431" s="19"/>
      <c r="M431" s="16"/>
      <c r="O431" s="45"/>
      <c r="P431" s="45"/>
      <c r="Q431" s="45"/>
      <c r="R431" s="45"/>
      <c r="S431" s="45"/>
      <c r="T431" s="45"/>
      <c r="U431" s="45"/>
      <c r="V431" s="45"/>
      <c r="W431" s="16"/>
      <c r="X431" s="16"/>
      <c r="Y431" s="45"/>
      <c r="Z431" s="45"/>
      <c r="AA431" s="45"/>
      <c r="AB431" s="45"/>
      <c r="AC431" s="45"/>
      <c r="AD431" s="45"/>
    </row>
    <row r="432" spans="1:30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5"/>
      <c r="L432" s="19"/>
      <c r="M432" s="16"/>
      <c r="O432" s="45"/>
      <c r="P432" s="45"/>
      <c r="Q432" s="45"/>
      <c r="R432" s="45"/>
      <c r="S432" s="45"/>
      <c r="T432" s="45"/>
      <c r="U432" s="45"/>
      <c r="V432" s="45"/>
      <c r="W432" s="16"/>
      <c r="X432" s="16"/>
      <c r="Y432" s="45"/>
      <c r="Z432" s="45"/>
      <c r="AA432" s="45"/>
      <c r="AB432" s="45"/>
      <c r="AC432" s="45"/>
      <c r="AD432" s="45"/>
    </row>
    <row r="433" spans="1:30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5"/>
      <c r="L433" s="19"/>
      <c r="M433" s="16"/>
      <c r="O433" s="45"/>
      <c r="P433" s="45"/>
      <c r="Q433" s="45"/>
      <c r="R433" s="45"/>
      <c r="S433" s="45"/>
      <c r="T433" s="45"/>
      <c r="U433" s="45"/>
      <c r="V433" s="45"/>
      <c r="W433" s="16"/>
      <c r="X433" s="16"/>
      <c r="Y433" s="45"/>
      <c r="Z433" s="45"/>
      <c r="AA433" s="45"/>
      <c r="AB433" s="45"/>
      <c r="AC433" s="45"/>
      <c r="AD433" s="45"/>
    </row>
    <row r="434" spans="1:30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5"/>
      <c r="L434" s="19"/>
      <c r="M434" s="16"/>
      <c r="O434" s="45"/>
      <c r="P434" s="45"/>
      <c r="Q434" s="45"/>
      <c r="R434" s="45"/>
      <c r="S434" s="45"/>
      <c r="T434" s="45"/>
      <c r="U434" s="45"/>
      <c r="V434" s="45"/>
      <c r="W434" s="16"/>
      <c r="X434" s="16"/>
      <c r="Y434" s="45"/>
      <c r="Z434" s="45"/>
      <c r="AA434" s="45"/>
      <c r="AB434" s="45"/>
      <c r="AC434" s="45"/>
      <c r="AD434" s="45"/>
    </row>
    <row r="435" spans="1:30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5"/>
      <c r="L435" s="19"/>
      <c r="M435" s="16"/>
      <c r="O435" s="45"/>
      <c r="P435" s="45"/>
      <c r="Q435" s="45"/>
      <c r="R435" s="45"/>
      <c r="S435" s="45"/>
      <c r="T435" s="45"/>
      <c r="U435" s="45"/>
      <c r="V435" s="45"/>
      <c r="W435" s="16"/>
      <c r="X435" s="16"/>
      <c r="Y435" s="45"/>
      <c r="Z435" s="45"/>
      <c r="AA435" s="45"/>
      <c r="AB435" s="45"/>
      <c r="AC435" s="45"/>
      <c r="AD435" s="45"/>
    </row>
    <row r="436" spans="1:30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5"/>
      <c r="L436" s="19"/>
      <c r="M436" s="16"/>
      <c r="O436" s="45"/>
      <c r="P436" s="45"/>
      <c r="Q436" s="45"/>
      <c r="R436" s="45"/>
      <c r="S436" s="45"/>
      <c r="T436" s="45"/>
      <c r="U436" s="45"/>
      <c r="V436" s="45"/>
      <c r="W436" s="16"/>
      <c r="X436" s="16"/>
      <c r="Y436" s="45"/>
      <c r="Z436" s="45"/>
      <c r="AA436" s="45"/>
      <c r="AB436" s="45"/>
      <c r="AC436" s="45"/>
      <c r="AD436" s="45"/>
    </row>
    <row r="437" spans="1:30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5"/>
      <c r="L437" s="19"/>
      <c r="M437" s="16"/>
      <c r="O437" s="45"/>
      <c r="P437" s="45"/>
      <c r="Q437" s="45"/>
      <c r="R437" s="45"/>
      <c r="S437" s="45"/>
      <c r="T437" s="45"/>
      <c r="U437" s="45"/>
      <c r="V437" s="45"/>
      <c r="W437" s="16"/>
      <c r="X437" s="16"/>
      <c r="Y437" s="45"/>
      <c r="Z437" s="45"/>
      <c r="AA437" s="45"/>
      <c r="AB437" s="45"/>
      <c r="AC437" s="45"/>
      <c r="AD437" s="45"/>
    </row>
    <row r="438" spans="1:30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5"/>
      <c r="L438" s="19"/>
      <c r="M438" s="16"/>
      <c r="O438" s="45"/>
      <c r="P438" s="45"/>
      <c r="Q438" s="45"/>
      <c r="R438" s="45"/>
      <c r="S438" s="45"/>
      <c r="T438" s="45"/>
      <c r="U438" s="45"/>
      <c r="V438" s="45"/>
      <c r="W438" s="16"/>
      <c r="X438" s="16"/>
      <c r="Y438" s="45"/>
      <c r="Z438" s="45"/>
      <c r="AA438" s="45"/>
      <c r="AB438" s="45"/>
      <c r="AC438" s="45"/>
      <c r="AD438" s="45"/>
    </row>
    <row r="439" spans="1:30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5"/>
      <c r="L439" s="19"/>
      <c r="M439" s="16"/>
      <c r="O439" s="45"/>
      <c r="P439" s="45"/>
      <c r="Q439" s="45"/>
      <c r="R439" s="45"/>
      <c r="S439" s="45"/>
      <c r="T439" s="45"/>
      <c r="U439" s="45"/>
      <c r="V439" s="45"/>
      <c r="W439" s="16"/>
      <c r="X439" s="16"/>
      <c r="Y439" s="45"/>
      <c r="Z439" s="45"/>
      <c r="AA439" s="45"/>
      <c r="AB439" s="45"/>
      <c r="AC439" s="45"/>
      <c r="AD439" s="45"/>
    </row>
    <row r="440" spans="1:30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5"/>
      <c r="L440" s="19"/>
      <c r="M440" s="16"/>
      <c r="O440" s="45"/>
      <c r="P440" s="45"/>
      <c r="Q440" s="45"/>
      <c r="R440" s="45"/>
      <c r="S440" s="45"/>
      <c r="T440" s="45"/>
      <c r="U440" s="45"/>
      <c r="V440" s="45"/>
      <c r="W440" s="16"/>
      <c r="X440" s="16"/>
      <c r="Y440" s="45"/>
      <c r="Z440" s="45"/>
      <c r="AA440" s="45"/>
      <c r="AB440" s="45"/>
      <c r="AC440" s="45"/>
      <c r="AD440" s="45"/>
    </row>
    <row r="441" spans="1:30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5"/>
      <c r="L441" s="19"/>
      <c r="M441" s="16"/>
      <c r="O441" s="45"/>
      <c r="P441" s="45"/>
      <c r="Q441" s="45"/>
      <c r="R441" s="45"/>
      <c r="S441" s="45"/>
      <c r="T441" s="45"/>
      <c r="U441" s="45"/>
      <c r="V441" s="45"/>
      <c r="W441" s="16"/>
      <c r="X441" s="16"/>
      <c r="Y441" s="45"/>
      <c r="Z441" s="45"/>
      <c r="AA441" s="45"/>
      <c r="AB441" s="45"/>
      <c r="AC441" s="45"/>
      <c r="AD441" s="45"/>
    </row>
    <row r="442" spans="1:30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5"/>
      <c r="L442" s="19"/>
      <c r="M442" s="16"/>
      <c r="O442" s="45"/>
      <c r="P442" s="45"/>
      <c r="Q442" s="45"/>
      <c r="R442" s="45"/>
      <c r="S442" s="45"/>
      <c r="T442" s="45"/>
      <c r="U442" s="45"/>
      <c r="V442" s="45"/>
      <c r="W442" s="16"/>
      <c r="X442" s="16"/>
      <c r="Y442" s="45"/>
      <c r="Z442" s="45"/>
      <c r="AA442" s="45"/>
      <c r="AB442" s="45"/>
      <c r="AC442" s="45"/>
      <c r="AD442" s="45"/>
    </row>
    <row r="443" spans="1:30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5"/>
      <c r="L443" s="19"/>
      <c r="M443" s="16"/>
      <c r="O443" s="45"/>
      <c r="P443" s="45"/>
      <c r="Q443" s="45"/>
      <c r="R443" s="45"/>
      <c r="S443" s="45"/>
      <c r="T443" s="45"/>
      <c r="U443" s="45"/>
      <c r="V443" s="45"/>
      <c r="W443" s="16"/>
      <c r="X443" s="16"/>
      <c r="Y443" s="45"/>
      <c r="Z443" s="45"/>
      <c r="AA443" s="45"/>
      <c r="AB443" s="45"/>
      <c r="AC443" s="45"/>
      <c r="AD443" s="45"/>
    </row>
    <row r="444" spans="1:30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5"/>
      <c r="L444" s="19"/>
      <c r="M444" s="16"/>
      <c r="O444" s="45"/>
      <c r="P444" s="45"/>
      <c r="Q444" s="45"/>
      <c r="R444" s="45"/>
      <c r="S444" s="45"/>
      <c r="T444" s="45"/>
      <c r="U444" s="45"/>
      <c r="V444" s="45"/>
      <c r="W444" s="16"/>
      <c r="X444" s="16"/>
      <c r="Y444" s="45"/>
      <c r="Z444" s="45"/>
      <c r="AA444" s="45"/>
      <c r="AB444" s="45"/>
      <c r="AC444" s="45"/>
      <c r="AD444" s="45"/>
    </row>
    <row r="445" spans="1:30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5"/>
      <c r="L445" s="19"/>
      <c r="M445" s="16"/>
      <c r="O445" s="45"/>
      <c r="P445" s="45"/>
      <c r="Q445" s="45"/>
      <c r="R445" s="45"/>
      <c r="S445" s="45"/>
      <c r="T445" s="45"/>
      <c r="U445" s="45"/>
      <c r="V445" s="45"/>
      <c r="W445" s="16"/>
      <c r="X445" s="16"/>
      <c r="Y445" s="45"/>
      <c r="Z445" s="45"/>
      <c r="AA445" s="45"/>
      <c r="AB445" s="45"/>
      <c r="AC445" s="45"/>
      <c r="AD445" s="45"/>
    </row>
    <row r="446" spans="1:30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5"/>
      <c r="L446" s="19"/>
      <c r="M446" s="16"/>
      <c r="O446" s="45"/>
      <c r="P446" s="45"/>
      <c r="Q446" s="45"/>
      <c r="R446" s="45"/>
      <c r="S446" s="45"/>
      <c r="T446" s="45"/>
      <c r="U446" s="45"/>
      <c r="V446" s="45"/>
      <c r="W446" s="16"/>
      <c r="X446" s="16"/>
      <c r="Y446" s="45"/>
      <c r="Z446" s="45"/>
      <c r="AA446" s="45"/>
      <c r="AB446" s="45"/>
      <c r="AC446" s="45"/>
      <c r="AD446" s="45"/>
    </row>
    <row r="447" spans="1:30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5"/>
      <c r="L447" s="19"/>
      <c r="M447" s="16"/>
      <c r="O447" s="45"/>
      <c r="P447" s="45"/>
      <c r="Q447" s="45"/>
      <c r="R447" s="45"/>
      <c r="S447" s="45"/>
      <c r="T447" s="45"/>
      <c r="U447" s="45"/>
      <c r="V447" s="45"/>
      <c r="W447" s="16"/>
      <c r="X447" s="16"/>
      <c r="Y447" s="45"/>
      <c r="Z447" s="45"/>
      <c r="AA447" s="45"/>
      <c r="AB447" s="45"/>
      <c r="AC447" s="45"/>
      <c r="AD447" s="45"/>
    </row>
    <row r="448" spans="1:30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5"/>
      <c r="L448" s="19"/>
      <c r="M448" s="16"/>
      <c r="O448" s="45"/>
      <c r="P448" s="45"/>
      <c r="Q448" s="45"/>
      <c r="R448" s="45"/>
      <c r="S448" s="45"/>
      <c r="T448" s="45"/>
      <c r="U448" s="45"/>
      <c r="V448" s="45"/>
      <c r="W448" s="16"/>
      <c r="X448" s="16"/>
      <c r="Y448" s="45"/>
      <c r="Z448" s="45"/>
      <c r="AA448" s="45"/>
      <c r="AB448" s="45"/>
      <c r="AC448" s="45"/>
      <c r="AD448" s="45"/>
    </row>
    <row r="449" spans="1:30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5"/>
      <c r="L449" s="19"/>
      <c r="M449" s="16"/>
      <c r="O449" s="45"/>
      <c r="P449" s="45"/>
      <c r="Q449" s="45"/>
      <c r="R449" s="45"/>
      <c r="S449" s="45"/>
      <c r="T449" s="45"/>
      <c r="U449" s="45"/>
      <c r="V449" s="45"/>
      <c r="W449" s="16"/>
      <c r="X449" s="16"/>
      <c r="Y449" s="45"/>
      <c r="Z449" s="45"/>
      <c r="AA449" s="45"/>
      <c r="AB449" s="45"/>
      <c r="AC449" s="45"/>
      <c r="AD449" s="45"/>
    </row>
    <row r="450" spans="1:30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5"/>
      <c r="L450" s="19"/>
      <c r="M450" s="16"/>
      <c r="O450" s="45"/>
      <c r="P450" s="45"/>
      <c r="Q450" s="45"/>
      <c r="R450" s="45"/>
      <c r="S450" s="45"/>
      <c r="T450" s="45"/>
      <c r="U450" s="45"/>
      <c r="V450" s="45"/>
      <c r="W450" s="16"/>
      <c r="X450" s="16"/>
      <c r="Y450" s="45"/>
      <c r="Z450" s="45"/>
      <c r="AA450" s="45"/>
      <c r="AB450" s="45"/>
      <c r="AC450" s="45"/>
      <c r="AD450" s="45"/>
    </row>
    <row r="451" spans="1:30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5"/>
      <c r="L451" s="19"/>
      <c r="M451" s="16"/>
      <c r="O451" s="45"/>
      <c r="P451" s="45"/>
      <c r="Q451" s="45"/>
      <c r="R451" s="45"/>
      <c r="S451" s="45"/>
      <c r="T451" s="45"/>
      <c r="U451" s="45"/>
      <c r="V451" s="45"/>
      <c r="W451" s="16"/>
      <c r="X451" s="16"/>
      <c r="Y451" s="45"/>
      <c r="Z451" s="45"/>
      <c r="AA451" s="45"/>
      <c r="AB451" s="45"/>
      <c r="AC451" s="45"/>
      <c r="AD451" s="45"/>
    </row>
    <row r="452" spans="1:30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5"/>
      <c r="L452" s="19"/>
      <c r="M452" s="16"/>
      <c r="O452" s="45"/>
      <c r="P452" s="45"/>
      <c r="Q452" s="45"/>
      <c r="R452" s="45"/>
      <c r="S452" s="45"/>
      <c r="T452" s="45"/>
      <c r="U452" s="45"/>
      <c r="V452" s="45"/>
      <c r="W452" s="16"/>
      <c r="X452" s="16"/>
      <c r="Y452" s="45"/>
      <c r="Z452" s="45"/>
      <c r="AA452" s="45"/>
      <c r="AB452" s="45"/>
      <c r="AC452" s="45"/>
      <c r="AD452" s="45"/>
    </row>
    <row r="453" spans="1:30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5"/>
      <c r="L453" s="19"/>
      <c r="M453" s="16"/>
      <c r="O453" s="45"/>
      <c r="P453" s="45"/>
      <c r="Q453" s="45"/>
      <c r="R453" s="45"/>
      <c r="S453" s="45"/>
      <c r="T453" s="45"/>
      <c r="U453" s="45"/>
      <c r="V453" s="45"/>
      <c r="W453" s="16"/>
      <c r="X453" s="16"/>
      <c r="Y453" s="45"/>
      <c r="Z453" s="45"/>
      <c r="AA453" s="45"/>
      <c r="AB453" s="45"/>
      <c r="AC453" s="45"/>
      <c r="AD453" s="45"/>
    </row>
    <row r="454" spans="1:30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5"/>
      <c r="L454" s="19"/>
      <c r="M454" s="16"/>
      <c r="O454" s="45"/>
      <c r="P454" s="45"/>
      <c r="Q454" s="45"/>
      <c r="R454" s="45"/>
      <c r="S454" s="45"/>
      <c r="T454" s="45"/>
      <c r="U454" s="45"/>
      <c r="V454" s="45"/>
      <c r="W454" s="16"/>
      <c r="X454" s="16"/>
      <c r="Y454" s="45"/>
      <c r="Z454" s="45"/>
      <c r="AA454" s="45"/>
      <c r="AB454" s="45"/>
      <c r="AC454" s="45"/>
      <c r="AD454" s="45"/>
    </row>
    <row r="455" spans="1:30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5"/>
      <c r="L455" s="19"/>
      <c r="M455" s="16"/>
      <c r="O455" s="45"/>
      <c r="P455" s="45"/>
      <c r="Q455" s="45"/>
      <c r="R455" s="45"/>
      <c r="S455" s="45"/>
      <c r="T455" s="45"/>
      <c r="U455" s="45"/>
      <c r="V455" s="45"/>
      <c r="W455" s="16"/>
      <c r="X455" s="16"/>
      <c r="Y455" s="45"/>
      <c r="Z455" s="45"/>
      <c r="AA455" s="45"/>
      <c r="AB455" s="45"/>
      <c r="AC455" s="45"/>
      <c r="AD455" s="45"/>
    </row>
    <row r="456" spans="1:30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5"/>
      <c r="L456" s="19"/>
      <c r="M456" s="16"/>
      <c r="O456" s="45"/>
      <c r="P456" s="45"/>
      <c r="Q456" s="45"/>
      <c r="R456" s="45"/>
      <c r="S456" s="45"/>
      <c r="T456" s="45"/>
      <c r="U456" s="45"/>
      <c r="V456" s="45"/>
      <c r="W456" s="16"/>
      <c r="X456" s="16"/>
      <c r="Y456" s="45"/>
      <c r="Z456" s="45"/>
      <c r="AA456" s="45"/>
      <c r="AB456" s="45"/>
      <c r="AC456" s="45"/>
      <c r="AD456" s="45"/>
    </row>
    <row r="457" spans="1:30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5"/>
      <c r="L457" s="19"/>
      <c r="M457" s="16"/>
      <c r="O457" s="45"/>
      <c r="P457" s="45"/>
      <c r="Q457" s="45"/>
      <c r="R457" s="45"/>
      <c r="S457" s="45"/>
      <c r="T457" s="45"/>
      <c r="U457" s="45"/>
      <c r="V457" s="45"/>
      <c r="W457" s="16"/>
      <c r="X457" s="16"/>
      <c r="Y457" s="45"/>
      <c r="Z457" s="45"/>
      <c r="AA457" s="45"/>
      <c r="AB457" s="45"/>
      <c r="AC457" s="45"/>
      <c r="AD457" s="45"/>
    </row>
    <row r="458" spans="1:30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5"/>
      <c r="L458" s="19"/>
      <c r="M458" s="16"/>
      <c r="O458" s="45"/>
      <c r="P458" s="45"/>
      <c r="Q458" s="45"/>
      <c r="R458" s="45"/>
      <c r="S458" s="45"/>
      <c r="T458" s="45"/>
      <c r="U458" s="45"/>
      <c r="V458" s="45"/>
      <c r="W458" s="16"/>
      <c r="X458" s="16"/>
      <c r="Y458" s="45"/>
      <c r="Z458" s="45"/>
      <c r="AA458" s="45"/>
      <c r="AB458" s="45"/>
      <c r="AC458" s="45"/>
      <c r="AD458" s="45"/>
    </row>
    <row r="459" spans="1:30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5"/>
      <c r="L459" s="19"/>
      <c r="M459" s="16"/>
      <c r="O459" s="45"/>
      <c r="P459" s="45"/>
      <c r="Q459" s="45"/>
      <c r="R459" s="45"/>
      <c r="S459" s="45"/>
      <c r="T459" s="45"/>
      <c r="U459" s="45"/>
      <c r="V459" s="45"/>
      <c r="W459" s="16"/>
      <c r="X459" s="16"/>
      <c r="Y459" s="45"/>
      <c r="Z459" s="45"/>
      <c r="AA459" s="45"/>
      <c r="AB459" s="45"/>
      <c r="AC459" s="45"/>
      <c r="AD459" s="45"/>
    </row>
    <row r="460" spans="1:30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5"/>
      <c r="L460" s="19"/>
      <c r="M460" s="16"/>
      <c r="O460" s="45"/>
      <c r="P460" s="45"/>
      <c r="Q460" s="45"/>
      <c r="R460" s="45"/>
      <c r="S460" s="45"/>
      <c r="T460" s="45"/>
      <c r="U460" s="45"/>
      <c r="V460" s="45"/>
      <c r="W460" s="16"/>
      <c r="X460" s="16"/>
      <c r="Y460" s="45"/>
      <c r="Z460" s="45"/>
      <c r="AA460" s="45"/>
      <c r="AB460" s="45"/>
      <c r="AC460" s="45"/>
      <c r="AD460" s="45"/>
    </row>
    <row r="461" spans="1:30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5"/>
      <c r="L461" s="19"/>
      <c r="M461" s="16"/>
      <c r="O461" s="45"/>
      <c r="P461" s="45"/>
      <c r="Q461" s="45"/>
      <c r="R461" s="45"/>
      <c r="S461" s="45"/>
      <c r="T461" s="45"/>
      <c r="U461" s="45"/>
      <c r="V461" s="45"/>
      <c r="W461" s="16"/>
      <c r="X461" s="16"/>
      <c r="Y461" s="45"/>
      <c r="Z461" s="45"/>
      <c r="AA461" s="45"/>
      <c r="AB461" s="45"/>
      <c r="AC461" s="45"/>
      <c r="AD461" s="45"/>
    </row>
    <row r="462" spans="1:30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5"/>
      <c r="L462" s="19"/>
      <c r="M462" s="16"/>
      <c r="O462" s="45"/>
      <c r="P462" s="45"/>
      <c r="Q462" s="45"/>
      <c r="R462" s="45"/>
      <c r="S462" s="45"/>
      <c r="T462" s="45"/>
      <c r="U462" s="45"/>
      <c r="V462" s="45"/>
      <c r="W462" s="16"/>
      <c r="X462" s="16"/>
      <c r="Y462" s="45"/>
      <c r="Z462" s="45"/>
      <c r="AA462" s="45"/>
      <c r="AB462" s="45"/>
      <c r="AC462" s="45"/>
      <c r="AD462" s="45"/>
    </row>
    <row r="463" spans="1:30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5"/>
      <c r="L463" s="19"/>
      <c r="M463" s="16"/>
      <c r="O463" s="45"/>
      <c r="P463" s="45"/>
      <c r="Q463" s="45"/>
      <c r="R463" s="45"/>
      <c r="S463" s="45"/>
      <c r="T463" s="45"/>
      <c r="U463" s="45"/>
      <c r="V463" s="45"/>
      <c r="W463" s="16"/>
      <c r="X463" s="16"/>
      <c r="Y463" s="45"/>
      <c r="Z463" s="45"/>
      <c r="AA463" s="45"/>
      <c r="AB463" s="45"/>
      <c r="AC463" s="45"/>
      <c r="AD463" s="45"/>
    </row>
    <row r="464" spans="1:30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5"/>
      <c r="L464" s="19"/>
      <c r="M464" s="16"/>
      <c r="O464" s="45"/>
      <c r="P464" s="45"/>
      <c r="Q464" s="45"/>
      <c r="R464" s="45"/>
      <c r="S464" s="45"/>
      <c r="T464" s="45"/>
      <c r="U464" s="45"/>
      <c r="V464" s="45"/>
      <c r="W464" s="16"/>
      <c r="X464" s="16"/>
      <c r="Y464" s="45"/>
      <c r="Z464" s="45"/>
      <c r="AA464" s="45"/>
      <c r="AB464" s="45"/>
      <c r="AC464" s="45"/>
      <c r="AD464" s="45"/>
    </row>
    <row r="465" spans="1:30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5"/>
      <c r="L465" s="19"/>
      <c r="M465" s="16"/>
      <c r="O465" s="45"/>
      <c r="P465" s="45"/>
      <c r="Q465" s="45"/>
      <c r="R465" s="45"/>
      <c r="S465" s="45"/>
      <c r="T465" s="45"/>
      <c r="U465" s="45"/>
      <c r="V465" s="45"/>
      <c r="W465" s="16"/>
      <c r="X465" s="16"/>
      <c r="Y465" s="45"/>
      <c r="Z465" s="45"/>
      <c r="AA465" s="45"/>
      <c r="AB465" s="45"/>
      <c r="AC465" s="45"/>
      <c r="AD465" s="45"/>
    </row>
    <row r="466" spans="1:30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5"/>
      <c r="L466" s="19"/>
      <c r="M466" s="16"/>
      <c r="O466" s="45"/>
      <c r="P466" s="45"/>
      <c r="Q466" s="45"/>
      <c r="R466" s="45"/>
      <c r="S466" s="45"/>
      <c r="T466" s="45"/>
      <c r="U466" s="45"/>
      <c r="V466" s="45"/>
      <c r="W466" s="16"/>
      <c r="X466" s="16"/>
      <c r="Y466" s="45"/>
      <c r="Z466" s="45"/>
      <c r="AA466" s="45"/>
      <c r="AB466" s="45"/>
      <c r="AC466" s="45"/>
      <c r="AD466" s="45"/>
    </row>
    <row r="467" spans="1:30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5"/>
      <c r="L467" s="19"/>
      <c r="M467" s="16"/>
      <c r="O467" s="45"/>
      <c r="P467" s="45"/>
      <c r="Q467" s="45"/>
      <c r="R467" s="45"/>
      <c r="S467" s="45"/>
      <c r="T467" s="45"/>
      <c r="U467" s="45"/>
      <c r="V467" s="45"/>
      <c r="W467" s="16"/>
      <c r="X467" s="16"/>
      <c r="Y467" s="45"/>
      <c r="Z467" s="45"/>
      <c r="AA467" s="45"/>
      <c r="AB467" s="45"/>
      <c r="AC467" s="45"/>
      <c r="AD467" s="45"/>
    </row>
    <row r="468" spans="1:30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5"/>
      <c r="L468" s="19"/>
      <c r="M468" s="16"/>
      <c r="O468" s="45"/>
      <c r="P468" s="45"/>
      <c r="Q468" s="45"/>
      <c r="R468" s="45"/>
      <c r="S468" s="45"/>
      <c r="T468" s="45"/>
      <c r="U468" s="45"/>
      <c r="V468" s="45"/>
      <c r="W468" s="16"/>
      <c r="X468" s="16"/>
      <c r="Y468" s="45"/>
      <c r="Z468" s="45"/>
      <c r="AA468" s="45"/>
      <c r="AB468" s="45"/>
      <c r="AC468" s="45"/>
      <c r="AD468" s="45"/>
    </row>
    <row r="469" spans="1:30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5"/>
      <c r="L469" s="19"/>
      <c r="M469" s="16"/>
      <c r="O469" s="45"/>
      <c r="P469" s="45"/>
      <c r="Q469" s="45"/>
      <c r="R469" s="45"/>
      <c r="S469" s="45"/>
      <c r="T469" s="45"/>
      <c r="U469" s="45"/>
      <c r="V469" s="45"/>
      <c r="W469" s="16"/>
      <c r="X469" s="16"/>
      <c r="Y469" s="45"/>
      <c r="Z469" s="45"/>
      <c r="AA469" s="45"/>
      <c r="AB469" s="45"/>
      <c r="AC469" s="45"/>
      <c r="AD469" s="45"/>
    </row>
    <row r="470" spans="1:30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5"/>
      <c r="L470" s="19"/>
      <c r="M470" s="16"/>
      <c r="O470" s="45"/>
      <c r="P470" s="45"/>
      <c r="Q470" s="45"/>
      <c r="R470" s="45"/>
      <c r="S470" s="45"/>
      <c r="T470" s="45"/>
      <c r="U470" s="45"/>
      <c r="V470" s="45"/>
      <c r="W470" s="16"/>
      <c r="X470" s="16"/>
      <c r="Y470" s="45"/>
      <c r="Z470" s="45"/>
      <c r="AA470" s="45"/>
      <c r="AB470" s="45"/>
      <c r="AC470" s="45"/>
      <c r="AD470" s="45"/>
    </row>
    <row r="471" spans="1:30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5"/>
      <c r="L471" s="19"/>
      <c r="M471" s="16"/>
      <c r="O471" s="45"/>
      <c r="P471" s="45"/>
      <c r="Q471" s="45"/>
      <c r="R471" s="45"/>
      <c r="S471" s="45"/>
      <c r="T471" s="45"/>
      <c r="U471" s="45"/>
      <c r="V471" s="45"/>
      <c r="W471" s="16"/>
      <c r="X471" s="16"/>
      <c r="Y471" s="45"/>
      <c r="Z471" s="45"/>
      <c r="AA471" s="45"/>
      <c r="AB471" s="45"/>
      <c r="AC471" s="45"/>
      <c r="AD471" s="45"/>
    </row>
    <row r="472" spans="1:30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5"/>
      <c r="L472" s="19"/>
      <c r="M472" s="16"/>
      <c r="O472" s="45"/>
      <c r="P472" s="45"/>
      <c r="Q472" s="45"/>
      <c r="R472" s="45"/>
      <c r="S472" s="45"/>
      <c r="T472" s="45"/>
      <c r="U472" s="45"/>
      <c r="V472" s="45"/>
      <c r="W472" s="16"/>
      <c r="X472" s="16"/>
      <c r="Y472" s="45"/>
      <c r="Z472" s="45"/>
      <c r="AA472" s="45"/>
      <c r="AB472" s="45"/>
      <c r="AC472" s="45"/>
      <c r="AD472" s="45"/>
    </row>
    <row r="473" spans="1:30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5"/>
      <c r="L473" s="19"/>
      <c r="M473" s="16"/>
      <c r="O473" s="45"/>
      <c r="P473" s="45"/>
      <c r="Q473" s="45"/>
      <c r="R473" s="45"/>
      <c r="S473" s="45"/>
      <c r="T473" s="45"/>
      <c r="U473" s="45"/>
      <c r="V473" s="45"/>
      <c r="W473" s="16"/>
      <c r="X473" s="16"/>
      <c r="Y473" s="45"/>
      <c r="Z473" s="45"/>
      <c r="AA473" s="45"/>
      <c r="AB473" s="45"/>
      <c r="AC473" s="45"/>
      <c r="AD473" s="45"/>
    </row>
    <row r="474" spans="1:30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5"/>
      <c r="L474" s="19"/>
      <c r="M474" s="16"/>
      <c r="O474" s="45"/>
      <c r="P474" s="45"/>
      <c r="Q474" s="45"/>
      <c r="R474" s="45"/>
      <c r="S474" s="45"/>
      <c r="T474" s="45"/>
      <c r="U474" s="45"/>
      <c r="V474" s="45"/>
      <c r="W474" s="16"/>
      <c r="X474" s="16"/>
      <c r="Y474" s="45"/>
      <c r="Z474" s="45"/>
      <c r="AA474" s="45"/>
      <c r="AB474" s="45"/>
      <c r="AC474" s="45"/>
      <c r="AD474" s="45"/>
    </row>
    <row r="475" spans="1:30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5"/>
      <c r="L475" s="19"/>
      <c r="M475" s="16"/>
      <c r="O475" s="45"/>
      <c r="P475" s="45"/>
      <c r="Q475" s="45"/>
      <c r="R475" s="45"/>
      <c r="S475" s="45"/>
      <c r="T475" s="45"/>
      <c r="U475" s="45"/>
      <c r="V475" s="45"/>
      <c r="W475" s="16"/>
      <c r="X475" s="16"/>
      <c r="Y475" s="45"/>
      <c r="Z475" s="45"/>
      <c r="AA475" s="45"/>
      <c r="AB475" s="45"/>
      <c r="AC475" s="45"/>
      <c r="AD475" s="45"/>
    </row>
    <row r="476" spans="1:30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5"/>
      <c r="L476" s="19"/>
      <c r="M476" s="16"/>
      <c r="O476" s="45"/>
      <c r="P476" s="45"/>
      <c r="Q476" s="45"/>
      <c r="R476" s="45"/>
      <c r="S476" s="45"/>
      <c r="T476" s="45"/>
      <c r="U476" s="45"/>
      <c r="V476" s="45"/>
      <c r="W476" s="16"/>
      <c r="X476" s="16"/>
      <c r="Y476" s="45"/>
      <c r="Z476" s="45"/>
      <c r="AA476" s="45"/>
      <c r="AB476" s="45"/>
      <c r="AC476" s="45"/>
      <c r="AD476" s="45"/>
    </row>
    <row r="477" spans="1:30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5"/>
      <c r="L477" s="19"/>
      <c r="M477" s="16"/>
      <c r="O477" s="45"/>
      <c r="P477" s="45"/>
      <c r="Q477" s="45"/>
      <c r="R477" s="45"/>
      <c r="S477" s="45"/>
      <c r="T477" s="45"/>
      <c r="U477" s="45"/>
      <c r="V477" s="45"/>
      <c r="W477" s="16"/>
      <c r="X477" s="16"/>
      <c r="Y477" s="45"/>
      <c r="Z477" s="45"/>
      <c r="AA477" s="45"/>
      <c r="AB477" s="45"/>
      <c r="AC477" s="45"/>
      <c r="AD477" s="45"/>
    </row>
    <row r="478" spans="1:30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5"/>
      <c r="L478" s="19"/>
      <c r="M478" s="16"/>
      <c r="O478" s="45"/>
      <c r="P478" s="45"/>
      <c r="Q478" s="45"/>
      <c r="R478" s="45"/>
      <c r="S478" s="45"/>
      <c r="T478" s="45"/>
      <c r="U478" s="45"/>
      <c r="V478" s="45"/>
      <c r="W478" s="16"/>
      <c r="X478" s="16"/>
      <c r="Y478" s="45"/>
      <c r="Z478" s="45"/>
      <c r="AA478" s="45"/>
      <c r="AB478" s="45"/>
      <c r="AC478" s="45"/>
      <c r="AD478" s="45"/>
    </row>
    <row r="479" spans="1:30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5"/>
      <c r="L479" s="19"/>
      <c r="M479" s="16"/>
      <c r="O479" s="45"/>
      <c r="P479" s="45"/>
      <c r="Q479" s="45"/>
      <c r="R479" s="45"/>
      <c r="S479" s="45"/>
      <c r="T479" s="45"/>
      <c r="U479" s="45"/>
      <c r="V479" s="45"/>
      <c r="W479" s="16"/>
      <c r="X479" s="16"/>
      <c r="Y479" s="45"/>
      <c r="Z479" s="45"/>
      <c r="AA479" s="45"/>
      <c r="AB479" s="45"/>
      <c r="AC479" s="45"/>
      <c r="AD479" s="45"/>
    </row>
    <row r="480" spans="1:30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5"/>
      <c r="L480" s="19"/>
      <c r="M480" s="16"/>
      <c r="O480" s="45"/>
      <c r="P480" s="45"/>
      <c r="Q480" s="45"/>
      <c r="R480" s="45"/>
      <c r="S480" s="45"/>
      <c r="T480" s="45"/>
      <c r="U480" s="45"/>
      <c r="V480" s="45"/>
      <c r="W480" s="16"/>
      <c r="X480" s="16"/>
      <c r="Y480" s="45"/>
      <c r="Z480" s="45"/>
      <c r="AA480" s="45"/>
      <c r="AB480" s="45"/>
      <c r="AC480" s="45"/>
      <c r="AD480" s="45"/>
    </row>
    <row r="481" spans="1:30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5"/>
      <c r="L481" s="19"/>
      <c r="M481" s="16"/>
      <c r="O481" s="45"/>
      <c r="P481" s="45"/>
      <c r="Q481" s="45"/>
      <c r="R481" s="45"/>
      <c r="S481" s="45"/>
      <c r="T481" s="45"/>
      <c r="U481" s="45"/>
      <c r="V481" s="45"/>
      <c r="W481" s="16"/>
      <c r="X481" s="16"/>
      <c r="Y481" s="45"/>
      <c r="Z481" s="45"/>
      <c r="AA481" s="45"/>
      <c r="AB481" s="45"/>
      <c r="AC481" s="45"/>
      <c r="AD481" s="45"/>
    </row>
    <row r="482" spans="1:30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5"/>
      <c r="L482" s="19"/>
      <c r="M482" s="16"/>
      <c r="O482" s="45"/>
      <c r="P482" s="45"/>
      <c r="Q482" s="45"/>
      <c r="R482" s="45"/>
      <c r="S482" s="45"/>
      <c r="T482" s="45"/>
      <c r="U482" s="45"/>
      <c r="V482" s="45"/>
      <c r="W482" s="16"/>
      <c r="X482" s="16"/>
      <c r="Y482" s="45"/>
      <c r="Z482" s="45"/>
      <c r="AA482" s="45"/>
      <c r="AB482" s="45"/>
      <c r="AC482" s="45"/>
      <c r="AD482" s="45"/>
    </row>
    <row r="483" spans="1:30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5"/>
      <c r="L483" s="19"/>
      <c r="M483" s="16"/>
      <c r="O483" s="45"/>
      <c r="P483" s="45"/>
      <c r="Q483" s="45"/>
      <c r="R483" s="45"/>
      <c r="S483" s="45"/>
      <c r="T483" s="45"/>
      <c r="U483" s="45"/>
      <c r="V483" s="45"/>
      <c r="W483" s="16"/>
      <c r="X483" s="16"/>
      <c r="Y483" s="45"/>
      <c r="Z483" s="45"/>
      <c r="AA483" s="45"/>
      <c r="AB483" s="45"/>
      <c r="AC483" s="45"/>
      <c r="AD483" s="45"/>
    </row>
    <row r="484" spans="1:30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5"/>
      <c r="L484" s="19"/>
      <c r="M484" s="16"/>
      <c r="O484" s="45"/>
      <c r="P484" s="45"/>
      <c r="Q484" s="45"/>
      <c r="R484" s="45"/>
      <c r="S484" s="45"/>
      <c r="T484" s="45"/>
      <c r="U484" s="45"/>
      <c r="V484" s="45"/>
      <c r="W484" s="16"/>
      <c r="X484" s="16"/>
      <c r="Y484" s="45"/>
      <c r="Z484" s="45"/>
      <c r="AA484" s="45"/>
      <c r="AB484" s="45"/>
      <c r="AC484" s="45"/>
      <c r="AD484" s="45"/>
    </row>
    <row r="485" spans="1:30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5"/>
      <c r="L485" s="19"/>
      <c r="M485" s="16"/>
      <c r="O485" s="45"/>
      <c r="P485" s="45"/>
      <c r="Q485" s="45"/>
      <c r="R485" s="45"/>
      <c r="S485" s="45"/>
      <c r="T485" s="45"/>
      <c r="U485" s="45"/>
      <c r="V485" s="45"/>
      <c r="W485" s="16"/>
      <c r="X485" s="16"/>
      <c r="Y485" s="45"/>
      <c r="Z485" s="45"/>
      <c r="AA485" s="45"/>
      <c r="AB485" s="45"/>
      <c r="AC485" s="45"/>
      <c r="AD485" s="45"/>
    </row>
    <row r="486" spans="1:30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5"/>
      <c r="L486" s="19"/>
      <c r="M486" s="16"/>
      <c r="O486" s="45"/>
      <c r="P486" s="45"/>
      <c r="Q486" s="45"/>
      <c r="R486" s="45"/>
      <c r="S486" s="45"/>
      <c r="T486" s="45"/>
      <c r="U486" s="45"/>
      <c r="V486" s="45"/>
      <c r="W486" s="16"/>
      <c r="X486" s="16"/>
      <c r="Y486" s="45"/>
      <c r="Z486" s="45"/>
      <c r="AA486" s="45"/>
      <c r="AB486" s="45"/>
      <c r="AC486" s="45"/>
      <c r="AD486" s="45"/>
    </row>
    <row r="487" spans="1:30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5"/>
      <c r="L487" s="19"/>
      <c r="M487" s="16"/>
      <c r="O487" s="45"/>
      <c r="P487" s="45"/>
      <c r="Q487" s="45"/>
      <c r="R487" s="45"/>
      <c r="S487" s="45"/>
      <c r="T487" s="45"/>
      <c r="U487" s="45"/>
      <c r="V487" s="45"/>
      <c r="W487" s="16"/>
      <c r="X487" s="16"/>
      <c r="Y487" s="45"/>
      <c r="Z487" s="45"/>
      <c r="AA487" s="45"/>
      <c r="AB487" s="45"/>
      <c r="AC487" s="45"/>
      <c r="AD487" s="45"/>
    </row>
    <row r="488" spans="1:30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5"/>
      <c r="L488" s="19"/>
      <c r="M488" s="16"/>
      <c r="O488" s="45"/>
      <c r="P488" s="45"/>
      <c r="Q488" s="45"/>
      <c r="R488" s="45"/>
      <c r="S488" s="45"/>
      <c r="T488" s="45"/>
      <c r="U488" s="45"/>
      <c r="V488" s="45"/>
      <c r="W488" s="16"/>
      <c r="X488" s="16"/>
      <c r="Y488" s="45"/>
      <c r="Z488" s="45"/>
      <c r="AA488" s="45"/>
      <c r="AB488" s="45"/>
      <c r="AC488" s="45"/>
      <c r="AD488" s="45"/>
    </row>
    <row r="489" spans="1:30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5"/>
      <c r="L489" s="19"/>
      <c r="M489" s="16"/>
      <c r="O489" s="45"/>
      <c r="P489" s="45"/>
      <c r="Q489" s="45"/>
      <c r="R489" s="45"/>
      <c r="S489" s="45"/>
      <c r="T489" s="45"/>
      <c r="U489" s="45"/>
      <c r="V489" s="45"/>
      <c r="W489" s="16"/>
      <c r="X489" s="16"/>
      <c r="Y489" s="45"/>
      <c r="Z489" s="45"/>
      <c r="AA489" s="45"/>
      <c r="AB489" s="45"/>
      <c r="AC489" s="45"/>
      <c r="AD489" s="45"/>
    </row>
    <row r="490" spans="1:30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5"/>
      <c r="L490" s="19"/>
      <c r="M490" s="16"/>
      <c r="O490" s="45"/>
      <c r="P490" s="45"/>
      <c r="Q490" s="45"/>
      <c r="R490" s="45"/>
      <c r="S490" s="45"/>
      <c r="T490" s="45"/>
      <c r="U490" s="45"/>
      <c r="V490" s="45"/>
      <c r="W490" s="16"/>
      <c r="X490" s="16"/>
      <c r="Y490" s="45"/>
      <c r="Z490" s="45"/>
      <c r="AA490" s="45"/>
      <c r="AB490" s="45"/>
      <c r="AC490" s="45"/>
      <c r="AD490" s="45"/>
    </row>
    <row r="491" spans="1:30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5"/>
      <c r="L491" s="19"/>
      <c r="M491" s="16"/>
      <c r="O491" s="45"/>
      <c r="P491" s="45"/>
      <c r="Q491" s="45"/>
      <c r="R491" s="45"/>
      <c r="S491" s="45"/>
      <c r="T491" s="45"/>
      <c r="U491" s="45"/>
      <c r="V491" s="45"/>
      <c r="W491" s="16"/>
      <c r="X491" s="16"/>
      <c r="Y491" s="45"/>
      <c r="Z491" s="45"/>
      <c r="AA491" s="45"/>
      <c r="AB491" s="45"/>
      <c r="AC491" s="45"/>
      <c r="AD491" s="45"/>
    </row>
    <row r="492" spans="1:30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5"/>
      <c r="L492" s="19"/>
      <c r="M492" s="16"/>
      <c r="O492" s="45"/>
      <c r="P492" s="45"/>
      <c r="Q492" s="45"/>
      <c r="R492" s="45"/>
      <c r="S492" s="45"/>
      <c r="T492" s="45"/>
      <c r="U492" s="45"/>
      <c r="V492" s="45"/>
      <c r="W492" s="16"/>
      <c r="X492" s="16"/>
      <c r="Y492" s="45"/>
      <c r="Z492" s="45"/>
      <c r="AA492" s="45"/>
      <c r="AB492" s="45"/>
      <c r="AC492" s="45"/>
      <c r="AD492" s="45"/>
    </row>
    <row r="493" spans="1:30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5"/>
      <c r="L493" s="19"/>
      <c r="M493" s="16"/>
      <c r="O493" s="45"/>
      <c r="P493" s="45"/>
      <c r="Q493" s="45"/>
      <c r="R493" s="45"/>
      <c r="S493" s="45"/>
      <c r="T493" s="45"/>
      <c r="U493" s="45"/>
      <c r="V493" s="45"/>
      <c r="W493" s="16"/>
      <c r="X493" s="16"/>
      <c r="Y493" s="45"/>
      <c r="Z493" s="45"/>
      <c r="AA493" s="45"/>
      <c r="AB493" s="45"/>
      <c r="AC493" s="45"/>
      <c r="AD493" s="45"/>
    </row>
    <row r="494" spans="1:30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5"/>
      <c r="L494" s="19"/>
      <c r="M494" s="16"/>
      <c r="O494" s="45"/>
      <c r="P494" s="45"/>
      <c r="Q494" s="45"/>
      <c r="R494" s="45"/>
      <c r="S494" s="45"/>
      <c r="T494" s="45"/>
      <c r="U494" s="45"/>
      <c r="V494" s="45"/>
      <c r="W494" s="16"/>
      <c r="X494" s="16"/>
      <c r="Y494" s="45"/>
      <c r="Z494" s="45"/>
      <c r="AA494" s="45"/>
      <c r="AB494" s="45"/>
      <c r="AC494" s="45"/>
      <c r="AD494" s="45"/>
    </row>
    <row r="495" spans="1:30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5"/>
      <c r="L495" s="19"/>
      <c r="M495" s="16"/>
      <c r="O495" s="45"/>
      <c r="P495" s="45"/>
      <c r="Q495" s="45"/>
      <c r="R495" s="45"/>
      <c r="S495" s="45"/>
      <c r="T495" s="45"/>
      <c r="U495" s="45"/>
      <c r="V495" s="45"/>
      <c r="W495" s="16"/>
      <c r="X495" s="16"/>
      <c r="Y495" s="45"/>
      <c r="Z495" s="45"/>
      <c r="AA495" s="45"/>
      <c r="AB495" s="45"/>
      <c r="AC495" s="45"/>
      <c r="AD495" s="45"/>
    </row>
    <row r="496" spans="1:30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5"/>
      <c r="L496" s="19"/>
      <c r="M496" s="16"/>
      <c r="O496" s="45"/>
      <c r="P496" s="45"/>
      <c r="Q496" s="45"/>
      <c r="R496" s="45"/>
      <c r="S496" s="45"/>
      <c r="T496" s="45"/>
      <c r="U496" s="45"/>
      <c r="V496" s="45"/>
      <c r="W496" s="16"/>
      <c r="X496" s="16"/>
      <c r="Y496" s="45"/>
      <c r="Z496" s="45"/>
      <c r="AA496" s="45"/>
      <c r="AB496" s="45"/>
      <c r="AC496" s="45"/>
      <c r="AD496" s="45"/>
    </row>
    <row r="497" spans="1:30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5"/>
      <c r="L497" s="19"/>
      <c r="M497" s="16"/>
      <c r="O497" s="45"/>
      <c r="P497" s="45"/>
      <c r="Q497" s="45"/>
      <c r="R497" s="45"/>
      <c r="S497" s="45"/>
      <c r="T497" s="45"/>
      <c r="U497" s="45"/>
      <c r="V497" s="45"/>
      <c r="W497" s="16"/>
      <c r="X497" s="16"/>
      <c r="Y497" s="45"/>
      <c r="Z497" s="45"/>
      <c r="AA497" s="45"/>
      <c r="AB497" s="45"/>
      <c r="AC497" s="45"/>
      <c r="AD497" s="45"/>
    </row>
    <row r="498" spans="1:30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5"/>
      <c r="L498" s="19"/>
      <c r="M498" s="16"/>
      <c r="O498" s="45"/>
      <c r="P498" s="45"/>
      <c r="Q498" s="45"/>
      <c r="R498" s="45"/>
      <c r="S498" s="45"/>
      <c r="T498" s="45"/>
      <c r="U498" s="45"/>
      <c r="V498" s="45"/>
      <c r="W498" s="16"/>
      <c r="X498" s="16"/>
      <c r="Y498" s="45"/>
      <c r="Z498" s="45"/>
      <c r="AA498" s="45"/>
      <c r="AB498" s="45"/>
      <c r="AC498" s="45"/>
      <c r="AD498" s="45"/>
    </row>
    <row r="499" spans="1:30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5"/>
      <c r="L499" s="19"/>
      <c r="M499" s="16"/>
      <c r="O499" s="45"/>
      <c r="P499" s="45"/>
      <c r="Q499" s="45"/>
      <c r="R499" s="45"/>
      <c r="S499" s="45"/>
      <c r="T499" s="45"/>
      <c r="U499" s="45"/>
      <c r="V499" s="45"/>
      <c r="W499" s="16"/>
      <c r="X499" s="16"/>
      <c r="Y499" s="45"/>
      <c r="Z499" s="45"/>
      <c r="AA499" s="45"/>
      <c r="AB499" s="45"/>
      <c r="AC499" s="45"/>
      <c r="AD499" s="45"/>
    </row>
    <row r="500" spans="1:30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5"/>
      <c r="L500" s="19"/>
      <c r="M500" s="16"/>
      <c r="O500" s="45"/>
      <c r="P500" s="45"/>
      <c r="Q500" s="45"/>
      <c r="R500" s="45"/>
      <c r="S500" s="45"/>
      <c r="T500" s="45"/>
      <c r="U500" s="45"/>
      <c r="V500" s="45"/>
      <c r="W500" s="16"/>
      <c r="X500" s="16"/>
      <c r="Y500" s="45"/>
      <c r="Z500" s="45"/>
      <c r="AA500" s="45"/>
      <c r="AB500" s="45"/>
      <c r="AC500" s="45"/>
      <c r="AD500" s="45"/>
    </row>
    <row r="501" spans="1:30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5"/>
      <c r="L501" s="19"/>
      <c r="M501" s="16"/>
      <c r="O501" s="45"/>
      <c r="P501" s="45"/>
      <c r="Q501" s="45"/>
      <c r="R501" s="45"/>
      <c r="S501" s="45"/>
      <c r="T501" s="45"/>
      <c r="U501" s="45"/>
      <c r="V501" s="45"/>
      <c r="W501" s="16"/>
      <c r="X501" s="16"/>
      <c r="Y501" s="45"/>
      <c r="Z501" s="45"/>
      <c r="AA501" s="45"/>
      <c r="AB501" s="45"/>
      <c r="AC501" s="45"/>
      <c r="AD501" s="45"/>
    </row>
    <row r="502" spans="1:30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5"/>
      <c r="L502" s="19"/>
      <c r="M502" s="16"/>
      <c r="O502" s="45"/>
      <c r="P502" s="45"/>
      <c r="Q502" s="45"/>
      <c r="R502" s="45"/>
      <c r="S502" s="45"/>
      <c r="T502" s="45"/>
      <c r="U502" s="45"/>
      <c r="V502" s="45"/>
      <c r="W502" s="16"/>
      <c r="X502" s="16"/>
      <c r="Y502" s="45"/>
      <c r="Z502" s="45"/>
      <c r="AA502" s="45"/>
      <c r="AB502" s="45"/>
      <c r="AC502" s="45"/>
      <c r="AD502" s="45"/>
    </row>
    <row r="503" spans="1:30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5"/>
      <c r="L503" s="19"/>
      <c r="M503" s="16"/>
      <c r="O503" s="45"/>
      <c r="P503" s="45"/>
      <c r="Q503" s="45"/>
      <c r="R503" s="45"/>
      <c r="S503" s="45"/>
      <c r="T503" s="45"/>
      <c r="U503" s="45"/>
      <c r="V503" s="45"/>
      <c r="W503" s="16"/>
      <c r="X503" s="16"/>
      <c r="Y503" s="45"/>
      <c r="Z503" s="45"/>
      <c r="AA503" s="45"/>
      <c r="AB503" s="45"/>
      <c r="AC503" s="45"/>
      <c r="AD503" s="45"/>
    </row>
    <row r="504" spans="1:30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5"/>
      <c r="L504" s="19"/>
      <c r="M504" s="16"/>
      <c r="O504" s="45"/>
      <c r="P504" s="45"/>
      <c r="Q504" s="45"/>
      <c r="R504" s="45"/>
      <c r="S504" s="45"/>
      <c r="T504" s="45"/>
      <c r="U504" s="45"/>
      <c r="V504" s="45"/>
      <c r="W504" s="16"/>
      <c r="X504" s="16"/>
      <c r="Y504" s="45"/>
      <c r="Z504" s="45"/>
      <c r="AA504" s="45"/>
      <c r="AB504" s="45"/>
      <c r="AC504" s="45"/>
      <c r="AD504" s="45"/>
    </row>
    <row r="505" spans="1:30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5"/>
      <c r="L505" s="19"/>
      <c r="M505" s="16"/>
      <c r="O505" s="45"/>
      <c r="P505" s="45"/>
      <c r="Q505" s="45"/>
      <c r="R505" s="45"/>
      <c r="S505" s="45"/>
      <c r="T505" s="45"/>
      <c r="U505" s="45"/>
      <c r="V505" s="45"/>
      <c r="W505" s="16"/>
      <c r="X505" s="16"/>
      <c r="Y505" s="45"/>
      <c r="Z505" s="45"/>
      <c r="AA505" s="45"/>
      <c r="AB505" s="45"/>
      <c r="AC505" s="45"/>
      <c r="AD505" s="45"/>
    </row>
    <row r="506" spans="1:30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5"/>
      <c r="L506" s="19"/>
      <c r="M506" s="16"/>
      <c r="O506" s="45"/>
      <c r="P506" s="45"/>
      <c r="Q506" s="45"/>
      <c r="R506" s="45"/>
      <c r="S506" s="45"/>
      <c r="T506" s="45"/>
      <c r="U506" s="45"/>
      <c r="V506" s="45"/>
      <c r="W506" s="16"/>
      <c r="X506" s="16"/>
      <c r="Y506" s="45"/>
      <c r="Z506" s="45"/>
      <c r="AA506" s="45"/>
      <c r="AB506" s="45"/>
      <c r="AC506" s="45"/>
      <c r="AD506" s="45"/>
    </row>
    <row r="507" spans="1:30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5"/>
      <c r="L507" s="19"/>
      <c r="M507" s="16"/>
      <c r="O507" s="45"/>
      <c r="P507" s="45"/>
      <c r="Q507" s="45"/>
      <c r="R507" s="45"/>
      <c r="S507" s="45"/>
      <c r="T507" s="45"/>
      <c r="U507" s="45"/>
      <c r="V507" s="45"/>
      <c r="W507" s="16"/>
      <c r="X507" s="16"/>
      <c r="Y507" s="45"/>
      <c r="Z507" s="45"/>
      <c r="AA507" s="45"/>
      <c r="AB507" s="45"/>
      <c r="AC507" s="45"/>
      <c r="AD507" s="45"/>
    </row>
    <row r="508" spans="1:30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5"/>
      <c r="L508" s="19"/>
      <c r="M508" s="16"/>
      <c r="O508" s="45"/>
      <c r="P508" s="45"/>
      <c r="Q508" s="45"/>
      <c r="R508" s="45"/>
      <c r="S508" s="45"/>
      <c r="T508" s="45"/>
      <c r="U508" s="45"/>
      <c r="V508" s="45"/>
      <c r="W508" s="16"/>
      <c r="X508" s="16"/>
      <c r="Y508" s="45"/>
      <c r="Z508" s="45"/>
      <c r="AA508" s="45"/>
      <c r="AB508" s="45"/>
      <c r="AC508" s="45"/>
      <c r="AD508" s="45"/>
    </row>
    <row r="509" spans="1:30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5"/>
      <c r="L509" s="19"/>
      <c r="M509" s="16"/>
      <c r="O509" s="45"/>
      <c r="P509" s="45"/>
      <c r="Q509" s="45"/>
      <c r="R509" s="45"/>
      <c r="S509" s="45"/>
      <c r="T509" s="45"/>
      <c r="U509" s="45"/>
      <c r="V509" s="45"/>
      <c r="W509" s="16"/>
      <c r="X509" s="16"/>
      <c r="Y509" s="45"/>
      <c r="Z509" s="45"/>
      <c r="AA509" s="45"/>
      <c r="AB509" s="45"/>
      <c r="AC509" s="45"/>
      <c r="AD509" s="45"/>
    </row>
    <row r="510" spans="1:30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5"/>
      <c r="L510" s="19"/>
      <c r="M510" s="16"/>
      <c r="O510" s="45"/>
      <c r="P510" s="45"/>
      <c r="Q510" s="45"/>
      <c r="R510" s="45"/>
      <c r="S510" s="45"/>
      <c r="T510" s="45"/>
      <c r="U510" s="45"/>
      <c r="V510" s="45"/>
      <c r="W510" s="16"/>
      <c r="X510" s="16"/>
      <c r="Y510" s="45"/>
      <c r="Z510" s="45"/>
      <c r="AA510" s="45"/>
      <c r="AB510" s="45"/>
      <c r="AC510" s="45"/>
      <c r="AD510" s="45"/>
    </row>
    <row r="511" spans="1:30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5"/>
      <c r="L511" s="19"/>
      <c r="M511" s="16"/>
      <c r="O511" s="45"/>
      <c r="P511" s="45"/>
      <c r="Q511" s="45"/>
      <c r="R511" s="45"/>
      <c r="S511" s="45"/>
      <c r="T511" s="45"/>
      <c r="U511" s="45"/>
      <c r="V511" s="45"/>
      <c r="W511" s="16"/>
      <c r="X511" s="16"/>
      <c r="Y511" s="45"/>
      <c r="Z511" s="45"/>
      <c r="AA511" s="45"/>
      <c r="AB511" s="45"/>
      <c r="AC511" s="45"/>
      <c r="AD511" s="45"/>
    </row>
    <row r="512" spans="1:30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5"/>
      <c r="L512" s="19"/>
      <c r="M512" s="16"/>
      <c r="O512" s="45"/>
      <c r="P512" s="45"/>
      <c r="Q512" s="45"/>
      <c r="R512" s="45"/>
      <c r="S512" s="45"/>
      <c r="T512" s="45"/>
      <c r="U512" s="45"/>
      <c r="V512" s="45"/>
      <c r="W512" s="16"/>
      <c r="X512" s="16"/>
      <c r="Y512" s="45"/>
      <c r="Z512" s="45"/>
      <c r="AA512" s="45"/>
      <c r="AB512" s="45"/>
      <c r="AC512" s="45"/>
      <c r="AD512" s="45"/>
    </row>
    <row r="513" spans="1:30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5"/>
      <c r="L513" s="19"/>
      <c r="M513" s="16"/>
      <c r="O513" s="45"/>
      <c r="P513" s="45"/>
      <c r="Q513" s="45"/>
      <c r="R513" s="45"/>
      <c r="S513" s="45"/>
      <c r="T513" s="45"/>
      <c r="U513" s="45"/>
      <c r="V513" s="45"/>
      <c r="W513" s="16"/>
      <c r="X513" s="16"/>
      <c r="Y513" s="45"/>
      <c r="Z513" s="45"/>
      <c r="AA513" s="45"/>
      <c r="AB513" s="45"/>
      <c r="AC513" s="45"/>
      <c r="AD513" s="45"/>
    </row>
    <row r="514" spans="1:30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5"/>
      <c r="L514" s="19"/>
      <c r="M514" s="16"/>
      <c r="O514" s="45"/>
      <c r="P514" s="45"/>
      <c r="Q514" s="45"/>
      <c r="R514" s="45"/>
      <c r="S514" s="45"/>
      <c r="T514" s="45"/>
      <c r="U514" s="45"/>
      <c r="V514" s="45"/>
      <c r="W514" s="16"/>
      <c r="X514" s="16"/>
      <c r="Y514" s="45"/>
      <c r="Z514" s="45"/>
      <c r="AA514" s="45"/>
      <c r="AB514" s="45"/>
      <c r="AC514" s="45"/>
      <c r="AD514" s="45"/>
    </row>
    <row r="515" spans="1:30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5"/>
      <c r="L515" s="19"/>
      <c r="M515" s="16"/>
      <c r="O515" s="45"/>
      <c r="P515" s="45"/>
      <c r="Q515" s="45"/>
      <c r="R515" s="45"/>
      <c r="S515" s="45"/>
      <c r="T515" s="45"/>
      <c r="U515" s="45"/>
      <c r="V515" s="45"/>
      <c r="W515" s="16"/>
      <c r="X515" s="16"/>
      <c r="Y515" s="45"/>
      <c r="Z515" s="45"/>
      <c r="AA515" s="45"/>
      <c r="AB515" s="45"/>
      <c r="AC515" s="45"/>
      <c r="AD515" s="45"/>
    </row>
    <row r="516" spans="1:30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5"/>
      <c r="L516" s="19"/>
      <c r="M516" s="16"/>
      <c r="O516" s="45"/>
      <c r="P516" s="45"/>
      <c r="Q516" s="45"/>
      <c r="R516" s="45"/>
      <c r="S516" s="45"/>
      <c r="T516" s="45"/>
      <c r="U516" s="45"/>
      <c r="V516" s="45"/>
      <c r="W516" s="16"/>
      <c r="X516" s="16"/>
      <c r="Y516" s="45"/>
      <c r="Z516" s="45"/>
      <c r="AA516" s="45"/>
      <c r="AB516" s="45"/>
      <c r="AC516" s="45"/>
      <c r="AD516" s="45"/>
    </row>
    <row r="517" spans="1:30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5"/>
      <c r="L517" s="19"/>
      <c r="M517" s="16"/>
      <c r="O517" s="45"/>
      <c r="P517" s="45"/>
      <c r="Q517" s="45"/>
      <c r="R517" s="45"/>
      <c r="S517" s="45"/>
      <c r="T517" s="45"/>
      <c r="U517" s="45"/>
      <c r="V517" s="45"/>
      <c r="W517" s="16"/>
      <c r="X517" s="16"/>
      <c r="Y517" s="45"/>
      <c r="Z517" s="45"/>
      <c r="AA517" s="45"/>
      <c r="AB517" s="45"/>
      <c r="AC517" s="45"/>
      <c r="AD517" s="45"/>
    </row>
    <row r="518" spans="1:30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5"/>
      <c r="L518" s="19"/>
      <c r="M518" s="16"/>
      <c r="O518" s="45"/>
      <c r="P518" s="45"/>
      <c r="Q518" s="45"/>
      <c r="R518" s="45"/>
      <c r="S518" s="45"/>
      <c r="T518" s="45"/>
      <c r="U518" s="45"/>
      <c r="V518" s="45"/>
      <c r="W518" s="16"/>
      <c r="X518" s="16"/>
      <c r="Y518" s="45"/>
      <c r="Z518" s="45"/>
      <c r="AA518" s="45"/>
      <c r="AB518" s="45"/>
      <c r="AC518" s="45"/>
      <c r="AD518" s="45"/>
    </row>
    <row r="519" spans="1:30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5"/>
      <c r="L519" s="19"/>
      <c r="M519" s="16"/>
      <c r="O519" s="45"/>
      <c r="P519" s="45"/>
      <c r="Q519" s="45"/>
      <c r="R519" s="45"/>
      <c r="S519" s="45"/>
      <c r="T519" s="45"/>
      <c r="U519" s="45"/>
      <c r="V519" s="45"/>
      <c r="W519" s="16"/>
      <c r="X519" s="16"/>
      <c r="Y519" s="45"/>
      <c r="Z519" s="45"/>
      <c r="AA519" s="45"/>
      <c r="AB519" s="45"/>
      <c r="AC519" s="45"/>
      <c r="AD519" s="45"/>
    </row>
    <row r="520" spans="1:30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5"/>
      <c r="L520" s="19"/>
      <c r="M520" s="16"/>
      <c r="O520" s="45"/>
      <c r="P520" s="45"/>
      <c r="Q520" s="45"/>
      <c r="R520" s="45"/>
      <c r="S520" s="45"/>
      <c r="T520" s="45"/>
      <c r="U520" s="45"/>
      <c r="V520" s="45"/>
      <c r="W520" s="16"/>
      <c r="X520" s="16"/>
      <c r="Y520" s="45"/>
      <c r="Z520" s="45"/>
      <c r="AA520" s="45"/>
      <c r="AB520" s="45"/>
      <c r="AC520" s="45"/>
      <c r="AD520" s="45"/>
    </row>
    <row r="521" spans="1:30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5"/>
      <c r="L521" s="19"/>
      <c r="M521" s="16"/>
      <c r="O521" s="45"/>
      <c r="P521" s="45"/>
      <c r="Q521" s="45"/>
      <c r="R521" s="45"/>
      <c r="S521" s="45"/>
      <c r="T521" s="45"/>
      <c r="U521" s="45"/>
      <c r="V521" s="45"/>
      <c r="W521" s="16"/>
      <c r="X521" s="16"/>
      <c r="Y521" s="45"/>
      <c r="Z521" s="45"/>
      <c r="AA521" s="45"/>
      <c r="AB521" s="45"/>
      <c r="AC521" s="45"/>
      <c r="AD521" s="45"/>
    </row>
    <row r="522" spans="1:30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5"/>
      <c r="L522" s="19"/>
      <c r="M522" s="16"/>
      <c r="O522" s="45"/>
      <c r="P522" s="45"/>
      <c r="Q522" s="45"/>
      <c r="R522" s="45"/>
      <c r="S522" s="45"/>
      <c r="T522" s="45"/>
      <c r="U522" s="45"/>
      <c r="V522" s="45"/>
      <c r="W522" s="16"/>
      <c r="X522" s="16"/>
      <c r="Y522" s="45"/>
      <c r="Z522" s="45"/>
      <c r="AA522" s="45"/>
      <c r="AB522" s="45"/>
      <c r="AC522" s="45"/>
      <c r="AD522" s="45"/>
    </row>
    <row r="523" spans="1:30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5"/>
      <c r="L523" s="19"/>
      <c r="M523" s="16"/>
      <c r="O523" s="45"/>
      <c r="P523" s="45"/>
      <c r="Q523" s="45"/>
      <c r="R523" s="45"/>
      <c r="S523" s="45"/>
      <c r="T523" s="45"/>
      <c r="U523" s="45"/>
      <c r="V523" s="45"/>
      <c r="W523" s="16"/>
      <c r="X523" s="16"/>
      <c r="Y523" s="45"/>
      <c r="Z523" s="45"/>
      <c r="AA523" s="45"/>
      <c r="AB523" s="45"/>
      <c r="AC523" s="45"/>
      <c r="AD523" s="45"/>
    </row>
    <row r="524" spans="1:30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5"/>
      <c r="L524" s="19"/>
      <c r="M524" s="16"/>
      <c r="O524" s="45"/>
      <c r="P524" s="45"/>
      <c r="Q524" s="45"/>
      <c r="R524" s="45"/>
      <c r="S524" s="45"/>
      <c r="T524" s="45"/>
      <c r="U524" s="45"/>
      <c r="V524" s="45"/>
      <c r="W524" s="16"/>
      <c r="X524" s="16"/>
      <c r="Y524" s="45"/>
      <c r="Z524" s="45"/>
      <c r="AA524" s="45"/>
      <c r="AB524" s="45"/>
      <c r="AC524" s="45"/>
      <c r="AD524" s="45"/>
    </row>
    <row r="525" spans="1:30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5"/>
      <c r="L525" s="19"/>
      <c r="M525" s="16"/>
      <c r="O525" s="45"/>
      <c r="P525" s="45"/>
      <c r="Q525" s="45"/>
      <c r="R525" s="45"/>
      <c r="S525" s="45"/>
      <c r="T525" s="45"/>
      <c r="U525" s="45"/>
      <c r="V525" s="45"/>
      <c r="W525" s="16"/>
      <c r="X525" s="16"/>
      <c r="Y525" s="45"/>
      <c r="Z525" s="45"/>
      <c r="AA525" s="45"/>
      <c r="AB525" s="45"/>
      <c r="AC525" s="45"/>
      <c r="AD525" s="45"/>
    </row>
    <row r="526" spans="1:30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5"/>
      <c r="L526" s="19"/>
      <c r="M526" s="16"/>
      <c r="O526" s="45"/>
      <c r="P526" s="45"/>
      <c r="Q526" s="45"/>
      <c r="R526" s="45"/>
      <c r="S526" s="45"/>
      <c r="T526" s="45"/>
      <c r="U526" s="45"/>
      <c r="V526" s="45"/>
      <c r="W526" s="16"/>
      <c r="X526" s="16"/>
      <c r="Y526" s="45"/>
      <c r="Z526" s="45"/>
      <c r="AA526" s="45"/>
      <c r="AB526" s="45"/>
      <c r="AC526" s="45"/>
      <c r="AD526" s="45"/>
    </row>
    <row r="527" spans="1:30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5"/>
      <c r="L527" s="19"/>
      <c r="M527" s="16"/>
      <c r="O527" s="45"/>
      <c r="P527" s="45"/>
      <c r="Q527" s="45"/>
      <c r="R527" s="45"/>
      <c r="S527" s="45"/>
      <c r="T527" s="45"/>
      <c r="U527" s="45"/>
      <c r="V527" s="45"/>
      <c r="W527" s="16"/>
      <c r="X527" s="16"/>
      <c r="Y527" s="45"/>
      <c r="Z527" s="45"/>
      <c r="AA527" s="45"/>
      <c r="AB527" s="45"/>
      <c r="AC527" s="45"/>
      <c r="AD527" s="45"/>
    </row>
    <row r="528" spans="1:30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5"/>
      <c r="L528" s="19"/>
      <c r="M528" s="16"/>
      <c r="O528" s="45"/>
      <c r="P528" s="45"/>
      <c r="Q528" s="45"/>
      <c r="R528" s="45"/>
      <c r="S528" s="45"/>
      <c r="T528" s="45"/>
      <c r="U528" s="45"/>
      <c r="V528" s="45"/>
      <c r="W528" s="16"/>
      <c r="X528" s="16"/>
      <c r="Y528" s="45"/>
      <c r="Z528" s="45"/>
      <c r="AA528" s="45"/>
      <c r="AB528" s="45"/>
      <c r="AC528" s="45"/>
      <c r="AD528" s="45"/>
    </row>
    <row r="529" spans="1:30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5"/>
      <c r="L529" s="19"/>
      <c r="M529" s="16"/>
      <c r="O529" s="45"/>
      <c r="P529" s="45"/>
      <c r="Q529" s="45"/>
      <c r="R529" s="45"/>
      <c r="S529" s="45"/>
      <c r="T529" s="45"/>
      <c r="U529" s="45"/>
      <c r="V529" s="45"/>
      <c r="W529" s="16"/>
      <c r="X529" s="16"/>
      <c r="Y529" s="45"/>
      <c r="Z529" s="45"/>
      <c r="AA529" s="45"/>
      <c r="AB529" s="45"/>
      <c r="AC529" s="45"/>
      <c r="AD529" s="45"/>
    </row>
    <row r="530" spans="1:30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5"/>
      <c r="L530" s="19"/>
      <c r="M530" s="16"/>
      <c r="O530" s="45"/>
      <c r="P530" s="45"/>
      <c r="Q530" s="45"/>
      <c r="R530" s="45"/>
      <c r="S530" s="45"/>
      <c r="T530" s="45"/>
      <c r="U530" s="45"/>
      <c r="V530" s="45"/>
      <c r="W530" s="16"/>
      <c r="X530" s="16"/>
      <c r="Y530" s="45"/>
      <c r="Z530" s="45"/>
      <c r="AA530" s="45"/>
      <c r="AB530" s="45"/>
      <c r="AC530" s="45"/>
      <c r="AD530" s="45"/>
    </row>
    <row r="531" spans="1:30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5"/>
      <c r="L531" s="19"/>
      <c r="M531" s="16"/>
      <c r="O531" s="45"/>
      <c r="P531" s="45"/>
      <c r="Q531" s="45"/>
      <c r="R531" s="45"/>
      <c r="S531" s="45"/>
      <c r="T531" s="45"/>
      <c r="U531" s="45"/>
      <c r="V531" s="45"/>
      <c r="W531" s="16"/>
      <c r="X531" s="16"/>
      <c r="Y531" s="45"/>
      <c r="Z531" s="45"/>
      <c r="AA531" s="45"/>
      <c r="AB531" s="45"/>
      <c r="AC531" s="45"/>
      <c r="AD531" s="45"/>
    </row>
    <row r="532" spans="1:30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5"/>
      <c r="L532" s="19"/>
      <c r="M532" s="16"/>
      <c r="O532" s="45"/>
      <c r="P532" s="45"/>
      <c r="Q532" s="45"/>
      <c r="R532" s="45"/>
      <c r="S532" s="45"/>
      <c r="T532" s="45"/>
      <c r="U532" s="45"/>
      <c r="V532" s="45"/>
      <c r="W532" s="16"/>
      <c r="X532" s="16"/>
      <c r="Y532" s="45"/>
      <c r="Z532" s="45"/>
      <c r="AA532" s="45"/>
      <c r="AB532" s="45"/>
      <c r="AC532" s="45"/>
      <c r="AD532" s="45"/>
    </row>
    <row r="533" spans="1:30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5"/>
      <c r="L533" s="19"/>
      <c r="M533" s="16"/>
      <c r="O533" s="45"/>
      <c r="P533" s="45"/>
      <c r="Q533" s="45"/>
      <c r="R533" s="45"/>
      <c r="S533" s="45"/>
      <c r="T533" s="45"/>
      <c r="U533" s="45"/>
      <c r="V533" s="45"/>
      <c r="W533" s="16"/>
      <c r="X533" s="16"/>
      <c r="Y533" s="45"/>
      <c r="Z533" s="45"/>
      <c r="AA533" s="45"/>
      <c r="AB533" s="45"/>
      <c r="AC533" s="45"/>
      <c r="AD533" s="45"/>
    </row>
    <row r="534" spans="1:30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5"/>
      <c r="L534" s="19"/>
      <c r="M534" s="16"/>
      <c r="O534" s="45"/>
      <c r="P534" s="45"/>
      <c r="Q534" s="45"/>
      <c r="R534" s="45"/>
      <c r="S534" s="45"/>
      <c r="T534" s="45"/>
      <c r="U534" s="45"/>
      <c r="V534" s="45"/>
      <c r="W534" s="16"/>
      <c r="X534" s="16"/>
      <c r="Y534" s="45"/>
      <c r="Z534" s="45"/>
      <c r="AA534" s="45"/>
      <c r="AB534" s="45"/>
      <c r="AC534" s="45"/>
      <c r="AD534" s="45"/>
    </row>
    <row r="535" spans="1:30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5"/>
      <c r="L535" s="19"/>
      <c r="M535" s="16"/>
      <c r="O535" s="45"/>
      <c r="P535" s="45"/>
      <c r="Q535" s="45"/>
      <c r="R535" s="45"/>
      <c r="S535" s="45"/>
      <c r="T535" s="45"/>
      <c r="U535" s="45"/>
      <c r="V535" s="45"/>
      <c r="W535" s="16"/>
      <c r="X535" s="16"/>
      <c r="Y535" s="45"/>
      <c r="Z535" s="45"/>
      <c r="AA535" s="45"/>
      <c r="AB535" s="45"/>
      <c r="AC535" s="45"/>
      <c r="AD535" s="45"/>
    </row>
    <row r="536" spans="1:30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5"/>
      <c r="L536" s="19"/>
      <c r="M536" s="16"/>
      <c r="O536" s="45"/>
      <c r="P536" s="45"/>
      <c r="Q536" s="45"/>
      <c r="R536" s="45"/>
      <c r="S536" s="45"/>
      <c r="T536" s="45"/>
      <c r="U536" s="45"/>
      <c r="V536" s="45"/>
      <c r="W536" s="16"/>
      <c r="X536" s="16"/>
      <c r="Y536" s="45"/>
      <c r="Z536" s="45"/>
      <c r="AA536" s="45"/>
      <c r="AB536" s="45"/>
      <c r="AC536" s="45"/>
      <c r="AD536" s="45"/>
    </row>
    <row r="537" spans="1:30" x14ac:dyDescent="0.25">
      <c r="M537" s="16"/>
    </row>
    <row r="538" spans="1:30" x14ac:dyDescent="0.25">
      <c r="M538" s="16"/>
      <c r="O538" s="17"/>
      <c r="P538" s="38"/>
    </row>
    <row r="539" spans="1:30" x14ac:dyDescent="0.25">
      <c r="M539" s="16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517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25399.999999355099</v>
      </c>
      <c r="E2" s="55"/>
      <c r="F2" s="53" t="s">
        <v>620</v>
      </c>
      <c r="G2" s="53">
        <v>103752453028</v>
      </c>
      <c r="H2" s="62"/>
      <c r="K2" s="51" t="s">
        <v>1</v>
      </c>
      <c r="L2" s="60" t="s">
        <v>595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4.43748496985291E+41</v>
      </c>
      <c r="E3" s="53"/>
      <c r="F3" s="53" t="s">
        <v>621</v>
      </c>
      <c r="G3" s="53">
        <f>H25/SolarMass</f>
        <v>503137905024.89594</v>
      </c>
      <c r="H3" s="62"/>
      <c r="K3" s="51" t="s">
        <v>562</v>
      </c>
      <c r="L3" s="57">
        <v>1.5547E-2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12423.0935701243</v>
      </c>
      <c r="E4" s="55"/>
      <c r="F4" s="53" t="s">
        <v>622</v>
      </c>
      <c r="G4" s="52">
        <f>G3/G2</f>
        <v>4.8494073184863637</v>
      </c>
      <c r="H4" s="62"/>
      <c r="K4" s="61" t="s">
        <v>614</v>
      </c>
      <c r="L4" s="52">
        <f>QEHModelChiSquare</f>
        <v>919.17278679854257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728.723028919081</v>
      </c>
      <c r="F5" s="53"/>
      <c r="G5" s="52"/>
      <c r="H5" s="62"/>
      <c r="K5" s="61" t="s">
        <v>615</v>
      </c>
      <c r="L5" s="52">
        <f>LCDMModelChiSquare</f>
        <v>1545.4912160455308</v>
      </c>
      <c r="M5" s="55"/>
      <c r="V5" s="52"/>
      <c r="W5" s="52"/>
    </row>
    <row r="6" spans="1:23" s="51" customFormat="1" ht="20.100000000000001" customHeight="1" x14ac:dyDescent="0.25">
      <c r="F6" s="53"/>
      <c r="G6" s="53"/>
      <c r="H6" s="62"/>
      <c r="K6" s="54"/>
      <c r="M6" s="55"/>
      <c r="V6" s="52"/>
      <c r="W6" s="52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0.54</v>
      </c>
      <c r="B8" s="45">
        <f t="shared" ref="B8:B25" si="0">RadiusKpc*1000</f>
        <v>540</v>
      </c>
      <c r="C8" s="16">
        <f t="shared" ref="C8:C25" si="1">IF(QESBulgeEffectiveRadius=0,0,RadiusPc/QESBulgeEffectiveRadius)</f>
        <v>2.1259842520224823E-2</v>
      </c>
      <c r="D8" s="15">
        <f t="shared" ref="D8:D25" si="2">RadiusKpc*kpc</f>
        <v>1.6662658932000002E+19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2.2344291690918081E+39</v>
      </c>
      <c r="F8" s="15">
        <f t="shared" ref="F8:F25" si="3">2*PI()*QESDiskSurfaceDensity*QESDiskScaleLength*(QESDiskScaleLength-EXP(-RadiusPc/QESDiskScaleLength)*(RadiusPc+QESDiskScaleLength))*SolarMass</f>
        <v>1.2900134254820634E+39</v>
      </c>
      <c r="H8" s="18">
        <f t="shared" ref="H8:H25" si="4">BulgeMass+DiskMass+HaloMass</f>
        <v>3.5244425945738713E+39</v>
      </c>
      <c r="I8" s="16">
        <v>70.959999999999994</v>
      </c>
      <c r="J8" s="45">
        <v>1</v>
      </c>
      <c r="K8" s="19">
        <f t="shared" ref="K8:K25" si="5">SQRT(TotalMass*GravitationalConstant/RadiusKm+UniverseAcceleration*RadiusKm)/km</f>
        <v>121.34440613888901</v>
      </c>
      <c r="L8" s="16">
        <f t="shared" ref="L8:L25" si="6">(ObservedVelocity-ModelVelocity)^2/(VelocityError)^2</f>
        <v>2538.5883819685178</v>
      </c>
    </row>
    <row r="9" spans="1:23" x14ac:dyDescent="0.25">
      <c r="A9" s="16">
        <v>1.1200000000000001</v>
      </c>
      <c r="B9" s="45">
        <f t="shared" si="0"/>
        <v>1120</v>
      </c>
      <c r="C9" s="16">
        <f t="shared" si="1"/>
        <v>4.4094488190095926E-2</v>
      </c>
      <c r="D9" s="15">
        <f t="shared" si="2"/>
        <v>3.4559588896000004E+19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6.5551436438523334E+39</v>
      </c>
      <c r="F9" s="15">
        <f t="shared" si="3"/>
        <v>5.380232207095484E+39</v>
      </c>
      <c r="H9" s="18">
        <f t="shared" si="4"/>
        <v>1.1935375850947818E+40</v>
      </c>
      <c r="I9" s="16">
        <v>205.13</v>
      </c>
      <c r="J9" s="45">
        <v>1</v>
      </c>
      <c r="K9" s="19">
        <f t="shared" si="5"/>
        <v>155.91542325837611</v>
      </c>
      <c r="L9" s="16">
        <f t="shared" si="6"/>
        <v>2422.0745638571871</v>
      </c>
    </row>
    <row r="10" spans="1:23" x14ac:dyDescent="0.25">
      <c r="A10" s="16">
        <v>1.77</v>
      </c>
      <c r="B10" s="45">
        <f t="shared" si="0"/>
        <v>1770</v>
      </c>
      <c r="C10" s="16">
        <f t="shared" si="1"/>
        <v>6.9685039371848029E-2</v>
      </c>
      <c r="D10" s="15">
        <f t="shared" si="2"/>
        <v>5.4616493165999997E+19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1.2268758445058138E+40</v>
      </c>
      <c r="F10" s="15">
        <f t="shared" si="3"/>
        <v>1.2981077555083076E+40</v>
      </c>
      <c r="H10" s="18">
        <f t="shared" si="4"/>
        <v>2.5249836000141215E+40</v>
      </c>
      <c r="I10" s="16">
        <v>216.55</v>
      </c>
      <c r="J10" s="45">
        <v>1</v>
      </c>
      <c r="K10" s="19">
        <f t="shared" si="5"/>
        <v>181.23657749740011</v>
      </c>
      <c r="L10" s="16">
        <f t="shared" si="6"/>
        <v>1247.0378088471293</v>
      </c>
    </row>
    <row r="11" spans="1:23" x14ac:dyDescent="0.25">
      <c r="A11" s="16">
        <v>2.48</v>
      </c>
      <c r="B11" s="45">
        <f t="shared" si="0"/>
        <v>2480</v>
      </c>
      <c r="C11" s="16">
        <f t="shared" si="1"/>
        <v>9.7637795278069553E-2</v>
      </c>
      <c r="D11" s="15">
        <f t="shared" si="2"/>
        <v>7.6524803983999992E+19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1.8992729174519363E+40</v>
      </c>
      <c r="F11" s="15">
        <f t="shared" si="3"/>
        <v>2.4544773282686888E+40</v>
      </c>
      <c r="H11" s="18">
        <f t="shared" si="4"/>
        <v>4.3537502457206253E+40</v>
      </c>
      <c r="I11" s="16">
        <v>229.94</v>
      </c>
      <c r="J11" s="45">
        <v>1</v>
      </c>
      <c r="K11" s="19">
        <f t="shared" si="5"/>
        <v>201.89508042968203</v>
      </c>
      <c r="L11" s="16">
        <f t="shared" si="6"/>
        <v>786.51751370560396</v>
      </c>
    </row>
    <row r="12" spans="1:23" x14ac:dyDescent="0.25">
      <c r="A12" s="16">
        <v>3.27</v>
      </c>
      <c r="B12" s="45">
        <f t="shared" si="0"/>
        <v>3270</v>
      </c>
      <c r="C12" s="16">
        <f t="shared" si="1"/>
        <v>0.12874015748358364</v>
      </c>
      <c r="D12" s="15">
        <f t="shared" si="2"/>
        <v>1.0090165686599999E+20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2.666618891239209E+40</v>
      </c>
      <c r="F12" s="15">
        <f t="shared" si="3"/>
        <v>4.093549899173176E+40</v>
      </c>
      <c r="H12" s="18">
        <f t="shared" si="4"/>
        <v>6.760168790412385E+40</v>
      </c>
      <c r="I12" s="16">
        <v>208.46</v>
      </c>
      <c r="J12" s="45">
        <v>1</v>
      </c>
      <c r="K12" s="19">
        <f t="shared" si="5"/>
        <v>219.98688586167395</v>
      </c>
      <c r="L12" s="16">
        <f t="shared" si="6"/>
        <v>132.86909766805871</v>
      </c>
    </row>
    <row r="13" spans="1:23" x14ac:dyDescent="0.25">
      <c r="A13" s="16">
        <v>4.13</v>
      </c>
      <c r="B13" s="45">
        <f t="shared" si="0"/>
        <v>4130</v>
      </c>
      <c r="C13" s="16">
        <f t="shared" si="1"/>
        <v>0.16259842520097872</v>
      </c>
      <c r="D13" s="15">
        <f t="shared" si="2"/>
        <v>1.2743848405399999E+20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3.5025851542582672E+40</v>
      </c>
      <c r="F13" s="15">
        <f t="shared" si="3"/>
        <v>6.2426479040453348E+40</v>
      </c>
      <c r="H13" s="18">
        <f t="shared" si="4"/>
        <v>9.745233058303602E+40</v>
      </c>
      <c r="I13" s="16">
        <v>187.97</v>
      </c>
      <c r="J13" s="45">
        <v>1</v>
      </c>
      <c r="K13" s="19">
        <f t="shared" si="5"/>
        <v>235.97446023214053</v>
      </c>
      <c r="L13" s="16">
        <f t="shared" si="6"/>
        <v>2304.4282021791619</v>
      </c>
    </row>
    <row r="14" spans="1:23" x14ac:dyDescent="0.25">
      <c r="A14" s="16">
        <v>5.08</v>
      </c>
      <c r="B14" s="45">
        <f t="shared" si="0"/>
        <v>5080</v>
      </c>
      <c r="C14" s="16">
        <f t="shared" si="1"/>
        <v>0.20000000000507795</v>
      </c>
      <c r="D14" s="15">
        <f t="shared" si="2"/>
        <v>1.5675242106400001E+20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4.4260362587494576E+40</v>
      </c>
      <c r="F14" s="15">
        <f t="shared" si="3"/>
        <v>8.9899234826485594E+40</v>
      </c>
      <c r="H14" s="18">
        <f t="shared" si="4"/>
        <v>1.3415959741398018E+41</v>
      </c>
      <c r="I14" s="16">
        <v>209.91</v>
      </c>
      <c r="J14" s="45">
        <v>1</v>
      </c>
      <c r="K14" s="19">
        <f t="shared" si="5"/>
        <v>250.67422321877052</v>
      </c>
      <c r="L14" s="16">
        <f t="shared" si="6"/>
        <v>1661.7218946297501</v>
      </c>
    </row>
    <row r="15" spans="1:23" x14ac:dyDescent="0.25">
      <c r="A15" s="16">
        <v>6.12</v>
      </c>
      <c r="B15" s="45">
        <f t="shared" si="0"/>
        <v>6120</v>
      </c>
      <c r="C15" s="16">
        <f t="shared" si="1"/>
        <v>0.24094488189588131</v>
      </c>
      <c r="D15" s="15">
        <f t="shared" si="2"/>
        <v>1.8884346789599999E+20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5.3837000229574231E+40</v>
      </c>
      <c r="F15" s="15">
        <f t="shared" si="3"/>
        <v>1.2366027309501226E+41</v>
      </c>
      <c r="H15" s="18">
        <f t="shared" si="4"/>
        <v>1.7749727332458651E+41</v>
      </c>
      <c r="I15" s="16">
        <v>262</v>
      </c>
      <c r="J15" s="45">
        <v>1</v>
      </c>
      <c r="K15" s="19">
        <f t="shared" si="5"/>
        <v>263.85079080568966</v>
      </c>
      <c r="L15" s="16">
        <f t="shared" si="6"/>
        <v>3.4254266064253636</v>
      </c>
    </row>
    <row r="16" spans="1:23" x14ac:dyDescent="0.25">
      <c r="A16" s="16">
        <v>7.27</v>
      </c>
      <c r="B16" s="45">
        <f t="shared" si="0"/>
        <v>7270</v>
      </c>
      <c r="C16" s="16">
        <f t="shared" si="1"/>
        <v>0.28622047244821197</v>
      </c>
      <c r="D16" s="15">
        <f t="shared" si="2"/>
        <v>2.2432876006599999E+20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6.4426551468412335E+40</v>
      </c>
      <c r="F16" s="15">
        <f t="shared" si="3"/>
        <v>1.6452782110085697E+41</v>
      </c>
      <c r="H16" s="18">
        <f t="shared" si="4"/>
        <v>2.2895437256926931E+41</v>
      </c>
      <c r="I16" s="16">
        <v>285.36</v>
      </c>
      <c r="J16" s="45">
        <v>1</v>
      </c>
      <c r="K16" s="19">
        <f t="shared" si="5"/>
        <v>276.21982226061181</v>
      </c>
      <c r="L16" s="16">
        <f t="shared" si="6"/>
        <v>83.542849107607722</v>
      </c>
    </row>
    <row r="17" spans="1:29" x14ac:dyDescent="0.25">
      <c r="A17" s="16">
        <v>8.5299999999999994</v>
      </c>
      <c r="B17" s="45">
        <f t="shared" si="0"/>
        <v>8530</v>
      </c>
      <c r="C17" s="16">
        <f t="shared" si="1"/>
        <v>0.33582677166206987</v>
      </c>
      <c r="D17" s="15">
        <f t="shared" si="2"/>
        <v>2.6320829757399997E+20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7.5336178148578483E+40</v>
      </c>
      <c r="F17" s="15">
        <f t="shared" si="3"/>
        <v>2.1248169899751884E+41</v>
      </c>
      <c r="H17" s="18">
        <f t="shared" si="4"/>
        <v>2.8781787714609734E+41</v>
      </c>
      <c r="I17" s="16">
        <v>307.98</v>
      </c>
      <c r="J17" s="45">
        <v>1</v>
      </c>
      <c r="K17" s="19">
        <f t="shared" si="5"/>
        <v>287.36590014857387</v>
      </c>
      <c r="L17" s="16">
        <f t="shared" si="6"/>
        <v>424.94111268456749</v>
      </c>
    </row>
    <row r="18" spans="1:29" x14ac:dyDescent="0.25">
      <c r="A18" s="16">
        <v>9.92</v>
      </c>
      <c r="B18" s="45">
        <f t="shared" si="0"/>
        <v>9920</v>
      </c>
      <c r="C18" s="16">
        <f t="shared" si="1"/>
        <v>0.39055118111227821</v>
      </c>
      <c r="D18" s="15">
        <f t="shared" si="2"/>
        <v>3.0609921593599997E+20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8.7077431441255311E+40</v>
      </c>
      <c r="F18" s="15">
        <f t="shared" si="3"/>
        <v>2.6800851175755622E+41</v>
      </c>
      <c r="H18" s="18">
        <f t="shared" si="4"/>
        <v>3.5508594319881151E+41</v>
      </c>
      <c r="I18" s="16">
        <v>325.05</v>
      </c>
      <c r="J18" s="45">
        <v>1</v>
      </c>
      <c r="K18" s="19">
        <f t="shared" si="5"/>
        <v>297.63057248964651</v>
      </c>
      <c r="L18" s="16">
        <f t="shared" si="6"/>
        <v>751.82500499553032</v>
      </c>
    </row>
    <row r="19" spans="1:29" x14ac:dyDescent="0.25">
      <c r="A19" s="16">
        <v>11.45</v>
      </c>
      <c r="B19" s="45">
        <f t="shared" si="0"/>
        <v>11450</v>
      </c>
      <c r="C19" s="16">
        <f t="shared" si="1"/>
        <v>0.45078740158624853</v>
      </c>
      <c r="D19" s="15">
        <f t="shared" si="2"/>
        <v>3.5331008290999999E+20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9.9038934233804088E+40</v>
      </c>
      <c r="F19" s="15">
        <f t="shared" si="3"/>
        <v>3.3095445390939797E+41</v>
      </c>
      <c r="H19" s="18">
        <f t="shared" si="4"/>
        <v>4.2999338814320209E+41</v>
      </c>
      <c r="I19" s="16">
        <v>323.85000000000002</v>
      </c>
      <c r="J19" s="45">
        <v>1</v>
      </c>
      <c r="K19" s="19">
        <f t="shared" si="5"/>
        <v>306.77394423934169</v>
      </c>
      <c r="L19" s="16">
        <f t="shared" si="6"/>
        <v>291.59168034111269</v>
      </c>
    </row>
    <row r="20" spans="1:29" s="17" customFormat="1" x14ac:dyDescent="0.25">
      <c r="A20" s="16">
        <v>13.13</v>
      </c>
      <c r="B20" s="45">
        <f t="shared" si="0"/>
        <v>13130</v>
      </c>
      <c r="C20" s="16">
        <f t="shared" si="1"/>
        <v>0.51692913387139239</v>
      </c>
      <c r="D20" s="15">
        <f t="shared" si="2"/>
        <v>4.05149466254E+20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1.1168657003699884E+41</v>
      </c>
      <c r="F20" s="15">
        <f t="shared" si="3"/>
        <v>4.008227217743786E+41</v>
      </c>
      <c r="G20" s="15"/>
      <c r="H20" s="18">
        <f t="shared" si="4"/>
        <v>5.1250929181137748E+41</v>
      </c>
      <c r="I20" s="16">
        <v>325.08</v>
      </c>
      <c r="J20" s="45">
        <v>1</v>
      </c>
      <c r="K20" s="19">
        <f t="shared" si="5"/>
        <v>314.9612196630095</v>
      </c>
      <c r="L20" s="16">
        <f t="shared" si="6"/>
        <v>102.38971550826523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14.97</v>
      </c>
      <c r="B21" s="45">
        <f t="shared" si="0"/>
        <v>14970</v>
      </c>
      <c r="C21" s="16">
        <f t="shared" si="1"/>
        <v>0.58937007875512148</v>
      </c>
      <c r="D21" s="15">
        <f t="shared" si="2"/>
        <v>4.6192593372600002E+20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1.2461551443484565E+41</v>
      </c>
      <c r="F21" s="15">
        <f t="shared" si="3"/>
        <v>4.767536644457864E+41</v>
      </c>
      <c r="G21" s="15"/>
      <c r="H21" s="18">
        <f t="shared" si="4"/>
        <v>6.0136917888063207E+41</v>
      </c>
      <c r="I21" s="16">
        <v>328.28</v>
      </c>
      <c r="J21" s="45">
        <v>1</v>
      </c>
      <c r="K21" s="19">
        <f t="shared" si="5"/>
        <v>322.07569184116301</v>
      </c>
      <c r="L21" s="16">
        <f t="shared" si="6"/>
        <v>38.493439729810945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17.010000000000002</v>
      </c>
      <c r="B22" s="45">
        <f t="shared" si="0"/>
        <v>17010</v>
      </c>
      <c r="C22" s="16">
        <f t="shared" si="1"/>
        <v>0.6696850393870819</v>
      </c>
      <c r="D22" s="15">
        <f t="shared" si="2"/>
        <v>5.2487375635800005E+20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1.3788604035266767E+41</v>
      </c>
      <c r="F22" s="15">
        <f t="shared" si="3"/>
        <v>5.5871673857356636E+41</v>
      </c>
      <c r="G22" s="15"/>
      <c r="H22" s="18">
        <f t="shared" si="4"/>
        <v>6.9660277892623399E+41</v>
      </c>
      <c r="I22" s="16">
        <v>330.74</v>
      </c>
      <c r="J22" s="45">
        <v>1</v>
      </c>
      <c r="K22" s="19">
        <f t="shared" si="5"/>
        <v>328.20312487448871</v>
      </c>
      <c r="L22" s="16">
        <f t="shared" si="6"/>
        <v>6.43573540243798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19.239999999999998</v>
      </c>
      <c r="B23" s="45">
        <f t="shared" si="0"/>
        <v>19240</v>
      </c>
      <c r="C23" s="16">
        <f t="shared" si="1"/>
        <v>0.75748031497986223</v>
      </c>
      <c r="D23" s="15">
        <f t="shared" si="2"/>
        <v>5.9368436639199999E+20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1.5143976166954993E+41</v>
      </c>
      <c r="F23" s="15">
        <f t="shared" si="3"/>
        <v>6.4425093689364827E+41</v>
      </c>
      <c r="G23" s="15"/>
      <c r="H23" s="18">
        <f t="shared" si="4"/>
        <v>7.9569069856319822E+41</v>
      </c>
      <c r="I23" s="16">
        <v>331.01</v>
      </c>
      <c r="J23" s="45">
        <v>1</v>
      </c>
      <c r="K23" s="19">
        <f t="shared" si="5"/>
        <v>333.31566815940118</v>
      </c>
      <c r="L23" s="16">
        <f t="shared" si="6"/>
        <v>5.3161056612764872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21.7</v>
      </c>
      <c r="B24" s="45">
        <f t="shared" si="0"/>
        <v>21700</v>
      </c>
      <c r="C24" s="16">
        <f t="shared" si="1"/>
        <v>0.85433070868310856</v>
      </c>
      <c r="D24" s="15">
        <f t="shared" si="2"/>
        <v>6.6959203485999995E+20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1.6529414879876542E+41</v>
      </c>
      <c r="F24" s="15">
        <f t="shared" si="3"/>
        <v>7.3249719738312541E+41</v>
      </c>
      <c r="G24" s="15"/>
      <c r="H24" s="18">
        <f t="shared" si="4"/>
        <v>8.9779134618189086E+41</v>
      </c>
      <c r="I24" s="16">
        <v>339.38</v>
      </c>
      <c r="J24" s="45">
        <v>1</v>
      </c>
      <c r="K24" s="19">
        <f t="shared" si="5"/>
        <v>337.49629572960879</v>
      </c>
      <c r="L24" s="16">
        <f t="shared" si="6"/>
        <v>3.5483417782900664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24.41</v>
      </c>
      <c r="B25" s="45">
        <f t="shared" si="0"/>
        <v>24410</v>
      </c>
      <c r="C25" s="16">
        <f t="shared" si="1"/>
        <v>0.96102362207164427</v>
      </c>
      <c r="D25" s="15">
        <f t="shared" si="2"/>
        <v>7.5321389727799994E+20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1.7935496633115098E+41</v>
      </c>
      <c r="F25" s="15">
        <f t="shared" si="3"/>
        <v>8.2143664055386945E+41</v>
      </c>
      <c r="G25" s="15"/>
      <c r="H25" s="18">
        <f t="shared" si="4"/>
        <v>1.0007916068850204E+42</v>
      </c>
      <c r="I25" s="16">
        <v>348.78</v>
      </c>
      <c r="J25" s="45">
        <v>1</v>
      </c>
      <c r="K25" s="19">
        <f t="shared" si="5"/>
        <v>340.80051752875778</v>
      </c>
      <c r="L25" s="16">
        <f t="shared" si="6"/>
        <v>63.672140508861411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x14ac:dyDescent="0.25">
      <c r="I26" s="45"/>
      <c r="J26" s="45"/>
      <c r="L26" s="16">
        <f>SUM(L8:L25)/(COUNT(L8:L25)-4)</f>
        <v>919.17278679854257</v>
      </c>
    </row>
    <row r="27" spans="1:29" x14ac:dyDescent="0.25">
      <c r="I27" s="45"/>
      <c r="J27" s="45"/>
      <c r="L27" s="16"/>
    </row>
    <row r="28" spans="1:29" ht="21" x14ac:dyDescent="0.35">
      <c r="A28" s="48" t="s">
        <v>564</v>
      </c>
      <c r="I28" s="45"/>
      <c r="J28" s="45"/>
      <c r="L28" s="16"/>
    </row>
    <row r="29" spans="1:29" x14ac:dyDescent="0.25">
      <c r="A29" s="16" t="s">
        <v>30</v>
      </c>
      <c r="D29" s="16">
        <v>2.89</v>
      </c>
      <c r="E29" s="17">
        <f>$D$29*1000</f>
        <v>2890</v>
      </c>
      <c r="F29" s="17"/>
      <c r="G29" s="17"/>
      <c r="H29" s="15"/>
      <c r="K29" s="15"/>
      <c r="L29" s="17"/>
      <c r="M29" s="45"/>
    </row>
    <row r="30" spans="1:29" x14ac:dyDescent="0.25">
      <c r="A30" s="16" t="s">
        <v>16</v>
      </c>
      <c r="D30" s="16">
        <v>2.12</v>
      </c>
      <c r="E30" s="15">
        <f>D30*10000000000*SolarMass</f>
        <v>4.2168919999999995E+40</v>
      </c>
      <c r="F30" s="43"/>
      <c r="G30" s="43"/>
      <c r="H30" s="15"/>
      <c r="K30" s="15"/>
      <c r="L30" s="17"/>
      <c r="M30" s="45"/>
    </row>
    <row r="31" spans="1:29" x14ac:dyDescent="0.25">
      <c r="A31" s="16" t="s">
        <v>569</v>
      </c>
      <c r="D31" s="16">
        <v>6.6</v>
      </c>
      <c r="E31" s="15">
        <f>D31*1000</f>
        <v>6600</v>
      </c>
      <c r="H31" s="15"/>
      <c r="K31" s="15"/>
      <c r="L31" s="17"/>
      <c r="M31" s="45"/>
    </row>
    <row r="32" spans="1:29" x14ac:dyDescent="0.25">
      <c r="A32" s="16" t="s">
        <v>17</v>
      </c>
      <c r="D32" s="45">
        <v>25.1</v>
      </c>
      <c r="G32" s="16"/>
      <c r="H32" s="15"/>
      <c r="K32" s="15"/>
      <c r="L32" s="17"/>
      <c r="M32" s="45"/>
    </row>
    <row r="33" spans="1:29" x14ac:dyDescent="0.25">
      <c r="A33" s="16" t="s">
        <v>570</v>
      </c>
      <c r="D33" s="16">
        <v>87.1</v>
      </c>
      <c r="E33" s="17">
        <f>D33*1000</f>
        <v>87100</v>
      </c>
      <c r="H33" s="15"/>
      <c r="K33" s="15"/>
      <c r="L33" s="17"/>
      <c r="M33" s="45"/>
    </row>
    <row r="34" spans="1:29" x14ac:dyDescent="0.25">
      <c r="A34" s="16" t="s">
        <v>571</v>
      </c>
      <c r="D34" s="16">
        <v>239.3</v>
      </c>
      <c r="G34" s="9"/>
      <c r="H34" s="15"/>
      <c r="K34" s="15"/>
      <c r="L34" s="17"/>
      <c r="M34" s="45"/>
    </row>
    <row r="35" spans="1:29" x14ac:dyDescent="0.25">
      <c r="D35" s="12"/>
      <c r="H35" s="15"/>
      <c r="K35" s="15"/>
      <c r="L35" s="17"/>
      <c r="M35" s="45"/>
    </row>
    <row r="36" spans="1:29" x14ac:dyDescent="0.25">
      <c r="A36" s="16" t="s">
        <v>567</v>
      </c>
      <c r="D36" s="17">
        <f>(D32*10000000000)/(2*PI()*DiskScaleLengthPc^2)</f>
        <v>917.07738099324456</v>
      </c>
      <c r="H36" s="15"/>
      <c r="K36" s="15"/>
      <c r="L36" s="17"/>
      <c r="M36" s="45"/>
    </row>
    <row r="37" spans="1:29" x14ac:dyDescent="0.25">
      <c r="A37" s="16" t="s">
        <v>565</v>
      </c>
      <c r="D37" s="9">
        <f>(D34*10000000000)/(4*PI()*(LCDMHaloScaleLengthPc)^3*(LN(2)-1/2))</f>
        <v>1.4920727422837968E-3</v>
      </c>
      <c r="H37" s="15"/>
      <c r="K37" s="15"/>
      <c r="L37" s="17"/>
      <c r="M37" s="45"/>
    </row>
    <row r="38" spans="1:29" x14ac:dyDescent="0.25">
      <c r="H38" s="15"/>
      <c r="K38" s="15"/>
      <c r="L38" s="17"/>
      <c r="M38" s="45"/>
    </row>
    <row r="39" spans="1:29" ht="45" x14ac:dyDescent="0.25">
      <c r="A39" s="7" t="s">
        <v>20</v>
      </c>
      <c r="B39" s="3" t="s">
        <v>19</v>
      </c>
      <c r="C39" s="7" t="s">
        <v>27</v>
      </c>
      <c r="D39" s="4" t="s">
        <v>649</v>
      </c>
      <c r="E39" s="4" t="s">
        <v>21</v>
      </c>
      <c r="F39" s="4" t="s">
        <v>22</v>
      </c>
      <c r="G39" s="4" t="s">
        <v>28</v>
      </c>
      <c r="H39" s="4" t="s">
        <v>23</v>
      </c>
      <c r="I39" s="7" t="s">
        <v>645</v>
      </c>
      <c r="J39" s="7" t="s">
        <v>646</v>
      </c>
      <c r="K39" s="25" t="s">
        <v>647</v>
      </c>
      <c r="L39" s="3" t="s">
        <v>648</v>
      </c>
      <c r="M39" s="3"/>
      <c r="N39" s="3"/>
      <c r="O39" s="3"/>
      <c r="P39" s="3"/>
      <c r="Q39" s="3"/>
      <c r="R39" s="3"/>
      <c r="S39" s="3"/>
      <c r="T39" s="3"/>
      <c r="U39" s="3"/>
      <c r="V39" s="7"/>
      <c r="W39" s="7"/>
      <c r="X39" s="3"/>
      <c r="Y39" s="3"/>
      <c r="Z39" s="3"/>
      <c r="AA39" s="3"/>
      <c r="AB39" s="3"/>
      <c r="AC39" s="3"/>
    </row>
    <row r="40" spans="1:29" x14ac:dyDescent="0.25">
      <c r="A40" s="16">
        <v>0.54</v>
      </c>
      <c r="B40" s="45">
        <f>A40*1000</f>
        <v>540</v>
      </c>
      <c r="C40" s="16">
        <f>B40/LCDMBulgeEffectiveRadius</f>
        <v>0.18685121107266436</v>
      </c>
      <c r="D40" s="15">
        <f>A40*kpc</f>
        <v>1.6662658932000002E+19</v>
      </c>
      <c r="E40" s="15">
        <f>FORECAST($C40, OFFSET('De Vaucouleurs Deprojection'!$F$3:$F$126, MATCH($C40, 'De Vaucouleurs Deprojection'!$A$3:$A$126,1)-1,0,2), OFFSET('De Vaucouleurs Deprojection'!$A$3:$A$126, MATCH($C40, 'De Vaucouleurs Deprojection'!$A$3:$A$126,1)-1,0,2))*LCDMTotalBulgeMass</f>
        <v>3.897505183572871E+39</v>
      </c>
      <c r="F40" s="15">
        <f t="shared" ref="F40:F57" si="7">2*PI()*LCDMDiskSurfaceDensity*LCDMScaleLength*(LCDMScaleLength-EXP(-RadiusPc/LCDMScaleLength)*(RadiusPc+LCDMScaleLength))*SolarMass</f>
        <v>1.5826768547179807E+39</v>
      </c>
      <c r="G40" s="15">
        <f t="shared" ref="G40:G57" si="8">4*PI()*LCDMHaloRepresentativeDensity*LCDMHaloScaleLengthPc^3*(LN(1+RadiusPc/LCDMHaloScaleLengthPc)-RadiusPc/(RadiusPc+LCDMHaloScaleLengthPc))*SolarMass</f>
        <v>4.6973431063227873E+38</v>
      </c>
      <c r="H40" s="15">
        <f t="shared" ref="H40:H57" si="9">BulgeMass+DiskMass+HaloMass</f>
        <v>5.9499163489231293E+39</v>
      </c>
      <c r="I40" s="16">
        <v>70.959999999999994</v>
      </c>
      <c r="J40" s="45">
        <v>1</v>
      </c>
      <c r="K40" s="19">
        <f t="shared" ref="K40:K57" si="10">SQRT(TotalMass*GravitationalConstant/RadiusKm)/km</f>
        <v>154.37571483307207</v>
      </c>
      <c r="L40" s="16">
        <f t="shared" ref="L40:L57" si="11">(ObservedVelocity-ModelVelocity)^2/(VelocityError)^2</f>
        <v>6958.1814811124004</v>
      </c>
      <c r="M40" s="45"/>
    </row>
    <row r="41" spans="1:29" x14ac:dyDescent="0.25">
      <c r="A41" s="16">
        <v>1.1200000000000001</v>
      </c>
      <c r="B41" s="45">
        <f t="shared" ref="B41:B57" si="12">A41*1000</f>
        <v>1120</v>
      </c>
      <c r="C41" s="16">
        <f t="shared" ref="C41:C57" si="13">B41/LCDMBulgeEffectiveRadius</f>
        <v>0.38754325259515571</v>
      </c>
      <c r="D41" s="15">
        <f t="shared" ref="D41:D57" si="14">A41*kpc</f>
        <v>3.4559588896000004E+19</v>
      </c>
      <c r="E41" s="15">
        <f>FORECAST($C41, OFFSET('De Vaucouleurs Deprojection'!$F$3:$F$126, MATCH($C41, 'De Vaucouleurs Deprojection'!$A$3:$A$126,1)-1,0,2), OFFSET('De Vaucouleurs Deprojection'!$A$3:$A$126, MATCH($C41, 'De Vaucouleurs Deprojection'!$A$3:$A$126,1)-1,0,2))*LCDMTotalBulgeMass</f>
        <v>8.2135425887612458E+39</v>
      </c>
      <c r="F41" s="15">
        <f t="shared" si="7"/>
        <v>6.4248975073605048E+39</v>
      </c>
      <c r="G41" s="15">
        <f t="shared" si="8"/>
        <v>2.0029873735898739E+39</v>
      </c>
      <c r="H41" s="15">
        <f t="shared" si="9"/>
        <v>1.6641427469711626E+40</v>
      </c>
      <c r="I41" s="16">
        <v>205.13</v>
      </c>
      <c r="J41" s="45">
        <v>1</v>
      </c>
      <c r="K41" s="19">
        <f t="shared" si="10"/>
        <v>179.26962435560665</v>
      </c>
      <c r="L41" s="16">
        <f t="shared" si="11"/>
        <v>668.75902846913243</v>
      </c>
      <c r="M41" s="45"/>
    </row>
    <row r="42" spans="1:29" x14ac:dyDescent="0.25">
      <c r="A42" s="16">
        <v>1.77</v>
      </c>
      <c r="B42" s="45">
        <f t="shared" si="12"/>
        <v>1770</v>
      </c>
      <c r="C42" s="16">
        <f t="shared" si="13"/>
        <v>0.61245674740484424</v>
      </c>
      <c r="D42" s="15">
        <f t="shared" si="14"/>
        <v>5.4616493165999997E+19</v>
      </c>
      <c r="E42" s="15">
        <f>FORECAST($C42, OFFSET('De Vaucouleurs Deprojection'!$F$3:$F$126, MATCH($C42, 'De Vaucouleurs Deprojection'!$A$3:$A$126,1)-1,0,2), OFFSET('De Vaucouleurs Deprojection'!$A$3:$A$126, MATCH($C42, 'De Vaucouleurs Deprojection'!$A$3:$A$126,1)-1,0,2))*LCDMTotalBulgeMass</f>
        <v>1.2215559865680277E+40</v>
      </c>
      <c r="F42" s="15">
        <f t="shared" si="7"/>
        <v>1.5044931573940467E+40</v>
      </c>
      <c r="G42" s="15">
        <f t="shared" si="8"/>
        <v>4.9537266006201565E+39</v>
      </c>
      <c r="H42" s="15">
        <f t="shared" si="9"/>
        <v>3.2214218040240902E+40</v>
      </c>
      <c r="I42" s="16">
        <v>216.55</v>
      </c>
      <c r="J42" s="45">
        <v>1</v>
      </c>
      <c r="K42" s="19">
        <f t="shared" si="10"/>
        <v>198.40727632563954</v>
      </c>
      <c r="L42" s="16">
        <f t="shared" si="11"/>
        <v>329.15842232419982</v>
      </c>
      <c r="M42" s="45"/>
    </row>
    <row r="43" spans="1:29" x14ac:dyDescent="0.25">
      <c r="A43" s="16">
        <v>2.48</v>
      </c>
      <c r="B43" s="45">
        <f t="shared" si="12"/>
        <v>2480</v>
      </c>
      <c r="C43" s="16">
        <f t="shared" si="13"/>
        <v>0.8581314878892734</v>
      </c>
      <c r="D43" s="15">
        <f t="shared" si="14"/>
        <v>7.6524803983999992E+19</v>
      </c>
      <c r="E43" s="15">
        <f>FORECAST($C43, OFFSET('De Vaucouleurs Deprojection'!$F$3:$F$126, MATCH($C43, 'De Vaucouleurs Deprojection'!$A$3:$A$126,1)-1,0,2), OFFSET('De Vaucouleurs Deprojection'!$A$3:$A$126, MATCH($C43, 'De Vaucouleurs Deprojection'!$A$3:$A$126,1)-1,0,2))*LCDMTotalBulgeMass</f>
        <v>1.5757498174945326E+40</v>
      </c>
      <c r="F43" s="15">
        <f t="shared" si="7"/>
        <v>2.7545707212333808E+40</v>
      </c>
      <c r="G43" s="15">
        <f t="shared" si="8"/>
        <v>9.6221420825756989E+39</v>
      </c>
      <c r="H43" s="15">
        <f t="shared" si="9"/>
        <v>5.292534746985483E+40</v>
      </c>
      <c r="I43" s="16">
        <v>229.94</v>
      </c>
      <c r="J43" s="45">
        <v>1</v>
      </c>
      <c r="K43" s="19">
        <f t="shared" si="10"/>
        <v>214.84559321025716</v>
      </c>
      <c r="L43" s="16">
        <f t="shared" si="11"/>
        <v>227.84111633423456</v>
      </c>
      <c r="M43" s="45"/>
    </row>
    <row r="44" spans="1:29" x14ac:dyDescent="0.25">
      <c r="A44" s="16">
        <v>3.27</v>
      </c>
      <c r="B44" s="45">
        <f t="shared" si="12"/>
        <v>3270</v>
      </c>
      <c r="C44" s="16">
        <f t="shared" si="13"/>
        <v>1.1314878892733564</v>
      </c>
      <c r="D44" s="15">
        <f t="shared" si="14"/>
        <v>1.0090165686599999E+20</v>
      </c>
      <c r="E44" s="15">
        <f>FORECAST($C44, OFFSET('De Vaucouleurs Deprojection'!$F$3:$F$126, MATCH($C44, 'De Vaucouleurs Deprojection'!$A$3:$A$126,1)-1,0,2), OFFSET('De Vaucouleurs Deprojection'!$A$3:$A$126, MATCH($C44, 'De Vaucouleurs Deprojection'!$A$3:$A$126,1)-1,0,2))*LCDMTotalBulgeMass</f>
        <v>1.8962305453169548E+40</v>
      </c>
      <c r="F44" s="15">
        <f t="shared" si="7"/>
        <v>4.4348970391628995E+40</v>
      </c>
      <c r="G44" s="15">
        <f t="shared" si="8"/>
        <v>1.6533539616101852E+40</v>
      </c>
      <c r="H44" s="15">
        <f t="shared" si="9"/>
        <v>7.9844815460900391E+40</v>
      </c>
      <c r="I44" s="16">
        <v>208.46</v>
      </c>
      <c r="J44" s="45">
        <v>1</v>
      </c>
      <c r="K44" s="19">
        <f t="shared" si="10"/>
        <v>229.81052556307955</v>
      </c>
      <c r="L44" s="16">
        <f t="shared" si="11"/>
        <v>455.84494181971303</v>
      </c>
      <c r="M44" s="45"/>
    </row>
    <row r="45" spans="1:29" x14ac:dyDescent="0.25">
      <c r="A45" s="16">
        <v>4.13</v>
      </c>
      <c r="B45" s="45">
        <f t="shared" si="12"/>
        <v>4130</v>
      </c>
      <c r="C45" s="16">
        <f t="shared" si="13"/>
        <v>1.4290657439446366</v>
      </c>
      <c r="D45" s="15">
        <f t="shared" si="14"/>
        <v>1.2743848405399999E+20</v>
      </c>
      <c r="E45" s="15">
        <f>FORECAST($C45, OFFSET('De Vaucouleurs Deprojection'!$F$3:$F$126, MATCH($C45, 'De Vaucouleurs Deprojection'!$A$3:$A$126,1)-1,0,2), OFFSET('De Vaucouleurs Deprojection'!$A$3:$A$126, MATCH($C45, 'De Vaucouleurs Deprojection'!$A$3:$A$126,1)-1,0,2))*LCDMTotalBulgeMass</f>
        <v>2.1791167325234602E+40</v>
      </c>
      <c r="F45" s="15">
        <f t="shared" si="7"/>
        <v>6.5130836330670754E+40</v>
      </c>
      <c r="G45" s="15">
        <f t="shared" si="8"/>
        <v>2.604155300889018E+40</v>
      </c>
      <c r="H45" s="15">
        <f t="shared" si="9"/>
        <v>1.1296355666479554E+41</v>
      </c>
      <c r="I45" s="16">
        <v>187.97</v>
      </c>
      <c r="J45" s="45">
        <v>1</v>
      </c>
      <c r="K45" s="19">
        <f t="shared" si="10"/>
        <v>243.22856892362444</v>
      </c>
      <c r="L45" s="16">
        <f t="shared" si="11"/>
        <v>3053.5094394869525</v>
      </c>
      <c r="M45" s="45"/>
    </row>
    <row r="46" spans="1:29" x14ac:dyDescent="0.25">
      <c r="A46" s="16">
        <v>5.08</v>
      </c>
      <c r="B46" s="45">
        <f t="shared" si="12"/>
        <v>5080</v>
      </c>
      <c r="C46" s="16">
        <f t="shared" si="13"/>
        <v>1.7577854671280277</v>
      </c>
      <c r="D46" s="15">
        <f t="shared" si="14"/>
        <v>1.5675242106400001E+20</v>
      </c>
      <c r="E46" s="15">
        <f>FORECAST($C46, OFFSET('De Vaucouleurs Deprojection'!$F$3:$F$126, MATCH($C46, 'De Vaucouleurs Deprojection'!$A$3:$A$126,1)-1,0,2), OFFSET('De Vaucouleurs Deprojection'!$A$3:$A$126, MATCH($C46, 'De Vaucouleurs Deprojection'!$A$3:$A$126,1)-1,0,2))*LCDMTotalBulgeMass</f>
        <v>2.4328306359698268E+40</v>
      </c>
      <c r="F46" s="15">
        <f t="shared" si="7"/>
        <v>9.0046692730735143E+40</v>
      </c>
      <c r="G46" s="15">
        <f t="shared" si="8"/>
        <v>3.8857039213564911E+40</v>
      </c>
      <c r="H46" s="15">
        <f t="shared" si="9"/>
        <v>1.5323203830399833E+41</v>
      </c>
      <c r="I46" s="16">
        <v>209.91</v>
      </c>
      <c r="J46" s="45">
        <v>1</v>
      </c>
      <c r="K46" s="19">
        <f t="shared" si="10"/>
        <v>255.42497804214162</v>
      </c>
      <c r="L46" s="16">
        <f t="shared" si="11"/>
        <v>2071.6132261766338</v>
      </c>
      <c r="M46" s="45"/>
    </row>
    <row r="47" spans="1:29" x14ac:dyDescent="0.25">
      <c r="A47" s="16">
        <v>6.12</v>
      </c>
      <c r="B47" s="45">
        <f t="shared" si="12"/>
        <v>6120</v>
      </c>
      <c r="C47" s="16">
        <f t="shared" si="13"/>
        <v>2.1176470588235294</v>
      </c>
      <c r="D47" s="15">
        <f t="shared" si="14"/>
        <v>1.8884346789599999E+20</v>
      </c>
      <c r="E47" s="15">
        <f>FORECAST($C47, OFFSET('De Vaucouleurs Deprojection'!$F$3:$F$126, MATCH($C47, 'De Vaucouleurs Deprojection'!$A$3:$A$126,1)-1,0,2), OFFSET('De Vaucouleurs Deprojection'!$A$3:$A$126, MATCH($C47, 'De Vaucouleurs Deprojection'!$A$3:$A$126,1)-1,0,2))*LCDMTotalBulgeMass</f>
        <v>2.6587603280988229E+40</v>
      </c>
      <c r="F47" s="15">
        <f t="shared" si="7"/>
        <v>1.1858057158886957E+41</v>
      </c>
      <c r="G47" s="15">
        <f t="shared" si="8"/>
        <v>5.5553932410479585E+40</v>
      </c>
      <c r="H47" s="15">
        <f t="shared" si="9"/>
        <v>2.0072210728033741E+41</v>
      </c>
      <c r="I47" s="16">
        <v>262</v>
      </c>
      <c r="J47" s="45">
        <v>1</v>
      </c>
      <c r="K47" s="19">
        <f t="shared" si="10"/>
        <v>266.34363607157587</v>
      </c>
      <c r="L47" s="16">
        <f t="shared" si="11"/>
        <v>18.867174322295078</v>
      </c>
      <c r="M47" s="45"/>
    </row>
    <row r="48" spans="1:29" x14ac:dyDescent="0.25">
      <c r="A48" s="16">
        <v>7.27</v>
      </c>
      <c r="B48" s="45">
        <f t="shared" si="12"/>
        <v>7270</v>
      </c>
      <c r="C48" s="16">
        <f t="shared" si="13"/>
        <v>2.5155709342560555</v>
      </c>
      <c r="D48" s="15">
        <f t="shared" si="14"/>
        <v>2.2432876006599999E+20</v>
      </c>
      <c r="E48" s="15">
        <f>FORECAST($C48, OFFSET('De Vaucouleurs Deprojection'!$F$3:$F$126, MATCH($C48, 'De Vaucouleurs Deprojection'!$A$3:$A$126,1)-1,0,2), OFFSET('De Vaucouleurs Deprojection'!$A$3:$A$126, MATCH($C48, 'De Vaucouleurs Deprojection'!$A$3:$A$126,1)-1,0,2))*LCDMTotalBulgeMass</f>
        <v>2.8613424462167477E+40</v>
      </c>
      <c r="F48" s="15">
        <f t="shared" si="7"/>
        <v>1.505408429017229E+41</v>
      </c>
      <c r="G48" s="15">
        <f t="shared" si="8"/>
        <v>7.7114681390213105E+40</v>
      </c>
      <c r="H48" s="15">
        <f t="shared" si="9"/>
        <v>2.5626894875410348E+41</v>
      </c>
      <c r="I48" s="16">
        <v>285.36</v>
      </c>
      <c r="J48" s="45">
        <v>1</v>
      </c>
      <c r="K48" s="19">
        <f t="shared" si="10"/>
        <v>276.1221331347142</v>
      </c>
      <c r="L48" s="16">
        <f t="shared" si="11"/>
        <v>85.338184220745475</v>
      </c>
      <c r="M48" s="45"/>
    </row>
    <row r="49" spans="1:13" x14ac:dyDescent="0.25">
      <c r="A49" s="16">
        <v>8.5299999999999994</v>
      </c>
      <c r="B49" s="45">
        <f t="shared" si="12"/>
        <v>8530</v>
      </c>
      <c r="C49" s="16">
        <f t="shared" si="13"/>
        <v>2.9515570934256057</v>
      </c>
      <c r="D49" s="15">
        <f t="shared" si="14"/>
        <v>2.6320829757399997E+20</v>
      </c>
      <c r="E49" s="15">
        <f>FORECAST($C49, OFFSET('De Vaucouleurs Deprojection'!$F$3:$F$126, MATCH($C49, 'De Vaucouleurs Deprojection'!$A$3:$A$126,1)-1,0,2), OFFSET('De Vaucouleurs Deprojection'!$A$3:$A$126, MATCH($C49, 'De Vaucouleurs Deprojection'!$A$3:$A$126,1)-1,0,2))*LCDMTotalBulgeMass</f>
        <v>3.0411051961727327E+40</v>
      </c>
      <c r="F49" s="15">
        <f t="shared" si="7"/>
        <v>1.8497261527716058E+41</v>
      </c>
      <c r="G49" s="15">
        <f t="shared" si="8"/>
        <v>1.0428703910255823E+41</v>
      </c>
      <c r="H49" s="15">
        <f t="shared" si="9"/>
        <v>3.1967070634144614E+41</v>
      </c>
      <c r="I49" s="16">
        <v>307.98</v>
      </c>
      <c r="J49" s="45">
        <v>1</v>
      </c>
      <c r="K49" s="19">
        <f t="shared" si="10"/>
        <v>284.70646974885113</v>
      </c>
      <c r="L49" s="16">
        <f t="shared" si="11"/>
        <v>541.65721035114223</v>
      </c>
      <c r="M49" s="45"/>
    </row>
    <row r="50" spans="1:13" x14ac:dyDescent="0.25">
      <c r="A50" s="16">
        <v>9.92</v>
      </c>
      <c r="B50" s="45">
        <f t="shared" si="12"/>
        <v>9920</v>
      </c>
      <c r="C50" s="16">
        <f t="shared" si="13"/>
        <v>3.4325259515570936</v>
      </c>
      <c r="D50" s="15">
        <f t="shared" si="14"/>
        <v>3.0609921593599997E+20</v>
      </c>
      <c r="E50" s="15">
        <f>FORECAST($C50, OFFSET('De Vaucouleurs Deprojection'!$F$3:$F$126, MATCH($C50, 'De Vaucouleurs Deprojection'!$A$3:$A$126,1)-1,0,2), OFFSET('De Vaucouleurs Deprojection'!$A$3:$A$126, MATCH($C50, 'De Vaucouleurs Deprojection'!$A$3:$A$126,1)-1,0,2))*LCDMTotalBulgeMass</f>
        <v>3.2016038994364008E+40</v>
      </c>
      <c r="F50" s="15">
        <f t="shared" si="7"/>
        <v>2.2126801515758218E+41</v>
      </c>
      <c r="G50" s="15">
        <f t="shared" si="8"/>
        <v>1.3833407268405002E+41</v>
      </c>
      <c r="H50" s="15">
        <f t="shared" si="9"/>
        <v>3.9161812683599626E+41</v>
      </c>
      <c r="I50" s="16">
        <v>325.05</v>
      </c>
      <c r="J50" s="45">
        <v>1</v>
      </c>
      <c r="K50" s="19">
        <f t="shared" si="10"/>
        <v>292.21061504122821</v>
      </c>
      <c r="L50" s="16">
        <f t="shared" si="11"/>
        <v>1078.4252044704076</v>
      </c>
      <c r="M50" s="45"/>
    </row>
    <row r="51" spans="1:13" x14ac:dyDescent="0.25">
      <c r="A51" s="16">
        <v>11.45</v>
      </c>
      <c r="B51" s="45">
        <f t="shared" si="12"/>
        <v>11450</v>
      </c>
      <c r="C51" s="16">
        <f t="shared" si="13"/>
        <v>3.9619377162629759</v>
      </c>
      <c r="D51" s="15">
        <f t="shared" si="14"/>
        <v>3.5331008290999999E+20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3.3439752199759169E+40</v>
      </c>
      <c r="F51" s="15">
        <f t="shared" si="7"/>
        <v>2.5836871185678327E+41</v>
      </c>
      <c r="G51" s="15">
        <f t="shared" si="8"/>
        <v>1.8045489096981432E+41</v>
      </c>
      <c r="H51" s="15">
        <f t="shared" si="9"/>
        <v>4.7226335502635671E+41</v>
      </c>
      <c r="I51" s="16">
        <v>323.85000000000002</v>
      </c>
      <c r="J51" s="45">
        <v>1</v>
      </c>
      <c r="K51" s="19">
        <f t="shared" si="10"/>
        <v>298.68252371861024</v>
      </c>
      <c r="L51" s="16">
        <f t="shared" si="11"/>
        <v>633.40186237431726</v>
      </c>
      <c r="M51" s="45"/>
    </row>
    <row r="52" spans="1:13" x14ac:dyDescent="0.25">
      <c r="A52" s="16">
        <v>13.13</v>
      </c>
      <c r="B52" s="45">
        <f t="shared" si="12"/>
        <v>13130</v>
      </c>
      <c r="C52" s="16">
        <f t="shared" si="13"/>
        <v>4.5432525951557095</v>
      </c>
      <c r="D52" s="15">
        <f t="shared" si="14"/>
        <v>4.05149466254E+20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3.4696206542501029E+40</v>
      </c>
      <c r="F52" s="15">
        <f t="shared" si="7"/>
        <v>2.9512289293834941E+41</v>
      </c>
      <c r="G52" s="15">
        <f t="shared" si="8"/>
        <v>2.3194816045604633E+41</v>
      </c>
      <c r="H52" s="15">
        <f t="shared" si="9"/>
        <v>5.6176725993689679E+41</v>
      </c>
      <c r="I52" s="16">
        <v>325.08</v>
      </c>
      <c r="J52" s="45">
        <v>1</v>
      </c>
      <c r="K52" s="19">
        <f t="shared" si="10"/>
        <v>304.20495299247062</v>
      </c>
      <c r="L52" s="16">
        <f t="shared" si="11"/>
        <v>435.76758756656051</v>
      </c>
      <c r="M52" s="45"/>
    </row>
    <row r="53" spans="1:13" x14ac:dyDescent="0.25">
      <c r="A53" s="16">
        <v>14.97</v>
      </c>
      <c r="B53" s="45">
        <f t="shared" si="12"/>
        <v>14970</v>
      </c>
      <c r="C53" s="16">
        <f t="shared" si="13"/>
        <v>5.179930795847751</v>
      </c>
      <c r="D53" s="15">
        <f t="shared" si="14"/>
        <v>4.6192593372600002E+20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3.5763887118596538E+40</v>
      </c>
      <c r="F53" s="15">
        <f t="shared" si="7"/>
        <v>3.3038430199598671E+41</v>
      </c>
      <c r="G53" s="15">
        <f t="shared" si="8"/>
        <v>2.9419779020107025E+41</v>
      </c>
      <c r="H53" s="15">
        <f t="shared" si="9"/>
        <v>6.6034597931565349E+41</v>
      </c>
      <c r="I53" s="16">
        <v>328.28</v>
      </c>
      <c r="J53" s="45">
        <v>1</v>
      </c>
      <c r="K53" s="19">
        <f t="shared" si="10"/>
        <v>308.88392006280213</v>
      </c>
      <c r="L53" s="16">
        <f t="shared" si="11"/>
        <v>376.20791693016855</v>
      </c>
      <c r="M53" s="45"/>
    </row>
    <row r="54" spans="1:13" x14ac:dyDescent="0.25">
      <c r="A54" s="16">
        <v>17.010000000000002</v>
      </c>
      <c r="B54" s="45">
        <f t="shared" si="12"/>
        <v>17010</v>
      </c>
      <c r="C54" s="16">
        <f t="shared" si="13"/>
        <v>5.8858131487889276</v>
      </c>
      <c r="D54" s="15">
        <f t="shared" si="14"/>
        <v>5.2487375635800005E+20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3.6751532835490652E+40</v>
      </c>
      <c r="F54" s="15">
        <f t="shared" si="7"/>
        <v>3.6356184434706392E+41</v>
      </c>
      <c r="G54" s="15">
        <f t="shared" si="8"/>
        <v>3.6981423125814745E+41</v>
      </c>
      <c r="H54" s="15">
        <f t="shared" si="9"/>
        <v>7.7012760844070198E+41</v>
      </c>
      <c r="I54" s="16">
        <v>330.74</v>
      </c>
      <c r="J54" s="45">
        <v>1</v>
      </c>
      <c r="K54" s="19">
        <f t="shared" si="10"/>
        <v>312.93174444958078</v>
      </c>
      <c r="L54" s="16">
        <f t="shared" si="11"/>
        <v>317.13396574903743</v>
      </c>
      <c r="M54" s="45"/>
    </row>
    <row r="55" spans="1:13" x14ac:dyDescent="0.25">
      <c r="A55" s="16">
        <v>19.239999999999998</v>
      </c>
      <c r="B55" s="45">
        <f t="shared" si="12"/>
        <v>19240</v>
      </c>
      <c r="C55" s="16">
        <f t="shared" si="13"/>
        <v>6.6574394463667819</v>
      </c>
      <c r="D55" s="15">
        <f t="shared" si="14"/>
        <v>5.9368436639199999E+20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3.7584980381874044E+40</v>
      </c>
      <c r="F55" s="15">
        <f t="shared" si="7"/>
        <v>3.9332782553973633E+41</v>
      </c>
      <c r="G55" s="15">
        <f t="shared" si="8"/>
        <v>4.5974658114962394E+41</v>
      </c>
      <c r="H55" s="15">
        <f t="shared" si="9"/>
        <v>8.9065938707123435E+41</v>
      </c>
      <c r="I55" s="16">
        <v>331.01</v>
      </c>
      <c r="J55" s="45">
        <v>1</v>
      </c>
      <c r="K55" s="19">
        <f t="shared" si="10"/>
        <v>316.42713746161832</v>
      </c>
      <c r="L55" s="16">
        <f t="shared" si="11"/>
        <v>212.65987981333564</v>
      </c>
      <c r="M55" s="45"/>
    </row>
    <row r="56" spans="1:13" x14ac:dyDescent="0.25">
      <c r="A56" s="16">
        <v>21.7</v>
      </c>
      <c r="B56" s="45">
        <f t="shared" si="12"/>
        <v>21700</v>
      </c>
      <c r="C56" s="16">
        <f t="shared" si="13"/>
        <v>7.5086505190311419</v>
      </c>
      <c r="D56" s="15">
        <f t="shared" si="14"/>
        <v>6.6959203485999995E+20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3.8328739450553634E+40</v>
      </c>
      <c r="F56" s="15">
        <f t="shared" si="7"/>
        <v>4.193423059630057E+41</v>
      </c>
      <c r="G56" s="15">
        <f t="shared" si="8"/>
        <v>5.669575852396463E+41</v>
      </c>
      <c r="H56" s="15">
        <f t="shared" si="9"/>
        <v>1.0246286306532057E+42</v>
      </c>
      <c r="I56" s="16">
        <v>339.38</v>
      </c>
      <c r="J56" s="45">
        <v>1</v>
      </c>
      <c r="K56" s="19">
        <f t="shared" si="10"/>
        <v>319.5757435831307</v>
      </c>
      <c r="L56" s="16">
        <f t="shared" si="11"/>
        <v>392.20857222510858</v>
      </c>
      <c r="M56" s="45"/>
    </row>
    <row r="57" spans="1:13" x14ac:dyDescent="0.25">
      <c r="A57" s="16">
        <v>24.41</v>
      </c>
      <c r="B57" s="45">
        <f t="shared" si="12"/>
        <v>24410</v>
      </c>
      <c r="C57" s="16">
        <f t="shared" si="13"/>
        <v>8.4463667820069208</v>
      </c>
      <c r="D57" s="15">
        <f t="shared" si="14"/>
        <v>7.5321389727799994E+20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3.8973330059756398E+40</v>
      </c>
      <c r="F57" s="15">
        <f t="shared" si="7"/>
        <v>4.4118008773339553E+41</v>
      </c>
      <c r="G57" s="15">
        <f t="shared" si="8"/>
        <v>6.9380840453258769E+41</v>
      </c>
      <c r="H57" s="15">
        <f t="shared" si="9"/>
        <v>1.1739618223257395E+42</v>
      </c>
      <c r="I57" s="16">
        <v>348.78</v>
      </c>
      <c r="J57" s="45">
        <v>1</v>
      </c>
      <c r="K57" s="19">
        <f t="shared" si="10"/>
        <v>322.52510752640598</v>
      </c>
      <c r="L57" s="16">
        <f t="shared" si="11"/>
        <v>689.3193787999827</v>
      </c>
      <c r="M57" s="45"/>
    </row>
    <row r="58" spans="1:13" x14ac:dyDescent="0.25">
      <c r="H58" s="15"/>
      <c r="K58" s="45"/>
      <c r="L58" s="16">
        <f>SUM(L40:L57)/(COUNT(L40:L57)-6)</f>
        <v>1545.4912160455308</v>
      </c>
      <c r="M58" s="45"/>
    </row>
    <row r="59" spans="1:13" x14ac:dyDescent="0.25">
      <c r="H59" s="15"/>
      <c r="K59" s="45"/>
      <c r="L59" s="17"/>
      <c r="M59" s="45"/>
    </row>
    <row r="60" spans="1:13" x14ac:dyDescent="0.25">
      <c r="I60" s="45"/>
      <c r="J60" s="45"/>
      <c r="L60" s="16"/>
    </row>
    <row r="61" spans="1:13" x14ac:dyDescent="0.25">
      <c r="I61" s="45"/>
      <c r="J61" s="45"/>
      <c r="L61" s="16"/>
    </row>
    <row r="62" spans="1:13" x14ac:dyDescent="0.25">
      <c r="I62" s="45"/>
      <c r="J62" s="45"/>
      <c r="L62" s="16"/>
    </row>
    <row r="63" spans="1:13" x14ac:dyDescent="0.25">
      <c r="I63" s="45"/>
      <c r="J63" s="45"/>
      <c r="L63" s="16"/>
    </row>
    <row r="64" spans="1:13" x14ac:dyDescent="0.25">
      <c r="I64" s="45"/>
      <c r="J64" s="45"/>
      <c r="L64" s="16"/>
    </row>
    <row r="65" spans="1:29" x14ac:dyDescent="0.25">
      <c r="I65" s="45"/>
      <c r="J65" s="45"/>
      <c r="L65" s="16"/>
    </row>
    <row r="66" spans="1:29" x14ac:dyDescent="0.25">
      <c r="I66" s="45"/>
      <c r="J66" s="45"/>
      <c r="L66" s="16"/>
    </row>
    <row r="67" spans="1:29" s="17" customFormat="1" x14ac:dyDescent="0.25">
      <c r="A67" s="16"/>
      <c r="B67" s="45"/>
      <c r="C67" s="16"/>
      <c r="D67" s="15"/>
      <c r="E67" s="15"/>
      <c r="F67" s="15"/>
      <c r="G67" s="15"/>
      <c r="H67" s="18"/>
      <c r="I67" s="45"/>
      <c r="J67" s="45"/>
      <c r="K67" s="19"/>
      <c r="L67" s="16"/>
      <c r="N67" s="45"/>
      <c r="O67" s="45"/>
      <c r="P67" s="45"/>
      <c r="Q67" s="45"/>
      <c r="R67" s="45"/>
      <c r="S67" s="45"/>
      <c r="T67" s="45"/>
      <c r="U67" s="45"/>
      <c r="V67" s="16"/>
      <c r="W67" s="16"/>
      <c r="X67" s="45"/>
      <c r="Y67" s="45"/>
      <c r="Z67" s="45"/>
      <c r="AA67" s="45"/>
      <c r="AB67" s="45"/>
      <c r="AC67" s="45"/>
    </row>
    <row r="68" spans="1:29" s="17" customFormat="1" x14ac:dyDescent="0.25">
      <c r="A68" s="16"/>
      <c r="B68" s="45"/>
      <c r="C68" s="16"/>
      <c r="D68" s="15"/>
      <c r="E68" s="15"/>
      <c r="F68" s="15"/>
      <c r="G68" s="15"/>
      <c r="H68" s="18"/>
      <c r="I68" s="45"/>
      <c r="J68" s="45"/>
      <c r="K68" s="19"/>
      <c r="L68" s="16"/>
      <c r="N68" s="45"/>
      <c r="O68" s="45"/>
      <c r="P68" s="45"/>
      <c r="Q68" s="45"/>
      <c r="R68" s="45"/>
      <c r="S68" s="45"/>
      <c r="T68" s="45"/>
      <c r="U68" s="45"/>
      <c r="V68" s="16"/>
      <c r="W68" s="16"/>
      <c r="X68" s="45"/>
      <c r="Y68" s="45"/>
      <c r="Z68" s="45"/>
      <c r="AA68" s="45"/>
      <c r="AB68" s="45"/>
      <c r="AC68" s="45"/>
    </row>
    <row r="69" spans="1:29" s="17" customFormat="1" x14ac:dyDescent="0.25">
      <c r="A69" s="16"/>
      <c r="B69" s="45"/>
      <c r="C69" s="16"/>
      <c r="D69" s="15"/>
      <c r="E69" s="15"/>
      <c r="F69" s="15"/>
      <c r="G69" s="15"/>
      <c r="H69" s="18"/>
      <c r="I69" s="45"/>
      <c r="J69" s="45"/>
      <c r="K69" s="19"/>
      <c r="L69" s="16"/>
      <c r="N69" s="45"/>
      <c r="O69" s="45"/>
      <c r="P69" s="45"/>
      <c r="Q69" s="45"/>
      <c r="R69" s="45"/>
      <c r="S69" s="45"/>
      <c r="T69" s="45"/>
      <c r="U69" s="45"/>
      <c r="V69" s="16"/>
      <c r="W69" s="16"/>
      <c r="X69" s="45"/>
      <c r="Y69" s="45"/>
      <c r="Z69" s="45"/>
      <c r="AA69" s="45"/>
      <c r="AB69" s="45"/>
      <c r="AC69" s="45"/>
    </row>
    <row r="70" spans="1:29" s="17" customFormat="1" x14ac:dyDescent="0.25">
      <c r="A70" s="16"/>
      <c r="B70" s="45"/>
      <c r="C70" s="16"/>
      <c r="D70" s="15"/>
      <c r="E70" s="15"/>
      <c r="F70" s="15"/>
      <c r="G70" s="15"/>
      <c r="H70" s="18"/>
      <c r="I70" s="45"/>
      <c r="J70" s="45"/>
      <c r="K70" s="19"/>
      <c r="L70" s="16"/>
      <c r="N70" s="45"/>
      <c r="O70" s="45"/>
      <c r="P70" s="45"/>
      <c r="Q70" s="45"/>
      <c r="R70" s="45"/>
      <c r="S70" s="45"/>
      <c r="T70" s="45"/>
      <c r="U70" s="45"/>
      <c r="V70" s="16"/>
      <c r="W70" s="16"/>
      <c r="X70" s="45"/>
      <c r="Y70" s="45"/>
      <c r="Z70" s="45"/>
      <c r="AA70" s="45"/>
      <c r="AB70" s="45"/>
      <c r="AC70" s="45"/>
    </row>
    <row r="71" spans="1:29" s="17" customFormat="1" x14ac:dyDescent="0.25">
      <c r="A71" s="16"/>
      <c r="B71" s="45"/>
      <c r="C71" s="16"/>
      <c r="D71" s="15"/>
      <c r="E71" s="15"/>
      <c r="F71" s="15"/>
      <c r="G71" s="15"/>
      <c r="H71" s="18"/>
      <c r="I71" s="45"/>
      <c r="J71" s="45"/>
      <c r="K71" s="19"/>
      <c r="L71" s="16"/>
      <c r="N71" s="45"/>
      <c r="O71" s="45"/>
      <c r="P71" s="45"/>
      <c r="Q71" s="45"/>
      <c r="R71" s="45"/>
      <c r="S71" s="45"/>
      <c r="T71" s="45"/>
      <c r="U71" s="45"/>
      <c r="V71" s="16"/>
      <c r="W71" s="16"/>
      <c r="X71" s="45"/>
      <c r="Y71" s="45"/>
      <c r="Z71" s="45"/>
      <c r="AA71" s="45"/>
      <c r="AB71" s="45"/>
      <c r="AC71" s="45"/>
    </row>
    <row r="72" spans="1:29" s="17" customFormat="1" x14ac:dyDescent="0.25">
      <c r="A72" s="16"/>
      <c r="B72" s="45"/>
      <c r="C72" s="16"/>
      <c r="D72" s="15"/>
      <c r="E72" s="15"/>
      <c r="F72" s="15"/>
      <c r="G72" s="15"/>
      <c r="H72" s="18"/>
      <c r="I72" s="45"/>
      <c r="J72" s="45"/>
      <c r="K72" s="19"/>
      <c r="L72" s="16"/>
      <c r="N72" s="45"/>
      <c r="O72" s="45"/>
      <c r="P72" s="45"/>
      <c r="Q72" s="45"/>
      <c r="R72" s="45"/>
      <c r="S72" s="45"/>
      <c r="T72" s="45"/>
      <c r="U72" s="45"/>
      <c r="V72" s="16"/>
      <c r="W72" s="16"/>
      <c r="X72" s="45"/>
      <c r="Y72" s="45"/>
      <c r="Z72" s="45"/>
      <c r="AA72" s="45"/>
      <c r="AB72" s="45"/>
      <c r="AC72" s="45"/>
    </row>
    <row r="73" spans="1:29" s="17" customFormat="1" x14ac:dyDescent="0.25">
      <c r="A73" s="16"/>
      <c r="B73" s="45"/>
      <c r="C73" s="16"/>
      <c r="D73" s="15"/>
      <c r="E73" s="15"/>
      <c r="F73" s="15"/>
      <c r="G73" s="15"/>
      <c r="H73" s="18"/>
      <c r="I73" s="45"/>
      <c r="J73" s="45"/>
      <c r="K73" s="19"/>
      <c r="L73" s="16"/>
      <c r="N73" s="45"/>
      <c r="O73" s="45"/>
      <c r="P73" s="45"/>
      <c r="Q73" s="45"/>
      <c r="R73" s="45"/>
      <c r="S73" s="45"/>
      <c r="T73" s="45"/>
      <c r="U73" s="45"/>
      <c r="V73" s="16"/>
      <c r="W73" s="16"/>
      <c r="X73" s="45"/>
      <c r="Y73" s="45"/>
      <c r="Z73" s="45"/>
      <c r="AA73" s="45"/>
      <c r="AB73" s="45"/>
      <c r="AC73" s="45"/>
    </row>
    <row r="74" spans="1:29" s="17" customFormat="1" x14ac:dyDescent="0.25">
      <c r="A74" s="16"/>
      <c r="B74" s="45"/>
      <c r="C74" s="16"/>
      <c r="D74" s="15"/>
      <c r="E74" s="15"/>
      <c r="F74" s="15"/>
      <c r="G74" s="15"/>
      <c r="H74" s="18"/>
      <c r="I74" s="45"/>
      <c r="J74" s="45"/>
      <c r="K74" s="19"/>
      <c r="L74" s="16"/>
      <c r="N74" s="45"/>
      <c r="O74" s="45"/>
      <c r="P74" s="45"/>
      <c r="Q74" s="45"/>
      <c r="R74" s="45"/>
      <c r="S74" s="45"/>
      <c r="T74" s="45"/>
      <c r="U74" s="45"/>
      <c r="V74" s="16"/>
      <c r="W74" s="16"/>
      <c r="X74" s="45"/>
      <c r="Y74" s="45"/>
      <c r="Z74" s="45"/>
      <c r="AA74" s="45"/>
      <c r="AB74" s="45"/>
      <c r="AC74" s="45"/>
    </row>
    <row r="75" spans="1:29" s="17" customFormat="1" x14ac:dyDescent="0.25">
      <c r="A75" s="16"/>
      <c r="B75" s="45"/>
      <c r="C75" s="16"/>
      <c r="D75" s="15"/>
      <c r="E75" s="15"/>
      <c r="F75" s="15"/>
      <c r="G75" s="15"/>
      <c r="H75" s="18"/>
      <c r="I75" s="45"/>
      <c r="J75" s="45"/>
      <c r="K75" s="19"/>
      <c r="L75" s="16"/>
      <c r="N75" s="45"/>
      <c r="O75" s="45"/>
      <c r="P75" s="45"/>
      <c r="Q75" s="45"/>
      <c r="R75" s="45"/>
      <c r="S75" s="45"/>
      <c r="T75" s="45"/>
      <c r="U75" s="45"/>
      <c r="V75" s="16"/>
      <c r="W75" s="16"/>
      <c r="X75" s="45"/>
      <c r="Y75" s="45"/>
      <c r="Z75" s="45"/>
      <c r="AA75" s="45"/>
      <c r="AB75" s="45"/>
      <c r="AC75" s="45"/>
    </row>
    <row r="76" spans="1:29" s="17" customFormat="1" x14ac:dyDescent="0.25">
      <c r="A76" s="16"/>
      <c r="B76" s="45"/>
      <c r="C76" s="16"/>
      <c r="D76" s="15"/>
      <c r="E76" s="15"/>
      <c r="F76" s="15"/>
      <c r="G76" s="15"/>
      <c r="H76" s="18"/>
      <c r="I76" s="45"/>
      <c r="J76" s="45"/>
      <c r="K76" s="19"/>
      <c r="L76" s="16"/>
      <c r="N76" s="45"/>
      <c r="O76" s="45"/>
      <c r="P76" s="45"/>
      <c r="Q76" s="45"/>
      <c r="R76" s="45"/>
      <c r="S76" s="45"/>
      <c r="T76" s="45"/>
      <c r="U76" s="45"/>
      <c r="V76" s="16"/>
      <c r="W76" s="16"/>
      <c r="X76" s="45"/>
      <c r="Y76" s="45"/>
      <c r="Z76" s="45"/>
      <c r="AA76" s="45"/>
      <c r="AB76" s="45"/>
      <c r="AC76" s="45"/>
    </row>
    <row r="77" spans="1:29" s="17" customFormat="1" x14ac:dyDescent="0.25">
      <c r="A77" s="16"/>
      <c r="B77" s="45"/>
      <c r="C77" s="16"/>
      <c r="D77" s="15"/>
      <c r="E77" s="15"/>
      <c r="F77" s="15"/>
      <c r="G77" s="15"/>
      <c r="H77" s="18"/>
      <c r="I77" s="45"/>
      <c r="J77" s="45"/>
      <c r="K77" s="19"/>
      <c r="L77" s="16"/>
      <c r="N77" s="45"/>
      <c r="O77" s="45"/>
      <c r="P77" s="45"/>
      <c r="Q77" s="45"/>
      <c r="R77" s="45"/>
      <c r="S77" s="45"/>
      <c r="T77" s="45"/>
      <c r="U77" s="45"/>
      <c r="V77" s="16"/>
      <c r="W77" s="16"/>
      <c r="X77" s="45"/>
      <c r="Y77" s="45"/>
      <c r="Z77" s="45"/>
      <c r="AA77" s="45"/>
      <c r="AB77" s="45"/>
      <c r="AC77" s="45"/>
    </row>
    <row r="78" spans="1:29" s="17" customFormat="1" x14ac:dyDescent="0.25">
      <c r="A78" s="16"/>
      <c r="B78" s="45"/>
      <c r="C78" s="16"/>
      <c r="D78" s="15"/>
      <c r="E78" s="15"/>
      <c r="F78" s="15"/>
      <c r="G78" s="15"/>
      <c r="H78" s="18"/>
      <c r="I78" s="45"/>
      <c r="J78" s="45"/>
      <c r="K78" s="19"/>
      <c r="L78" s="16"/>
      <c r="N78" s="45"/>
      <c r="O78" s="45"/>
      <c r="P78" s="45"/>
      <c r="Q78" s="45"/>
      <c r="R78" s="45"/>
      <c r="S78" s="45"/>
      <c r="T78" s="45"/>
      <c r="U78" s="45"/>
      <c r="V78" s="16"/>
      <c r="W78" s="16"/>
      <c r="X78" s="45"/>
      <c r="Y78" s="45"/>
      <c r="Z78" s="45"/>
      <c r="AA78" s="45"/>
      <c r="AB78" s="45"/>
      <c r="AC78" s="45"/>
    </row>
    <row r="79" spans="1:29" s="17" customFormat="1" x14ac:dyDescent="0.25">
      <c r="A79" s="16"/>
      <c r="B79" s="45"/>
      <c r="C79" s="16"/>
      <c r="D79" s="15"/>
      <c r="E79" s="15"/>
      <c r="F79" s="15"/>
      <c r="G79" s="15"/>
      <c r="H79" s="18"/>
      <c r="I79" s="45"/>
      <c r="J79" s="45"/>
      <c r="K79" s="19"/>
      <c r="L79" s="16"/>
      <c r="N79" s="45"/>
      <c r="O79" s="45"/>
      <c r="P79" s="45"/>
      <c r="Q79" s="45"/>
      <c r="R79" s="45"/>
      <c r="S79" s="45"/>
      <c r="T79" s="45"/>
      <c r="U79" s="45"/>
      <c r="V79" s="16"/>
      <c r="W79" s="16"/>
      <c r="X79" s="45"/>
      <c r="Y79" s="45"/>
      <c r="Z79" s="45"/>
      <c r="AA79" s="45"/>
      <c r="AB79" s="45"/>
      <c r="AC79" s="45"/>
    </row>
    <row r="80" spans="1:29" s="17" customFormat="1" x14ac:dyDescent="0.25">
      <c r="A80" s="16"/>
      <c r="B80" s="45"/>
      <c r="C80" s="16"/>
      <c r="D80" s="15"/>
      <c r="E80" s="15"/>
      <c r="F80" s="15"/>
      <c r="G80" s="15"/>
      <c r="H80" s="18"/>
      <c r="I80" s="45"/>
      <c r="J80" s="45"/>
      <c r="K80" s="19"/>
      <c r="L80" s="16"/>
      <c r="N80" s="45"/>
      <c r="O80" s="45"/>
      <c r="P80" s="45"/>
      <c r="Q80" s="45"/>
      <c r="R80" s="45"/>
      <c r="S80" s="45"/>
      <c r="T80" s="45"/>
      <c r="U80" s="45"/>
      <c r="V80" s="16"/>
      <c r="W80" s="16"/>
      <c r="X80" s="45"/>
      <c r="Y80" s="45"/>
      <c r="Z80" s="45"/>
      <c r="AA80" s="45"/>
      <c r="AB80" s="45"/>
      <c r="AC80" s="45"/>
    </row>
    <row r="81" spans="1:29" s="17" customFormat="1" x14ac:dyDescent="0.25">
      <c r="A81" s="16"/>
      <c r="B81" s="45"/>
      <c r="C81" s="16"/>
      <c r="D81" s="15"/>
      <c r="E81" s="15"/>
      <c r="F81" s="15"/>
      <c r="G81" s="15"/>
      <c r="H81" s="18"/>
      <c r="I81" s="45"/>
      <c r="J81" s="45"/>
      <c r="K81" s="19"/>
      <c r="L81" s="16"/>
      <c r="N81" s="45"/>
      <c r="O81" s="45"/>
      <c r="P81" s="45"/>
      <c r="Q81" s="45"/>
      <c r="R81" s="45"/>
      <c r="S81" s="45"/>
      <c r="T81" s="45"/>
      <c r="U81" s="45"/>
      <c r="V81" s="16"/>
      <c r="W81" s="16"/>
      <c r="X81" s="45"/>
      <c r="Y81" s="45"/>
      <c r="Z81" s="45"/>
      <c r="AA81" s="45"/>
      <c r="AB81" s="45"/>
      <c r="AC81" s="45"/>
    </row>
    <row r="82" spans="1:29" s="17" customFormat="1" x14ac:dyDescent="0.25">
      <c r="A82" s="16"/>
      <c r="B82" s="45"/>
      <c r="C82" s="16"/>
      <c r="D82" s="15"/>
      <c r="E82" s="15"/>
      <c r="F82" s="15"/>
      <c r="G82" s="15"/>
      <c r="H82" s="18"/>
      <c r="I82" s="45"/>
      <c r="J82" s="45"/>
      <c r="K82" s="19"/>
      <c r="L82" s="16"/>
      <c r="N82" s="45"/>
      <c r="O82" s="45"/>
      <c r="P82" s="45"/>
      <c r="Q82" s="45"/>
      <c r="R82" s="45"/>
      <c r="S82" s="45"/>
      <c r="T82" s="45"/>
      <c r="U82" s="45"/>
      <c r="V82" s="16"/>
      <c r="W82" s="16"/>
      <c r="X82" s="45"/>
      <c r="Y82" s="45"/>
      <c r="Z82" s="45"/>
      <c r="AA82" s="45"/>
      <c r="AB82" s="45"/>
      <c r="AC82" s="45"/>
    </row>
    <row r="83" spans="1:29" s="17" customFormat="1" x14ac:dyDescent="0.25">
      <c r="A83" s="16"/>
      <c r="B83" s="45"/>
      <c r="C83" s="16"/>
      <c r="D83" s="15"/>
      <c r="E83" s="15"/>
      <c r="F83" s="15"/>
      <c r="G83" s="15"/>
      <c r="H83" s="18"/>
      <c r="I83" s="45"/>
      <c r="J83" s="45"/>
      <c r="K83" s="19"/>
      <c r="L83" s="16"/>
      <c r="N83" s="45"/>
      <c r="O83" s="45"/>
      <c r="P83" s="45"/>
      <c r="Q83" s="45"/>
      <c r="R83" s="45"/>
      <c r="S83" s="45"/>
      <c r="T83" s="45"/>
      <c r="U83" s="45"/>
      <c r="V83" s="16"/>
      <c r="W83" s="16"/>
      <c r="X83" s="45"/>
      <c r="Y83" s="45"/>
      <c r="Z83" s="45"/>
      <c r="AA83" s="45"/>
      <c r="AB83" s="45"/>
      <c r="AC83" s="45"/>
    </row>
    <row r="84" spans="1:29" s="17" customFormat="1" x14ac:dyDescent="0.25">
      <c r="A84" s="16"/>
      <c r="B84" s="45"/>
      <c r="C84" s="16"/>
      <c r="D84" s="15"/>
      <c r="E84" s="15"/>
      <c r="F84" s="15"/>
      <c r="G84" s="15"/>
      <c r="H84" s="18"/>
      <c r="I84" s="45"/>
      <c r="J84" s="45"/>
      <c r="K84" s="19"/>
      <c r="L84" s="16"/>
      <c r="N84" s="45"/>
      <c r="O84" s="45"/>
      <c r="P84" s="45"/>
      <c r="Q84" s="45"/>
      <c r="R84" s="45"/>
      <c r="S84" s="45"/>
      <c r="T84" s="45"/>
      <c r="U84" s="45"/>
      <c r="V84" s="16"/>
      <c r="W84" s="16"/>
      <c r="X84" s="45"/>
      <c r="Y84" s="45"/>
      <c r="Z84" s="45"/>
      <c r="AA84" s="45"/>
      <c r="AB84" s="45"/>
      <c r="AC84" s="45"/>
    </row>
    <row r="85" spans="1:29" s="17" customFormat="1" x14ac:dyDescent="0.25">
      <c r="A85" s="16"/>
      <c r="B85" s="45"/>
      <c r="C85" s="16"/>
      <c r="D85" s="15"/>
      <c r="E85" s="15"/>
      <c r="F85" s="15"/>
      <c r="G85" s="15"/>
      <c r="H85" s="18"/>
      <c r="I85" s="45"/>
      <c r="J85" s="45"/>
      <c r="K85" s="19"/>
      <c r="L85" s="16"/>
      <c r="N85" s="45"/>
      <c r="O85" s="45"/>
      <c r="P85" s="45"/>
      <c r="Q85" s="45"/>
      <c r="R85" s="45"/>
      <c r="S85" s="45"/>
      <c r="T85" s="45"/>
      <c r="U85" s="45"/>
      <c r="V85" s="16"/>
      <c r="W85" s="16"/>
      <c r="X85" s="45"/>
      <c r="Y85" s="45"/>
      <c r="Z85" s="45"/>
      <c r="AA85" s="45"/>
      <c r="AB85" s="45"/>
      <c r="AC85" s="45"/>
    </row>
    <row r="86" spans="1:29" s="17" customFormat="1" x14ac:dyDescent="0.25">
      <c r="A86" s="16"/>
      <c r="B86" s="45"/>
      <c r="C86" s="16"/>
      <c r="D86" s="15"/>
      <c r="E86" s="15"/>
      <c r="F86" s="15"/>
      <c r="G86" s="15"/>
      <c r="H86" s="18"/>
      <c r="I86" s="45"/>
      <c r="J86" s="45"/>
      <c r="K86" s="19"/>
      <c r="L86" s="16"/>
      <c r="N86" s="45"/>
      <c r="O86" s="45"/>
      <c r="P86" s="45"/>
      <c r="Q86" s="45"/>
      <c r="R86" s="45"/>
      <c r="S86" s="45"/>
      <c r="T86" s="45"/>
      <c r="U86" s="45"/>
      <c r="V86" s="16"/>
      <c r="W86" s="16"/>
      <c r="X86" s="45"/>
      <c r="Y86" s="45"/>
      <c r="Z86" s="45"/>
      <c r="AA86" s="45"/>
      <c r="AB86" s="45"/>
      <c r="AC86" s="45"/>
    </row>
    <row r="87" spans="1:29" s="17" customFormat="1" x14ac:dyDescent="0.25">
      <c r="A87" s="16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16"/>
      <c r="W87" s="16"/>
      <c r="X87" s="45"/>
      <c r="Y87" s="45"/>
      <c r="Z87" s="45"/>
      <c r="AA87" s="45"/>
      <c r="AB87" s="45"/>
      <c r="AC87" s="45"/>
    </row>
    <row r="88" spans="1:29" s="17" customFormat="1" x14ac:dyDescent="0.25">
      <c r="A88" s="16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16"/>
      <c r="W88" s="16"/>
      <c r="X88" s="45"/>
      <c r="Y88" s="45"/>
      <c r="Z88" s="45"/>
      <c r="AA88" s="45"/>
      <c r="AB88" s="45"/>
      <c r="AC88" s="45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16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16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15"/>
      <c r="J107" s="1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15"/>
      <c r="J108" s="1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15"/>
      <c r="J109" s="1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15"/>
      <c r="J110" s="1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15"/>
      <c r="J111" s="1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15"/>
      <c r="J112" s="1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15"/>
      <c r="J113" s="1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15"/>
      <c r="J114" s="1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15"/>
      <c r="J115" s="1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15"/>
      <c r="J116" s="1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15"/>
      <c r="J117" s="1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15"/>
      <c r="J118" s="1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15"/>
      <c r="J119" s="1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15"/>
      <c r="J120" s="1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15"/>
      <c r="J121" s="1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15"/>
      <c r="J122" s="1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15"/>
      <c r="J123" s="1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15"/>
      <c r="J124" s="1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15"/>
      <c r="J125" s="1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15"/>
      <c r="J126" s="1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x14ac:dyDescent="0.25">
      <c r="L515" s="16"/>
    </row>
    <row r="516" spans="1:29" x14ac:dyDescent="0.25">
      <c r="L516" s="16"/>
      <c r="N516" s="17"/>
      <c r="O516" s="38"/>
    </row>
    <row r="517" spans="1:29" x14ac:dyDescent="0.25">
      <c r="L517" s="16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"/>
  <dimension ref="A1:AC544"/>
  <sheetViews>
    <sheetView zoomScaleNormal="100" workbookViewId="0"/>
  </sheetViews>
  <sheetFormatPr defaultRowHeight="15" x14ac:dyDescent="0.25"/>
  <cols>
    <col min="1" max="1" width="10.7109375" style="16" customWidth="1"/>
    <col min="2" max="2" width="10.7109375" style="14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16" customWidth="1"/>
    <col min="13" max="13" width="10.42578125" style="17" customWidth="1"/>
    <col min="15" max="15" width="16.7109375" bestFit="1" customWidth="1"/>
  </cols>
  <sheetData>
    <row r="1" spans="1:13" s="45" customFormat="1" ht="18.75" x14ac:dyDescent="0.3">
      <c r="A1" s="47" t="s">
        <v>613</v>
      </c>
      <c r="C1" s="16"/>
      <c r="D1" s="15"/>
      <c r="E1" s="15"/>
      <c r="F1" s="15"/>
      <c r="G1" s="15"/>
      <c r="H1" s="18"/>
      <c r="I1" s="15"/>
      <c r="J1" s="15"/>
      <c r="L1" s="16"/>
      <c r="M1" s="17"/>
    </row>
    <row r="2" spans="1:13" s="51" customFormat="1" ht="20.100000000000001" customHeight="1" x14ac:dyDescent="0.25">
      <c r="A2" s="52" t="s">
        <v>617</v>
      </c>
      <c r="C2" s="52"/>
      <c r="D2" s="56">
        <v>1074.29251050117</v>
      </c>
      <c r="E2" s="55"/>
      <c r="F2" s="53" t="s">
        <v>620</v>
      </c>
      <c r="G2" s="53">
        <v>5915594188</v>
      </c>
      <c r="H2" s="62"/>
      <c r="K2" s="51" t="s">
        <v>1</v>
      </c>
      <c r="L2" s="63" t="s">
        <v>566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1.29505837205376E+40</v>
      </c>
      <c r="E3" s="53"/>
      <c r="F3" s="53" t="s">
        <v>621</v>
      </c>
      <c r="G3" s="53">
        <f>H39/SolarMass</f>
        <v>58688278062.629364</v>
      </c>
      <c r="H3" s="62"/>
      <c r="K3" s="51" t="s">
        <v>562</v>
      </c>
      <c r="L3" s="52">
        <v>1.9403E-2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2564.3939608626902</v>
      </c>
      <c r="E4" s="55"/>
      <c r="F4" s="53" t="s">
        <v>622</v>
      </c>
      <c r="G4" s="52">
        <f>G3/G2</f>
        <v>9.9209438980247651</v>
      </c>
      <c r="H4" s="62"/>
      <c r="K4" s="61" t="s">
        <v>614</v>
      </c>
      <c r="L4" s="52">
        <f>QEHModelChiSquare</f>
        <v>34.912399217113752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1274.4541110381101</v>
      </c>
      <c r="F5" s="53"/>
      <c r="G5" s="52"/>
      <c r="H5" s="62"/>
      <c r="K5" s="61" t="s">
        <v>615</v>
      </c>
      <c r="L5" s="52">
        <f>LCDMModelChiSquare</f>
        <v>91.772722406186787</v>
      </c>
      <c r="M5" s="55"/>
    </row>
    <row r="6" spans="1:13" s="51" customFormat="1" ht="20.100000000000001" customHeight="1" x14ac:dyDescent="0.25">
      <c r="F6" s="53"/>
      <c r="G6" s="53"/>
      <c r="H6" s="62"/>
      <c r="K6" s="54"/>
      <c r="L6" s="52"/>
      <c r="M6" s="5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14">
        <f t="shared" ref="B8:B39" si="0">RadiusKpc*1000</f>
        <v>90</v>
      </c>
      <c r="C8" s="16">
        <f t="shared" ref="C8:C39" si="1">IF(_xlfn.SINGLE(QESBulgeEffectiveRadius)=0,0,_xlfn.SINGLE(RadiusPc)/_xlfn.SINGLE(QESBulgeEffectiveRadius))</f>
        <v>8.3776065755139587E-2</v>
      </c>
      <c r="D8" s="15">
        <f t="shared" ref="D8:D39" si="2">RadiusKpc*kpc</f>
        <v>2.777109822E+18</v>
      </c>
      <c r="E8" s="15" cm="1">
        <f t="array" ref="E8"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4.5596158954386153E+38</v>
      </c>
      <c r="F8" s="15">
        <f t="shared" ref="F8:F39" si="3">2*PI()*QESDiskSurfaceDensity*_xlfn.SINGLE(QESDiskScaleLength)*(_xlfn.SINGLE(QESDiskScaleLength)-EXP(-_xlfn.SINGLE(RadiusPc)/_xlfn.SINGLE(QESDiskScaleLength))*(_xlfn.SINGLE(RadiusPc)+_xlfn.SINGLE(QESDiskScaleLength)))*SolarMass</f>
        <v>6.3018673569599556E+37</v>
      </c>
      <c r="H8" s="18">
        <f t="shared" ref="H8:H39" si="4">BulgeMass+DiskMass+HaloMass</f>
        <v>5.1898026311346113E+38</v>
      </c>
      <c r="I8" s="45">
        <v>114.58</v>
      </c>
      <c r="J8" s="45">
        <v>1</v>
      </c>
      <c r="K8" s="19">
        <f t="shared" ref="K8:K39" si="5">SQRT(TotalMass*GravitationalConstant/RadiusKm+UniverseAcceleration*RadiusKm)/km</f>
        <v>112.13227257674434</v>
      </c>
      <c r="L8" s="16">
        <f t="shared" ref="L8:L39" si="6">(ObservedVelocity-ModelVelocity)^2/(VelocityError)^2</f>
        <v>5.9913695385577768</v>
      </c>
    </row>
    <row r="9" spans="1:13" x14ac:dyDescent="0.25">
      <c r="A9" s="45">
        <v>0.19</v>
      </c>
      <c r="B9" s="35">
        <f t="shared" si="0"/>
        <v>190</v>
      </c>
      <c r="C9" s="16">
        <f t="shared" si="1"/>
        <v>0.17686058326085025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Deprojection'!$A$2:$A$127,1)-1,0,2))*_xlfn.SINGLE(QESTotalBulgeMass))</f>
        <v>1.1249813156014001E+39</v>
      </c>
      <c r="F9" s="15">
        <f t="shared" si="3"/>
        <v>2.736860279779823E+38</v>
      </c>
      <c r="H9" s="18">
        <f t="shared" si="4"/>
        <v>1.3986673435793823E+39</v>
      </c>
      <c r="I9" s="45">
        <v>130.28</v>
      </c>
      <c r="J9" s="45">
        <v>1</v>
      </c>
      <c r="K9" s="19">
        <f t="shared" si="5"/>
        <v>127.02733108097395</v>
      </c>
      <c r="L9" s="16">
        <f t="shared" si="6"/>
        <v>10.579855096798092</v>
      </c>
    </row>
    <row r="10" spans="1:13" x14ac:dyDescent="0.25">
      <c r="A10" s="45">
        <v>0.3</v>
      </c>
      <c r="B10" s="35">
        <f t="shared" si="0"/>
        <v>300</v>
      </c>
      <c r="C10" s="16">
        <f t="shared" si="1"/>
        <v>0.27925355251713196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Deprojection'!$A$2:$A$127,1)-1,0,2))*_xlfn.SINGLE(QESTotalBulgeMass))</f>
        <v>1.8327013690564186E+39</v>
      </c>
      <c r="F10" s="15">
        <f t="shared" si="3"/>
        <v>6.6323591652362759E+38</v>
      </c>
      <c r="H10" s="18">
        <f t="shared" si="4"/>
        <v>2.4959372855800462E+39</v>
      </c>
      <c r="I10" s="45">
        <v>132.77000000000001</v>
      </c>
      <c r="J10" s="45">
        <v>1</v>
      </c>
      <c r="K10" s="19">
        <f t="shared" si="5"/>
        <v>135.39803374929187</v>
      </c>
      <c r="L10" s="16">
        <f t="shared" si="6"/>
        <v>6.9065613874170255</v>
      </c>
    </row>
    <row r="11" spans="1:13" x14ac:dyDescent="0.25">
      <c r="A11" s="45">
        <v>0.42</v>
      </c>
      <c r="B11" s="35">
        <f t="shared" si="0"/>
        <v>420</v>
      </c>
      <c r="C11" s="16">
        <f t="shared" si="1"/>
        <v>0.39095497352398473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Deprojection'!$A$2:$A$127,1)-1,0,2))*_xlfn.SINGLE(QESTotalBulgeMass))</f>
        <v>2.5438408079163229E+39</v>
      </c>
      <c r="F11" s="15">
        <f t="shared" si="3"/>
        <v>1.2604790663973237E+39</v>
      </c>
      <c r="H11" s="18">
        <f t="shared" si="4"/>
        <v>3.8043198743136467E+39</v>
      </c>
      <c r="I11" s="45">
        <v>135.07</v>
      </c>
      <c r="J11" s="45">
        <v>1</v>
      </c>
      <c r="K11" s="19">
        <f t="shared" si="5"/>
        <v>141.64793289085134</v>
      </c>
      <c r="L11" s="16">
        <f t="shared" si="6"/>
        <v>43.269201116543911</v>
      </c>
    </row>
    <row r="12" spans="1:13" x14ac:dyDescent="0.25">
      <c r="A12" s="45">
        <v>0.56000000000000005</v>
      </c>
      <c r="B12" s="35">
        <f t="shared" si="0"/>
        <v>560</v>
      </c>
      <c r="C12" s="16">
        <f t="shared" si="1"/>
        <v>0.52127329803197964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Deprojection'!$A$2:$A$127,1)-1,0,2))*_xlfn.SINGLE(QESTotalBulgeMass))</f>
        <v>3.2821456959350724E+39</v>
      </c>
      <c r="F12" s="15">
        <f t="shared" si="3"/>
        <v>2.1620286844376888E+39</v>
      </c>
      <c r="H12" s="18">
        <f t="shared" si="4"/>
        <v>5.4441743803727612E+39</v>
      </c>
      <c r="I12" s="45">
        <v>140.83000000000001</v>
      </c>
      <c r="J12" s="45">
        <v>1</v>
      </c>
      <c r="K12" s="19">
        <f t="shared" si="5"/>
        <v>147.16485064116097</v>
      </c>
      <c r="L12" s="16">
        <f t="shared" si="6"/>
        <v>40.130332645817361</v>
      </c>
    </row>
    <row r="13" spans="1:13" x14ac:dyDescent="0.25">
      <c r="A13" s="45">
        <v>0.7</v>
      </c>
      <c r="B13" s="35">
        <f t="shared" si="0"/>
        <v>700</v>
      </c>
      <c r="C13" s="16">
        <f t="shared" si="1"/>
        <v>0.65159162253997449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Deprojection'!$A$2:$A$127,1)-1,0,2))*_xlfn.SINGLE(QESTotalBulgeMass))</f>
        <v>3.9379539091293662E+39</v>
      </c>
      <c r="F13" s="15">
        <f t="shared" si="3"/>
        <v>3.2598961274757855E+39</v>
      </c>
      <c r="H13" s="18">
        <f t="shared" si="4"/>
        <v>7.1978500366051516E+39</v>
      </c>
      <c r="I13" s="45">
        <v>152.06</v>
      </c>
      <c r="J13" s="45">
        <v>1</v>
      </c>
      <c r="K13" s="19">
        <f t="shared" si="5"/>
        <v>151.75050095411706</v>
      </c>
      <c r="L13" s="16">
        <f t="shared" si="6"/>
        <v>9.5789659402452862E-2</v>
      </c>
    </row>
    <row r="14" spans="1:13" x14ac:dyDescent="0.25">
      <c r="A14" s="45">
        <v>0.86</v>
      </c>
      <c r="B14" s="35">
        <f t="shared" si="0"/>
        <v>860</v>
      </c>
      <c r="C14" s="16">
        <f t="shared" si="1"/>
        <v>0.80052685054911155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Deprojection'!$A$2:$A$127,1)-1,0,2))*_xlfn.SINGLE(QESTotalBulgeMass))</f>
        <v>4.6076058133756555E+39</v>
      </c>
      <c r="F14" s="15">
        <f t="shared" si="3"/>
        <v>4.7250557245633429E+39</v>
      </c>
      <c r="H14" s="18">
        <f t="shared" si="4"/>
        <v>9.3326615379389984E+39</v>
      </c>
      <c r="I14" s="45">
        <v>162.63999999999999</v>
      </c>
      <c r="J14" s="45">
        <v>1</v>
      </c>
      <c r="K14" s="19">
        <f t="shared" si="5"/>
        <v>156.33163148859478</v>
      </c>
      <c r="L14" s="16">
        <f t="shared" si="6"/>
        <v>39.795513275688734</v>
      </c>
    </row>
    <row r="15" spans="1:13" x14ac:dyDescent="0.25">
      <c r="A15" s="45">
        <v>1.04</v>
      </c>
      <c r="B15" s="35">
        <f t="shared" si="0"/>
        <v>1040</v>
      </c>
      <c r="C15" s="16">
        <f t="shared" si="1"/>
        <v>0.9680789820593908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Deprojection'!$A$2:$A$127,1)-1,0,2))*_xlfn.SINGLE(QESTotalBulgeMass))</f>
        <v>5.260592534338863E+39</v>
      </c>
      <c r="F15" s="15">
        <f t="shared" si="3"/>
        <v>6.6038385232805028E+39</v>
      </c>
      <c r="H15" s="18">
        <f t="shared" si="4"/>
        <v>1.1864431057619365E+40</v>
      </c>
      <c r="I15" s="45">
        <v>168.68</v>
      </c>
      <c r="J15" s="45">
        <v>1</v>
      </c>
      <c r="K15" s="19">
        <f t="shared" si="5"/>
        <v>160.76405917739362</v>
      </c>
      <c r="L15" s="16">
        <f t="shared" si="6"/>
        <v>62.662119107006291</v>
      </c>
    </row>
    <row r="16" spans="1:13" x14ac:dyDescent="0.25">
      <c r="A16" s="45">
        <v>1.23</v>
      </c>
      <c r="B16" s="35">
        <f t="shared" si="0"/>
        <v>1230</v>
      </c>
      <c r="C16" s="16">
        <f t="shared" si="1"/>
        <v>1.144939565320241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Deprojection'!$A$2:$A$127,1)-1,0,2))*_xlfn.SINGLE(QESTotalBulgeMass))</f>
        <v>5.866512074453507E+39</v>
      </c>
      <c r="F16" s="15">
        <f t="shared" si="3"/>
        <v>8.8084994491359114E+39</v>
      </c>
      <c r="H16" s="18">
        <f t="shared" si="4"/>
        <v>1.467501152358942E+40</v>
      </c>
      <c r="I16" s="45">
        <v>171.57</v>
      </c>
      <c r="J16" s="45">
        <v>1</v>
      </c>
      <c r="K16" s="19">
        <f t="shared" si="5"/>
        <v>164.89282878832952</v>
      </c>
      <c r="L16" s="16">
        <f t="shared" si="6"/>
        <v>44.584615389960881</v>
      </c>
    </row>
    <row r="17" spans="1:12" x14ac:dyDescent="0.25">
      <c r="A17" s="45">
        <v>1.45</v>
      </c>
      <c r="B17" s="35">
        <f t="shared" si="0"/>
        <v>1450</v>
      </c>
      <c r="C17" s="16">
        <f t="shared" si="1"/>
        <v>1.3497255038328044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Deprojection'!$A$2:$A$127,1)-1,0,2))*_xlfn.SINGLE(QESTotalBulgeMass))</f>
        <v>6.4775090380302376E+39</v>
      </c>
      <c r="F17" s="15">
        <f t="shared" si="3"/>
        <v>1.159061297404202E+40</v>
      </c>
      <c r="H17" s="18">
        <f t="shared" si="4"/>
        <v>1.8068122012072256E+40</v>
      </c>
      <c r="I17" s="45">
        <v>173.31</v>
      </c>
      <c r="J17" s="45">
        <v>1</v>
      </c>
      <c r="K17" s="19">
        <f t="shared" si="5"/>
        <v>169.06585386479767</v>
      </c>
      <c r="L17" s="16">
        <f t="shared" si="6"/>
        <v>18.01277641695286</v>
      </c>
    </row>
    <row r="18" spans="1:12" x14ac:dyDescent="0.25">
      <c r="A18" s="45">
        <v>1.68</v>
      </c>
      <c r="B18" s="35">
        <f t="shared" si="0"/>
        <v>1680</v>
      </c>
      <c r="C18" s="16">
        <f t="shared" si="1"/>
        <v>1.5638198940959389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Deprojection'!$A$2:$A$127,1)-1,0,2))*_xlfn.SINGLE(QESTotalBulgeMass))</f>
        <v>7.0313768985189452E+39</v>
      </c>
      <c r="F18" s="15">
        <f t="shared" si="3"/>
        <v>1.4702541848128538E+40</v>
      </c>
      <c r="H18" s="18">
        <f t="shared" si="4"/>
        <v>2.1733918746647482E+40</v>
      </c>
      <c r="I18" s="45">
        <v>175.28</v>
      </c>
      <c r="J18" s="45">
        <v>1</v>
      </c>
      <c r="K18" s="19">
        <f t="shared" si="5"/>
        <v>172.83458841388864</v>
      </c>
      <c r="L18" s="16">
        <f t="shared" si="6"/>
        <v>5.9800378254876874</v>
      </c>
    </row>
    <row r="19" spans="1:12" x14ac:dyDescent="0.25">
      <c r="A19" s="45">
        <v>1.94</v>
      </c>
      <c r="B19" s="35">
        <f t="shared" si="0"/>
        <v>1940</v>
      </c>
      <c r="C19" s="16">
        <f t="shared" si="1"/>
        <v>1.8058396396107865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Deprojection'!$A$2:$A$127,1)-1,0,2))*_xlfn.SINGLE(QESTotalBulgeMass))</f>
        <v>7.5739101804721362E+39</v>
      </c>
      <c r="F19" s="15">
        <f t="shared" si="3"/>
        <v>1.8400292741043421E+40</v>
      </c>
      <c r="H19" s="18">
        <f t="shared" si="4"/>
        <v>2.5974202921515558E+40</v>
      </c>
      <c r="I19" s="45">
        <v>176.81</v>
      </c>
      <c r="J19" s="45">
        <v>1</v>
      </c>
      <c r="K19" s="19">
        <f t="shared" si="5"/>
        <v>176.47038287553983</v>
      </c>
      <c r="L19" s="16">
        <f t="shared" si="6"/>
        <v>0.11533979122659868</v>
      </c>
    </row>
    <row r="20" spans="1:12" x14ac:dyDescent="0.25">
      <c r="A20" s="45">
        <v>2.23</v>
      </c>
      <c r="B20" s="35">
        <f t="shared" si="0"/>
        <v>2230</v>
      </c>
      <c r="C20" s="16">
        <f t="shared" si="1"/>
        <v>2.0757847403773475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Deprojection'!$A$2:$A$127,1)-1,0,2))*_xlfn.SINGLE(QESTotalBulgeMass))</f>
        <v>8.0916443183768768E+39</v>
      </c>
      <c r="F20" s="15">
        <f t="shared" si="3"/>
        <v>2.2668251380883465E+40</v>
      </c>
      <c r="H20" s="18">
        <f t="shared" si="4"/>
        <v>3.0759895699260343E+40</v>
      </c>
      <c r="I20" s="45">
        <v>178.75</v>
      </c>
      <c r="J20" s="45">
        <v>1</v>
      </c>
      <c r="K20" s="19">
        <f t="shared" si="5"/>
        <v>179.84410667795703</v>
      </c>
      <c r="L20" s="16">
        <f t="shared" si="6"/>
        <v>1.1970694227501664</v>
      </c>
    </row>
    <row r="21" spans="1:12" x14ac:dyDescent="0.25">
      <c r="A21" s="45">
        <v>2.54</v>
      </c>
      <c r="B21" s="35">
        <f t="shared" si="0"/>
        <v>2540</v>
      </c>
      <c r="C21" s="16">
        <f t="shared" si="1"/>
        <v>2.3643467446450503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Deprojection'!$A$2:$A$127,1)-1,0,2))*_xlfn.SINGLE(QESTotalBulgeMass))</f>
        <v>8.5659333391660282E+39</v>
      </c>
      <c r="F21" s="15">
        <f t="shared" si="3"/>
        <v>2.7311192420520295E+40</v>
      </c>
      <c r="H21" s="18">
        <f t="shared" si="4"/>
        <v>3.5877125759686322E+40</v>
      </c>
      <c r="I21" s="45">
        <v>181.15</v>
      </c>
      <c r="J21" s="45">
        <v>1</v>
      </c>
      <c r="K21" s="19">
        <f t="shared" si="5"/>
        <v>182.78138433630409</v>
      </c>
      <c r="L21" s="16">
        <f t="shared" si="6"/>
        <v>2.6614148527383046</v>
      </c>
    </row>
    <row r="22" spans="1:12" x14ac:dyDescent="0.25">
      <c r="A22" s="45">
        <v>2.89</v>
      </c>
      <c r="B22" s="35">
        <f t="shared" si="0"/>
        <v>2890</v>
      </c>
      <c r="C22" s="16">
        <f t="shared" si="1"/>
        <v>2.6901425559150378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Deprojection'!$A$2:$A$127,1)-1,0,2))*_xlfn.SINGLE(QESTotalBulgeMass))</f>
        <v>9.0229110525563811E+39</v>
      </c>
      <c r="F22" s="15">
        <f t="shared" si="3"/>
        <v>3.2558035780499209E+40</v>
      </c>
      <c r="H22" s="18">
        <f t="shared" si="4"/>
        <v>4.1580946833055591E+40</v>
      </c>
      <c r="I22" s="45">
        <v>183.68</v>
      </c>
      <c r="J22" s="45">
        <v>1</v>
      </c>
      <c r="K22" s="19">
        <f t="shared" si="5"/>
        <v>185.39620332722535</v>
      </c>
      <c r="L22" s="16">
        <f t="shared" si="6"/>
        <v>2.9453538603793405</v>
      </c>
    </row>
    <row r="23" spans="1:12" x14ac:dyDescent="0.25">
      <c r="A23" s="45">
        <v>3.27</v>
      </c>
      <c r="B23" s="35">
        <f t="shared" si="0"/>
        <v>3270</v>
      </c>
      <c r="C23" s="16">
        <f t="shared" si="1"/>
        <v>3.0438637224367384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Deprojection'!$A$2:$A$127,1)-1,0,2))*_xlfn.SINGLE(QESTotalBulgeMass))</f>
        <v>9.4426453683235262E+39</v>
      </c>
      <c r="F23" s="15">
        <f t="shared" si="3"/>
        <v>3.8163545392892269E+40</v>
      </c>
      <c r="H23" s="18">
        <f t="shared" si="4"/>
        <v>4.7606190761215795E+40</v>
      </c>
      <c r="I23" s="45">
        <v>185.27</v>
      </c>
      <c r="J23" s="45">
        <v>1</v>
      </c>
      <c r="K23" s="19">
        <f t="shared" si="5"/>
        <v>187.53220377294531</v>
      </c>
      <c r="L23" s="16">
        <f t="shared" si="6"/>
        <v>5.1175659103279436</v>
      </c>
    </row>
    <row r="24" spans="1:12" x14ac:dyDescent="0.25">
      <c r="A24" s="45">
        <v>3.69</v>
      </c>
      <c r="B24" s="35">
        <f t="shared" si="0"/>
        <v>3690</v>
      </c>
      <c r="C24" s="16">
        <f t="shared" si="1"/>
        <v>3.4348186959607228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Deprojection'!$A$2:$A$127,1)-1,0,2))*_xlfn.SINGLE(QESTotalBulgeMass))</f>
        <v>9.8346048732378187E+39</v>
      </c>
      <c r="F24" s="15">
        <f t="shared" si="3"/>
        <v>4.4153194382876021E+40</v>
      </c>
      <c r="H24" s="18">
        <f t="shared" si="4"/>
        <v>5.3987799256113838E+40</v>
      </c>
      <c r="I24" s="45">
        <v>187.92</v>
      </c>
      <c r="J24" s="45">
        <v>1</v>
      </c>
      <c r="K24" s="19">
        <f t="shared" si="5"/>
        <v>189.20216121101996</v>
      </c>
      <c r="L24" s="16">
        <f t="shared" si="6"/>
        <v>1.6439373710441911</v>
      </c>
    </row>
    <row r="25" spans="1:12" x14ac:dyDescent="0.25">
      <c r="A25" s="45">
        <v>4.1500000000000004</v>
      </c>
      <c r="B25" s="35">
        <f t="shared" si="0"/>
        <v>4150</v>
      </c>
      <c r="C25" s="16">
        <f t="shared" si="1"/>
        <v>3.8630074764869917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Deprojection'!$A$2:$A$127,1)-1,0,2))*_xlfn.SINGLE(QESTotalBulgeMass))</f>
        <v>1.019506014092841E+40</v>
      </c>
      <c r="F25" s="15">
        <f t="shared" si="3"/>
        <v>5.0378356468059025E+40</v>
      </c>
      <c r="H25" s="18">
        <f t="shared" si="4"/>
        <v>6.0573416608987436E+40</v>
      </c>
      <c r="I25" s="45">
        <v>190.29</v>
      </c>
      <c r="J25" s="45">
        <v>1</v>
      </c>
      <c r="K25" s="19">
        <f t="shared" si="5"/>
        <v>190.36731709312835</v>
      </c>
      <c r="L25" s="16">
        <f t="shared" si="6"/>
        <v>5.9779328898190796E-3</v>
      </c>
    </row>
    <row r="26" spans="1:12" x14ac:dyDescent="0.25">
      <c r="A26" s="45">
        <v>4.6500000000000004</v>
      </c>
      <c r="B26" s="35">
        <f t="shared" si="0"/>
        <v>4650</v>
      </c>
      <c r="C26" s="16">
        <f t="shared" si="1"/>
        <v>4.3284300640155449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Deprojection'!$A$2:$A$127,1)-1,0,2))*_xlfn.SINGLE(QESTotalBulgeMass))</f>
        <v>1.0522851226548175E+40</v>
      </c>
      <c r="F26" s="15">
        <f t="shared" si="3"/>
        <v>5.6677831045458293E+40</v>
      </c>
      <c r="H26" s="18">
        <f t="shared" si="4"/>
        <v>6.7200682272006466E+40</v>
      </c>
      <c r="I26" s="45">
        <v>192.88</v>
      </c>
      <c r="J26" s="45">
        <v>1</v>
      </c>
      <c r="K26" s="19">
        <f t="shared" si="5"/>
        <v>191.0244491328572</v>
      </c>
      <c r="L26" s="16">
        <f t="shared" si="6"/>
        <v>3.4430690205543817</v>
      </c>
    </row>
    <row r="27" spans="1:12" x14ac:dyDescent="0.25">
      <c r="A27" s="45">
        <v>5.21</v>
      </c>
      <c r="B27" s="35">
        <f t="shared" si="0"/>
        <v>5210</v>
      </c>
      <c r="C27" s="16">
        <f t="shared" si="1"/>
        <v>4.8497033620475252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Deprojection'!$A$2:$A$127,1)-1,0,2))*_xlfn.SINGLE(QESTotalBulgeMass))</f>
        <v>1.0828019416313663E+40</v>
      </c>
      <c r="F27" s="15">
        <f t="shared" si="3"/>
        <v>6.3108218858218733E+40</v>
      </c>
      <c r="H27" s="18">
        <f t="shared" si="4"/>
        <v>7.3936238274532399E+40</v>
      </c>
      <c r="I27" s="45">
        <v>196.34</v>
      </c>
      <c r="J27" s="45">
        <v>1</v>
      </c>
      <c r="K27" s="19">
        <f t="shared" si="5"/>
        <v>191.19867571803684</v>
      </c>
      <c r="L27" s="16">
        <f t="shared" si="6"/>
        <v>26.433215372304051</v>
      </c>
    </row>
    <row r="28" spans="1:12" x14ac:dyDescent="0.25">
      <c r="A28" s="45">
        <v>5.82</v>
      </c>
      <c r="B28" s="35">
        <f t="shared" si="0"/>
        <v>5820</v>
      </c>
      <c r="C28" s="16">
        <f t="shared" si="1"/>
        <v>5.4175189188323598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Deprojection'!$A$2:$A$127,1)-1,0,2))*_xlfn.SINGLE(QESTotalBulgeMass))</f>
        <v>1.1085612607419064E+40</v>
      </c>
      <c r="F28" s="15">
        <f t="shared" si="3"/>
        <v>6.9347161205591976E+40</v>
      </c>
      <c r="H28" s="18">
        <f t="shared" si="4"/>
        <v>8.0432773813011045E+40</v>
      </c>
      <c r="I28" s="45">
        <v>198.93</v>
      </c>
      <c r="J28" s="45">
        <v>1</v>
      </c>
      <c r="K28" s="19">
        <f t="shared" si="5"/>
        <v>190.89407855336086</v>
      </c>
      <c r="L28" s="16">
        <f t="shared" si="6"/>
        <v>64.576033496555056</v>
      </c>
    </row>
    <row r="29" spans="1:12" x14ac:dyDescent="0.25">
      <c r="A29" s="45">
        <v>6.49</v>
      </c>
      <c r="B29" s="35">
        <f t="shared" si="0"/>
        <v>6490</v>
      </c>
      <c r="C29" s="16">
        <f t="shared" si="1"/>
        <v>6.0411851861206207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Deprojection'!$A$2:$A$127,1)-1,0,2))*_xlfn.SINGLE(QESTotalBulgeMass))</f>
        <v>1.1348865886742867E+40</v>
      </c>
      <c r="F29" s="15">
        <f t="shared" si="3"/>
        <v>7.5307693140531889E+40</v>
      </c>
      <c r="H29" s="18">
        <f t="shared" si="4"/>
        <v>8.665655902727476E+40</v>
      </c>
      <c r="I29" s="45">
        <v>198.97</v>
      </c>
      <c r="J29" s="45">
        <v>1</v>
      </c>
      <c r="K29" s="19">
        <f t="shared" si="5"/>
        <v>190.2176609682495</v>
      </c>
      <c r="L29" s="16">
        <f t="shared" si="6"/>
        <v>76.603438526703187</v>
      </c>
    </row>
    <row r="30" spans="1:12" x14ac:dyDescent="0.25">
      <c r="A30" s="45">
        <v>7.23</v>
      </c>
      <c r="B30" s="35">
        <f t="shared" si="0"/>
        <v>7230</v>
      </c>
      <c r="C30" s="16">
        <f t="shared" si="1"/>
        <v>6.7300106156628798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Deprojection'!$A$2:$A$127,1)-1,0,2))*_xlfn.SINGLE(QESTotalBulgeMass))</f>
        <v>1.1565638687620038E+40</v>
      </c>
      <c r="F30" s="15">
        <f t="shared" si="3"/>
        <v>8.0883611732379526E+40</v>
      </c>
      <c r="H30" s="18">
        <f t="shared" si="4"/>
        <v>9.2449250419999561E+40</v>
      </c>
      <c r="I30" s="45">
        <v>196.05</v>
      </c>
      <c r="J30" s="45">
        <v>1</v>
      </c>
      <c r="K30" s="19">
        <f t="shared" si="5"/>
        <v>189.18894346422522</v>
      </c>
      <c r="L30" s="16">
        <f t="shared" si="6"/>
        <v>47.074096787098007</v>
      </c>
    </row>
    <row r="31" spans="1:12" x14ac:dyDescent="0.25">
      <c r="A31" s="45">
        <v>8.0500000000000007</v>
      </c>
      <c r="B31" s="35">
        <f t="shared" si="0"/>
        <v>8050.0000000000009</v>
      </c>
      <c r="C31" s="16">
        <f t="shared" si="1"/>
        <v>7.4933036592097082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Deprojection'!$A$2:$A$127,1)-1,0,2))*_xlfn.SINGLE(QESTotalBulgeMass))</f>
        <v>1.1767578849563262E+40</v>
      </c>
      <c r="F31" s="15">
        <f t="shared" si="3"/>
        <v>8.5962843521171902E+40</v>
      </c>
      <c r="H31" s="18">
        <f t="shared" si="4"/>
        <v>9.7730422370735164E+40</v>
      </c>
      <c r="I31" s="45">
        <v>192.57</v>
      </c>
      <c r="J31" s="45">
        <v>1</v>
      </c>
      <c r="K31" s="19">
        <f t="shared" si="5"/>
        <v>187.92785757391954</v>
      </c>
      <c r="L31" s="16">
        <f t="shared" si="6"/>
        <v>21.549486304016124</v>
      </c>
    </row>
    <row r="32" spans="1:12" x14ac:dyDescent="0.25">
      <c r="A32" s="45">
        <v>8.94</v>
      </c>
      <c r="B32" s="35">
        <f t="shared" si="0"/>
        <v>8940</v>
      </c>
      <c r="C32" s="16">
        <f t="shared" si="1"/>
        <v>8.3217558650105321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Deprojection'!$A$2:$A$127,1)-1,0,2))*_xlfn.SINGLE(QESTotalBulgeMass))</f>
        <v>1.1946441305700643E+40</v>
      </c>
      <c r="F32" s="15">
        <f t="shared" si="3"/>
        <v>9.0357251769587234E+40</v>
      </c>
      <c r="H32" s="18">
        <f t="shared" si="4"/>
        <v>1.0230369307528788E+41</v>
      </c>
      <c r="I32" s="45">
        <v>190.61</v>
      </c>
      <c r="J32" s="45">
        <v>1</v>
      </c>
      <c r="K32" s="19">
        <f t="shared" si="5"/>
        <v>186.57611959819374</v>
      </c>
      <c r="L32" s="16">
        <f t="shared" si="6"/>
        <v>16.272191096076728</v>
      </c>
    </row>
    <row r="33" spans="1:29" x14ac:dyDescent="0.25">
      <c r="A33" s="45">
        <v>9.93</v>
      </c>
      <c r="B33" s="35">
        <f t="shared" si="0"/>
        <v>9930</v>
      </c>
      <c r="C33" s="16">
        <f t="shared" si="1"/>
        <v>9.2432925883170682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Deprojection'!$A$2:$A$127,1)-1,0,2))*_xlfn.SINGLE(QESTotalBulgeMass))</f>
        <v>1.210505067744692E+40</v>
      </c>
      <c r="F33" s="15">
        <f t="shared" si="3"/>
        <v>9.4123391414636464E+40</v>
      </c>
      <c r="H33" s="18">
        <f t="shared" si="4"/>
        <v>1.0622844209208338E+41</v>
      </c>
      <c r="I33" s="45">
        <v>191.01</v>
      </c>
      <c r="J33" s="45">
        <v>1</v>
      </c>
      <c r="K33" s="19">
        <f t="shared" si="5"/>
        <v>185.23462918335034</v>
      </c>
      <c r="L33" s="16">
        <f t="shared" si="6"/>
        <v>33.354908069808502</v>
      </c>
    </row>
    <row r="34" spans="1:29" x14ac:dyDescent="0.25">
      <c r="A34" s="45">
        <v>11.01</v>
      </c>
      <c r="B34" s="35">
        <f t="shared" si="0"/>
        <v>11010</v>
      </c>
      <c r="C34" s="16">
        <f t="shared" si="1"/>
        <v>10.248605377378743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Deprojection'!$A$2:$A$127,1)-1,0,2))*_xlfn.SINGLE(QESTotalBulgeMass))</f>
        <v>1.2241768840992048E+40</v>
      </c>
      <c r="F34" s="15">
        <f t="shared" si="3"/>
        <v>9.7171373420259968E+40</v>
      </c>
      <c r="H34" s="18">
        <f t="shared" si="4"/>
        <v>1.0941314226125201E+41</v>
      </c>
      <c r="I34" s="45">
        <v>191.99</v>
      </c>
      <c r="J34" s="45">
        <v>1</v>
      </c>
      <c r="K34" s="19">
        <f t="shared" si="5"/>
        <v>184.07348714782495</v>
      </c>
      <c r="L34" s="16">
        <f t="shared" si="6"/>
        <v>62.671175738652906</v>
      </c>
    </row>
    <row r="35" spans="1:29" x14ac:dyDescent="0.25">
      <c r="A35" s="45">
        <v>12.2</v>
      </c>
      <c r="B35" s="35">
        <f t="shared" si="0"/>
        <v>12200</v>
      </c>
      <c r="C35" s="16">
        <f t="shared" si="1"/>
        <v>11.3563111356967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Deprojection'!$A$2:$A$127,1)-1,0,2))*_xlfn.SINGLE(QESTotalBulgeMass))</f>
        <v>1.2360210280350403E+40</v>
      </c>
      <c r="F35" s="15">
        <f t="shared" si="3"/>
        <v>9.9565523602633053E+40</v>
      </c>
      <c r="H35" s="18">
        <f t="shared" si="4"/>
        <v>1.1192573388298346E+41</v>
      </c>
      <c r="I35" s="45">
        <v>192.84</v>
      </c>
      <c r="J35" s="45">
        <v>1</v>
      </c>
      <c r="K35" s="19">
        <f t="shared" si="5"/>
        <v>183.22377141206121</v>
      </c>
      <c r="L35" s="16">
        <f t="shared" si="6"/>
        <v>92.471852255491299</v>
      </c>
    </row>
    <row r="36" spans="1:29" x14ac:dyDescent="0.25">
      <c r="A36" s="45">
        <v>13.51</v>
      </c>
      <c r="B36" s="35">
        <f t="shared" si="0"/>
        <v>13510</v>
      </c>
      <c r="C36" s="16">
        <f t="shared" si="1"/>
        <v>12.575718315021509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Deprojection'!$A$2:$A$127,1)-1,0,2))*_xlfn.SINGLE(QESTotalBulgeMass))</f>
        <v>1.2462724433939523E+40</v>
      </c>
      <c r="F36" s="15">
        <f t="shared" si="3"/>
        <v>1.0136137272007052E+41</v>
      </c>
      <c r="H36" s="18">
        <f t="shared" si="4"/>
        <v>1.1382409715401004E+41</v>
      </c>
      <c r="I36" s="45">
        <v>192.67</v>
      </c>
      <c r="J36" s="45">
        <v>1</v>
      </c>
      <c r="K36" s="19">
        <f t="shared" si="5"/>
        <v>182.8245780506349</v>
      </c>
      <c r="L36" s="16">
        <f t="shared" si="6"/>
        <v>96.932333361039881</v>
      </c>
    </row>
    <row r="37" spans="1:29" x14ac:dyDescent="0.25">
      <c r="A37" s="45">
        <v>14.95</v>
      </c>
      <c r="B37" s="35">
        <f t="shared" si="0"/>
        <v>14950</v>
      </c>
      <c r="C37" s="16">
        <f t="shared" si="1"/>
        <v>13.916135367103742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Deprojection'!$A$2:$A$127,1)-1,0,2))*_xlfn.SINGLE(QESTotalBulgeMass))</f>
        <v>1.2551424564160666E+40</v>
      </c>
      <c r="F37" s="15">
        <f t="shared" si="3"/>
        <v>1.0264204573004561E+41</v>
      </c>
      <c r="H37" s="18">
        <f t="shared" si="4"/>
        <v>1.1519347029420628E+41</v>
      </c>
      <c r="I37" s="45">
        <v>191.7</v>
      </c>
      <c r="J37" s="45">
        <v>1</v>
      </c>
      <c r="K37" s="19">
        <f t="shared" si="5"/>
        <v>182.99730463944536</v>
      </c>
      <c r="L37" s="16">
        <f t="shared" si="6"/>
        <v>75.736906538619053</v>
      </c>
    </row>
    <row r="38" spans="1:29" x14ac:dyDescent="0.25">
      <c r="A38" s="45">
        <v>16.54</v>
      </c>
      <c r="B38" s="35">
        <f t="shared" si="0"/>
        <v>16540</v>
      </c>
      <c r="C38" s="16">
        <f t="shared" si="1"/>
        <v>15.396179195444541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Deprojection'!$A$2:$A$127,1)-1,0,2))*_xlfn.SINGLE(QESTotalBulgeMass))</f>
        <v>1.26208740285198E+40</v>
      </c>
      <c r="F38" s="15">
        <f t="shared" si="3"/>
        <v>1.0351075302855868E+41</v>
      </c>
      <c r="H38" s="18">
        <f t="shared" si="4"/>
        <v>1.1613162705707848E+41</v>
      </c>
      <c r="I38" s="45">
        <v>190.8</v>
      </c>
      <c r="J38" s="45">
        <v>1</v>
      </c>
      <c r="K38" s="19">
        <f t="shared" si="5"/>
        <v>183.84153501199722</v>
      </c>
      <c r="L38" s="16">
        <f t="shared" si="6"/>
        <v>48.420234989260642</v>
      </c>
    </row>
    <row r="39" spans="1:29" x14ac:dyDescent="0.25">
      <c r="A39" s="45">
        <v>18.29</v>
      </c>
      <c r="B39" s="35">
        <f t="shared" si="0"/>
        <v>18290</v>
      </c>
      <c r="C39" s="16">
        <f t="shared" si="1"/>
        <v>17.025158251794476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Deprojection'!$A$2:$A$127,1)-1,0,2))*_xlfn.SINGLE(QESTotalBulgeMass))</f>
        <v>1.2673108293128899E+40</v>
      </c>
      <c r="F39" s="15">
        <f t="shared" si="3"/>
        <v>1.0406374560124716E+41</v>
      </c>
      <c r="H39" s="18">
        <f t="shared" si="4"/>
        <v>1.1673685389437606E+41</v>
      </c>
      <c r="I39" s="45">
        <v>189.94</v>
      </c>
      <c r="J39" s="45">
        <v>1</v>
      </c>
      <c r="K39" s="19">
        <f t="shared" si="5"/>
        <v>185.4329604037666</v>
      </c>
      <c r="L39" s="16">
        <f t="shared" si="6"/>
        <v>20.313405922015708</v>
      </c>
    </row>
    <row r="40" spans="1:29" x14ac:dyDescent="0.25">
      <c r="A40" s="45"/>
      <c r="B40" s="35"/>
      <c r="I40" s="45"/>
      <c r="J40" s="45"/>
      <c r="L40" s="16">
        <f>SUM(L8:L39)/(COUNT(L8:L39)-4)</f>
        <v>34.912399217113752</v>
      </c>
    </row>
    <row r="41" spans="1:29" x14ac:dyDescent="0.25">
      <c r="A41" s="45"/>
      <c r="B41" s="35"/>
      <c r="I41" s="45"/>
      <c r="J41" s="45"/>
    </row>
    <row r="42" spans="1:29" ht="21" x14ac:dyDescent="0.35">
      <c r="A42" s="46" t="s">
        <v>564</v>
      </c>
      <c r="B42" s="35"/>
      <c r="I42" s="45"/>
      <c r="J42" s="45"/>
    </row>
    <row r="43" spans="1:29" x14ac:dyDescent="0.25">
      <c r="A43" s="14" t="s">
        <v>30</v>
      </c>
      <c r="D43" s="16">
        <v>0.64</v>
      </c>
      <c r="E43" s="17">
        <f>$D$43*1000</f>
        <v>640</v>
      </c>
      <c r="F43" s="17"/>
      <c r="G43" s="17"/>
      <c r="H43" s="15"/>
      <c r="K43" s="15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</row>
    <row r="44" spans="1:29" x14ac:dyDescent="0.25">
      <c r="A44" s="14" t="s">
        <v>16</v>
      </c>
      <c r="D44" s="16">
        <v>0.52</v>
      </c>
      <c r="E44" s="15">
        <f>D44*10000000000*SolarMass</f>
        <v>1.034332E+40</v>
      </c>
      <c r="F44" s="43"/>
      <c r="G44" s="43"/>
      <c r="H44" s="15"/>
      <c r="K44" s="15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</row>
    <row r="45" spans="1:29" x14ac:dyDescent="0.25">
      <c r="A45" s="14" t="s">
        <v>569</v>
      </c>
      <c r="D45" s="16">
        <v>1.6</v>
      </c>
      <c r="E45" s="15">
        <f>D45*1000</f>
        <v>1600</v>
      </c>
      <c r="H45" s="15"/>
      <c r="K45" s="15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</row>
    <row r="46" spans="1:29" x14ac:dyDescent="0.25">
      <c r="A46" s="14" t="s">
        <v>17</v>
      </c>
      <c r="D46" s="14">
        <v>1.6</v>
      </c>
      <c r="G46" s="16"/>
      <c r="H46" s="15"/>
      <c r="K46" s="15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</row>
    <row r="47" spans="1:29" x14ac:dyDescent="0.25">
      <c r="A47" s="14" t="s">
        <v>570</v>
      </c>
      <c r="D47" s="16">
        <v>12</v>
      </c>
      <c r="E47" s="17">
        <f>D47*1000</f>
        <v>12000</v>
      </c>
      <c r="H47" s="15"/>
      <c r="K47" s="15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</row>
    <row r="48" spans="1:29" x14ac:dyDescent="0.25">
      <c r="A48" s="14" t="s">
        <v>571</v>
      </c>
      <c r="D48" s="16">
        <v>7.9</v>
      </c>
      <c r="G48" s="9"/>
      <c r="H48" s="15"/>
      <c r="K48" s="15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</row>
    <row r="49" spans="1:29" x14ac:dyDescent="0.25">
      <c r="A49" s="14"/>
      <c r="D49" s="12"/>
      <c r="H49" s="15"/>
      <c r="K49" s="15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</row>
    <row r="50" spans="1:29" x14ac:dyDescent="0.25">
      <c r="A50" s="17" t="s">
        <v>567</v>
      </c>
      <c r="D50" s="17">
        <f>(D46*10000000000)/(2*PI()*DiskScaleLengthPc^2)</f>
        <v>994.71839432434581</v>
      </c>
      <c r="H50" s="15"/>
      <c r="K50" s="15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</row>
    <row r="51" spans="1:29" x14ac:dyDescent="0.25">
      <c r="A51" s="17" t="s">
        <v>565</v>
      </c>
      <c r="D51" s="9">
        <f>(D48*10000000000)/(4*PI()*(LCDMHaloScaleLengthPc)^3*(LN(2)-1/2))</f>
        <v>1.8835845354507493E-2</v>
      </c>
      <c r="H51" s="15"/>
      <c r="K51" s="15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</row>
    <row r="52" spans="1:29" x14ac:dyDescent="0.25">
      <c r="A52" s="19"/>
      <c r="H52" s="15"/>
      <c r="K52" s="15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</row>
    <row r="53" spans="1:29" ht="45" x14ac:dyDescent="0.25">
      <c r="A53" s="25" t="s">
        <v>20</v>
      </c>
      <c r="B53" s="3" t="s">
        <v>19</v>
      </c>
      <c r="C53" s="7" t="s">
        <v>27</v>
      </c>
      <c r="D53" s="4" t="s">
        <v>649</v>
      </c>
      <c r="E53" s="4" t="s">
        <v>21</v>
      </c>
      <c r="F53" s="4" t="s">
        <v>22</v>
      </c>
      <c r="G53" s="4" t="s">
        <v>28</v>
      </c>
      <c r="H53" s="4" t="s">
        <v>23</v>
      </c>
      <c r="I53" s="7" t="s">
        <v>645</v>
      </c>
      <c r="J53" s="7" t="s">
        <v>646</v>
      </c>
      <c r="K53" s="25" t="s">
        <v>647</v>
      </c>
      <c r="L53" s="3" t="s">
        <v>648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x14ac:dyDescent="0.25">
      <c r="A54" s="45">
        <v>0.09</v>
      </c>
      <c r="B54" s="14">
        <f t="shared" ref="B54:B85" si="7">A54*1000</f>
        <v>90</v>
      </c>
      <c r="C54" s="16">
        <f t="shared" ref="C54:C85" si="8">B54/LCDMBulgeEffectiveRadius</f>
        <v>0.140625</v>
      </c>
      <c r="D54" s="15">
        <f t="shared" ref="D54:D85" si="9">A54*kpc</f>
        <v>2.777109822E+18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6.8995891808999991E+38</v>
      </c>
      <c r="F54" s="15">
        <f t="shared" ref="F54:F85" si="10">2*PI()*_xlfn.SINGLE(LCDMDiskSurfaceDensity)*LCDMScaleLength*(LCDMScaleLength-EXP(-_xlfn.SINGLE(RadiusPc)/LCDMScaleLength)*(_xlfn.SINGLE(RadiusPc)+LCDMScaleLength))*SolarMass</f>
        <v>4.8500239184305369E+37</v>
      </c>
      <c r="G54" s="15">
        <f t="shared" ref="G54:G85" si="11">4*PI()*LCDMHaloRepresentativeDensity*LCDMHaloScaleLengthPc^3*(LN(1+RadiusPc/LCDMHaloScaleLengthPc)-RadiusPc/(RadiusPc+LCDMHaloScaleLengthPc))*SolarMass</f>
        <v>2.2654776384095707E+37</v>
      </c>
      <c r="H54" s="15">
        <f t="shared" ref="H54:H85" si="12">BulgeMass+DiskMass+HaloMass</f>
        <v>7.6111393365840102E+38</v>
      </c>
      <c r="I54" s="45">
        <v>114.58</v>
      </c>
      <c r="J54" s="45">
        <v>1</v>
      </c>
      <c r="K54" s="19">
        <f t="shared" ref="K54:K85" si="13">SQRT(TotalMass*GravitationalConstant/RadiusKm)/km</f>
        <v>135.24587036972923</v>
      </c>
      <c r="L54" s="16">
        <f t="shared" ref="L54:L85" si="14">(ObservedVelocity-ModelVelocity)^2/(VelocityError)^2</f>
        <v>427.07819813845271</v>
      </c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</row>
    <row r="55" spans="1:29" x14ac:dyDescent="0.25">
      <c r="A55" s="45">
        <v>0.19</v>
      </c>
      <c r="B55" s="14">
        <f t="shared" si="7"/>
        <v>190</v>
      </c>
      <c r="C55" s="16">
        <f t="shared" si="8"/>
        <v>0.296875</v>
      </c>
      <c r="D55" s="15">
        <f t="shared" si="9"/>
        <v>5.862787402E+18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1.559802393045E+39</v>
      </c>
      <c r="F55" s="15">
        <f t="shared" si="10"/>
        <v>2.0739735005286207E+38</v>
      </c>
      <c r="G55" s="15">
        <f t="shared" si="11"/>
        <v>9.9863660441469856E+37</v>
      </c>
      <c r="H55" s="15">
        <f t="shared" si="12"/>
        <v>1.8670634035393319E+39</v>
      </c>
      <c r="I55" s="45">
        <v>130.28</v>
      </c>
      <c r="J55" s="45">
        <v>1</v>
      </c>
      <c r="K55" s="19">
        <f t="shared" si="13"/>
        <v>145.78846531676106</v>
      </c>
      <c r="L55" s="16">
        <f t="shared" si="14"/>
        <v>240.51249648118076</v>
      </c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</row>
    <row r="56" spans="1:29" x14ac:dyDescent="0.25">
      <c r="A56" s="45">
        <v>0.3</v>
      </c>
      <c r="B56" s="14">
        <f t="shared" si="7"/>
        <v>300</v>
      </c>
      <c r="C56" s="16">
        <f t="shared" si="8"/>
        <v>0.46875</v>
      </c>
      <c r="D56" s="15">
        <f t="shared" si="9"/>
        <v>9.25703274E+18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2.3903929685999997E+39</v>
      </c>
      <c r="F56" s="15">
        <f t="shared" si="10"/>
        <v>4.9418543951994462E+38</v>
      </c>
      <c r="G56" s="15">
        <f t="shared" si="11"/>
        <v>2.4599832562087249E+38</v>
      </c>
      <c r="H56" s="15">
        <f t="shared" si="12"/>
        <v>3.1305767337408168E+39</v>
      </c>
      <c r="I56" s="45">
        <v>132.77000000000001</v>
      </c>
      <c r="J56" s="45">
        <v>1</v>
      </c>
      <c r="K56" s="19">
        <f t="shared" si="13"/>
        <v>150.23529732314725</v>
      </c>
      <c r="L56" s="16">
        <f t="shared" si="14"/>
        <v>305.03661058593417</v>
      </c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</row>
    <row r="57" spans="1:29" x14ac:dyDescent="0.25">
      <c r="A57" s="45">
        <v>0.42</v>
      </c>
      <c r="B57" s="14">
        <f t="shared" si="7"/>
        <v>420</v>
      </c>
      <c r="C57" s="16">
        <f t="shared" si="8"/>
        <v>0.65625</v>
      </c>
      <c r="D57" s="15">
        <f t="shared" si="9"/>
        <v>1.2959845836E+19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3.1628708936500005E+39</v>
      </c>
      <c r="F57" s="15">
        <f t="shared" si="10"/>
        <v>9.2224112241642157E+38</v>
      </c>
      <c r="G57" s="15">
        <f t="shared" si="11"/>
        <v>4.7594019811774216E+38</v>
      </c>
      <c r="H57" s="15">
        <f t="shared" si="12"/>
        <v>4.5610522141841647E+39</v>
      </c>
      <c r="I57" s="45">
        <v>135.07</v>
      </c>
      <c r="J57" s="45">
        <v>1</v>
      </c>
      <c r="K57" s="19">
        <f t="shared" si="13"/>
        <v>153.2598190087063</v>
      </c>
      <c r="L57" s="16">
        <f t="shared" si="14"/>
        <v>330.86951556949333</v>
      </c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</row>
    <row r="58" spans="1:29" x14ac:dyDescent="0.25">
      <c r="A58" s="45">
        <v>0.56000000000000005</v>
      </c>
      <c r="B58" s="14">
        <f t="shared" si="7"/>
        <v>560</v>
      </c>
      <c r="C58" s="16">
        <f t="shared" si="8"/>
        <v>0.875</v>
      </c>
      <c r="D58" s="15">
        <f t="shared" si="9"/>
        <v>1.7279794448000002E+19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3.9192390977999993E+39</v>
      </c>
      <c r="F58" s="15">
        <f t="shared" si="10"/>
        <v>1.5489862879949536E+39</v>
      </c>
      <c r="G58" s="15">
        <f t="shared" si="11"/>
        <v>8.3352276998202717E+38</v>
      </c>
      <c r="H58" s="15">
        <f t="shared" si="12"/>
        <v>6.3017481557769803E+39</v>
      </c>
      <c r="I58" s="45">
        <v>140.83000000000001</v>
      </c>
      <c r="J58" s="45">
        <v>1</v>
      </c>
      <c r="K58" s="19">
        <f t="shared" si="13"/>
        <v>156.01161748453518</v>
      </c>
      <c r="L58" s="16">
        <f t="shared" si="14"/>
        <v>230.4815094467439</v>
      </c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</row>
    <row r="59" spans="1:29" x14ac:dyDescent="0.25">
      <c r="A59" s="45">
        <v>0.7</v>
      </c>
      <c r="B59" s="14">
        <f t="shared" si="7"/>
        <v>700</v>
      </c>
      <c r="C59" s="16">
        <f t="shared" si="8"/>
        <v>1.09375</v>
      </c>
      <c r="D59" s="15">
        <f t="shared" si="9"/>
        <v>2.1599743059999998E+19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4.5536530945749993E+39</v>
      </c>
      <c r="F59" s="15">
        <f t="shared" si="10"/>
        <v>2.2876318698924356E+39</v>
      </c>
      <c r="G59" s="15">
        <f t="shared" si="11"/>
        <v>1.2831910211546527E+39</v>
      </c>
      <c r="H59" s="15">
        <f t="shared" si="12"/>
        <v>8.124475985622088E+39</v>
      </c>
      <c r="I59" s="45">
        <v>152.06</v>
      </c>
      <c r="J59" s="45">
        <v>1</v>
      </c>
      <c r="K59" s="19">
        <f t="shared" si="13"/>
        <v>158.44155322268281</v>
      </c>
      <c r="L59" s="16">
        <f t="shared" si="14"/>
        <v>40.724221533933374</v>
      </c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</row>
    <row r="60" spans="1:29" x14ac:dyDescent="0.25">
      <c r="A60" s="45">
        <v>0.86</v>
      </c>
      <c r="B60" s="14">
        <f t="shared" si="7"/>
        <v>860</v>
      </c>
      <c r="C60" s="16">
        <f t="shared" si="8"/>
        <v>1.34375</v>
      </c>
      <c r="D60" s="15">
        <f t="shared" si="9"/>
        <v>2.6536827187999998E+19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5.1601918439499989E+39</v>
      </c>
      <c r="F60" s="15">
        <f t="shared" si="10"/>
        <v>3.2392675262989269E+39</v>
      </c>
      <c r="G60" s="15">
        <f t="shared" si="11"/>
        <v>1.904602546515177E+39</v>
      </c>
      <c r="H60" s="15">
        <f t="shared" si="12"/>
        <v>1.0304061916764102E+40</v>
      </c>
      <c r="I60" s="45">
        <v>162.63999999999999</v>
      </c>
      <c r="J60" s="45">
        <v>1</v>
      </c>
      <c r="K60" s="19">
        <f t="shared" si="13"/>
        <v>160.9813020606349</v>
      </c>
      <c r="L60" s="16">
        <f t="shared" si="14"/>
        <v>2.7512788540539743</v>
      </c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</row>
    <row r="61" spans="1:29" x14ac:dyDescent="0.25">
      <c r="A61" s="45">
        <v>1.04</v>
      </c>
      <c r="B61" s="14">
        <f t="shared" si="7"/>
        <v>1040</v>
      </c>
      <c r="C61" s="16">
        <f t="shared" si="8"/>
        <v>1.625</v>
      </c>
      <c r="D61" s="15">
        <f t="shared" si="9"/>
        <v>3.2091046832E+19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5.7315956282000007E+39</v>
      </c>
      <c r="F61" s="15">
        <f t="shared" si="10"/>
        <v>4.4118068797391001E+39</v>
      </c>
      <c r="G61" s="15">
        <f t="shared" si="11"/>
        <v>2.7338463124978234E+39</v>
      </c>
      <c r="H61" s="15">
        <f t="shared" si="12"/>
        <v>1.2877248820436924E+40</v>
      </c>
      <c r="I61" s="45">
        <v>168.68</v>
      </c>
      <c r="J61" s="45">
        <v>1</v>
      </c>
      <c r="K61" s="19">
        <f t="shared" si="13"/>
        <v>163.64973470516827</v>
      </c>
      <c r="L61" s="16">
        <f t="shared" si="14"/>
        <v>25.303568936388611</v>
      </c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</row>
    <row r="62" spans="1:29" x14ac:dyDescent="0.25">
      <c r="A62" s="45">
        <v>1.23</v>
      </c>
      <c r="B62" s="14">
        <f t="shared" si="7"/>
        <v>1230</v>
      </c>
      <c r="C62" s="16">
        <f t="shared" si="8"/>
        <v>1.921875</v>
      </c>
      <c r="D62" s="15">
        <f t="shared" si="9"/>
        <v>3.7953834233999999E+19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6.2344587560124992E+39</v>
      </c>
      <c r="F62" s="15">
        <f t="shared" si="10"/>
        <v>5.7292859614713991E+39</v>
      </c>
      <c r="G62" s="15">
        <f t="shared" si="11"/>
        <v>3.7504040554956978E+39</v>
      </c>
      <c r="H62" s="15">
        <f t="shared" si="12"/>
        <v>1.5714148772979595E+40</v>
      </c>
      <c r="I62" s="45">
        <v>171.57</v>
      </c>
      <c r="J62" s="45">
        <v>1</v>
      </c>
      <c r="K62" s="19">
        <f t="shared" si="13"/>
        <v>166.23149322034445</v>
      </c>
      <c r="L62" s="16">
        <f t="shared" si="14"/>
        <v>28.499654636428229</v>
      </c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</row>
    <row r="63" spans="1:29" x14ac:dyDescent="0.25">
      <c r="A63" s="45">
        <v>1.45</v>
      </c>
      <c r="B63" s="14">
        <f t="shared" si="7"/>
        <v>1450</v>
      </c>
      <c r="C63" s="16">
        <f t="shared" si="8"/>
        <v>2.265625</v>
      </c>
      <c r="D63" s="15">
        <f t="shared" si="9"/>
        <v>4.4742324909999997E+19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6.7182966396000007E+39</v>
      </c>
      <c r="F63" s="15">
        <f t="shared" si="10"/>
        <v>7.3136939988280078E+39</v>
      </c>
      <c r="G63" s="15">
        <f t="shared" si="11"/>
        <v>5.0976430877893289E+39</v>
      </c>
      <c r="H63" s="15">
        <f t="shared" si="12"/>
        <v>1.9129633726217337E+40</v>
      </c>
      <c r="I63" s="45">
        <v>173.31</v>
      </c>
      <c r="J63" s="45">
        <v>1</v>
      </c>
      <c r="K63" s="19">
        <f t="shared" si="13"/>
        <v>168.92337809597925</v>
      </c>
      <c r="L63" s="16">
        <f t="shared" si="14"/>
        <v>19.242451728834691</v>
      </c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</row>
    <row r="64" spans="1:29" x14ac:dyDescent="0.25">
      <c r="A64" s="45">
        <v>1.68</v>
      </c>
      <c r="B64" s="14">
        <f t="shared" si="7"/>
        <v>1680</v>
      </c>
      <c r="C64" s="16">
        <f t="shared" si="8"/>
        <v>2.625</v>
      </c>
      <c r="D64" s="15">
        <f t="shared" si="9"/>
        <v>5.1839383344E+19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7.1379251319999989E+39</v>
      </c>
      <c r="F64" s="15">
        <f t="shared" si="10"/>
        <v>8.9947934023704261E+39</v>
      </c>
      <c r="G64" s="15">
        <f t="shared" si="11"/>
        <v>6.6885644956642501E+39</v>
      </c>
      <c r="H64" s="15">
        <f t="shared" si="12"/>
        <v>2.2821283030034677E+40</v>
      </c>
      <c r="I64" s="45">
        <v>175.28</v>
      </c>
      <c r="J64" s="45">
        <v>1</v>
      </c>
      <c r="K64" s="19">
        <f t="shared" si="13"/>
        <v>171.40986751627847</v>
      </c>
      <c r="L64" s="16">
        <f t="shared" si="14"/>
        <v>14.977925441556609</v>
      </c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</row>
    <row r="65" spans="1:29" x14ac:dyDescent="0.25">
      <c r="A65" s="45">
        <v>1.94</v>
      </c>
      <c r="B65" s="14">
        <f t="shared" si="7"/>
        <v>1940</v>
      </c>
      <c r="C65" s="16">
        <f t="shared" si="8"/>
        <v>3.03125</v>
      </c>
      <c r="D65" s="15">
        <f t="shared" si="9"/>
        <v>5.9862145052000002E+19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7.5306415986750011E+39</v>
      </c>
      <c r="F65" s="15">
        <f t="shared" si="10"/>
        <v>1.088072271912653E+40</v>
      </c>
      <c r="G65" s="15">
        <f t="shared" si="11"/>
        <v>8.6953575406997204E+39</v>
      </c>
      <c r="H65" s="15">
        <f t="shared" si="12"/>
        <v>2.7106721858501254E+40</v>
      </c>
      <c r="I65" s="45">
        <v>176.81</v>
      </c>
      <c r="J65" s="45">
        <v>1</v>
      </c>
      <c r="K65" s="19">
        <f t="shared" si="13"/>
        <v>173.84334359047443</v>
      </c>
      <c r="L65" s="16">
        <f t="shared" si="14"/>
        <v>8.8010502521791434</v>
      </c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</row>
    <row r="66" spans="1:29" x14ac:dyDescent="0.25">
      <c r="A66" s="45">
        <v>2.23</v>
      </c>
      <c r="B66" s="14">
        <f t="shared" si="7"/>
        <v>2230</v>
      </c>
      <c r="C66" s="16">
        <f t="shared" si="8"/>
        <v>3.484375</v>
      </c>
      <c r="D66" s="15">
        <f t="shared" si="9"/>
        <v>6.8810610034000003E+19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7.8907992333624989E+39</v>
      </c>
      <c r="F66" s="15">
        <f t="shared" si="10"/>
        <v>1.292143683072661E+40</v>
      </c>
      <c r="G66" s="15">
        <f t="shared" si="11"/>
        <v>1.1174059904979907E+40</v>
      </c>
      <c r="H66" s="15">
        <f t="shared" si="12"/>
        <v>3.198629596906902E+40</v>
      </c>
      <c r="I66" s="45">
        <v>178.75</v>
      </c>
      <c r="J66" s="45">
        <v>1</v>
      </c>
      <c r="K66" s="19">
        <f t="shared" si="13"/>
        <v>176.13674881508788</v>
      </c>
      <c r="L66" s="16">
        <f t="shared" si="14"/>
        <v>6.8290817554445775</v>
      </c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</row>
    <row r="67" spans="1:29" x14ac:dyDescent="0.25">
      <c r="A67" s="45">
        <v>2.54</v>
      </c>
      <c r="B67" s="14">
        <f t="shared" si="7"/>
        <v>2540</v>
      </c>
      <c r="C67" s="16">
        <f t="shared" si="8"/>
        <v>3.96875</v>
      </c>
      <c r="D67" s="15">
        <f t="shared" si="9"/>
        <v>7.8376210532000006E+19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8.20624786735E+39</v>
      </c>
      <c r="F67" s="15">
        <f t="shared" si="10"/>
        <v>1.499054775507035E+40</v>
      </c>
      <c r="G67" s="15">
        <f t="shared" si="11"/>
        <v>1.4079910662727199E+40</v>
      </c>
      <c r="H67" s="15">
        <f t="shared" si="12"/>
        <v>3.7276706285147551E+40</v>
      </c>
      <c r="I67" s="45">
        <v>181.15</v>
      </c>
      <c r="J67" s="45">
        <v>1</v>
      </c>
      <c r="K67" s="19">
        <f t="shared" si="13"/>
        <v>178.1649782274566</v>
      </c>
      <c r="L67" s="16">
        <f t="shared" si="14"/>
        <v>8.9103549825581716</v>
      </c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</row>
    <row r="68" spans="1:29" x14ac:dyDescent="0.25">
      <c r="A68" s="45">
        <v>2.89</v>
      </c>
      <c r="B68" s="14">
        <f t="shared" si="7"/>
        <v>2890</v>
      </c>
      <c r="C68" s="16">
        <f t="shared" si="8"/>
        <v>4.515625</v>
      </c>
      <c r="D68" s="15">
        <f t="shared" si="9"/>
        <v>8.9176082061999997E+19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8.4973024275750005E+39</v>
      </c>
      <c r="F68" s="15">
        <f t="shared" si="10"/>
        <v>1.7154639410367108E+40</v>
      </c>
      <c r="G68" s="15">
        <f t="shared" si="11"/>
        <v>1.7648956329793845E+40</v>
      </c>
      <c r="H68" s="15">
        <f t="shared" si="12"/>
        <v>4.3300898167735954E+40</v>
      </c>
      <c r="I68" s="45">
        <v>183.68</v>
      </c>
      <c r="J68" s="45">
        <v>1</v>
      </c>
      <c r="K68" s="19">
        <f t="shared" si="13"/>
        <v>180.01967054346935</v>
      </c>
      <c r="L68" s="16">
        <f t="shared" si="14"/>
        <v>13.398011730346045</v>
      </c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</row>
    <row r="69" spans="1:29" x14ac:dyDescent="0.25">
      <c r="A69" s="45">
        <v>3.27</v>
      </c>
      <c r="B69" s="14">
        <f t="shared" si="7"/>
        <v>3270</v>
      </c>
      <c r="C69" s="16">
        <f t="shared" si="8"/>
        <v>5.109375</v>
      </c>
      <c r="D69" s="15">
        <f t="shared" si="9"/>
        <v>1.0090165686599999E+20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8.7480600595375E+39</v>
      </c>
      <c r="F69" s="15">
        <f t="shared" si="10"/>
        <v>1.9276972397478343E+40</v>
      </c>
      <c r="G69" s="15">
        <f t="shared" si="11"/>
        <v>2.1834682510494504E+40</v>
      </c>
      <c r="H69" s="15">
        <f t="shared" si="12"/>
        <v>4.9859714967510353E+40</v>
      </c>
      <c r="I69" s="45">
        <v>185.27</v>
      </c>
      <c r="J69" s="45">
        <v>1</v>
      </c>
      <c r="K69" s="19">
        <f t="shared" si="13"/>
        <v>181.60234447471018</v>
      </c>
      <c r="L69" s="16">
        <f t="shared" si="14"/>
        <v>13.451697052189028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</row>
    <row r="70" spans="1:29" x14ac:dyDescent="0.25">
      <c r="A70" s="45">
        <v>3.69</v>
      </c>
      <c r="B70" s="14">
        <f t="shared" si="7"/>
        <v>3690</v>
      </c>
      <c r="C70" s="16">
        <f t="shared" si="8"/>
        <v>5.765625</v>
      </c>
      <c r="D70" s="15">
        <f t="shared" si="9"/>
        <v>1.13861502702E+20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8.9732793879624988E+39</v>
      </c>
      <c r="F70" s="15">
        <f t="shared" si="10"/>
        <v>2.1341753814542456E+40</v>
      </c>
      <c r="G70" s="15">
        <f t="shared" si="11"/>
        <v>2.6795175017122958E+40</v>
      </c>
      <c r="H70" s="15">
        <f t="shared" si="12"/>
        <v>5.7110208219627907E+40</v>
      </c>
      <c r="I70" s="45">
        <v>187.92</v>
      </c>
      <c r="J70" s="45">
        <v>1</v>
      </c>
      <c r="K70" s="19">
        <f t="shared" si="13"/>
        <v>182.9633570713375</v>
      </c>
      <c r="L70" s="16">
        <f t="shared" si="14"/>
        <v>24.568309122259862</v>
      </c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</row>
    <row r="71" spans="1:29" x14ac:dyDescent="0.25">
      <c r="A71" s="45">
        <v>4.1500000000000004</v>
      </c>
      <c r="B71" s="14">
        <f t="shared" si="7"/>
        <v>4150</v>
      </c>
      <c r="C71" s="16">
        <f t="shared" si="8"/>
        <v>6.484375</v>
      </c>
      <c r="D71" s="15">
        <f t="shared" si="9"/>
        <v>1.2805561957E+20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9.1754589710874996E+39</v>
      </c>
      <c r="F71" s="15">
        <f t="shared" si="10"/>
        <v>2.32774300172672E+40</v>
      </c>
      <c r="G71" s="15">
        <f t="shared" si="11"/>
        <v>3.2581439210402096E+40</v>
      </c>
      <c r="H71" s="15">
        <f t="shared" si="12"/>
        <v>6.5034328198756797E+40</v>
      </c>
      <c r="I71" s="45">
        <v>190.29</v>
      </c>
      <c r="J71" s="45">
        <v>1</v>
      </c>
      <c r="K71" s="19">
        <f t="shared" si="13"/>
        <v>184.10590250266932</v>
      </c>
      <c r="L71" s="16">
        <f t="shared" si="14"/>
        <v>38.243061856491437</v>
      </c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</row>
    <row r="72" spans="1:29" x14ac:dyDescent="0.25">
      <c r="A72" s="45">
        <v>4.6500000000000004</v>
      </c>
      <c r="B72" s="14">
        <f t="shared" si="7"/>
        <v>4650</v>
      </c>
      <c r="C72" s="16">
        <f t="shared" si="8"/>
        <v>7.265625</v>
      </c>
      <c r="D72" s="15">
        <f t="shared" si="9"/>
        <v>1.4348400747000001E+20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9.3553632449062493E+39</v>
      </c>
      <c r="F72" s="15">
        <f t="shared" si="10"/>
        <v>2.5027801349717536E+40</v>
      </c>
      <c r="G72" s="15">
        <f t="shared" si="11"/>
        <v>3.9233870496766068E+40</v>
      </c>
      <c r="H72" s="15">
        <f t="shared" si="12"/>
        <v>7.3617035091389853E+40</v>
      </c>
      <c r="I72" s="45">
        <v>192.88</v>
      </c>
      <c r="J72" s="45">
        <v>1</v>
      </c>
      <c r="K72" s="19">
        <f t="shared" si="13"/>
        <v>185.04745489494758</v>
      </c>
      <c r="L72" s="16">
        <f t="shared" si="14"/>
        <v>61.348762822680591</v>
      </c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</row>
    <row r="73" spans="1:29" x14ac:dyDescent="0.25">
      <c r="A73" s="45">
        <v>5.21</v>
      </c>
      <c r="B73" s="14">
        <f t="shared" si="7"/>
        <v>5210</v>
      </c>
      <c r="C73" s="16">
        <f t="shared" si="8"/>
        <v>8.140625</v>
      </c>
      <c r="D73" s="15">
        <f t="shared" si="9"/>
        <v>1.6076380191800001E+20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9.5149380464937504E+39</v>
      </c>
      <c r="F73" s="15">
        <f t="shared" si="10"/>
        <v>2.6606058888873669E+40</v>
      </c>
      <c r="G73" s="15">
        <f t="shared" si="11"/>
        <v>4.7067501554298124E+40</v>
      </c>
      <c r="H73" s="15">
        <f t="shared" si="12"/>
        <v>8.3188498489665541E+40</v>
      </c>
      <c r="I73" s="45">
        <v>196.34</v>
      </c>
      <c r="J73" s="45">
        <v>1</v>
      </c>
      <c r="K73" s="19">
        <f t="shared" si="13"/>
        <v>185.83743934082941</v>
      </c>
      <c r="L73" s="16">
        <f t="shared" si="14"/>
        <v>110.30378039955795</v>
      </c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</row>
    <row r="74" spans="1:29" x14ac:dyDescent="0.25">
      <c r="A74" s="45">
        <v>5.82</v>
      </c>
      <c r="B74" s="14">
        <f t="shared" si="7"/>
        <v>5820</v>
      </c>
      <c r="C74" s="16">
        <f t="shared" si="8"/>
        <v>9.09375</v>
      </c>
      <c r="D74" s="15">
        <f t="shared" si="9"/>
        <v>1.7958643515600001E+20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9.6509058363249996E+39</v>
      </c>
      <c r="F74" s="15">
        <f t="shared" si="10"/>
        <v>2.7941285869290268E+40</v>
      </c>
      <c r="G74" s="15">
        <f t="shared" si="11"/>
        <v>5.5986234963099593E+40</v>
      </c>
      <c r="H74" s="15">
        <f t="shared" si="12"/>
        <v>9.3578426668714866E+40</v>
      </c>
      <c r="I74" s="45">
        <v>198.93</v>
      </c>
      <c r="J74" s="45">
        <v>1</v>
      </c>
      <c r="K74" s="19">
        <f t="shared" si="13"/>
        <v>186.48624693020736</v>
      </c>
      <c r="L74" s="16">
        <f t="shared" si="14"/>
        <v>154.84699046197397</v>
      </c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</row>
    <row r="75" spans="1:29" x14ac:dyDescent="0.25">
      <c r="A75" s="45">
        <v>6.49</v>
      </c>
      <c r="B75" s="14">
        <f t="shared" si="7"/>
        <v>6490</v>
      </c>
      <c r="C75" s="16">
        <f t="shared" si="8"/>
        <v>10.140625</v>
      </c>
      <c r="D75" s="15">
        <f t="shared" si="9"/>
        <v>2.0026047494200001E+20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9.7673780841000002E+39</v>
      </c>
      <c r="F75" s="15">
        <f t="shared" si="10"/>
        <v>2.9039490720250535E+40</v>
      </c>
      <c r="G75" s="15">
        <f t="shared" si="11"/>
        <v>6.6161897407206754E+40</v>
      </c>
      <c r="H75" s="15">
        <f t="shared" si="12"/>
        <v>1.049687662115573E+41</v>
      </c>
      <c r="I75" s="45">
        <v>198.97</v>
      </c>
      <c r="J75" s="45">
        <v>1</v>
      </c>
      <c r="K75" s="19">
        <f t="shared" si="13"/>
        <v>187.03725903782924</v>
      </c>
      <c r="L75" s="16">
        <f t="shared" si="14"/>
        <v>142.39030687026784</v>
      </c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</row>
    <row r="76" spans="1:29" x14ac:dyDescent="0.25">
      <c r="A76" s="45">
        <v>7.23</v>
      </c>
      <c r="B76" s="14">
        <f t="shared" si="7"/>
        <v>7230</v>
      </c>
      <c r="C76" s="16">
        <f t="shared" si="8"/>
        <v>11.296875</v>
      </c>
      <c r="D76" s="15">
        <f t="shared" si="9"/>
        <v>2.2309448903400001E+20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9.8674319275187485E+39</v>
      </c>
      <c r="F76" s="15">
        <f t="shared" si="10"/>
        <v>2.9910686632437012E+40</v>
      </c>
      <c r="G76" s="15">
        <f t="shared" si="11"/>
        <v>7.7769124596363825E+40</v>
      </c>
      <c r="H76" s="15">
        <f t="shared" si="12"/>
        <v>1.1754724315631959E+41</v>
      </c>
      <c r="I76" s="45">
        <v>196.05</v>
      </c>
      <c r="J76" s="45">
        <v>1</v>
      </c>
      <c r="K76" s="19">
        <f t="shared" si="13"/>
        <v>187.52428010881599</v>
      </c>
      <c r="L76" s="16">
        <f t="shared" si="14"/>
        <v>72.687899662930946</v>
      </c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</row>
    <row r="77" spans="1:29" x14ac:dyDescent="0.25">
      <c r="A77" s="45">
        <v>8.0500000000000007</v>
      </c>
      <c r="B77" s="14">
        <f t="shared" si="7"/>
        <v>8050.0000000000009</v>
      </c>
      <c r="C77" s="16">
        <f t="shared" si="8"/>
        <v>12.578125000000002</v>
      </c>
      <c r="D77" s="15">
        <f t="shared" si="9"/>
        <v>2.4839704519000002E+20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9.9538228916750003E+39</v>
      </c>
      <c r="F77" s="15">
        <f t="shared" si="10"/>
        <v>3.0572055318374652E+40</v>
      </c>
      <c r="G77" s="15">
        <f t="shared" si="11"/>
        <v>9.0978563697735392E+40</v>
      </c>
      <c r="H77" s="15">
        <f t="shared" si="12"/>
        <v>1.3150444190778505E+41</v>
      </c>
      <c r="I77" s="45">
        <v>192.57</v>
      </c>
      <c r="J77" s="45">
        <v>1</v>
      </c>
      <c r="K77" s="19">
        <f t="shared" si="13"/>
        <v>187.97180104192134</v>
      </c>
      <c r="L77" s="16">
        <f t="shared" si="14"/>
        <v>21.143433658075626</v>
      </c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</row>
    <row r="78" spans="1:29" x14ac:dyDescent="0.25">
      <c r="A78" s="45">
        <v>8.94</v>
      </c>
      <c r="B78" s="14">
        <f t="shared" si="7"/>
        <v>8940</v>
      </c>
      <c r="C78" s="16">
        <f t="shared" si="8"/>
        <v>13.96875</v>
      </c>
      <c r="D78" s="15">
        <f t="shared" si="9"/>
        <v>2.7585957565199997E+20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1.0027127939887499E+40</v>
      </c>
      <c r="F78" s="15">
        <f t="shared" si="10"/>
        <v>3.1040587069031333E+40</v>
      </c>
      <c r="G78" s="15">
        <f t="shared" si="11"/>
        <v>1.0561812988995543E+41</v>
      </c>
      <c r="H78" s="15">
        <f t="shared" si="12"/>
        <v>1.4668584489887425E+41</v>
      </c>
      <c r="I78" s="45">
        <v>190.61</v>
      </c>
      <c r="J78" s="45">
        <v>1</v>
      </c>
      <c r="K78" s="19">
        <f t="shared" si="13"/>
        <v>188.38476402611869</v>
      </c>
      <c r="L78" s="16">
        <f t="shared" si="14"/>
        <v>4.9516751394555705</v>
      </c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</row>
    <row r="79" spans="1:29" x14ac:dyDescent="0.25">
      <c r="A79" s="45">
        <v>9.93</v>
      </c>
      <c r="B79" s="14">
        <f t="shared" si="7"/>
        <v>9930</v>
      </c>
      <c r="C79" s="16">
        <f t="shared" si="8"/>
        <v>15.515625</v>
      </c>
      <c r="D79" s="15">
        <f t="shared" si="9"/>
        <v>3.06407783694E+20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1.00830478065525E+40</v>
      </c>
      <c r="F79" s="15">
        <f t="shared" si="10"/>
        <v>3.1363063727277159E+40</v>
      </c>
      <c r="G79" s="15">
        <f t="shared" si="11"/>
        <v>1.2215320469386792E+41</v>
      </c>
      <c r="H79" s="15">
        <f t="shared" si="12"/>
        <v>1.6359931622769757E+41</v>
      </c>
      <c r="I79" s="45">
        <v>191.01</v>
      </c>
      <c r="J79" s="45">
        <v>1</v>
      </c>
      <c r="K79" s="19">
        <f t="shared" si="13"/>
        <v>188.7715532875504</v>
      </c>
      <c r="L79" s="16">
        <f t="shared" si="14"/>
        <v>5.0106436844763644</v>
      </c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</row>
    <row r="80" spans="1:29" x14ac:dyDescent="0.25">
      <c r="A80" s="45">
        <v>11.01</v>
      </c>
      <c r="B80" s="14">
        <f t="shared" si="7"/>
        <v>11010</v>
      </c>
      <c r="C80" s="16">
        <f t="shared" si="8"/>
        <v>17.203125</v>
      </c>
      <c r="D80" s="15">
        <f t="shared" si="9"/>
        <v>3.3973310155799999E+20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1.01262647833425E+40</v>
      </c>
      <c r="F80" s="15">
        <f t="shared" si="10"/>
        <v>3.1568037400070143E+40</v>
      </c>
      <c r="G80" s="15">
        <f t="shared" si="11"/>
        <v>1.4036913969407577E+41</v>
      </c>
      <c r="H80" s="15">
        <f t="shared" si="12"/>
        <v>1.820634418774884E+41</v>
      </c>
      <c r="I80" s="45">
        <v>191.99</v>
      </c>
      <c r="J80" s="45">
        <v>1</v>
      </c>
      <c r="K80" s="19">
        <f t="shared" si="13"/>
        <v>189.1202992609804</v>
      </c>
      <c r="L80" s="16">
        <f t="shared" si="14"/>
        <v>8.2351823315296748</v>
      </c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</row>
    <row r="81" spans="1:29" x14ac:dyDescent="0.25">
      <c r="A81" s="45">
        <v>12.2</v>
      </c>
      <c r="B81" s="14">
        <f t="shared" si="7"/>
        <v>12200</v>
      </c>
      <c r="C81" s="16">
        <f t="shared" si="8"/>
        <v>19.0625</v>
      </c>
      <c r="D81" s="15">
        <f t="shared" si="9"/>
        <v>3.7645266475999999E+20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1.0173883489249999E+40</v>
      </c>
      <c r="F81" s="15">
        <f t="shared" si="10"/>
        <v>3.1691619905652834E+40</v>
      </c>
      <c r="G81" s="15">
        <f t="shared" si="11"/>
        <v>1.6052870070120274E+41</v>
      </c>
      <c r="H81" s="15">
        <f t="shared" si="12"/>
        <v>2.0239420409610556E+41</v>
      </c>
      <c r="I81" s="45">
        <v>192.84</v>
      </c>
      <c r="J81" s="45">
        <v>1</v>
      </c>
      <c r="K81" s="19">
        <f t="shared" si="13"/>
        <v>189.42598402761232</v>
      </c>
      <c r="L81" s="16">
        <f t="shared" si="14"/>
        <v>11.65550505971825</v>
      </c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</row>
    <row r="82" spans="1:29" x14ac:dyDescent="0.25">
      <c r="A82" s="45">
        <v>13.51</v>
      </c>
      <c r="B82" s="14">
        <f t="shared" si="7"/>
        <v>13510</v>
      </c>
      <c r="C82" s="16">
        <f t="shared" si="8"/>
        <v>21.109375</v>
      </c>
      <c r="D82" s="15">
        <f t="shared" si="9"/>
        <v>4.1687504105800001E+20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1.0210744495899999E+40</v>
      </c>
      <c r="F82" s="15">
        <f t="shared" si="10"/>
        <v>3.1760908525482421E+40</v>
      </c>
      <c r="G82" s="15">
        <f t="shared" si="11"/>
        <v>1.8270167186606056E+41</v>
      </c>
      <c r="H82" s="15">
        <f t="shared" si="12"/>
        <v>2.2467332488744298E+41</v>
      </c>
      <c r="I82" s="45">
        <v>192.67</v>
      </c>
      <c r="J82" s="45">
        <v>1</v>
      </c>
      <c r="K82" s="19">
        <f t="shared" si="13"/>
        <v>189.65684131293361</v>
      </c>
      <c r="L82" s="16">
        <f t="shared" si="14"/>
        <v>9.079125273443589</v>
      </c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</row>
    <row r="83" spans="1:29" x14ac:dyDescent="0.25">
      <c r="A83" s="45">
        <v>14.95</v>
      </c>
      <c r="B83" s="14">
        <f t="shared" si="7"/>
        <v>14950</v>
      </c>
      <c r="C83" s="16">
        <f t="shared" si="8"/>
        <v>23.359375</v>
      </c>
      <c r="D83" s="15">
        <f t="shared" si="9"/>
        <v>4.6130879820999996E+20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1.02368096623E+40</v>
      </c>
      <c r="F83" s="15">
        <f t="shared" si="10"/>
        <v>3.1796791838024209E+40</v>
      </c>
      <c r="G83" s="15">
        <f t="shared" si="11"/>
        <v>2.0692819738004537E+41</v>
      </c>
      <c r="H83" s="15">
        <f t="shared" si="12"/>
        <v>2.4896179888036956E+41</v>
      </c>
      <c r="I83" s="45">
        <v>191.7</v>
      </c>
      <c r="J83" s="45">
        <v>1</v>
      </c>
      <c r="K83" s="19">
        <f t="shared" si="13"/>
        <v>189.78688244678995</v>
      </c>
      <c r="L83" s="16">
        <f t="shared" si="14"/>
        <v>3.660018772400381</v>
      </c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</row>
    <row r="84" spans="1:29" x14ac:dyDescent="0.25">
      <c r="A84" s="45">
        <v>16.54</v>
      </c>
      <c r="B84" s="14">
        <f t="shared" si="7"/>
        <v>16540</v>
      </c>
      <c r="C84" s="16">
        <f t="shared" si="8"/>
        <v>25.84375</v>
      </c>
      <c r="D84" s="15">
        <f t="shared" si="9"/>
        <v>5.1037107173199997E+20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1.02618023557075E+40</v>
      </c>
      <c r="F84" s="15">
        <f t="shared" si="10"/>
        <v>3.1813911071733222E+40</v>
      </c>
      <c r="G84" s="15">
        <f t="shared" si="11"/>
        <v>2.3338292082097288E+41</v>
      </c>
      <c r="H84" s="15">
        <f t="shared" si="12"/>
        <v>2.754586342484136E+41</v>
      </c>
      <c r="I84" s="45">
        <v>190.8</v>
      </c>
      <c r="J84" s="45">
        <v>1</v>
      </c>
      <c r="K84" s="19">
        <f t="shared" si="13"/>
        <v>189.79329859481606</v>
      </c>
      <c r="L84" s="16">
        <f t="shared" si="14"/>
        <v>1.0134477191993323</v>
      </c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</row>
    <row r="85" spans="1:29" x14ac:dyDescent="0.25">
      <c r="A85" s="45">
        <v>18.29</v>
      </c>
      <c r="B85" s="14">
        <f t="shared" si="7"/>
        <v>18290</v>
      </c>
      <c r="C85" s="16">
        <f t="shared" si="8"/>
        <v>28.578125</v>
      </c>
      <c r="D85" s="15">
        <f t="shared" si="9"/>
        <v>5.6437042938199998E+20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1.0281204161426249E+40</v>
      </c>
      <c r="F85" s="15">
        <f t="shared" si="10"/>
        <v>3.1821306983039482E+40</v>
      </c>
      <c r="G85" s="15">
        <f t="shared" si="11"/>
        <v>2.6203595374667752E+41</v>
      </c>
      <c r="H85" s="15">
        <f t="shared" si="12"/>
        <v>3.0413846489114325E+41</v>
      </c>
      <c r="I85" s="45">
        <v>189.94</v>
      </c>
      <c r="J85" s="45">
        <v>1</v>
      </c>
      <c r="K85" s="19">
        <f t="shared" si="13"/>
        <v>189.64843079607422</v>
      </c>
      <c r="L85" s="16">
        <f t="shared" si="14"/>
        <v>8.5012600677910111E-2</v>
      </c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</row>
    <row r="86" spans="1:29" x14ac:dyDescent="0.25">
      <c r="A86" s="35"/>
      <c r="H86" s="15"/>
      <c r="K86" s="35"/>
      <c r="L86" s="16">
        <f>SUM(L54:L85)/(COUNT(L54:L85)-6)</f>
        <v>91.772722406186787</v>
      </c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</row>
    <row r="87" spans="1:29" x14ac:dyDescent="0.25">
      <c r="A87" s="35"/>
      <c r="H87" s="15"/>
      <c r="K87" s="35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</row>
    <row r="88" spans="1:29" x14ac:dyDescent="0.25">
      <c r="A88" s="35"/>
      <c r="B88" s="35"/>
      <c r="I88" s="35"/>
      <c r="J88" s="45"/>
    </row>
    <row r="89" spans="1:29" x14ac:dyDescent="0.25">
      <c r="A89" s="35"/>
      <c r="B89" s="35"/>
      <c r="I89" s="35"/>
      <c r="J89" s="45"/>
    </row>
    <row r="90" spans="1:29" x14ac:dyDescent="0.25">
      <c r="A90" s="35"/>
      <c r="B90" s="35"/>
      <c r="I90" s="35"/>
      <c r="J90" s="45"/>
    </row>
    <row r="91" spans="1:29" x14ac:dyDescent="0.25">
      <c r="A91" s="35"/>
      <c r="B91" s="35"/>
      <c r="I91" s="35"/>
      <c r="J91" s="45"/>
    </row>
    <row r="92" spans="1:29" x14ac:dyDescent="0.25">
      <c r="A92" s="35"/>
      <c r="B92" s="35"/>
      <c r="I92" s="35"/>
      <c r="J92" s="45"/>
    </row>
    <row r="93" spans="1:29" x14ac:dyDescent="0.25">
      <c r="A93" s="35"/>
      <c r="B93" s="35"/>
      <c r="I93" s="35"/>
      <c r="J93" s="45"/>
    </row>
    <row r="94" spans="1:29" x14ac:dyDescent="0.25">
      <c r="A94" s="35"/>
      <c r="B94" s="35"/>
      <c r="I94" s="35"/>
      <c r="J94" s="45"/>
    </row>
    <row r="95" spans="1:29" x14ac:dyDescent="0.25">
      <c r="A95" s="35"/>
      <c r="B95" s="35"/>
      <c r="I95" s="35"/>
      <c r="J95" s="45"/>
    </row>
    <row r="96" spans="1:29" x14ac:dyDescent="0.25">
      <c r="A96" s="35"/>
      <c r="B96" s="35"/>
      <c r="I96" s="35"/>
      <c r="J96" s="45"/>
    </row>
    <row r="97" spans="1:10" x14ac:dyDescent="0.25">
      <c r="A97" s="35"/>
      <c r="B97" s="35"/>
      <c r="I97" s="35"/>
      <c r="J97" s="45"/>
    </row>
    <row r="98" spans="1:10" x14ac:dyDescent="0.25">
      <c r="A98" s="35"/>
      <c r="B98" s="35"/>
      <c r="I98" s="35"/>
      <c r="J98" s="45"/>
    </row>
    <row r="99" spans="1:10" x14ac:dyDescent="0.25">
      <c r="A99" s="35"/>
      <c r="B99" s="35"/>
      <c r="I99" s="35"/>
      <c r="J99" s="45"/>
    </row>
    <row r="100" spans="1:10" x14ac:dyDescent="0.25">
      <c r="A100" s="35"/>
      <c r="B100" s="35"/>
      <c r="I100" s="35"/>
      <c r="J100" s="45"/>
    </row>
    <row r="101" spans="1:10" x14ac:dyDescent="0.25">
      <c r="A101" s="35"/>
      <c r="B101" s="35"/>
      <c r="I101" s="35"/>
      <c r="J101" s="45"/>
    </row>
    <row r="102" spans="1:10" x14ac:dyDescent="0.25">
      <c r="A102" s="35"/>
      <c r="B102" s="35"/>
      <c r="I102" s="35"/>
      <c r="J102" s="45"/>
    </row>
    <row r="103" spans="1:10" x14ac:dyDescent="0.25">
      <c r="A103" s="35"/>
      <c r="B103" s="35"/>
      <c r="I103" s="35"/>
      <c r="J103" s="45"/>
    </row>
    <row r="104" spans="1:10" x14ac:dyDescent="0.25">
      <c r="A104" s="35"/>
      <c r="B104" s="35"/>
      <c r="I104" s="35"/>
      <c r="J104" s="45"/>
    </row>
    <row r="105" spans="1:10" x14ac:dyDescent="0.25">
      <c r="A105" s="35"/>
      <c r="B105" s="35"/>
      <c r="I105" s="35"/>
      <c r="J105" s="45"/>
    </row>
    <row r="106" spans="1:10" x14ac:dyDescent="0.25">
      <c r="A106" s="35"/>
      <c r="B106" s="35"/>
      <c r="I106" s="35"/>
      <c r="J106" s="45"/>
    </row>
    <row r="107" spans="1:10" x14ac:dyDescent="0.25">
      <c r="A107" s="35"/>
      <c r="B107" s="35"/>
      <c r="I107" s="35"/>
      <c r="J107" s="45"/>
    </row>
    <row r="108" spans="1:10" x14ac:dyDescent="0.25">
      <c r="A108" s="35"/>
      <c r="B108" s="35"/>
      <c r="I108" s="35"/>
      <c r="J108" s="45"/>
    </row>
    <row r="109" spans="1:10" x14ac:dyDescent="0.25">
      <c r="A109" s="35"/>
      <c r="B109" s="35"/>
      <c r="I109" s="35"/>
      <c r="J109" s="45"/>
    </row>
    <row r="110" spans="1:10" x14ac:dyDescent="0.25">
      <c r="A110" s="35"/>
      <c r="B110" s="35"/>
      <c r="I110" s="35"/>
      <c r="J110" s="45"/>
    </row>
    <row r="111" spans="1:10" x14ac:dyDescent="0.25">
      <c r="A111" s="35"/>
      <c r="B111" s="35"/>
      <c r="I111" s="35"/>
      <c r="J111" s="45"/>
    </row>
    <row r="112" spans="1:10" x14ac:dyDescent="0.25">
      <c r="A112" s="35"/>
      <c r="B112" s="35"/>
      <c r="I112" s="35"/>
      <c r="J112" s="45"/>
    </row>
    <row r="113" spans="1:10" x14ac:dyDescent="0.25">
      <c r="A113" s="35"/>
      <c r="B113" s="35"/>
      <c r="I113" s="35"/>
      <c r="J113" s="45"/>
    </row>
    <row r="114" spans="1:10" x14ac:dyDescent="0.25">
      <c r="A114" s="35"/>
      <c r="B114" s="35"/>
      <c r="I114" s="35"/>
      <c r="J114" s="45"/>
    </row>
    <row r="115" spans="1:10" x14ac:dyDescent="0.25">
      <c r="A115" s="35"/>
      <c r="B115" s="35"/>
      <c r="I115" s="35"/>
      <c r="J115" s="45"/>
    </row>
    <row r="116" spans="1:10" x14ac:dyDescent="0.25">
      <c r="A116" s="35"/>
      <c r="B116" s="35"/>
      <c r="I116" s="35"/>
      <c r="J116" s="45"/>
    </row>
    <row r="117" spans="1:10" x14ac:dyDescent="0.25">
      <c r="A117" s="35"/>
      <c r="B117" s="35"/>
      <c r="I117" s="35"/>
      <c r="J117" s="45"/>
    </row>
    <row r="118" spans="1:10" x14ac:dyDescent="0.25">
      <c r="A118" s="35"/>
      <c r="B118" s="35"/>
      <c r="I118" s="35"/>
      <c r="J118" s="45"/>
    </row>
    <row r="119" spans="1:10" x14ac:dyDescent="0.25">
      <c r="A119" s="35"/>
      <c r="B119" s="35"/>
      <c r="I119" s="35"/>
      <c r="J119" s="45"/>
    </row>
    <row r="120" spans="1:10" x14ac:dyDescent="0.25">
      <c r="A120" s="35"/>
      <c r="B120" s="35"/>
      <c r="I120" s="35"/>
      <c r="J120" s="45"/>
    </row>
    <row r="121" spans="1:10" x14ac:dyDescent="0.25">
      <c r="A121" s="35"/>
      <c r="B121" s="35"/>
      <c r="I121" s="35"/>
      <c r="J121" s="45"/>
    </row>
    <row r="122" spans="1:10" x14ac:dyDescent="0.25">
      <c r="A122" s="35"/>
      <c r="B122" s="35"/>
      <c r="I122" s="35"/>
      <c r="J122" s="45"/>
    </row>
    <row r="123" spans="1:10" x14ac:dyDescent="0.25">
      <c r="A123" s="35"/>
      <c r="B123" s="35"/>
      <c r="I123" s="35"/>
      <c r="J123" s="45"/>
    </row>
    <row r="124" spans="1:10" x14ac:dyDescent="0.25">
      <c r="A124" s="35"/>
      <c r="B124" s="35"/>
      <c r="I124" s="35"/>
      <c r="J124" s="45"/>
    </row>
    <row r="125" spans="1:10" x14ac:dyDescent="0.25">
      <c r="A125" s="35"/>
      <c r="B125" s="35"/>
      <c r="I125" s="35"/>
      <c r="J125" s="45"/>
    </row>
    <row r="126" spans="1:10" x14ac:dyDescent="0.25">
      <c r="A126" s="35"/>
      <c r="B126" s="35"/>
      <c r="I126" s="35"/>
      <c r="J126" s="45"/>
    </row>
    <row r="127" spans="1:10" x14ac:dyDescent="0.25">
      <c r="A127" s="35"/>
      <c r="B127" s="35"/>
      <c r="I127" s="35"/>
      <c r="J127" s="45"/>
    </row>
    <row r="128" spans="1:10" x14ac:dyDescent="0.25">
      <c r="A128" s="35"/>
      <c r="B128" s="35"/>
      <c r="I128" s="35"/>
      <c r="J128" s="45"/>
    </row>
    <row r="129" spans="1:10" x14ac:dyDescent="0.25">
      <c r="A129" s="35"/>
      <c r="B129" s="35"/>
      <c r="I129" s="35"/>
      <c r="J129" s="45"/>
    </row>
    <row r="130" spans="1:10" x14ac:dyDescent="0.25">
      <c r="A130" s="35"/>
      <c r="B130" s="35"/>
      <c r="I130" s="35"/>
      <c r="J130" s="45"/>
    </row>
    <row r="131" spans="1:10" x14ac:dyDescent="0.25">
      <c r="A131" s="35"/>
      <c r="B131" s="35"/>
      <c r="I131" s="35"/>
      <c r="J131" s="45"/>
    </row>
    <row r="132" spans="1:10" x14ac:dyDescent="0.25">
      <c r="A132" s="35"/>
      <c r="B132" s="35"/>
      <c r="I132" s="35"/>
      <c r="J132" s="45"/>
    </row>
    <row r="133" spans="1:10" x14ac:dyDescent="0.25">
      <c r="A133" s="35"/>
      <c r="B133" s="35"/>
      <c r="I133" s="35"/>
      <c r="J133" s="45"/>
    </row>
    <row r="134" spans="1:10" x14ac:dyDescent="0.25">
      <c r="A134" s="35"/>
      <c r="B134" s="35"/>
      <c r="I134" s="35"/>
      <c r="J134" s="45"/>
    </row>
    <row r="135" spans="1:10" x14ac:dyDescent="0.25">
      <c r="A135" s="35"/>
      <c r="B135" s="35"/>
    </row>
    <row r="136" spans="1:10" x14ac:dyDescent="0.25">
      <c r="A136" s="35"/>
      <c r="B136" s="35"/>
    </row>
    <row r="137" spans="1:10" x14ac:dyDescent="0.25">
      <c r="A137" s="35"/>
      <c r="B137" s="35"/>
    </row>
    <row r="138" spans="1:10" x14ac:dyDescent="0.25">
      <c r="A138" s="35"/>
      <c r="B138" s="35"/>
    </row>
    <row r="139" spans="1:10" x14ac:dyDescent="0.25">
      <c r="A139" s="35"/>
      <c r="B139" s="35"/>
    </row>
    <row r="140" spans="1:10" x14ac:dyDescent="0.25">
      <c r="A140" s="35"/>
      <c r="B140" s="35"/>
    </row>
    <row r="141" spans="1:10" x14ac:dyDescent="0.25">
      <c r="A141" s="35"/>
      <c r="B141" s="35"/>
    </row>
    <row r="142" spans="1:10" x14ac:dyDescent="0.25">
      <c r="A142" s="35"/>
      <c r="B142" s="35"/>
    </row>
    <row r="143" spans="1:10" x14ac:dyDescent="0.25">
      <c r="A143" s="35"/>
      <c r="B143" s="35"/>
    </row>
    <row r="144" spans="1:10" x14ac:dyDescent="0.25">
      <c r="A144" s="35"/>
      <c r="B144" s="35"/>
    </row>
    <row r="145" spans="1:2" x14ac:dyDescent="0.25">
      <c r="A145" s="35"/>
      <c r="B145" s="35"/>
    </row>
    <row r="146" spans="1:2" x14ac:dyDescent="0.25">
      <c r="A146" s="35"/>
      <c r="B146" s="35"/>
    </row>
    <row r="147" spans="1:2" x14ac:dyDescent="0.25">
      <c r="A147" s="35"/>
      <c r="B147" s="35"/>
    </row>
    <row r="148" spans="1:2" x14ac:dyDescent="0.25">
      <c r="A148" s="35"/>
      <c r="B148" s="35"/>
    </row>
    <row r="149" spans="1:2" x14ac:dyDescent="0.25">
      <c r="A149" s="35"/>
      <c r="B149" s="35"/>
    </row>
    <row r="150" spans="1:2" x14ac:dyDescent="0.25">
      <c r="A150" s="35"/>
      <c r="B150" s="35"/>
    </row>
    <row r="151" spans="1:2" x14ac:dyDescent="0.25">
      <c r="A151" s="35"/>
      <c r="B151" s="35"/>
    </row>
    <row r="152" spans="1:2" x14ac:dyDescent="0.25">
      <c r="A152" s="35"/>
      <c r="B152" s="35"/>
    </row>
    <row r="153" spans="1:2" x14ac:dyDescent="0.25">
      <c r="A153" s="35"/>
      <c r="B153" s="35"/>
    </row>
    <row r="154" spans="1:2" x14ac:dyDescent="0.25">
      <c r="A154" s="35"/>
      <c r="B154" s="35"/>
    </row>
    <row r="155" spans="1:2" x14ac:dyDescent="0.25">
      <c r="A155" s="35"/>
      <c r="B155" s="35"/>
    </row>
    <row r="156" spans="1:2" x14ac:dyDescent="0.25">
      <c r="A156" s="35"/>
      <c r="B156" s="35"/>
    </row>
    <row r="157" spans="1:2" x14ac:dyDescent="0.25">
      <c r="A157" s="35"/>
      <c r="B157" s="35"/>
    </row>
    <row r="158" spans="1:2" x14ac:dyDescent="0.25">
      <c r="A158" s="35"/>
      <c r="B158" s="35"/>
    </row>
    <row r="159" spans="1:2" x14ac:dyDescent="0.25">
      <c r="A159" s="35"/>
      <c r="B159" s="35"/>
    </row>
    <row r="160" spans="1:2" x14ac:dyDescent="0.25">
      <c r="A160" s="35"/>
      <c r="B160" s="35"/>
    </row>
    <row r="161" spans="1:2" x14ac:dyDescent="0.25">
      <c r="A161" s="35"/>
      <c r="B161" s="35"/>
    </row>
    <row r="162" spans="1:2" x14ac:dyDescent="0.25">
      <c r="A162" s="35"/>
      <c r="B162" s="35"/>
    </row>
    <row r="163" spans="1:2" x14ac:dyDescent="0.25">
      <c r="A163" s="35"/>
      <c r="B163" s="35"/>
    </row>
    <row r="164" spans="1:2" x14ac:dyDescent="0.25">
      <c r="A164" s="35"/>
      <c r="B164" s="35"/>
    </row>
    <row r="165" spans="1:2" x14ac:dyDescent="0.25">
      <c r="A165" s="35"/>
      <c r="B165" s="35"/>
    </row>
    <row r="166" spans="1:2" x14ac:dyDescent="0.25">
      <c r="A166" s="35"/>
      <c r="B166" s="35"/>
    </row>
    <row r="167" spans="1:2" x14ac:dyDescent="0.25">
      <c r="A167" s="35"/>
      <c r="B167" s="35"/>
    </row>
    <row r="168" spans="1:2" x14ac:dyDescent="0.25">
      <c r="A168" s="35"/>
      <c r="B168" s="35"/>
    </row>
    <row r="169" spans="1:2" x14ac:dyDescent="0.25">
      <c r="A169" s="35"/>
      <c r="B169" s="35"/>
    </row>
    <row r="170" spans="1:2" x14ac:dyDescent="0.25">
      <c r="A170" s="35"/>
      <c r="B170" s="35"/>
    </row>
    <row r="171" spans="1:2" x14ac:dyDescent="0.25">
      <c r="A171" s="35"/>
      <c r="B171" s="35"/>
    </row>
    <row r="172" spans="1:2" x14ac:dyDescent="0.25">
      <c r="A172" s="35"/>
      <c r="B172" s="35"/>
    </row>
    <row r="173" spans="1:2" x14ac:dyDescent="0.25">
      <c r="A173" s="35"/>
      <c r="B173" s="35"/>
    </row>
    <row r="174" spans="1:2" x14ac:dyDescent="0.25">
      <c r="A174" s="35"/>
      <c r="B174" s="35"/>
    </row>
    <row r="175" spans="1:2" x14ac:dyDescent="0.25">
      <c r="A175" s="35"/>
      <c r="B175" s="35"/>
    </row>
    <row r="176" spans="1:2" x14ac:dyDescent="0.25">
      <c r="A176" s="35"/>
      <c r="B176" s="35"/>
    </row>
    <row r="177" spans="1:2" x14ac:dyDescent="0.25">
      <c r="A177" s="35"/>
      <c r="B177" s="35"/>
    </row>
    <row r="178" spans="1:2" x14ac:dyDescent="0.25">
      <c r="A178" s="35"/>
      <c r="B178" s="35"/>
    </row>
    <row r="179" spans="1:2" x14ac:dyDescent="0.25">
      <c r="A179" s="35"/>
      <c r="B179" s="35"/>
    </row>
    <row r="180" spans="1:2" x14ac:dyDescent="0.25">
      <c r="A180" s="35"/>
      <c r="B180" s="35"/>
    </row>
    <row r="181" spans="1:2" x14ac:dyDescent="0.25">
      <c r="A181" s="35"/>
      <c r="B181" s="35"/>
    </row>
    <row r="182" spans="1:2" x14ac:dyDescent="0.25">
      <c r="A182" s="35"/>
      <c r="B182" s="35"/>
    </row>
    <row r="183" spans="1:2" x14ac:dyDescent="0.25">
      <c r="A183" s="35"/>
      <c r="B183" s="35"/>
    </row>
    <row r="184" spans="1:2" x14ac:dyDescent="0.25">
      <c r="A184" s="35"/>
      <c r="B184" s="35"/>
    </row>
    <row r="185" spans="1:2" x14ac:dyDescent="0.25">
      <c r="A185" s="35"/>
      <c r="B185" s="35"/>
    </row>
    <row r="186" spans="1:2" x14ac:dyDescent="0.25">
      <c r="A186" s="35"/>
      <c r="B186" s="35"/>
    </row>
    <row r="187" spans="1:2" x14ac:dyDescent="0.25">
      <c r="A187" s="35"/>
      <c r="B187" s="35"/>
    </row>
    <row r="188" spans="1:2" x14ac:dyDescent="0.25">
      <c r="A188" s="35"/>
      <c r="B188" s="35"/>
    </row>
    <row r="189" spans="1:2" x14ac:dyDescent="0.25">
      <c r="A189" s="35"/>
      <c r="B189" s="35"/>
    </row>
    <row r="190" spans="1:2" x14ac:dyDescent="0.25">
      <c r="A190" s="35"/>
      <c r="B190" s="35"/>
    </row>
    <row r="191" spans="1:2" x14ac:dyDescent="0.25">
      <c r="A191" s="35"/>
      <c r="B191" s="35"/>
    </row>
    <row r="192" spans="1:2" x14ac:dyDescent="0.25">
      <c r="A192" s="35"/>
      <c r="B192" s="35"/>
    </row>
    <row r="193" spans="1:2" x14ac:dyDescent="0.25">
      <c r="A193" s="35"/>
      <c r="B193" s="35"/>
    </row>
    <row r="194" spans="1:2" x14ac:dyDescent="0.25">
      <c r="A194" s="35"/>
      <c r="B194" s="35"/>
    </row>
    <row r="195" spans="1:2" x14ac:dyDescent="0.25">
      <c r="A195" s="35"/>
      <c r="B195" s="35"/>
    </row>
    <row r="196" spans="1:2" x14ac:dyDescent="0.25">
      <c r="A196" s="35"/>
      <c r="B196" s="35"/>
    </row>
    <row r="197" spans="1:2" x14ac:dyDescent="0.25">
      <c r="A197" s="35"/>
      <c r="B197" s="35"/>
    </row>
    <row r="198" spans="1:2" x14ac:dyDescent="0.25">
      <c r="A198" s="35"/>
      <c r="B198" s="35"/>
    </row>
    <row r="199" spans="1:2" x14ac:dyDescent="0.25">
      <c r="A199" s="35"/>
      <c r="B199" s="35"/>
    </row>
    <row r="200" spans="1:2" x14ac:dyDescent="0.25">
      <c r="A200" s="35"/>
      <c r="B200" s="35"/>
    </row>
    <row r="201" spans="1:2" x14ac:dyDescent="0.25">
      <c r="A201" s="35"/>
      <c r="B201" s="35"/>
    </row>
    <row r="202" spans="1:2" x14ac:dyDescent="0.25">
      <c r="A202" s="35"/>
      <c r="B202" s="35"/>
    </row>
    <row r="203" spans="1:2" x14ac:dyDescent="0.25">
      <c r="A203" s="35"/>
      <c r="B203" s="35"/>
    </row>
    <row r="204" spans="1:2" x14ac:dyDescent="0.25">
      <c r="A204" s="35"/>
      <c r="B204" s="35"/>
    </row>
    <row r="205" spans="1:2" x14ac:dyDescent="0.25">
      <c r="A205" s="35"/>
      <c r="B205" s="35"/>
    </row>
    <row r="206" spans="1:2" x14ac:dyDescent="0.25">
      <c r="A206" s="35"/>
      <c r="B206" s="35"/>
    </row>
    <row r="207" spans="1:2" x14ac:dyDescent="0.25">
      <c r="A207" s="35"/>
      <c r="B207" s="35"/>
    </row>
    <row r="208" spans="1:2" x14ac:dyDescent="0.25">
      <c r="A208" s="35"/>
      <c r="B208" s="35"/>
    </row>
    <row r="209" spans="1:2" x14ac:dyDescent="0.25">
      <c r="A209" s="35"/>
      <c r="B209" s="35"/>
    </row>
    <row r="210" spans="1:2" x14ac:dyDescent="0.25">
      <c r="A210" s="35"/>
      <c r="B210" s="35"/>
    </row>
    <row r="211" spans="1:2" x14ac:dyDescent="0.25">
      <c r="A211" s="35"/>
      <c r="B211" s="35"/>
    </row>
    <row r="212" spans="1:2" x14ac:dyDescent="0.25">
      <c r="A212" s="35"/>
      <c r="B212" s="35"/>
    </row>
    <row r="213" spans="1:2" x14ac:dyDescent="0.25">
      <c r="A213" s="35"/>
      <c r="B213" s="35"/>
    </row>
    <row r="214" spans="1:2" x14ac:dyDescent="0.25">
      <c r="A214" s="35"/>
      <c r="B214" s="35"/>
    </row>
    <row r="215" spans="1:2" x14ac:dyDescent="0.25">
      <c r="A215" s="35"/>
      <c r="B215" s="35"/>
    </row>
    <row r="216" spans="1:2" x14ac:dyDescent="0.25">
      <c r="A216" s="35"/>
      <c r="B216" s="35"/>
    </row>
    <row r="217" spans="1:2" x14ac:dyDescent="0.25">
      <c r="A217" s="35"/>
      <c r="B217" s="35"/>
    </row>
    <row r="218" spans="1:2" x14ac:dyDescent="0.25">
      <c r="A218" s="35"/>
      <c r="B218" s="35"/>
    </row>
    <row r="219" spans="1:2" x14ac:dyDescent="0.25">
      <c r="A219" s="35"/>
      <c r="B219" s="35"/>
    </row>
    <row r="220" spans="1:2" x14ac:dyDescent="0.25">
      <c r="A220" s="35"/>
      <c r="B220" s="35"/>
    </row>
    <row r="221" spans="1:2" x14ac:dyDescent="0.25">
      <c r="A221" s="35"/>
      <c r="B221" s="35"/>
    </row>
    <row r="222" spans="1:2" x14ac:dyDescent="0.25">
      <c r="A222" s="35"/>
      <c r="B222" s="35"/>
    </row>
    <row r="223" spans="1:2" x14ac:dyDescent="0.25">
      <c r="A223" s="35"/>
      <c r="B223" s="35"/>
    </row>
    <row r="224" spans="1:2" x14ac:dyDescent="0.25">
      <c r="A224" s="35"/>
      <c r="B224" s="35"/>
    </row>
    <row r="225" spans="1:2" x14ac:dyDescent="0.25">
      <c r="A225" s="35"/>
      <c r="B225" s="35"/>
    </row>
    <row r="226" spans="1:2" x14ac:dyDescent="0.25">
      <c r="A226" s="35"/>
      <c r="B226" s="35"/>
    </row>
    <row r="227" spans="1:2" x14ac:dyDescent="0.25">
      <c r="A227" s="35"/>
      <c r="B227" s="35"/>
    </row>
    <row r="228" spans="1:2" x14ac:dyDescent="0.25">
      <c r="A228" s="35"/>
      <c r="B228" s="35"/>
    </row>
    <row r="229" spans="1:2" x14ac:dyDescent="0.25">
      <c r="A229" s="35"/>
      <c r="B229" s="35"/>
    </row>
    <row r="230" spans="1:2" x14ac:dyDescent="0.25">
      <c r="A230" s="35"/>
      <c r="B230" s="35"/>
    </row>
    <row r="231" spans="1:2" x14ac:dyDescent="0.25">
      <c r="A231" s="35"/>
      <c r="B231" s="35"/>
    </row>
    <row r="232" spans="1:2" x14ac:dyDescent="0.25">
      <c r="A232" s="35"/>
      <c r="B232" s="35"/>
    </row>
    <row r="233" spans="1:2" x14ac:dyDescent="0.25">
      <c r="A233" s="35"/>
      <c r="B233" s="35"/>
    </row>
    <row r="234" spans="1:2" x14ac:dyDescent="0.25">
      <c r="A234" s="35"/>
      <c r="B234" s="35"/>
    </row>
    <row r="235" spans="1:2" x14ac:dyDescent="0.25">
      <c r="A235" s="35"/>
      <c r="B235" s="35"/>
    </row>
    <row r="236" spans="1:2" x14ac:dyDescent="0.25">
      <c r="A236" s="35"/>
      <c r="B236" s="35"/>
    </row>
    <row r="237" spans="1:2" x14ac:dyDescent="0.25">
      <c r="A237" s="35"/>
      <c r="B237" s="35"/>
    </row>
    <row r="238" spans="1:2" x14ac:dyDescent="0.25">
      <c r="A238" s="35"/>
      <c r="B238" s="35"/>
    </row>
    <row r="239" spans="1:2" x14ac:dyDescent="0.25">
      <c r="A239" s="35"/>
      <c r="B239" s="35"/>
    </row>
    <row r="240" spans="1:2" x14ac:dyDescent="0.25">
      <c r="A240" s="35"/>
      <c r="B240" s="35"/>
    </row>
    <row r="241" spans="1:2" x14ac:dyDescent="0.25">
      <c r="A241" s="35"/>
      <c r="B241" s="35"/>
    </row>
    <row r="242" spans="1:2" x14ac:dyDescent="0.25">
      <c r="A242" s="35"/>
      <c r="B242" s="35"/>
    </row>
    <row r="243" spans="1:2" x14ac:dyDescent="0.25">
      <c r="A243" s="35"/>
      <c r="B243" s="35"/>
    </row>
    <row r="244" spans="1:2" x14ac:dyDescent="0.25">
      <c r="A244" s="35"/>
      <c r="B244" s="35"/>
    </row>
    <row r="245" spans="1:2" x14ac:dyDescent="0.25">
      <c r="A245" s="35"/>
      <c r="B245" s="35"/>
    </row>
    <row r="246" spans="1:2" x14ac:dyDescent="0.25">
      <c r="A246" s="35"/>
      <c r="B246" s="35"/>
    </row>
    <row r="247" spans="1:2" x14ac:dyDescent="0.25">
      <c r="A247" s="35"/>
      <c r="B247" s="35"/>
    </row>
    <row r="248" spans="1:2" x14ac:dyDescent="0.25">
      <c r="A248" s="35"/>
      <c r="B248" s="35"/>
    </row>
    <row r="249" spans="1:2" x14ac:dyDescent="0.25">
      <c r="A249" s="35"/>
      <c r="B249" s="35"/>
    </row>
    <row r="250" spans="1:2" x14ac:dyDescent="0.25">
      <c r="A250" s="35"/>
      <c r="B250" s="35"/>
    </row>
    <row r="251" spans="1:2" x14ac:dyDescent="0.25">
      <c r="A251" s="35"/>
      <c r="B251" s="35"/>
    </row>
    <row r="252" spans="1:2" x14ac:dyDescent="0.25">
      <c r="A252" s="35"/>
      <c r="B252" s="35"/>
    </row>
    <row r="253" spans="1:2" x14ac:dyDescent="0.25">
      <c r="A253" s="35"/>
      <c r="B253" s="35"/>
    </row>
    <row r="254" spans="1:2" x14ac:dyDescent="0.25">
      <c r="A254" s="35"/>
      <c r="B254" s="35"/>
    </row>
    <row r="255" spans="1:2" x14ac:dyDescent="0.25">
      <c r="A255" s="35"/>
      <c r="B255" s="35"/>
    </row>
    <row r="256" spans="1:2" x14ac:dyDescent="0.25">
      <c r="A256" s="35"/>
      <c r="B256" s="35"/>
    </row>
    <row r="257" spans="1:2" x14ac:dyDescent="0.25">
      <c r="A257" s="35"/>
      <c r="B257" s="35"/>
    </row>
    <row r="258" spans="1:2" x14ac:dyDescent="0.25">
      <c r="A258" s="35"/>
      <c r="B258" s="35"/>
    </row>
    <row r="259" spans="1:2" x14ac:dyDescent="0.25">
      <c r="A259" s="35"/>
      <c r="B259" s="35"/>
    </row>
    <row r="260" spans="1:2" x14ac:dyDescent="0.25">
      <c r="A260" s="35"/>
      <c r="B260" s="35"/>
    </row>
    <row r="261" spans="1:2" x14ac:dyDescent="0.25">
      <c r="A261" s="35"/>
      <c r="B261" s="35"/>
    </row>
    <row r="262" spans="1:2" x14ac:dyDescent="0.25">
      <c r="A262" s="35"/>
      <c r="B262" s="35"/>
    </row>
    <row r="263" spans="1:2" x14ac:dyDescent="0.25">
      <c r="A263" s="35"/>
      <c r="B263" s="35"/>
    </row>
    <row r="264" spans="1:2" x14ac:dyDescent="0.25">
      <c r="A264" s="35"/>
      <c r="B264" s="35"/>
    </row>
    <row r="265" spans="1:2" x14ac:dyDescent="0.25">
      <c r="A265" s="35"/>
      <c r="B265" s="35"/>
    </row>
    <row r="266" spans="1:2" x14ac:dyDescent="0.25">
      <c r="A266" s="35"/>
      <c r="B266" s="35"/>
    </row>
    <row r="267" spans="1:2" x14ac:dyDescent="0.25">
      <c r="A267" s="35"/>
      <c r="B267" s="35"/>
    </row>
    <row r="268" spans="1:2" x14ac:dyDescent="0.25">
      <c r="A268" s="35"/>
      <c r="B268" s="35"/>
    </row>
    <row r="269" spans="1:2" x14ac:dyDescent="0.25">
      <c r="A269" s="35"/>
      <c r="B269" s="35"/>
    </row>
    <row r="270" spans="1:2" x14ac:dyDescent="0.25">
      <c r="A270" s="35"/>
      <c r="B270" s="35"/>
    </row>
    <row r="271" spans="1:2" x14ac:dyDescent="0.25">
      <c r="A271" s="35"/>
      <c r="B271" s="35"/>
    </row>
    <row r="272" spans="1:2" x14ac:dyDescent="0.25">
      <c r="A272" s="35"/>
      <c r="B272" s="35"/>
    </row>
    <row r="273" spans="1:2" x14ac:dyDescent="0.25">
      <c r="A273" s="35"/>
      <c r="B273" s="35"/>
    </row>
    <row r="274" spans="1:2" x14ac:dyDescent="0.25">
      <c r="A274" s="35"/>
      <c r="B274" s="35"/>
    </row>
    <row r="275" spans="1:2" x14ac:dyDescent="0.25">
      <c r="A275" s="35"/>
      <c r="B275" s="35"/>
    </row>
    <row r="276" spans="1:2" x14ac:dyDescent="0.25">
      <c r="A276" s="35"/>
      <c r="B276" s="35"/>
    </row>
    <row r="277" spans="1:2" x14ac:dyDescent="0.25">
      <c r="A277" s="35"/>
      <c r="B277" s="35"/>
    </row>
    <row r="278" spans="1:2" x14ac:dyDescent="0.25">
      <c r="A278" s="35"/>
      <c r="B278" s="35"/>
    </row>
    <row r="279" spans="1:2" x14ac:dyDescent="0.25">
      <c r="A279" s="35"/>
      <c r="B279" s="35"/>
    </row>
    <row r="280" spans="1:2" x14ac:dyDescent="0.25">
      <c r="A280" s="35"/>
      <c r="B280" s="35"/>
    </row>
    <row r="281" spans="1:2" x14ac:dyDescent="0.25">
      <c r="A281" s="35"/>
      <c r="B281" s="35"/>
    </row>
    <row r="282" spans="1:2" x14ac:dyDescent="0.25">
      <c r="A282" s="35"/>
      <c r="B282" s="35"/>
    </row>
    <row r="283" spans="1:2" x14ac:dyDescent="0.25">
      <c r="A283" s="35"/>
      <c r="B283" s="35"/>
    </row>
    <row r="284" spans="1:2" x14ac:dyDescent="0.25">
      <c r="A284" s="35"/>
      <c r="B284" s="35"/>
    </row>
    <row r="285" spans="1:2" x14ac:dyDescent="0.25">
      <c r="A285" s="35"/>
      <c r="B285" s="35"/>
    </row>
    <row r="286" spans="1:2" x14ac:dyDescent="0.25">
      <c r="A286" s="35"/>
      <c r="B286" s="35"/>
    </row>
    <row r="287" spans="1:2" x14ac:dyDescent="0.25">
      <c r="A287" s="35"/>
      <c r="B287" s="35"/>
    </row>
    <row r="288" spans="1:2" x14ac:dyDescent="0.25">
      <c r="A288" s="35"/>
      <c r="B288" s="35"/>
    </row>
    <row r="289" spans="1:2" x14ac:dyDescent="0.25">
      <c r="A289" s="35"/>
      <c r="B289" s="35"/>
    </row>
    <row r="290" spans="1:2" x14ac:dyDescent="0.25">
      <c r="A290" s="35"/>
      <c r="B290" s="35"/>
    </row>
    <row r="291" spans="1:2" x14ac:dyDescent="0.25">
      <c r="A291" s="35"/>
      <c r="B291" s="35"/>
    </row>
    <row r="292" spans="1:2" x14ac:dyDescent="0.25">
      <c r="A292" s="35"/>
      <c r="B292" s="35"/>
    </row>
    <row r="293" spans="1:2" x14ac:dyDescent="0.25">
      <c r="A293" s="35"/>
      <c r="B293" s="35"/>
    </row>
    <row r="294" spans="1:2" x14ac:dyDescent="0.25">
      <c r="A294" s="35"/>
      <c r="B294" s="35"/>
    </row>
    <row r="295" spans="1:2" x14ac:dyDescent="0.25">
      <c r="A295" s="35"/>
      <c r="B295" s="35"/>
    </row>
    <row r="296" spans="1:2" x14ac:dyDescent="0.25">
      <c r="A296" s="35"/>
      <c r="B296" s="35"/>
    </row>
    <row r="297" spans="1:2" x14ac:dyDescent="0.25">
      <c r="A297" s="35"/>
      <c r="B297" s="35"/>
    </row>
    <row r="298" spans="1:2" x14ac:dyDescent="0.25">
      <c r="A298" s="35"/>
      <c r="B298" s="35"/>
    </row>
    <row r="299" spans="1:2" x14ac:dyDescent="0.25">
      <c r="A299" s="35"/>
      <c r="B299" s="35"/>
    </row>
    <row r="300" spans="1:2" x14ac:dyDescent="0.25">
      <c r="A300" s="35"/>
      <c r="B300" s="35"/>
    </row>
    <row r="301" spans="1:2" x14ac:dyDescent="0.25">
      <c r="A301" s="35"/>
      <c r="B301" s="35"/>
    </row>
    <row r="302" spans="1:2" x14ac:dyDescent="0.25">
      <c r="A302" s="35"/>
      <c r="B302" s="35"/>
    </row>
    <row r="303" spans="1:2" x14ac:dyDescent="0.25">
      <c r="A303" s="35"/>
      <c r="B303" s="35"/>
    </row>
    <row r="304" spans="1:2" x14ac:dyDescent="0.25">
      <c r="A304" s="35"/>
      <c r="B304" s="35"/>
    </row>
    <row r="305" spans="1:2" x14ac:dyDescent="0.25">
      <c r="A305" s="35"/>
      <c r="B305" s="35"/>
    </row>
    <row r="306" spans="1:2" x14ac:dyDescent="0.25">
      <c r="A306" s="35"/>
      <c r="B306" s="35"/>
    </row>
    <row r="307" spans="1:2" x14ac:dyDescent="0.25">
      <c r="A307" s="35"/>
      <c r="B307" s="35"/>
    </row>
    <row r="308" spans="1:2" x14ac:dyDescent="0.25">
      <c r="A308" s="35"/>
      <c r="B308" s="35"/>
    </row>
    <row r="309" spans="1:2" x14ac:dyDescent="0.25">
      <c r="A309" s="35"/>
      <c r="B309" s="35"/>
    </row>
    <row r="310" spans="1:2" x14ac:dyDescent="0.25">
      <c r="A310" s="35"/>
      <c r="B310" s="35"/>
    </row>
    <row r="311" spans="1:2" x14ac:dyDescent="0.25">
      <c r="A311" s="35"/>
      <c r="B311" s="35"/>
    </row>
    <row r="312" spans="1:2" x14ac:dyDescent="0.25">
      <c r="A312" s="35"/>
      <c r="B312" s="35"/>
    </row>
    <row r="313" spans="1:2" x14ac:dyDescent="0.25">
      <c r="A313" s="35"/>
      <c r="B313" s="35"/>
    </row>
    <row r="314" spans="1:2" x14ac:dyDescent="0.25">
      <c r="A314" s="35"/>
      <c r="B314" s="35"/>
    </row>
    <row r="315" spans="1:2" x14ac:dyDescent="0.25">
      <c r="A315" s="35"/>
      <c r="B315" s="35"/>
    </row>
    <row r="316" spans="1:2" x14ac:dyDescent="0.25">
      <c r="A316" s="35"/>
      <c r="B316" s="35"/>
    </row>
    <row r="317" spans="1:2" x14ac:dyDescent="0.25">
      <c r="A317" s="35"/>
      <c r="B317" s="35"/>
    </row>
    <row r="318" spans="1:2" x14ac:dyDescent="0.25">
      <c r="A318" s="35"/>
      <c r="B318" s="35"/>
    </row>
    <row r="319" spans="1:2" x14ac:dyDescent="0.25">
      <c r="A319" s="35"/>
      <c r="B319" s="35"/>
    </row>
    <row r="320" spans="1:2" x14ac:dyDescent="0.25">
      <c r="A320" s="35"/>
      <c r="B320" s="35"/>
    </row>
    <row r="321" spans="1:2" x14ac:dyDescent="0.25">
      <c r="A321" s="35"/>
      <c r="B321" s="35"/>
    </row>
    <row r="322" spans="1:2" x14ac:dyDescent="0.25">
      <c r="A322" s="35"/>
      <c r="B322" s="35"/>
    </row>
    <row r="323" spans="1:2" x14ac:dyDescent="0.25">
      <c r="A323" s="35"/>
      <c r="B323" s="35"/>
    </row>
    <row r="324" spans="1:2" x14ac:dyDescent="0.25">
      <c r="A324" s="35"/>
      <c r="B324" s="35"/>
    </row>
    <row r="325" spans="1:2" x14ac:dyDescent="0.25">
      <c r="A325" s="35"/>
      <c r="B325" s="35"/>
    </row>
    <row r="326" spans="1:2" x14ac:dyDescent="0.25">
      <c r="A326" s="35"/>
      <c r="B326" s="35"/>
    </row>
    <row r="327" spans="1:2" x14ac:dyDescent="0.25">
      <c r="A327" s="35"/>
      <c r="B327" s="35"/>
    </row>
    <row r="328" spans="1:2" x14ac:dyDescent="0.25">
      <c r="A328" s="35"/>
      <c r="B328" s="35"/>
    </row>
    <row r="329" spans="1:2" x14ac:dyDescent="0.25">
      <c r="A329" s="35"/>
      <c r="B329" s="35"/>
    </row>
    <row r="330" spans="1:2" x14ac:dyDescent="0.25">
      <c r="A330" s="35"/>
      <c r="B330" s="35"/>
    </row>
    <row r="331" spans="1:2" x14ac:dyDescent="0.25">
      <c r="A331" s="35"/>
      <c r="B331" s="35"/>
    </row>
    <row r="332" spans="1:2" x14ac:dyDescent="0.25">
      <c r="A332" s="35"/>
      <c r="B332" s="35"/>
    </row>
    <row r="333" spans="1:2" x14ac:dyDescent="0.25">
      <c r="A333" s="35"/>
      <c r="B333" s="35"/>
    </row>
    <row r="334" spans="1:2" x14ac:dyDescent="0.25">
      <c r="A334" s="35"/>
      <c r="B334" s="35"/>
    </row>
    <row r="335" spans="1:2" x14ac:dyDescent="0.25">
      <c r="A335" s="35"/>
      <c r="B335" s="35"/>
    </row>
    <row r="336" spans="1:2" x14ac:dyDescent="0.25">
      <c r="A336" s="35"/>
      <c r="B336" s="35"/>
    </row>
    <row r="337" spans="1:2" x14ac:dyDescent="0.25">
      <c r="A337" s="35"/>
      <c r="B337" s="35"/>
    </row>
    <row r="338" spans="1:2" x14ac:dyDescent="0.25">
      <c r="A338" s="35"/>
      <c r="B338" s="35"/>
    </row>
    <row r="339" spans="1:2" x14ac:dyDescent="0.25">
      <c r="A339" s="35"/>
      <c r="B339" s="35"/>
    </row>
    <row r="340" spans="1:2" x14ac:dyDescent="0.25">
      <c r="A340" s="35"/>
      <c r="B340" s="35"/>
    </row>
    <row r="341" spans="1:2" x14ac:dyDescent="0.25">
      <c r="A341" s="35"/>
      <c r="B341" s="35"/>
    </row>
    <row r="342" spans="1:2" x14ac:dyDescent="0.25">
      <c r="A342" s="35"/>
      <c r="B342" s="35"/>
    </row>
    <row r="343" spans="1:2" x14ac:dyDescent="0.25">
      <c r="A343" s="35"/>
      <c r="B343" s="35"/>
    </row>
    <row r="344" spans="1:2" x14ac:dyDescent="0.25">
      <c r="A344" s="35"/>
      <c r="B344" s="35"/>
    </row>
    <row r="345" spans="1:2" x14ac:dyDescent="0.25">
      <c r="A345" s="35"/>
      <c r="B345" s="35"/>
    </row>
    <row r="346" spans="1:2" x14ac:dyDescent="0.25">
      <c r="A346" s="35"/>
      <c r="B346" s="35"/>
    </row>
    <row r="347" spans="1:2" x14ac:dyDescent="0.25">
      <c r="A347" s="35"/>
      <c r="B347" s="35"/>
    </row>
    <row r="348" spans="1:2" x14ac:dyDescent="0.25">
      <c r="A348" s="35"/>
      <c r="B348" s="35"/>
    </row>
    <row r="349" spans="1:2" x14ac:dyDescent="0.25">
      <c r="A349" s="35"/>
      <c r="B349" s="35"/>
    </row>
    <row r="350" spans="1:2" x14ac:dyDescent="0.25">
      <c r="A350" s="35"/>
      <c r="B350" s="35"/>
    </row>
    <row r="351" spans="1:2" x14ac:dyDescent="0.25">
      <c r="A351" s="35"/>
      <c r="B351" s="35"/>
    </row>
    <row r="352" spans="1:2" x14ac:dyDescent="0.25">
      <c r="A352" s="35"/>
      <c r="B352" s="35"/>
    </row>
    <row r="353" spans="1:2" x14ac:dyDescent="0.25">
      <c r="A353" s="35"/>
      <c r="B353" s="35"/>
    </row>
    <row r="354" spans="1:2" x14ac:dyDescent="0.25">
      <c r="A354" s="35"/>
      <c r="B354" s="35"/>
    </row>
    <row r="355" spans="1:2" x14ac:dyDescent="0.25">
      <c r="A355" s="35"/>
      <c r="B355" s="35"/>
    </row>
    <row r="356" spans="1:2" x14ac:dyDescent="0.25">
      <c r="A356" s="35"/>
      <c r="B356" s="35"/>
    </row>
    <row r="357" spans="1:2" x14ac:dyDescent="0.25">
      <c r="A357" s="35"/>
      <c r="B357" s="35"/>
    </row>
    <row r="358" spans="1:2" x14ac:dyDescent="0.25">
      <c r="A358" s="35"/>
      <c r="B358" s="35"/>
    </row>
    <row r="359" spans="1:2" x14ac:dyDescent="0.25">
      <c r="A359" s="35"/>
      <c r="B359" s="35"/>
    </row>
    <row r="360" spans="1:2" x14ac:dyDescent="0.25">
      <c r="A360" s="35"/>
      <c r="B360" s="35"/>
    </row>
    <row r="361" spans="1:2" x14ac:dyDescent="0.25">
      <c r="A361" s="35"/>
      <c r="B361" s="35"/>
    </row>
    <row r="362" spans="1:2" x14ac:dyDescent="0.25">
      <c r="A362" s="35"/>
      <c r="B362" s="35"/>
    </row>
    <row r="363" spans="1:2" x14ac:dyDescent="0.25">
      <c r="A363" s="35"/>
      <c r="B363" s="35"/>
    </row>
    <row r="364" spans="1:2" x14ac:dyDescent="0.25">
      <c r="A364" s="35"/>
      <c r="B364" s="35"/>
    </row>
    <row r="365" spans="1:2" x14ac:dyDescent="0.25">
      <c r="A365" s="35"/>
      <c r="B365" s="35"/>
    </row>
    <row r="366" spans="1:2" x14ac:dyDescent="0.25">
      <c r="A366" s="35"/>
      <c r="B366" s="35"/>
    </row>
    <row r="367" spans="1:2" x14ac:dyDescent="0.25">
      <c r="A367" s="35"/>
      <c r="B367" s="35"/>
    </row>
    <row r="368" spans="1:2" x14ac:dyDescent="0.25">
      <c r="A368" s="35"/>
      <c r="B368" s="35"/>
    </row>
    <row r="369" spans="1:2" x14ac:dyDescent="0.25">
      <c r="A369" s="35"/>
      <c r="B369" s="35"/>
    </row>
    <row r="370" spans="1:2" x14ac:dyDescent="0.25">
      <c r="A370" s="35"/>
      <c r="B370" s="35"/>
    </row>
    <row r="371" spans="1:2" x14ac:dyDescent="0.25">
      <c r="A371" s="35"/>
      <c r="B371" s="35"/>
    </row>
    <row r="372" spans="1:2" x14ac:dyDescent="0.25">
      <c r="A372" s="35"/>
      <c r="B372" s="35"/>
    </row>
    <row r="373" spans="1:2" x14ac:dyDescent="0.25">
      <c r="A373" s="35"/>
      <c r="B373" s="35"/>
    </row>
    <row r="374" spans="1:2" x14ac:dyDescent="0.25">
      <c r="A374" s="35"/>
      <c r="B374" s="35"/>
    </row>
    <row r="375" spans="1:2" x14ac:dyDescent="0.25">
      <c r="A375" s="35"/>
      <c r="B375" s="35"/>
    </row>
    <row r="376" spans="1:2" x14ac:dyDescent="0.25">
      <c r="A376" s="35"/>
      <c r="B376" s="35"/>
    </row>
    <row r="377" spans="1:2" x14ac:dyDescent="0.25">
      <c r="A377" s="35"/>
      <c r="B377" s="35"/>
    </row>
    <row r="378" spans="1:2" x14ac:dyDescent="0.25">
      <c r="A378" s="35"/>
      <c r="B378" s="35"/>
    </row>
    <row r="379" spans="1:2" x14ac:dyDescent="0.25">
      <c r="A379" s="35"/>
      <c r="B379" s="35"/>
    </row>
    <row r="380" spans="1:2" x14ac:dyDescent="0.25">
      <c r="A380" s="35"/>
      <c r="B380" s="35"/>
    </row>
    <row r="381" spans="1:2" x14ac:dyDescent="0.25">
      <c r="A381" s="35"/>
      <c r="B381" s="35"/>
    </row>
    <row r="382" spans="1:2" x14ac:dyDescent="0.25">
      <c r="A382" s="35"/>
      <c r="B382" s="35"/>
    </row>
    <row r="383" spans="1:2" x14ac:dyDescent="0.25">
      <c r="A383" s="35"/>
      <c r="B383" s="35"/>
    </row>
    <row r="384" spans="1:2" x14ac:dyDescent="0.25">
      <c r="A384" s="35"/>
      <c r="B384" s="35"/>
    </row>
    <row r="385" spans="1:2" x14ac:dyDescent="0.25">
      <c r="A385" s="35"/>
      <c r="B385" s="35"/>
    </row>
    <row r="386" spans="1:2" x14ac:dyDescent="0.25">
      <c r="A386" s="35"/>
      <c r="B386" s="35"/>
    </row>
    <row r="387" spans="1:2" x14ac:dyDescent="0.25">
      <c r="A387" s="35"/>
      <c r="B387" s="35"/>
    </row>
    <row r="388" spans="1:2" x14ac:dyDescent="0.25">
      <c r="A388" s="35"/>
      <c r="B388" s="35"/>
    </row>
    <row r="389" spans="1:2" x14ac:dyDescent="0.25">
      <c r="A389" s="35"/>
      <c r="B389" s="35"/>
    </row>
    <row r="390" spans="1:2" x14ac:dyDescent="0.25">
      <c r="A390" s="35"/>
      <c r="B390" s="35"/>
    </row>
    <row r="391" spans="1:2" x14ac:dyDescent="0.25">
      <c r="A391" s="35"/>
      <c r="B391" s="35"/>
    </row>
    <row r="392" spans="1:2" x14ac:dyDescent="0.25">
      <c r="A392" s="35"/>
      <c r="B392" s="35"/>
    </row>
    <row r="393" spans="1:2" x14ac:dyDescent="0.25">
      <c r="A393" s="35"/>
      <c r="B393" s="35"/>
    </row>
    <row r="394" spans="1:2" x14ac:dyDescent="0.25">
      <c r="A394" s="35"/>
      <c r="B394" s="35"/>
    </row>
    <row r="395" spans="1:2" x14ac:dyDescent="0.25">
      <c r="A395" s="35"/>
      <c r="B395" s="35"/>
    </row>
    <row r="396" spans="1:2" x14ac:dyDescent="0.25">
      <c r="A396" s="35"/>
      <c r="B396" s="35"/>
    </row>
    <row r="397" spans="1:2" x14ac:dyDescent="0.25">
      <c r="A397" s="35"/>
      <c r="B397" s="35"/>
    </row>
    <row r="398" spans="1:2" x14ac:dyDescent="0.25">
      <c r="A398" s="35"/>
      <c r="B398" s="35"/>
    </row>
    <row r="399" spans="1:2" x14ac:dyDescent="0.25">
      <c r="A399" s="35"/>
      <c r="B399" s="35"/>
    </row>
    <row r="400" spans="1:2" x14ac:dyDescent="0.25">
      <c r="A400" s="35"/>
      <c r="B400" s="35"/>
    </row>
    <row r="401" spans="1:2" x14ac:dyDescent="0.25">
      <c r="A401" s="35"/>
      <c r="B401" s="35"/>
    </row>
    <row r="402" spans="1:2" x14ac:dyDescent="0.25">
      <c r="A402" s="35"/>
      <c r="B402" s="35"/>
    </row>
    <row r="403" spans="1:2" x14ac:dyDescent="0.25">
      <c r="A403" s="35"/>
      <c r="B403" s="35"/>
    </row>
    <row r="404" spans="1:2" x14ac:dyDescent="0.25">
      <c r="A404" s="35"/>
      <c r="B404" s="35"/>
    </row>
    <row r="405" spans="1:2" x14ac:dyDescent="0.25">
      <c r="A405" s="35"/>
      <c r="B405" s="35"/>
    </row>
    <row r="406" spans="1:2" x14ac:dyDescent="0.25">
      <c r="A406" s="35"/>
      <c r="B406" s="35"/>
    </row>
    <row r="407" spans="1:2" x14ac:dyDescent="0.25">
      <c r="A407" s="35"/>
      <c r="B407" s="35"/>
    </row>
    <row r="408" spans="1:2" x14ac:dyDescent="0.25">
      <c r="A408" s="35"/>
      <c r="B408" s="35"/>
    </row>
    <row r="409" spans="1:2" x14ac:dyDescent="0.25">
      <c r="A409" s="35"/>
      <c r="B409" s="35"/>
    </row>
    <row r="410" spans="1:2" x14ac:dyDescent="0.25">
      <c r="A410" s="35"/>
      <c r="B410" s="35"/>
    </row>
    <row r="411" spans="1:2" x14ac:dyDescent="0.25">
      <c r="A411" s="35"/>
      <c r="B411" s="35"/>
    </row>
    <row r="412" spans="1:2" x14ac:dyDescent="0.25">
      <c r="A412" s="35"/>
      <c r="B412" s="35"/>
    </row>
    <row r="413" spans="1:2" x14ac:dyDescent="0.25">
      <c r="A413" s="35"/>
      <c r="B413" s="35"/>
    </row>
    <row r="414" spans="1:2" x14ac:dyDescent="0.25">
      <c r="A414" s="35"/>
      <c r="B414" s="35"/>
    </row>
    <row r="415" spans="1:2" x14ac:dyDescent="0.25">
      <c r="A415" s="35"/>
      <c r="B415" s="35"/>
    </row>
    <row r="416" spans="1:2" x14ac:dyDescent="0.25">
      <c r="A416" s="35"/>
      <c r="B416" s="35"/>
    </row>
    <row r="417" spans="1:2" x14ac:dyDescent="0.25">
      <c r="A417" s="35"/>
      <c r="B417" s="35"/>
    </row>
    <row r="418" spans="1:2" x14ac:dyDescent="0.25">
      <c r="A418" s="35"/>
      <c r="B418" s="35"/>
    </row>
    <row r="419" spans="1:2" x14ac:dyDescent="0.25">
      <c r="A419" s="35"/>
      <c r="B419" s="35"/>
    </row>
    <row r="420" spans="1:2" x14ac:dyDescent="0.25">
      <c r="A420" s="35"/>
      <c r="B420" s="35"/>
    </row>
    <row r="421" spans="1:2" x14ac:dyDescent="0.25">
      <c r="A421" s="35"/>
      <c r="B421" s="35"/>
    </row>
    <row r="422" spans="1:2" x14ac:dyDescent="0.25">
      <c r="A422" s="35"/>
      <c r="B422" s="35"/>
    </row>
    <row r="423" spans="1:2" x14ac:dyDescent="0.25">
      <c r="A423" s="35"/>
      <c r="B423" s="35"/>
    </row>
    <row r="424" spans="1:2" x14ac:dyDescent="0.25">
      <c r="A424" s="35"/>
      <c r="B424" s="35"/>
    </row>
    <row r="425" spans="1:2" x14ac:dyDescent="0.25">
      <c r="A425" s="35"/>
      <c r="B425" s="35"/>
    </row>
    <row r="426" spans="1:2" x14ac:dyDescent="0.25">
      <c r="A426" s="35"/>
      <c r="B426" s="35"/>
    </row>
    <row r="427" spans="1:2" x14ac:dyDescent="0.25">
      <c r="A427" s="35"/>
      <c r="B427" s="35"/>
    </row>
    <row r="428" spans="1:2" x14ac:dyDescent="0.25">
      <c r="A428" s="35"/>
      <c r="B428" s="35"/>
    </row>
    <row r="429" spans="1:2" x14ac:dyDescent="0.25">
      <c r="A429" s="35"/>
      <c r="B429" s="35"/>
    </row>
    <row r="430" spans="1:2" x14ac:dyDescent="0.25">
      <c r="A430" s="35"/>
      <c r="B430" s="35"/>
    </row>
    <row r="431" spans="1:2" x14ac:dyDescent="0.25">
      <c r="A431" s="35"/>
      <c r="B431" s="35"/>
    </row>
    <row r="432" spans="1:2" x14ac:dyDescent="0.25">
      <c r="A432" s="35"/>
      <c r="B432" s="35"/>
    </row>
    <row r="433" spans="1:2" x14ac:dyDescent="0.25">
      <c r="A433" s="35"/>
      <c r="B433" s="35"/>
    </row>
    <row r="434" spans="1:2" x14ac:dyDescent="0.25">
      <c r="A434" s="35"/>
      <c r="B434" s="35"/>
    </row>
    <row r="435" spans="1:2" x14ac:dyDescent="0.25">
      <c r="A435" s="35"/>
      <c r="B435" s="35"/>
    </row>
    <row r="436" spans="1:2" x14ac:dyDescent="0.25">
      <c r="A436" s="35"/>
      <c r="B436" s="35"/>
    </row>
    <row r="437" spans="1:2" x14ac:dyDescent="0.25">
      <c r="A437" s="35"/>
      <c r="B437" s="35"/>
    </row>
    <row r="438" spans="1:2" x14ac:dyDescent="0.25">
      <c r="A438" s="35"/>
      <c r="B438" s="35"/>
    </row>
    <row r="439" spans="1:2" x14ac:dyDescent="0.25">
      <c r="A439" s="35"/>
      <c r="B439" s="35"/>
    </row>
    <row r="440" spans="1:2" x14ac:dyDescent="0.25">
      <c r="A440" s="35"/>
      <c r="B440" s="35"/>
    </row>
    <row r="441" spans="1:2" x14ac:dyDescent="0.25">
      <c r="A441" s="35"/>
      <c r="B441" s="35"/>
    </row>
    <row r="442" spans="1:2" x14ac:dyDescent="0.25">
      <c r="A442" s="35"/>
      <c r="B442" s="35"/>
    </row>
    <row r="443" spans="1:2" x14ac:dyDescent="0.25">
      <c r="A443" s="35"/>
      <c r="B443" s="35"/>
    </row>
    <row r="444" spans="1:2" x14ac:dyDescent="0.25">
      <c r="A444" s="35"/>
      <c r="B444" s="35"/>
    </row>
    <row r="445" spans="1:2" x14ac:dyDescent="0.25">
      <c r="A445" s="35"/>
      <c r="B445" s="35"/>
    </row>
    <row r="446" spans="1:2" x14ac:dyDescent="0.25">
      <c r="A446" s="35"/>
      <c r="B446" s="35"/>
    </row>
    <row r="447" spans="1:2" x14ac:dyDescent="0.25">
      <c r="A447" s="35"/>
      <c r="B447" s="35"/>
    </row>
    <row r="448" spans="1:2" x14ac:dyDescent="0.25">
      <c r="A448" s="35"/>
      <c r="B448" s="35"/>
    </row>
    <row r="449" spans="1:2" x14ac:dyDescent="0.25">
      <c r="A449" s="35"/>
      <c r="B449" s="35"/>
    </row>
    <row r="450" spans="1:2" x14ac:dyDescent="0.25">
      <c r="A450" s="35"/>
      <c r="B450" s="35"/>
    </row>
    <row r="451" spans="1:2" x14ac:dyDescent="0.25">
      <c r="A451" s="35"/>
      <c r="B451" s="35"/>
    </row>
    <row r="452" spans="1:2" x14ac:dyDescent="0.25">
      <c r="A452" s="35"/>
      <c r="B452" s="35"/>
    </row>
    <row r="453" spans="1:2" x14ac:dyDescent="0.25">
      <c r="A453" s="35"/>
      <c r="B453" s="35"/>
    </row>
    <row r="454" spans="1:2" x14ac:dyDescent="0.25">
      <c r="A454" s="35"/>
      <c r="B454" s="35"/>
    </row>
    <row r="455" spans="1:2" x14ac:dyDescent="0.25">
      <c r="A455" s="35"/>
      <c r="B455" s="35"/>
    </row>
    <row r="456" spans="1:2" x14ac:dyDescent="0.25">
      <c r="A456" s="35"/>
      <c r="B456" s="35"/>
    </row>
    <row r="457" spans="1:2" x14ac:dyDescent="0.25">
      <c r="A457" s="35"/>
      <c r="B457" s="35"/>
    </row>
    <row r="458" spans="1:2" x14ac:dyDescent="0.25">
      <c r="A458" s="35"/>
      <c r="B458" s="35"/>
    </row>
    <row r="459" spans="1:2" x14ac:dyDescent="0.25">
      <c r="A459" s="35"/>
      <c r="B459" s="35"/>
    </row>
    <row r="460" spans="1:2" x14ac:dyDescent="0.25">
      <c r="A460" s="35"/>
      <c r="B460" s="35"/>
    </row>
    <row r="461" spans="1:2" x14ac:dyDescent="0.25">
      <c r="A461" s="35"/>
      <c r="B461" s="35"/>
    </row>
    <row r="462" spans="1:2" x14ac:dyDescent="0.25">
      <c r="A462" s="35"/>
      <c r="B462" s="35"/>
    </row>
    <row r="463" spans="1:2" x14ac:dyDescent="0.25">
      <c r="A463" s="35"/>
      <c r="B463" s="35"/>
    </row>
    <row r="464" spans="1:2" x14ac:dyDescent="0.25">
      <c r="A464" s="35"/>
      <c r="B464" s="35"/>
    </row>
    <row r="465" spans="1:2" x14ac:dyDescent="0.25">
      <c r="A465" s="35"/>
      <c r="B465" s="35"/>
    </row>
    <row r="466" spans="1:2" x14ac:dyDescent="0.25">
      <c r="A466" s="35"/>
      <c r="B466" s="35"/>
    </row>
    <row r="467" spans="1:2" x14ac:dyDescent="0.25">
      <c r="A467" s="35"/>
      <c r="B467" s="35"/>
    </row>
    <row r="468" spans="1:2" x14ac:dyDescent="0.25">
      <c r="A468" s="35"/>
      <c r="B468" s="35"/>
    </row>
    <row r="469" spans="1:2" x14ac:dyDescent="0.25">
      <c r="A469" s="35"/>
      <c r="B469" s="35"/>
    </row>
    <row r="470" spans="1:2" x14ac:dyDescent="0.25">
      <c r="A470" s="35"/>
      <c r="B470" s="35"/>
    </row>
    <row r="471" spans="1:2" x14ac:dyDescent="0.25">
      <c r="A471" s="35"/>
      <c r="B471" s="35"/>
    </row>
    <row r="472" spans="1:2" x14ac:dyDescent="0.25">
      <c r="A472" s="35"/>
      <c r="B472" s="35"/>
    </row>
    <row r="473" spans="1:2" x14ac:dyDescent="0.25">
      <c r="A473" s="35"/>
      <c r="B473" s="35"/>
    </row>
    <row r="474" spans="1:2" x14ac:dyDescent="0.25">
      <c r="A474" s="35"/>
      <c r="B474" s="35"/>
    </row>
    <row r="475" spans="1:2" x14ac:dyDescent="0.25">
      <c r="A475" s="35"/>
      <c r="B475" s="35"/>
    </row>
    <row r="476" spans="1:2" x14ac:dyDescent="0.25">
      <c r="A476" s="35"/>
      <c r="B476" s="35"/>
    </row>
    <row r="477" spans="1:2" x14ac:dyDescent="0.25">
      <c r="A477" s="35"/>
      <c r="B477" s="35"/>
    </row>
    <row r="478" spans="1:2" x14ac:dyDescent="0.25">
      <c r="A478" s="35"/>
      <c r="B478" s="35"/>
    </row>
    <row r="479" spans="1:2" x14ac:dyDescent="0.25">
      <c r="A479" s="35"/>
      <c r="B479" s="35"/>
    </row>
    <row r="480" spans="1:2" x14ac:dyDescent="0.25">
      <c r="A480" s="35"/>
      <c r="B480" s="35"/>
    </row>
    <row r="481" spans="1:2" x14ac:dyDescent="0.25">
      <c r="A481" s="35"/>
      <c r="B481" s="35"/>
    </row>
    <row r="482" spans="1:2" x14ac:dyDescent="0.25">
      <c r="A482" s="35"/>
      <c r="B482" s="35"/>
    </row>
    <row r="483" spans="1:2" x14ac:dyDescent="0.25">
      <c r="A483" s="35"/>
      <c r="B483" s="35"/>
    </row>
    <row r="484" spans="1:2" x14ac:dyDescent="0.25">
      <c r="A484" s="35"/>
      <c r="B484" s="35"/>
    </row>
    <row r="485" spans="1:2" x14ac:dyDescent="0.25">
      <c r="A485" s="35"/>
      <c r="B485" s="35"/>
    </row>
    <row r="486" spans="1:2" x14ac:dyDescent="0.25">
      <c r="A486" s="35"/>
      <c r="B486" s="35"/>
    </row>
    <row r="487" spans="1:2" x14ac:dyDescent="0.25">
      <c r="A487" s="35"/>
      <c r="B487" s="35"/>
    </row>
    <row r="488" spans="1:2" x14ac:dyDescent="0.25">
      <c r="A488" s="35"/>
      <c r="B488" s="35"/>
    </row>
    <row r="489" spans="1:2" x14ac:dyDescent="0.25">
      <c r="A489" s="35"/>
      <c r="B489" s="35"/>
    </row>
    <row r="490" spans="1:2" x14ac:dyDescent="0.25">
      <c r="A490" s="35"/>
      <c r="B490" s="35"/>
    </row>
    <row r="491" spans="1:2" x14ac:dyDescent="0.25">
      <c r="A491" s="35"/>
      <c r="B491" s="35"/>
    </row>
    <row r="492" spans="1:2" x14ac:dyDescent="0.25">
      <c r="A492" s="35"/>
      <c r="B492" s="35"/>
    </row>
    <row r="493" spans="1:2" x14ac:dyDescent="0.25">
      <c r="A493" s="35"/>
      <c r="B493" s="35"/>
    </row>
    <row r="494" spans="1:2" x14ac:dyDescent="0.25">
      <c r="A494" s="35"/>
      <c r="B494" s="35"/>
    </row>
    <row r="495" spans="1:2" x14ac:dyDescent="0.25">
      <c r="A495" s="35"/>
      <c r="B495" s="35"/>
    </row>
    <row r="496" spans="1:2" x14ac:dyDescent="0.25">
      <c r="A496" s="35"/>
      <c r="B496" s="35"/>
    </row>
    <row r="497" spans="1:2" x14ac:dyDescent="0.25">
      <c r="A497" s="35"/>
      <c r="B497" s="35"/>
    </row>
    <row r="498" spans="1:2" x14ac:dyDescent="0.25">
      <c r="A498" s="35"/>
      <c r="B498" s="35"/>
    </row>
    <row r="499" spans="1:2" x14ac:dyDescent="0.25">
      <c r="A499" s="35"/>
      <c r="B499" s="35"/>
    </row>
    <row r="500" spans="1:2" x14ac:dyDescent="0.25">
      <c r="A500" s="35"/>
      <c r="B500" s="35"/>
    </row>
    <row r="501" spans="1:2" x14ac:dyDescent="0.25">
      <c r="A501" s="35"/>
      <c r="B501" s="35"/>
    </row>
    <row r="502" spans="1:2" x14ac:dyDescent="0.25">
      <c r="A502" s="35"/>
      <c r="B502" s="35"/>
    </row>
    <row r="503" spans="1:2" x14ac:dyDescent="0.25">
      <c r="A503" s="35"/>
      <c r="B503" s="35"/>
    </row>
    <row r="504" spans="1:2" x14ac:dyDescent="0.25">
      <c r="A504" s="35"/>
      <c r="B504" s="35"/>
    </row>
    <row r="505" spans="1:2" x14ac:dyDescent="0.25">
      <c r="A505" s="35"/>
      <c r="B505" s="35"/>
    </row>
    <row r="506" spans="1:2" x14ac:dyDescent="0.25">
      <c r="A506" s="35"/>
      <c r="B506" s="35"/>
    </row>
    <row r="507" spans="1:2" x14ac:dyDescent="0.25">
      <c r="A507" s="35"/>
      <c r="B507" s="35"/>
    </row>
    <row r="508" spans="1:2" x14ac:dyDescent="0.25">
      <c r="A508" s="35"/>
      <c r="B508" s="35"/>
    </row>
    <row r="509" spans="1:2" x14ac:dyDescent="0.25">
      <c r="A509" s="35"/>
      <c r="B509" s="35"/>
    </row>
    <row r="510" spans="1:2" x14ac:dyDescent="0.25">
      <c r="A510" s="35"/>
      <c r="B510" s="35"/>
    </row>
    <row r="511" spans="1:2" x14ac:dyDescent="0.25">
      <c r="A511" s="35"/>
      <c r="B511" s="35"/>
    </row>
    <row r="512" spans="1:2" x14ac:dyDescent="0.25">
      <c r="A512" s="35"/>
      <c r="B512" s="35"/>
    </row>
    <row r="513" spans="1:2" x14ac:dyDescent="0.25">
      <c r="A513" s="35"/>
      <c r="B513" s="35"/>
    </row>
    <row r="514" spans="1:2" x14ac:dyDescent="0.25">
      <c r="A514" s="35"/>
      <c r="B514" s="35"/>
    </row>
    <row r="515" spans="1:2" x14ac:dyDescent="0.25">
      <c r="A515" s="35"/>
      <c r="B515" s="35"/>
    </row>
    <row r="516" spans="1:2" x14ac:dyDescent="0.25">
      <c r="A516" s="35"/>
      <c r="B516" s="35"/>
    </row>
    <row r="517" spans="1:2" x14ac:dyDescent="0.25">
      <c r="A517" s="35"/>
      <c r="B517" s="35"/>
    </row>
    <row r="518" spans="1:2" x14ac:dyDescent="0.25">
      <c r="A518" s="35"/>
      <c r="B518" s="35"/>
    </row>
    <row r="519" spans="1:2" x14ac:dyDescent="0.25">
      <c r="A519" s="35"/>
      <c r="B519" s="35"/>
    </row>
    <row r="520" spans="1:2" x14ac:dyDescent="0.25">
      <c r="A520" s="35"/>
      <c r="B520" s="35"/>
    </row>
    <row r="521" spans="1:2" x14ac:dyDescent="0.25">
      <c r="A521" s="35"/>
      <c r="B521" s="35"/>
    </row>
    <row r="522" spans="1:2" x14ac:dyDescent="0.25">
      <c r="A522" s="35"/>
      <c r="B522" s="35"/>
    </row>
    <row r="523" spans="1:2" x14ac:dyDescent="0.25">
      <c r="A523" s="35"/>
      <c r="B523" s="35"/>
    </row>
    <row r="524" spans="1:2" x14ac:dyDescent="0.25">
      <c r="A524" s="35"/>
      <c r="B524" s="35"/>
    </row>
    <row r="525" spans="1:2" x14ac:dyDescent="0.25">
      <c r="A525" s="35"/>
      <c r="B525" s="35"/>
    </row>
    <row r="526" spans="1:2" x14ac:dyDescent="0.25">
      <c r="A526" s="35"/>
      <c r="B526" s="35"/>
    </row>
    <row r="527" spans="1:2" x14ac:dyDescent="0.25">
      <c r="A527" s="35"/>
      <c r="B527" s="35"/>
    </row>
    <row r="528" spans="1:2" x14ac:dyDescent="0.25">
      <c r="A528" s="35"/>
      <c r="B528" s="35"/>
    </row>
    <row r="529" spans="1:15" x14ac:dyDescent="0.25">
      <c r="A529" s="35"/>
      <c r="B529" s="35"/>
    </row>
    <row r="530" spans="1:15" x14ac:dyDescent="0.25">
      <c r="A530" s="35"/>
      <c r="B530" s="35"/>
    </row>
    <row r="531" spans="1:15" x14ac:dyDescent="0.25">
      <c r="A531" s="35"/>
      <c r="B531" s="35"/>
    </row>
    <row r="532" spans="1:15" x14ac:dyDescent="0.25">
      <c r="A532" s="35"/>
      <c r="B532" s="35"/>
    </row>
    <row r="533" spans="1:15" x14ac:dyDescent="0.25">
      <c r="A533" s="35"/>
      <c r="B533" s="35"/>
    </row>
    <row r="534" spans="1:15" x14ac:dyDescent="0.25">
      <c r="A534" s="35"/>
      <c r="B534" s="35"/>
    </row>
    <row r="535" spans="1:15" x14ac:dyDescent="0.25">
      <c r="A535" s="35"/>
      <c r="B535" s="35"/>
    </row>
    <row r="536" spans="1:15" x14ac:dyDescent="0.25">
      <c r="A536" s="35"/>
      <c r="B536" s="35"/>
    </row>
    <row r="537" spans="1:15" x14ac:dyDescent="0.25">
      <c r="A537" s="35"/>
      <c r="B537" s="35"/>
    </row>
    <row r="538" spans="1:15" x14ac:dyDescent="0.25">
      <c r="A538" s="35"/>
      <c r="B538" s="35"/>
    </row>
    <row r="539" spans="1:15" x14ac:dyDescent="0.25">
      <c r="A539" s="35"/>
      <c r="B539" s="35"/>
    </row>
    <row r="540" spans="1:15" x14ac:dyDescent="0.25">
      <c r="A540" s="35"/>
      <c r="B540" s="35"/>
    </row>
    <row r="541" spans="1:15" x14ac:dyDescent="0.25">
      <c r="A541" s="35"/>
      <c r="B541" s="35"/>
    </row>
    <row r="542" spans="1:15" x14ac:dyDescent="0.25">
      <c r="A542" s="35"/>
      <c r="B542" s="35"/>
    </row>
    <row r="543" spans="1:15" x14ac:dyDescent="0.25">
      <c r="A543" s="35"/>
      <c r="B543" s="35"/>
    </row>
    <row r="544" spans="1:15" x14ac:dyDescent="0.25">
      <c r="N544" s="17"/>
      <c r="O544" s="38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540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16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0</v>
      </c>
      <c r="E2" s="55"/>
      <c r="F2" s="53" t="s">
        <v>620</v>
      </c>
      <c r="G2" s="53">
        <v>4528958838</v>
      </c>
      <c r="H2" s="62"/>
      <c r="K2" s="51" t="s">
        <v>1</v>
      </c>
      <c r="L2" s="63" t="s">
        <v>568</v>
      </c>
      <c r="M2" s="55"/>
    </row>
    <row r="3" spans="1:13" s="51" customFormat="1" ht="20.100000000000001" customHeight="1" x14ac:dyDescent="0.25">
      <c r="A3" s="52" t="s">
        <v>616</v>
      </c>
      <c r="C3" s="52"/>
      <c r="D3" s="52">
        <v>0</v>
      </c>
      <c r="E3" s="53"/>
      <c r="F3" s="53" t="s">
        <v>621</v>
      </c>
      <c r="G3" s="53">
        <f>H37/SolarMass</f>
        <v>4604098565.0731602</v>
      </c>
      <c r="H3" s="62"/>
      <c r="K3" s="51" t="s">
        <v>562</v>
      </c>
      <c r="L3" s="52">
        <v>-5.9699999999999998E-4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1607.2556263112899</v>
      </c>
      <c r="E4" s="55"/>
      <c r="F4" s="53" t="s">
        <v>622</v>
      </c>
      <c r="G4" s="52">
        <f>G3/G2</f>
        <v>1.0165909494347143</v>
      </c>
      <c r="H4" s="62"/>
      <c r="K4" s="61" t="s">
        <v>614</v>
      </c>
      <c r="L4" s="52">
        <f>QEHModelChiSquare</f>
        <v>47.093648800584873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283.92485297583403</v>
      </c>
      <c r="F5" s="53"/>
      <c r="G5" s="52"/>
      <c r="H5" s="62"/>
      <c r="K5" s="61" t="s">
        <v>615</v>
      </c>
      <c r="L5" s="52">
        <f>LCDMModelChiSquare</f>
        <v>29.693922530348843</v>
      </c>
      <c r="M5" s="55"/>
    </row>
    <row r="6" spans="1:13" ht="20.100000000000001" customHeight="1" x14ac:dyDescent="0.25"/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37" si="0">RadiusKpc*1000</f>
        <v>90</v>
      </c>
      <c r="C8" s="16">
        <f t="shared" ref="C8:C37" si="1">IF(QESBulgeEffectiveRadius=0,0,RadiusPc/QESBulgeEffectiveRadius)</f>
        <v>0</v>
      </c>
      <c r="D8" s="15">
        <f t="shared" ref="D8:D37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0</v>
      </c>
      <c r="F8" s="15">
        <f t="shared" ref="F8:F37" si="3">2*PI()*QESDiskSurfaceDensity*QESDiskScaleLength*(QESDiskScaleLength-EXP(-RadiusPc/QESDiskScaleLength)*(RadiusPc+QESDiskScaleLength))*SolarMass</f>
        <v>1.3845872109559993E+37</v>
      </c>
      <c r="H8" s="18">
        <f t="shared" ref="H8:H37" si="4">BulgeMass+DiskMass+HaloMass</f>
        <v>1.3845872109559993E+37</v>
      </c>
      <c r="I8" s="45">
        <v>17.04</v>
      </c>
      <c r="J8" s="45">
        <v>1</v>
      </c>
      <c r="K8" s="19">
        <f t="shared" ref="K8:K37" si="5">SQRT(TotalMass*GravitationalConstant/RadiusKm+UniverseAcceleration*RadiusKm)/km</f>
        <v>20.833170632767867</v>
      </c>
      <c r="L8" s="16">
        <f t="shared" ref="L8:L37" si="6">(ObservedVelocity-ModelVelocity)^2/(VelocityError)^2</f>
        <v>14.38814344929259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0</v>
      </c>
      <c r="F9" s="15">
        <f t="shared" si="3"/>
        <v>5.9218871643956306E+37</v>
      </c>
      <c r="H9" s="18">
        <f t="shared" si="4"/>
        <v>5.9218871643956306E+37</v>
      </c>
      <c r="I9" s="45">
        <v>24.09</v>
      </c>
      <c r="J9" s="45">
        <v>1</v>
      </c>
      <c r="K9" s="19">
        <f t="shared" si="5"/>
        <v>29.79814004441975</v>
      </c>
      <c r="L9" s="16">
        <f t="shared" si="6"/>
        <v>32.582862766708303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0</v>
      </c>
      <c r="F10" s="15">
        <f t="shared" si="3"/>
        <v>1.411348952469362E+38</v>
      </c>
      <c r="H10" s="18">
        <f t="shared" si="4"/>
        <v>1.411348952469362E+38</v>
      </c>
      <c r="I10" s="45">
        <v>29.18</v>
      </c>
      <c r="J10" s="45">
        <v>1</v>
      </c>
      <c r="K10" s="19">
        <f t="shared" si="5"/>
        <v>36.811877985644095</v>
      </c>
      <c r="L10" s="16">
        <f t="shared" si="6"/>
        <v>58.245561587758978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0</v>
      </c>
      <c r="F11" s="15">
        <f t="shared" si="3"/>
        <v>2.634409121052468E+38</v>
      </c>
      <c r="H11" s="18">
        <f t="shared" si="4"/>
        <v>2.634409121052468E+38</v>
      </c>
      <c r="I11" s="45">
        <v>35.93</v>
      </c>
      <c r="J11" s="45">
        <v>1</v>
      </c>
      <c r="K11" s="19">
        <f t="shared" si="5"/>
        <v>42.769938244706076</v>
      </c>
      <c r="L11" s="16">
        <f t="shared" si="6"/>
        <v>46.784755191392833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0</v>
      </c>
      <c r="F12" s="15">
        <f t="shared" si="3"/>
        <v>4.4258294991316782E+38</v>
      </c>
      <c r="H12" s="18">
        <f t="shared" si="4"/>
        <v>4.4258294991316782E+38</v>
      </c>
      <c r="I12" s="45">
        <v>44.22</v>
      </c>
      <c r="J12" s="45">
        <v>1</v>
      </c>
      <c r="K12" s="19">
        <f t="shared" si="5"/>
        <v>48.368820437805077</v>
      </c>
      <c r="L12" s="16">
        <f t="shared" si="6"/>
        <v>17.212711025149119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0</v>
      </c>
      <c r="F13" s="15">
        <f t="shared" si="3"/>
        <v>6.5379235728397803E+38</v>
      </c>
      <c r="H13" s="18">
        <f t="shared" si="4"/>
        <v>6.5379235728397803E+38</v>
      </c>
      <c r="I13" s="45">
        <v>51.7</v>
      </c>
      <c r="J13" s="45">
        <v>1</v>
      </c>
      <c r="K13" s="19">
        <f t="shared" si="5"/>
        <v>52.988727777635205</v>
      </c>
      <c r="L13" s="16">
        <f t="shared" si="6"/>
        <v>1.6608192848485672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0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0</v>
      </c>
      <c r="F14" s="15">
        <f t="shared" si="3"/>
        <v>9.2601951719428018E+38</v>
      </c>
      <c r="H14" s="18">
        <f t="shared" si="4"/>
        <v>9.2601951719428018E+38</v>
      </c>
      <c r="I14" s="45">
        <v>57.54</v>
      </c>
      <c r="J14" s="45">
        <v>1</v>
      </c>
      <c r="K14" s="19">
        <f t="shared" si="5"/>
        <v>57.416539630704698</v>
      </c>
      <c r="L14" s="16">
        <f t="shared" si="6"/>
        <v>1.5242462786532244E-2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0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0</v>
      </c>
      <c r="F15" s="15">
        <f t="shared" si="3"/>
        <v>1.2615996015412159E+39</v>
      </c>
      <c r="H15" s="18">
        <f t="shared" si="4"/>
        <v>1.2615996015412159E+39</v>
      </c>
      <c r="I15" s="45">
        <v>61.85</v>
      </c>
      <c r="J15" s="45">
        <v>1</v>
      </c>
      <c r="K15" s="19">
        <f t="shared" si="5"/>
        <v>61.595675639798721</v>
      </c>
      <c r="L15" s="16">
        <f t="shared" si="6"/>
        <v>6.4680880191790815E-2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0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0</v>
      </c>
      <c r="F16" s="15">
        <f t="shared" si="3"/>
        <v>1.6388578075218016E+39</v>
      </c>
      <c r="H16" s="18">
        <f t="shared" si="4"/>
        <v>1.6388578075218016E+39</v>
      </c>
      <c r="I16" s="45">
        <v>67.599999999999994</v>
      </c>
      <c r="J16" s="45">
        <v>1</v>
      </c>
      <c r="K16" s="19">
        <f t="shared" si="5"/>
        <v>65.313996670193291</v>
      </c>
      <c r="L16" s="16">
        <f t="shared" si="6"/>
        <v>5.2258112238873373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0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0</v>
      </c>
      <c r="F17" s="15">
        <f t="shared" si="3"/>
        <v>2.092812860836492E+39</v>
      </c>
      <c r="H17" s="18">
        <f t="shared" si="4"/>
        <v>2.092812860836492E+39</v>
      </c>
      <c r="I17" s="45">
        <v>73.37</v>
      </c>
      <c r="J17" s="45">
        <v>1</v>
      </c>
      <c r="K17" s="19">
        <f t="shared" si="5"/>
        <v>68.944671705949247</v>
      </c>
      <c r="L17" s="16">
        <f t="shared" si="6"/>
        <v>19.583530510126188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0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0</v>
      </c>
      <c r="F18" s="15">
        <f t="shared" si="3"/>
        <v>2.5747766257432664E+39</v>
      </c>
      <c r="H18" s="18">
        <f t="shared" si="4"/>
        <v>2.5747766257432664E+39</v>
      </c>
      <c r="I18" s="45">
        <v>78.36</v>
      </c>
      <c r="J18" s="45">
        <v>1</v>
      </c>
      <c r="K18" s="19">
        <f t="shared" si="5"/>
        <v>72.14768684719273</v>
      </c>
      <c r="L18" s="16">
        <f t="shared" si="6"/>
        <v>38.592834708542192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0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0</v>
      </c>
      <c r="F19" s="15">
        <f t="shared" si="3"/>
        <v>3.1158373870055947E+39</v>
      </c>
      <c r="H19" s="18">
        <f t="shared" si="4"/>
        <v>3.1158373870055947E+39</v>
      </c>
      <c r="I19" s="45">
        <v>82.8</v>
      </c>
      <c r="J19" s="45">
        <v>1</v>
      </c>
      <c r="K19" s="19">
        <f t="shared" si="5"/>
        <v>75.21180412673985</v>
      </c>
      <c r="L19" s="16">
        <f t="shared" si="6"/>
        <v>57.580716610962334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0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0</v>
      </c>
      <c r="F20" s="15">
        <f t="shared" si="3"/>
        <v>3.7017583236427526E+39</v>
      </c>
      <c r="G20" s="15"/>
      <c r="H20" s="18">
        <f t="shared" si="4"/>
        <v>3.7017583236427526E+39</v>
      </c>
      <c r="I20" s="45">
        <v>86.74</v>
      </c>
      <c r="J20" s="45">
        <v>1</v>
      </c>
      <c r="K20" s="19">
        <f t="shared" si="5"/>
        <v>78.100377373913716</v>
      </c>
      <c r="L20" s="16">
        <f t="shared" si="6"/>
        <v>74.64307912118197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0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0</v>
      </c>
      <c r="F21" s="15">
        <f t="shared" si="3"/>
        <v>4.2963344324226789E+39</v>
      </c>
      <c r="G21" s="15"/>
      <c r="H21" s="18">
        <f t="shared" si="4"/>
        <v>4.2963344324226789E+39</v>
      </c>
      <c r="I21" s="45">
        <v>90.42</v>
      </c>
      <c r="J21" s="45">
        <v>1</v>
      </c>
      <c r="K21" s="19">
        <f t="shared" si="5"/>
        <v>80.72544700640438</v>
      </c>
      <c r="L21" s="16">
        <f t="shared" si="6"/>
        <v>93.984357745633829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0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0</v>
      </c>
      <c r="F22" s="15">
        <f t="shared" si="3"/>
        <v>4.9187816132000234E+39</v>
      </c>
      <c r="G22" s="15"/>
      <c r="H22" s="18">
        <f t="shared" si="4"/>
        <v>4.9187816132000234E+39</v>
      </c>
      <c r="I22" s="45">
        <v>94</v>
      </c>
      <c r="J22" s="45">
        <v>1</v>
      </c>
      <c r="K22" s="19">
        <f t="shared" si="5"/>
        <v>83.265862691336721</v>
      </c>
      <c r="L22" s="16">
        <f t="shared" si="6"/>
        <v>115.22170376123694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0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0</v>
      </c>
      <c r="F23" s="15">
        <f t="shared" si="3"/>
        <v>5.5298452088389296E+39</v>
      </c>
      <c r="G23" s="15"/>
      <c r="H23" s="18">
        <f t="shared" si="4"/>
        <v>5.5298452088389296E+39</v>
      </c>
      <c r="I23" s="45">
        <v>96.17</v>
      </c>
      <c r="J23" s="45">
        <v>1</v>
      </c>
      <c r="K23" s="19">
        <f t="shared" si="5"/>
        <v>85.657336392830132</v>
      </c>
      <c r="L23" s="16">
        <f t="shared" si="6"/>
        <v>110.51609611751383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0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0</v>
      </c>
      <c r="F24" s="15">
        <f t="shared" si="3"/>
        <v>6.125007567435071E+39</v>
      </c>
      <c r="G24" s="15"/>
      <c r="H24" s="18">
        <f t="shared" si="4"/>
        <v>6.125007567435071E+39</v>
      </c>
      <c r="I24" s="45">
        <v>97.75</v>
      </c>
      <c r="J24" s="45">
        <v>1</v>
      </c>
      <c r="K24" s="19">
        <f t="shared" si="5"/>
        <v>87.99041119149328</v>
      </c>
      <c r="L24" s="16">
        <f t="shared" si="6"/>
        <v>95.249573711129628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0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0</v>
      </c>
      <c r="F25" s="15">
        <f t="shared" si="3"/>
        <v>6.6836466655980864E+39</v>
      </c>
      <c r="G25" s="15"/>
      <c r="H25" s="18">
        <f t="shared" si="4"/>
        <v>6.6836466655980864E+39</v>
      </c>
      <c r="I25" s="45">
        <v>100.52</v>
      </c>
      <c r="J25" s="45">
        <v>1</v>
      </c>
      <c r="K25" s="19">
        <f t="shared" si="5"/>
        <v>90.294629716401417</v>
      </c>
      <c r="L25" s="16">
        <f t="shared" si="6"/>
        <v>104.55819743670088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0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0</v>
      </c>
      <c r="F26" s="15">
        <f t="shared" si="3"/>
        <v>7.189488585470874E+39</v>
      </c>
      <c r="G26" s="15"/>
      <c r="H26" s="18">
        <f t="shared" si="4"/>
        <v>7.189488585470874E+39</v>
      </c>
      <c r="I26" s="45">
        <v>102.27</v>
      </c>
      <c r="J26" s="45">
        <v>1</v>
      </c>
      <c r="K26" s="19">
        <f t="shared" si="5"/>
        <v>92.609190653592307</v>
      </c>
      <c r="L26" s="16">
        <f t="shared" si="6"/>
        <v>93.331237227638155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0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0</v>
      </c>
      <c r="F27" s="15">
        <f t="shared" si="3"/>
        <v>7.646270158861441E+39</v>
      </c>
      <c r="G27" s="15"/>
      <c r="H27" s="18">
        <f t="shared" si="4"/>
        <v>7.646270158861441E+39</v>
      </c>
      <c r="I27" s="45">
        <v>101.96</v>
      </c>
      <c r="J27" s="45">
        <v>1</v>
      </c>
      <c r="K27" s="19">
        <f t="shared" si="5"/>
        <v>95.061947637023223</v>
      </c>
      <c r="L27" s="16">
        <f t="shared" si="6"/>
        <v>47.583126402369402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0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0</v>
      </c>
      <c r="F28" s="15">
        <f t="shared" si="3"/>
        <v>8.0333488831660041E+39</v>
      </c>
      <c r="G28" s="15"/>
      <c r="H28" s="18">
        <f t="shared" si="4"/>
        <v>8.0333488831660041E+39</v>
      </c>
      <c r="I28" s="45">
        <v>102.31</v>
      </c>
      <c r="J28" s="45">
        <v>1</v>
      </c>
      <c r="K28" s="19">
        <f t="shared" si="5"/>
        <v>97.643792740478887</v>
      </c>
      <c r="L28" s="16">
        <f t="shared" si="6"/>
        <v>21.77349018880756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0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0</v>
      </c>
      <c r="F29" s="15">
        <f t="shared" si="3"/>
        <v>8.3522877560821659E+39</v>
      </c>
      <c r="G29" s="15"/>
      <c r="H29" s="18">
        <f t="shared" si="4"/>
        <v>8.3522877560821659E+39</v>
      </c>
      <c r="I29" s="45">
        <v>104.61</v>
      </c>
      <c r="J29" s="45">
        <v>1</v>
      </c>
      <c r="K29" s="19">
        <f t="shared" si="5"/>
        <v>100.43055996556612</v>
      </c>
      <c r="L29" s="16">
        <f t="shared" si="6"/>
        <v>17.46771900142868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0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0</v>
      </c>
      <c r="F30" s="15">
        <f t="shared" si="3"/>
        <v>8.6057995857892649E+39</v>
      </c>
      <c r="G30" s="15"/>
      <c r="H30" s="18">
        <f t="shared" si="4"/>
        <v>8.6057995857892649E+39</v>
      </c>
      <c r="I30" s="45">
        <v>106.82</v>
      </c>
      <c r="J30" s="45">
        <v>1</v>
      </c>
      <c r="K30" s="19">
        <f t="shared" si="5"/>
        <v>103.48867063934038</v>
      </c>
      <c r="L30" s="16">
        <f t="shared" si="6"/>
        <v>11.09775530919276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0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0</v>
      </c>
      <c r="F31" s="15">
        <f t="shared" si="3"/>
        <v>8.7986740433034264E+39</v>
      </c>
      <c r="G31" s="15"/>
      <c r="H31" s="18">
        <f t="shared" si="4"/>
        <v>8.7986740433034264E+39</v>
      </c>
      <c r="I31" s="45">
        <v>113.68</v>
      </c>
      <c r="J31" s="45">
        <v>1</v>
      </c>
      <c r="K31" s="19">
        <f t="shared" si="5"/>
        <v>106.87453840206294</v>
      </c>
      <c r="L31" s="16">
        <f t="shared" si="6"/>
        <v>46.314307560996149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0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0</v>
      </c>
      <c r="F32" s="15">
        <f t="shared" si="3"/>
        <v>8.9356394010699783E+39</v>
      </c>
      <c r="G32" s="15"/>
      <c r="H32" s="18">
        <f t="shared" si="4"/>
        <v>8.9356394010699783E+39</v>
      </c>
      <c r="I32" s="45">
        <v>118.36</v>
      </c>
      <c r="J32" s="45">
        <v>1</v>
      </c>
      <c r="K32" s="19">
        <f t="shared" si="5"/>
        <v>110.5504718395793</v>
      </c>
      <c r="L32" s="16">
        <f t="shared" si="6"/>
        <v>60.988730088403884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0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0</v>
      </c>
      <c r="F33" s="15">
        <f t="shared" si="3"/>
        <v>9.0301566375142041E+39</v>
      </c>
      <c r="G33" s="15"/>
      <c r="H33" s="18">
        <f t="shared" si="4"/>
        <v>9.0301566375142041E+39</v>
      </c>
      <c r="I33" s="45">
        <v>118.44</v>
      </c>
      <c r="J33" s="45">
        <v>1</v>
      </c>
      <c r="K33" s="19">
        <f t="shared" si="5"/>
        <v>114.63174337482062</v>
      </c>
      <c r="L33" s="16">
        <f t="shared" si="6"/>
        <v>14.502818523222658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0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0</v>
      </c>
      <c r="F34" s="15">
        <f t="shared" si="3"/>
        <v>9.0904081641636249E+39</v>
      </c>
      <c r="G34" s="15"/>
      <c r="H34" s="18">
        <f t="shared" si="4"/>
        <v>9.0904081641636249E+39</v>
      </c>
      <c r="I34" s="45">
        <v>118.88</v>
      </c>
      <c r="J34" s="45">
        <v>1</v>
      </c>
      <c r="K34" s="19">
        <f t="shared" si="5"/>
        <v>119.05704090624494</v>
      </c>
      <c r="L34" s="16">
        <f t="shared" si="6"/>
        <v>3.1343482484029739E-2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0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0</v>
      </c>
      <c r="F35" s="15">
        <f t="shared" si="3"/>
        <v>9.1268502392226382E+39</v>
      </c>
      <c r="G35" s="15"/>
      <c r="H35" s="18">
        <f t="shared" si="4"/>
        <v>9.1268502392226382E+39</v>
      </c>
      <c r="I35" s="45">
        <v>120.98</v>
      </c>
      <c r="J35" s="45">
        <v>1</v>
      </c>
      <c r="K35" s="19">
        <f t="shared" si="5"/>
        <v>123.87845226813741</v>
      </c>
      <c r="L35" s="16">
        <f t="shared" si="6"/>
        <v>8.4010255506708642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0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0</v>
      </c>
      <c r="F36" s="15">
        <f t="shared" si="3"/>
        <v>9.1473534574885133E+39</v>
      </c>
      <c r="G36" s="15"/>
      <c r="H36" s="18">
        <f t="shared" si="4"/>
        <v>9.1473534574885133E+39</v>
      </c>
      <c r="I36" s="45">
        <v>126.01</v>
      </c>
      <c r="J36" s="45">
        <v>1</v>
      </c>
      <c r="K36" s="19">
        <f t="shared" si="5"/>
        <v>129.09804093852372</v>
      </c>
      <c r="L36" s="16">
        <f t="shared" si="6"/>
        <v>9.5359968379984483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0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0</v>
      </c>
      <c r="F37" s="15">
        <f t="shared" si="3"/>
        <v>9.1580124557870218E+39</v>
      </c>
      <c r="G37" s="15"/>
      <c r="H37" s="18">
        <f t="shared" si="4"/>
        <v>9.1580124557870218E+39</v>
      </c>
      <c r="I37" s="45">
        <v>132.01</v>
      </c>
      <c r="J37" s="45">
        <v>1</v>
      </c>
      <c r="K37" s="19">
        <f t="shared" si="5"/>
        <v>134.71122954355056</v>
      </c>
      <c r="L37" s="16">
        <f t="shared" si="6"/>
        <v>7.296641046950409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x14ac:dyDescent="0.25">
      <c r="A38" s="45"/>
      <c r="I38" s="45"/>
      <c r="J38" s="45"/>
      <c r="L38" s="16">
        <f>SUM(L8:L37)/(COUNT(L8:L37)-4)</f>
        <v>47.093648800584873</v>
      </c>
    </row>
    <row r="39" spans="1:29" x14ac:dyDescent="0.25">
      <c r="A39" s="45"/>
      <c r="I39" s="45"/>
      <c r="J39" s="45"/>
    </row>
    <row r="40" spans="1:29" ht="21" x14ac:dyDescent="0.35">
      <c r="A40" s="46" t="s">
        <v>564</v>
      </c>
      <c r="I40" s="45"/>
      <c r="J40" s="45"/>
    </row>
    <row r="41" spans="1:29" x14ac:dyDescent="0.25">
      <c r="A41" s="45" t="s">
        <v>30</v>
      </c>
      <c r="D41" s="16">
        <v>7.66</v>
      </c>
      <c r="E41" s="17">
        <f>$D$41*1000</f>
        <v>7660</v>
      </c>
      <c r="F41" s="17"/>
      <c r="G41" s="17"/>
      <c r="H41" s="15"/>
      <c r="K41" s="15"/>
      <c r="M41" s="45"/>
    </row>
    <row r="42" spans="1:29" x14ac:dyDescent="0.25">
      <c r="A42" s="45" t="s">
        <v>16</v>
      </c>
      <c r="D42" s="16">
        <v>0.22</v>
      </c>
      <c r="E42" s="15">
        <f>D42*10000000000*SolarMass</f>
        <v>4.3760199999999998E+39</v>
      </c>
      <c r="F42" s="43"/>
      <c r="G42" s="43"/>
      <c r="H42" s="15"/>
      <c r="K42" s="15"/>
      <c r="M42" s="45"/>
    </row>
    <row r="43" spans="1:29" x14ac:dyDescent="0.25">
      <c r="A43" s="45" t="s">
        <v>569</v>
      </c>
      <c r="D43" s="16">
        <v>6.1</v>
      </c>
      <c r="E43" s="15">
        <f>D43*1000</f>
        <v>6100</v>
      </c>
      <c r="H43" s="15"/>
      <c r="K43" s="15"/>
      <c r="M43" s="45"/>
    </row>
    <row r="44" spans="1:29" x14ac:dyDescent="0.25">
      <c r="A44" s="45" t="s">
        <v>17</v>
      </c>
      <c r="D44" s="45">
        <v>0.5</v>
      </c>
      <c r="G44" s="16"/>
      <c r="H44" s="15"/>
      <c r="K44" s="15"/>
      <c r="M44" s="45"/>
    </row>
    <row r="45" spans="1:29" x14ac:dyDescent="0.25">
      <c r="A45" s="45" t="s">
        <v>570</v>
      </c>
      <c r="D45" s="16">
        <v>8.5</v>
      </c>
      <c r="E45" s="17">
        <f>D45*1000</f>
        <v>8500</v>
      </c>
      <c r="H45" s="15"/>
      <c r="K45" s="15"/>
      <c r="M45" s="45"/>
    </row>
    <row r="46" spans="1:29" x14ac:dyDescent="0.25">
      <c r="A46" s="45" t="s">
        <v>571</v>
      </c>
      <c r="D46" s="16">
        <v>2.4</v>
      </c>
      <c r="G46" s="9"/>
      <c r="H46" s="15"/>
      <c r="K46" s="15"/>
      <c r="M46" s="45"/>
    </row>
    <row r="47" spans="1:29" x14ac:dyDescent="0.25">
      <c r="A47" s="45"/>
      <c r="D47" s="12"/>
      <c r="H47" s="15"/>
      <c r="K47" s="15"/>
      <c r="M47" s="45"/>
    </row>
    <row r="48" spans="1:29" x14ac:dyDescent="0.25">
      <c r="A48" s="17" t="s">
        <v>567</v>
      </c>
      <c r="D48" s="17">
        <f>(D44*10000000000)/(2*PI()*DiskScaleLengthPc^2)</f>
        <v>21.386044489639254</v>
      </c>
      <c r="H48" s="15"/>
      <c r="K48" s="15"/>
      <c r="M48" s="45"/>
    </row>
    <row r="49" spans="1:29" x14ac:dyDescent="0.25">
      <c r="A49" s="17" t="s">
        <v>565</v>
      </c>
      <c r="D49" s="9">
        <f>(D46*10000000000)/(4*PI()*(LCDMHaloScaleLengthPc)^3*(LN(2)-1/2))</f>
        <v>1.6101125220191012E-2</v>
      </c>
      <c r="H49" s="15"/>
      <c r="K49" s="15"/>
      <c r="M49" s="45"/>
    </row>
    <row r="50" spans="1:29" x14ac:dyDescent="0.25">
      <c r="A50" s="19"/>
      <c r="H50" s="15"/>
      <c r="K50" s="15"/>
      <c r="M50" s="45"/>
    </row>
    <row r="51" spans="1:29" ht="45" x14ac:dyDescent="0.25">
      <c r="A51" s="25" t="s">
        <v>20</v>
      </c>
      <c r="B51" s="3" t="s">
        <v>19</v>
      </c>
      <c r="C51" s="7" t="s">
        <v>27</v>
      </c>
      <c r="D51" s="4" t="s">
        <v>649</v>
      </c>
      <c r="E51" s="4" t="s">
        <v>21</v>
      </c>
      <c r="F51" s="4" t="s">
        <v>22</v>
      </c>
      <c r="G51" s="4" t="s">
        <v>28</v>
      </c>
      <c r="H51" s="4" t="s">
        <v>23</v>
      </c>
      <c r="I51" s="7" t="s">
        <v>645</v>
      </c>
      <c r="J51" s="7" t="s">
        <v>646</v>
      </c>
      <c r="K51" s="25" t="s">
        <v>647</v>
      </c>
      <c r="L51" s="3" t="s">
        <v>648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x14ac:dyDescent="0.25">
      <c r="A52" s="45">
        <v>0.09</v>
      </c>
      <c r="B52" s="45">
        <f>A52*1000</f>
        <v>90</v>
      </c>
      <c r="C52" s="16">
        <f>B52/LCDMBulgeEffectiveRadius</f>
        <v>1.1749347258485639E-2</v>
      </c>
      <c r="D52" s="15">
        <f>A52*kpc</f>
        <v>2.777109822E+18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8.8823505631906019E+36</v>
      </c>
      <c r="F52" s="15">
        <f t="shared" ref="F52:F81" si="7">2*PI()*LCDMDiskSurfaceDensity*LCDMScaleLength*(LCDMScaleLength-EXP(-RadiusPc/LCDMScaleLength)*(RadiusPc+LCDMScaleLength))*SolarMass</f>
        <v>1.0718965021347812E+36</v>
      </c>
      <c r="G52" s="15">
        <f t="shared" ref="G52:G81" si="8">4*PI()*LCDMHaloRepresentativeDensity*LCDMHaloScaleLengthPc^3*(LN(1+RadiusPc/LCDMHaloScaleLengthPc)-RadiusPc/(RadiusPc+LCDMHaloScaleLengthPc))*SolarMass</f>
        <v>1.3661393365006751E+37</v>
      </c>
      <c r="H52" s="15">
        <f t="shared" ref="H52:H81" si="9">BulgeMass+DiskMass+HaloMass</f>
        <v>2.3615640430332133E+37</v>
      </c>
      <c r="I52" s="45">
        <v>17.04</v>
      </c>
      <c r="J52" s="45">
        <v>1</v>
      </c>
      <c r="K52" s="19">
        <f t="shared" ref="K52:K81" si="10">SQRT(TotalMass*GravitationalConstant/RadiusKm)/km</f>
        <v>23.823142068758258</v>
      </c>
      <c r="L52" s="16">
        <f t="shared" ref="L52:L81" si="11">(ObservedVelocity-ModelVelocity)^2/(VelocityError)^2</f>
        <v>46.011016324958078</v>
      </c>
      <c r="M52" s="45"/>
    </row>
    <row r="53" spans="1:29" x14ac:dyDescent="0.25">
      <c r="A53" s="45">
        <v>0.19</v>
      </c>
      <c r="B53" s="45">
        <f t="shared" ref="B53:B81" si="12">A53*1000</f>
        <v>190</v>
      </c>
      <c r="C53" s="16">
        <f t="shared" ref="C53:C81" si="13">B53/LCDMBulgeEffectiveRadius</f>
        <v>2.4804177545691905E-2</v>
      </c>
      <c r="D53" s="15">
        <f t="shared" ref="D53:D81" si="14">A53*kpc</f>
        <v>5.862787402E+18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2.8043244293133152E+37</v>
      </c>
      <c r="F53" s="15">
        <f t="shared" si="7"/>
        <v>4.7253909064235544E+36</v>
      </c>
      <c r="G53" s="15">
        <f t="shared" si="8"/>
        <v>5.9952308368686485E+37</v>
      </c>
      <c r="H53" s="15">
        <f t="shared" si="9"/>
        <v>9.2720943568243185E+37</v>
      </c>
      <c r="I53" s="45">
        <v>24.09</v>
      </c>
      <c r="J53" s="45">
        <v>1</v>
      </c>
      <c r="K53" s="19">
        <f t="shared" si="10"/>
        <v>32.488716343048488</v>
      </c>
      <c r="L53" s="16">
        <f t="shared" si="11"/>
        <v>70.538436210989758</v>
      </c>
      <c r="M53" s="45"/>
    </row>
    <row r="54" spans="1:29" x14ac:dyDescent="0.25">
      <c r="A54" s="45">
        <v>0.3</v>
      </c>
      <c r="B54" s="45">
        <f t="shared" si="12"/>
        <v>300</v>
      </c>
      <c r="C54" s="16">
        <f t="shared" si="13"/>
        <v>3.91644908616188E-2</v>
      </c>
      <c r="D54" s="15">
        <f t="shared" si="14"/>
        <v>9.25703274E+18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5.4500305875738902E+37</v>
      </c>
      <c r="F54" s="15">
        <f t="shared" si="7"/>
        <v>1.1640443958827867E+37</v>
      </c>
      <c r="G54" s="15">
        <f t="shared" si="8"/>
        <v>1.4697386118369122E+38</v>
      </c>
      <c r="H54" s="15">
        <f t="shared" si="9"/>
        <v>2.13114611018258E+38</v>
      </c>
      <c r="I54" s="45">
        <v>29.18</v>
      </c>
      <c r="J54" s="45">
        <v>1</v>
      </c>
      <c r="K54" s="19">
        <f t="shared" si="10"/>
        <v>39.198226406832525</v>
      </c>
      <c r="L54" s="16">
        <f t="shared" si="11"/>
        <v>100.36486033855653</v>
      </c>
      <c r="M54" s="45"/>
    </row>
    <row r="55" spans="1:29" x14ac:dyDescent="0.25">
      <c r="A55" s="45">
        <v>0.42</v>
      </c>
      <c r="B55" s="45">
        <f t="shared" si="12"/>
        <v>420</v>
      </c>
      <c r="C55" s="16">
        <f t="shared" si="13"/>
        <v>5.4830287206266322E-2</v>
      </c>
      <c r="D55" s="15">
        <f t="shared" si="14"/>
        <v>1.2959845836E+19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8.7563303277023511E+37</v>
      </c>
      <c r="F55" s="15">
        <f t="shared" si="7"/>
        <v>2.251946519792528E+37</v>
      </c>
      <c r="G55" s="15">
        <f t="shared" si="8"/>
        <v>2.8289556112296955E+38</v>
      </c>
      <c r="H55" s="15">
        <f t="shared" si="9"/>
        <v>3.9297832959791833E+38</v>
      </c>
      <c r="I55" s="45">
        <v>35.93</v>
      </c>
      <c r="J55" s="45">
        <v>1</v>
      </c>
      <c r="K55" s="19">
        <f t="shared" si="10"/>
        <v>44.986280566217083</v>
      </c>
      <c r="L55" s="16">
        <f t="shared" si="11"/>
        <v>82.016217694041217</v>
      </c>
      <c r="M55" s="45"/>
    </row>
    <row r="56" spans="1:29" x14ac:dyDescent="0.25">
      <c r="A56" s="45">
        <v>0.56000000000000005</v>
      </c>
      <c r="B56" s="45">
        <f t="shared" si="12"/>
        <v>560</v>
      </c>
      <c r="C56" s="16">
        <f t="shared" si="13"/>
        <v>7.3107049608355096E-2</v>
      </c>
      <c r="D56" s="15">
        <f t="shared" si="14"/>
        <v>1.7279794448000002E+19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1.2896912453754568E+38</v>
      </c>
      <c r="F56" s="15">
        <f t="shared" si="7"/>
        <v>3.9430775823383168E+37</v>
      </c>
      <c r="G56" s="15">
        <f t="shared" si="8"/>
        <v>4.9254242442158944E+38</v>
      </c>
      <c r="H56" s="15">
        <f t="shared" si="9"/>
        <v>6.6094232478251827E+38</v>
      </c>
      <c r="I56" s="45">
        <v>44.22</v>
      </c>
      <c r="J56" s="45">
        <v>1</v>
      </c>
      <c r="K56" s="19">
        <f t="shared" si="10"/>
        <v>50.525218448016417</v>
      </c>
      <c r="L56" s="16">
        <f t="shared" si="11"/>
        <v>39.755779677206576</v>
      </c>
      <c r="M56" s="45"/>
    </row>
    <row r="57" spans="1:29" x14ac:dyDescent="0.25">
      <c r="A57" s="45">
        <v>0.7</v>
      </c>
      <c r="B57" s="45">
        <f t="shared" si="12"/>
        <v>700</v>
      </c>
      <c r="C57" s="16">
        <f t="shared" si="13"/>
        <v>9.1383812010443863E-2</v>
      </c>
      <c r="D57" s="15">
        <f t="shared" si="14"/>
        <v>2.1599743059999998E+19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1.7221976385879899E+38</v>
      </c>
      <c r="F57" s="15">
        <f t="shared" si="7"/>
        <v>6.0683131940218069E+37</v>
      </c>
      <c r="G57" s="15">
        <f t="shared" si="8"/>
        <v>7.5393023144851703E+38</v>
      </c>
      <c r="H57" s="15">
        <f t="shared" si="9"/>
        <v>9.8683312724753406E+38</v>
      </c>
      <c r="I57" s="45">
        <v>51.7</v>
      </c>
      <c r="J57" s="45">
        <v>1</v>
      </c>
      <c r="K57" s="19">
        <f t="shared" si="10"/>
        <v>55.219601928216228</v>
      </c>
      <c r="L57" s="16">
        <f t="shared" si="11"/>
        <v>12.387597733103371</v>
      </c>
      <c r="M57" s="45"/>
    </row>
    <row r="58" spans="1:29" x14ac:dyDescent="0.25">
      <c r="A58" s="45">
        <v>0.86</v>
      </c>
      <c r="B58" s="45">
        <f t="shared" si="12"/>
        <v>860</v>
      </c>
      <c r="C58" s="16">
        <f t="shared" si="13"/>
        <v>0.1122715404699739</v>
      </c>
      <c r="D58" s="15">
        <f t="shared" si="14"/>
        <v>2.6536827187999998E+19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2.2287019587185379E+38</v>
      </c>
      <c r="F58" s="15">
        <f t="shared" si="7"/>
        <v>9.0023562621303383E+37</v>
      </c>
      <c r="G58" s="15">
        <f t="shared" si="8"/>
        <v>1.1119230558296193E+39</v>
      </c>
      <c r="H58" s="15">
        <f t="shared" si="9"/>
        <v>1.4248168143227765E+39</v>
      </c>
      <c r="I58" s="45">
        <v>57.54</v>
      </c>
      <c r="J58" s="45">
        <v>1</v>
      </c>
      <c r="K58" s="19">
        <f t="shared" si="10"/>
        <v>59.861930960619745</v>
      </c>
      <c r="L58" s="16">
        <f t="shared" si="11"/>
        <v>5.3913633858845342</v>
      </c>
      <c r="M58" s="45"/>
    </row>
    <row r="59" spans="1:29" x14ac:dyDescent="0.25">
      <c r="A59" s="45">
        <v>1.04</v>
      </c>
      <c r="B59" s="45">
        <f t="shared" si="12"/>
        <v>1040</v>
      </c>
      <c r="C59" s="16">
        <f t="shared" si="13"/>
        <v>0.13577023498694518</v>
      </c>
      <c r="D59" s="15">
        <f t="shared" si="14"/>
        <v>3.2091046832E+19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2.8008522916689293E+38</v>
      </c>
      <c r="F59" s="15">
        <f t="shared" si="7"/>
        <v>1.2912028967380519E+38</v>
      </c>
      <c r="G59" s="15">
        <f t="shared" si="8"/>
        <v>1.5849545534814751E+39</v>
      </c>
      <c r="H59" s="15">
        <f t="shared" si="9"/>
        <v>1.9941600723221733E+39</v>
      </c>
      <c r="I59" s="45">
        <v>61.85</v>
      </c>
      <c r="J59" s="45">
        <v>1</v>
      </c>
      <c r="K59" s="19">
        <f t="shared" si="10"/>
        <v>64.399689006584808</v>
      </c>
      <c r="L59" s="16">
        <f t="shared" si="11"/>
        <v>6.5009140302994171</v>
      </c>
      <c r="M59" s="45"/>
    </row>
    <row r="60" spans="1:29" x14ac:dyDescent="0.25">
      <c r="A60" s="45">
        <v>1.23</v>
      </c>
      <c r="B60" s="45">
        <f t="shared" si="12"/>
        <v>1230</v>
      </c>
      <c r="C60" s="16">
        <f t="shared" si="13"/>
        <v>0.16057441253263707</v>
      </c>
      <c r="D60" s="15">
        <f t="shared" si="14"/>
        <v>3.7953834233999999E+19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3.4047887542276757E+38</v>
      </c>
      <c r="F60" s="15">
        <f t="shared" si="7"/>
        <v>1.7695443013011387E+38</v>
      </c>
      <c r="G60" s="15">
        <f t="shared" si="8"/>
        <v>2.1588446378901551E+39</v>
      </c>
      <c r="H60" s="15">
        <f t="shared" si="9"/>
        <v>2.6762779434430364E+39</v>
      </c>
      <c r="I60" s="45">
        <v>67.599999999999994</v>
      </c>
      <c r="J60" s="45">
        <v>1</v>
      </c>
      <c r="K60" s="19">
        <f t="shared" si="10"/>
        <v>68.601479688712857</v>
      </c>
      <c r="L60" s="16">
        <f t="shared" si="11"/>
        <v>1.0029615669044121</v>
      </c>
      <c r="M60" s="45"/>
    </row>
    <row r="61" spans="1:29" x14ac:dyDescent="0.25">
      <c r="A61" s="45">
        <v>1.45</v>
      </c>
      <c r="B61" s="45">
        <f t="shared" si="12"/>
        <v>1450</v>
      </c>
      <c r="C61" s="16">
        <f t="shared" si="13"/>
        <v>0.18929503916449086</v>
      </c>
      <c r="D61" s="15">
        <f t="shared" si="14"/>
        <v>4.4742324909999997E+19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4.1040836056114876E+38</v>
      </c>
      <c r="F61" s="15">
        <f t="shared" si="7"/>
        <v>2.4018123412855205E+38</v>
      </c>
      <c r="G61" s="15">
        <f t="shared" si="8"/>
        <v>2.9109960311662976E+39</v>
      </c>
      <c r="H61" s="15">
        <f t="shared" si="9"/>
        <v>3.5615856258559982E+39</v>
      </c>
      <c r="I61" s="45">
        <v>73.37</v>
      </c>
      <c r="J61" s="45">
        <v>1</v>
      </c>
      <c r="K61" s="19">
        <f t="shared" si="10"/>
        <v>72.888351059651555</v>
      </c>
      <c r="L61" s="16">
        <f t="shared" si="11"/>
        <v>0.23198570173878438</v>
      </c>
      <c r="M61" s="45"/>
    </row>
    <row r="62" spans="1:29" x14ac:dyDescent="0.25">
      <c r="A62" s="45">
        <v>1.68</v>
      </c>
      <c r="B62" s="45">
        <f t="shared" si="12"/>
        <v>1680</v>
      </c>
      <c r="C62" s="16">
        <f t="shared" si="13"/>
        <v>0.21932114882506529</v>
      </c>
      <c r="D62" s="15">
        <f t="shared" si="14"/>
        <v>5.1839383344E+19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4.81037460468825E+38</v>
      </c>
      <c r="F62" s="15">
        <f t="shared" si="7"/>
        <v>3.1458806613830117E+38</v>
      </c>
      <c r="G62" s="15">
        <f t="shared" si="8"/>
        <v>3.7888204234508865E+39</v>
      </c>
      <c r="H62" s="15">
        <f t="shared" si="9"/>
        <v>4.5844459500580129E+39</v>
      </c>
      <c r="I62" s="45">
        <v>78.36</v>
      </c>
      <c r="J62" s="45">
        <v>1</v>
      </c>
      <c r="K62" s="19">
        <f t="shared" si="10"/>
        <v>76.826176397072388</v>
      </c>
      <c r="L62" s="16">
        <f t="shared" si="11"/>
        <v>2.3526148448978401</v>
      </c>
      <c r="M62" s="45"/>
    </row>
    <row r="63" spans="1:29" x14ac:dyDescent="0.25">
      <c r="A63" s="45">
        <v>1.94</v>
      </c>
      <c r="B63" s="45">
        <f t="shared" si="12"/>
        <v>1940</v>
      </c>
      <c r="C63" s="16">
        <f t="shared" si="13"/>
        <v>0.25326370757180156</v>
      </c>
      <c r="D63" s="15">
        <f t="shared" si="14"/>
        <v>5.9862145052000002E+19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5.5932640062757164E+38</v>
      </c>
      <c r="F63" s="15">
        <f t="shared" si="7"/>
        <v>4.0803513533404763E+38</v>
      </c>
      <c r="G63" s="15">
        <f t="shared" si="8"/>
        <v>4.8825774066648017E+39</v>
      </c>
      <c r="H63" s="15">
        <f t="shared" si="9"/>
        <v>5.8499389426264211E+39</v>
      </c>
      <c r="I63" s="45">
        <v>82.8</v>
      </c>
      <c r="J63" s="45">
        <v>1</v>
      </c>
      <c r="K63" s="19">
        <f t="shared" si="10"/>
        <v>80.759799712509007</v>
      </c>
      <c r="L63" s="16">
        <f t="shared" si="11"/>
        <v>4.1624172130783172</v>
      </c>
      <c r="M63" s="45"/>
    </row>
    <row r="64" spans="1:29" x14ac:dyDescent="0.25">
      <c r="A64" s="45">
        <v>2.23</v>
      </c>
      <c r="B64" s="45">
        <f t="shared" si="12"/>
        <v>2230</v>
      </c>
      <c r="C64" s="16">
        <f t="shared" si="13"/>
        <v>0.29112271540469975</v>
      </c>
      <c r="D64" s="15">
        <f t="shared" si="14"/>
        <v>6.8810610034000003E+19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6.4664868003540465E+38</v>
      </c>
      <c r="F64" s="15">
        <f t="shared" si="7"/>
        <v>5.2280536766367511E+38</v>
      </c>
      <c r="G64" s="15">
        <f t="shared" si="8"/>
        <v>6.2158145385818793E+39</v>
      </c>
      <c r="H64" s="15">
        <f t="shared" si="9"/>
        <v>7.3852685862809585E+39</v>
      </c>
      <c r="I64" s="45">
        <v>86.74</v>
      </c>
      <c r="J64" s="45">
        <v>1</v>
      </c>
      <c r="K64" s="19">
        <f t="shared" si="10"/>
        <v>84.635223842639405</v>
      </c>
      <c r="L64" s="16">
        <f t="shared" si="11"/>
        <v>4.4300826725936098</v>
      </c>
      <c r="M64" s="45"/>
    </row>
    <row r="65" spans="1:13" x14ac:dyDescent="0.25">
      <c r="A65" s="45">
        <v>2.54</v>
      </c>
      <c r="B65" s="45">
        <f t="shared" si="12"/>
        <v>2540</v>
      </c>
      <c r="C65" s="16">
        <f t="shared" si="13"/>
        <v>0.33159268929503916</v>
      </c>
      <c r="D65" s="15">
        <f t="shared" si="14"/>
        <v>7.8376210532000006E+19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7.3396824014099218E+38</v>
      </c>
      <c r="F65" s="15">
        <f t="shared" si="7"/>
        <v>6.5641034054769616E+38</v>
      </c>
      <c r="G65" s="15">
        <f t="shared" si="8"/>
        <v>7.7574891951387054E+39</v>
      </c>
      <c r="H65" s="15">
        <f t="shared" si="9"/>
        <v>9.1478677758273932E+39</v>
      </c>
      <c r="I65" s="45">
        <v>90.42</v>
      </c>
      <c r="J65" s="45">
        <v>1</v>
      </c>
      <c r="K65" s="19">
        <f t="shared" si="10"/>
        <v>88.259916564090929</v>
      </c>
      <c r="L65" s="16">
        <f t="shared" si="11"/>
        <v>4.6659604500887442</v>
      </c>
      <c r="M65" s="45"/>
    </row>
    <row r="66" spans="1:13" x14ac:dyDescent="0.25">
      <c r="A66" s="45">
        <v>2.89</v>
      </c>
      <c r="B66" s="45">
        <f t="shared" si="12"/>
        <v>2890</v>
      </c>
      <c r="C66" s="16">
        <f t="shared" si="13"/>
        <v>0.37728459530026109</v>
      </c>
      <c r="D66" s="15">
        <f t="shared" si="14"/>
        <v>8.9176082061999997E+19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8.3064343393994777E+38</v>
      </c>
      <c r="F66" s="15">
        <f t="shared" si="7"/>
        <v>8.1907754258300765E+38</v>
      </c>
      <c r="G66" s="15">
        <f t="shared" si="8"/>
        <v>9.6240117800571154E+39</v>
      </c>
      <c r="H66" s="15">
        <f t="shared" si="9"/>
        <v>1.1273732756580071E+40</v>
      </c>
      <c r="I66" s="45">
        <v>94</v>
      </c>
      <c r="J66" s="45">
        <v>1</v>
      </c>
      <c r="K66" s="19">
        <f t="shared" si="10"/>
        <v>91.855544940190526</v>
      </c>
      <c r="L66" s="16">
        <f t="shared" si="11"/>
        <v>4.598687503542453</v>
      </c>
      <c r="M66" s="45"/>
    </row>
    <row r="67" spans="1:13" x14ac:dyDescent="0.25">
      <c r="A67" s="45">
        <v>3.27</v>
      </c>
      <c r="B67" s="45">
        <f t="shared" si="12"/>
        <v>3270</v>
      </c>
      <c r="C67" s="16">
        <f t="shared" si="13"/>
        <v>0.42689295039164493</v>
      </c>
      <c r="D67" s="15">
        <f t="shared" si="14"/>
        <v>1.0090165686599999E+20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9.3057996233107057E+38</v>
      </c>
      <c r="F67" s="15">
        <f t="shared" si="7"/>
        <v>1.0077941594665497E+39</v>
      </c>
      <c r="G67" s="15">
        <f t="shared" si="8"/>
        <v>1.1780367713357591E+40</v>
      </c>
      <c r="H67" s="15">
        <f t="shared" si="9"/>
        <v>1.371874183515521E+40</v>
      </c>
      <c r="I67" s="45">
        <v>96.17</v>
      </c>
      <c r="J67" s="45">
        <v>1</v>
      </c>
      <c r="K67" s="19">
        <f t="shared" si="10"/>
        <v>95.258490870714525</v>
      </c>
      <c r="L67" s="16">
        <f t="shared" si="11"/>
        <v>0.83084889277076868</v>
      </c>
      <c r="M67" s="45"/>
    </row>
    <row r="68" spans="1:13" x14ac:dyDescent="0.25">
      <c r="A68" s="45">
        <v>3.69</v>
      </c>
      <c r="B68" s="45">
        <f t="shared" si="12"/>
        <v>3690</v>
      </c>
      <c r="C68" s="16">
        <f t="shared" si="13"/>
        <v>0.48172323759791125</v>
      </c>
      <c r="D68" s="15">
        <f t="shared" si="14"/>
        <v>1.13861502702E+20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1.0363448237827675E+39</v>
      </c>
      <c r="F68" s="15">
        <f t="shared" si="7"/>
        <v>1.2285026315764101E+39</v>
      </c>
      <c r="G68" s="15">
        <f t="shared" si="8"/>
        <v>1.429643042448729E+40</v>
      </c>
      <c r="H68" s="15">
        <f t="shared" si="9"/>
        <v>1.6561277879846467E+40</v>
      </c>
      <c r="I68" s="45">
        <v>97.75</v>
      </c>
      <c r="J68" s="45">
        <v>1</v>
      </c>
      <c r="K68" s="19">
        <f t="shared" si="10"/>
        <v>98.52675298633801</v>
      </c>
      <c r="L68" s="16">
        <f t="shared" si="11"/>
        <v>0.60334520178501749</v>
      </c>
      <c r="M68" s="45"/>
    </row>
    <row r="69" spans="1:13" x14ac:dyDescent="0.25">
      <c r="A69" s="45">
        <v>4.1500000000000004</v>
      </c>
      <c r="B69" s="45">
        <f t="shared" si="12"/>
        <v>4150</v>
      </c>
      <c r="C69" s="16">
        <f t="shared" si="13"/>
        <v>0.54177545691906004</v>
      </c>
      <c r="D69" s="15">
        <f t="shared" si="14"/>
        <v>1.2805561957E+20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1.1451260541117492E+39</v>
      </c>
      <c r="F69" s="15">
        <f t="shared" si="7"/>
        <v>1.481843817626979E+39</v>
      </c>
      <c r="G69" s="15">
        <f t="shared" si="8"/>
        <v>1.7184545083796825E+40</v>
      </c>
      <c r="H69" s="15">
        <f t="shared" si="9"/>
        <v>1.9811514955535554E+40</v>
      </c>
      <c r="I69" s="45">
        <v>100.52</v>
      </c>
      <c r="J69" s="45">
        <v>1</v>
      </c>
      <c r="K69" s="19">
        <f t="shared" si="10"/>
        <v>101.61439283197069</v>
      </c>
      <c r="L69" s="16">
        <f t="shared" si="11"/>
        <v>1.197695670668836</v>
      </c>
      <c r="M69" s="45"/>
    </row>
    <row r="70" spans="1:13" x14ac:dyDescent="0.25">
      <c r="A70" s="45">
        <v>4.6500000000000004</v>
      </c>
      <c r="B70" s="45">
        <f t="shared" si="12"/>
        <v>4650</v>
      </c>
      <c r="C70" s="16">
        <f t="shared" si="13"/>
        <v>0.60704960835509136</v>
      </c>
      <c r="D70" s="15">
        <f t="shared" si="14"/>
        <v>1.4348400747000001E+20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1.2589496477472589E+39</v>
      </c>
      <c r="F70" s="15">
        <f t="shared" si="7"/>
        <v>1.7675452483585593E+39</v>
      </c>
      <c r="G70" s="15">
        <f t="shared" si="8"/>
        <v>2.0450926819283138E+40</v>
      </c>
      <c r="H70" s="15">
        <f t="shared" si="9"/>
        <v>2.3477421715388958E+40</v>
      </c>
      <c r="I70" s="45">
        <v>102.27</v>
      </c>
      <c r="J70" s="45">
        <v>1</v>
      </c>
      <c r="K70" s="19">
        <f t="shared" si="10"/>
        <v>104.50068942481454</v>
      </c>
      <c r="L70" s="16">
        <f t="shared" si="11"/>
        <v>4.975975309979435</v>
      </c>
      <c r="M70" s="45"/>
    </row>
    <row r="71" spans="1:13" x14ac:dyDescent="0.25">
      <c r="A71" s="45">
        <v>5.21</v>
      </c>
      <c r="B71" s="45">
        <f t="shared" si="12"/>
        <v>5210</v>
      </c>
      <c r="C71" s="16">
        <f t="shared" si="13"/>
        <v>0.68015665796344649</v>
      </c>
      <c r="D71" s="15">
        <f t="shared" si="14"/>
        <v>1.6076380191800001E+20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1.376615455496606E+39</v>
      </c>
      <c r="F71" s="15">
        <f t="shared" si="7"/>
        <v>2.0962314755336093E+39</v>
      </c>
      <c r="G71" s="15">
        <f t="shared" si="8"/>
        <v>2.4232810993142331E+40</v>
      </c>
      <c r="H71" s="15">
        <f t="shared" si="9"/>
        <v>2.7705657924172546E+40</v>
      </c>
      <c r="I71" s="45">
        <v>101.96</v>
      </c>
      <c r="J71" s="45">
        <v>1</v>
      </c>
      <c r="K71" s="19">
        <f t="shared" si="10"/>
        <v>107.24716080858566</v>
      </c>
      <c r="L71" s="16">
        <f t="shared" si="11"/>
        <v>27.954069415844252</v>
      </c>
      <c r="M71" s="45"/>
    </row>
    <row r="72" spans="1:13" x14ac:dyDescent="0.25">
      <c r="A72" s="45">
        <v>5.82</v>
      </c>
      <c r="B72" s="45">
        <f t="shared" si="12"/>
        <v>5820</v>
      </c>
      <c r="C72" s="16">
        <f t="shared" si="13"/>
        <v>0.75979112271540472</v>
      </c>
      <c r="D72" s="15">
        <f t="shared" si="14"/>
        <v>1.7958643515600001E+20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1.4968330656135771E+39</v>
      </c>
      <c r="F72" s="15">
        <f t="shared" si="7"/>
        <v>2.4601279900462239E+39</v>
      </c>
      <c r="G72" s="15">
        <f t="shared" si="8"/>
        <v>2.846461681106074E+40</v>
      </c>
      <c r="H72" s="15">
        <f t="shared" si="9"/>
        <v>3.2421577866720539E+40</v>
      </c>
      <c r="I72" s="45">
        <v>102.31</v>
      </c>
      <c r="J72" s="45">
        <v>1</v>
      </c>
      <c r="K72" s="19">
        <f t="shared" si="10"/>
        <v>109.76806605563712</v>
      </c>
      <c r="L72" s="16">
        <f t="shared" si="11"/>
        <v>55.62274929024661</v>
      </c>
      <c r="M72" s="45"/>
    </row>
    <row r="73" spans="1:13" x14ac:dyDescent="0.25">
      <c r="A73" s="45">
        <v>6.49</v>
      </c>
      <c r="B73" s="45">
        <f t="shared" si="12"/>
        <v>6490</v>
      </c>
      <c r="C73" s="16">
        <f t="shared" si="13"/>
        <v>0.84725848563968664</v>
      </c>
      <c r="D73" s="15">
        <f t="shared" si="14"/>
        <v>2.0026047494200001E+20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1.6204335791289812E+39</v>
      </c>
      <c r="F73" s="15">
        <f t="shared" si="7"/>
        <v>2.8617754326798553E+39</v>
      </c>
      <c r="G73" s="15">
        <f t="shared" si="8"/>
        <v>3.320897300542192E+40</v>
      </c>
      <c r="H73" s="15">
        <f t="shared" si="9"/>
        <v>3.7691182017230758E+40</v>
      </c>
      <c r="I73" s="45">
        <v>104.61</v>
      </c>
      <c r="J73" s="45">
        <v>1</v>
      </c>
      <c r="K73" s="19">
        <f t="shared" si="10"/>
        <v>112.07737788740934</v>
      </c>
      <c r="L73" s="16">
        <f t="shared" si="11"/>
        <v>55.761732513369999</v>
      </c>
      <c r="M73" s="45"/>
    </row>
    <row r="74" spans="1:13" x14ac:dyDescent="0.25">
      <c r="A74" s="45">
        <v>7.23</v>
      </c>
      <c r="B74" s="45">
        <f t="shared" si="12"/>
        <v>7230</v>
      </c>
      <c r="C74" s="16">
        <f t="shared" si="13"/>
        <v>0.94386422976501305</v>
      </c>
      <c r="D74" s="15">
        <f t="shared" si="14"/>
        <v>2.2309448903400001E+20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1.7471708877639689E+39</v>
      </c>
      <c r="F74" s="15">
        <f t="shared" si="7"/>
        <v>3.3022410491397969E+39</v>
      </c>
      <c r="G74" s="15">
        <f t="shared" si="8"/>
        <v>3.8525506961106763E+40</v>
      </c>
      <c r="H74" s="15">
        <f t="shared" si="9"/>
        <v>4.3574918898010525E+40</v>
      </c>
      <c r="I74" s="45">
        <v>106.82</v>
      </c>
      <c r="J74" s="45">
        <v>1</v>
      </c>
      <c r="K74" s="19">
        <f t="shared" si="10"/>
        <v>114.17462046850326</v>
      </c>
      <c r="L74" s="16">
        <f t="shared" si="11"/>
        <v>54.090442235727267</v>
      </c>
      <c r="M74" s="45"/>
    </row>
    <row r="75" spans="1:13" x14ac:dyDescent="0.25">
      <c r="A75" s="45">
        <v>8.0500000000000007</v>
      </c>
      <c r="B75" s="45">
        <f t="shared" si="12"/>
        <v>8050.0000000000009</v>
      </c>
      <c r="C75" s="16">
        <f t="shared" si="13"/>
        <v>1.0509138381201046</v>
      </c>
      <c r="D75" s="15">
        <f t="shared" si="14"/>
        <v>2.4839704519000002E+20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1.8767770602678851E+39</v>
      </c>
      <c r="F75" s="15">
        <f t="shared" si="7"/>
        <v>3.7805877106243895E+39</v>
      </c>
      <c r="G75" s="15">
        <f t="shared" si="8"/>
        <v>4.4467950292016081E+40</v>
      </c>
      <c r="H75" s="15">
        <f t="shared" si="9"/>
        <v>5.0125315062908357E+40</v>
      </c>
      <c r="I75" s="45">
        <v>113.68</v>
      </c>
      <c r="J75" s="45">
        <v>1</v>
      </c>
      <c r="K75" s="19">
        <f t="shared" si="10"/>
        <v>116.05157771861074</v>
      </c>
      <c r="L75" s="16">
        <f t="shared" si="11"/>
        <v>5.6243808754109104</v>
      </c>
      <c r="M75" s="45"/>
    </row>
    <row r="76" spans="1:13" x14ac:dyDescent="0.25">
      <c r="A76" s="45">
        <v>8.94</v>
      </c>
      <c r="B76" s="45">
        <f t="shared" si="12"/>
        <v>8940</v>
      </c>
      <c r="C76" s="16">
        <f t="shared" si="13"/>
        <v>1.1671018276762402</v>
      </c>
      <c r="D76" s="15">
        <f t="shared" si="14"/>
        <v>2.7585957565199997E+20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2.0062183607911225E+39</v>
      </c>
      <c r="F76" s="15">
        <f t="shared" si="7"/>
        <v>4.2824027242169353E+39</v>
      </c>
      <c r="G76" s="15">
        <f t="shared" si="8"/>
        <v>5.0936263407405536E+40</v>
      </c>
      <c r="H76" s="15">
        <f t="shared" si="9"/>
        <v>5.7224884492413591E+40</v>
      </c>
      <c r="I76" s="45">
        <v>118.36</v>
      </c>
      <c r="J76" s="45">
        <v>1</v>
      </c>
      <c r="K76" s="19">
        <f t="shared" si="10"/>
        <v>117.66414259664965</v>
      </c>
      <c r="L76" s="16">
        <f t="shared" si="11"/>
        <v>0.48421752579748512</v>
      </c>
      <c r="M76" s="45"/>
    </row>
    <row r="77" spans="1:13" x14ac:dyDescent="0.25">
      <c r="A77" s="45">
        <v>9.93</v>
      </c>
      <c r="B77" s="45">
        <f t="shared" si="12"/>
        <v>9930</v>
      </c>
      <c r="C77" s="16">
        <f t="shared" si="13"/>
        <v>1.2963446475195823</v>
      </c>
      <c r="D77" s="15">
        <f t="shared" si="14"/>
        <v>3.06407783694E+20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2.1384782523686684E+39</v>
      </c>
      <c r="F77" s="15">
        <f t="shared" si="7"/>
        <v>4.8138639290711265E+39</v>
      </c>
      <c r="G77" s="15">
        <f t="shared" si="8"/>
        <v>5.8111979796354679E+40</v>
      </c>
      <c r="H77" s="15">
        <f t="shared" si="9"/>
        <v>6.5064321977794476E+40</v>
      </c>
      <c r="I77" s="45">
        <v>118.44</v>
      </c>
      <c r="J77" s="45">
        <v>1</v>
      </c>
      <c r="K77" s="19">
        <f t="shared" si="10"/>
        <v>119.04667268362694</v>
      </c>
      <c r="L77" s="16">
        <f t="shared" si="11"/>
        <v>0.36805174505911276</v>
      </c>
      <c r="M77" s="45"/>
    </row>
    <row r="78" spans="1:13" x14ac:dyDescent="0.25">
      <c r="A78" s="45">
        <v>11.01</v>
      </c>
      <c r="B78" s="45">
        <f t="shared" si="12"/>
        <v>11010</v>
      </c>
      <c r="C78" s="16">
        <f t="shared" si="13"/>
        <v>1.4373368146214098</v>
      </c>
      <c r="D78" s="15">
        <f t="shared" si="14"/>
        <v>3.3973310155799999E+20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2.2685936656334202E+39</v>
      </c>
      <c r="F78" s="15">
        <f t="shared" si="7"/>
        <v>5.3568930948538351E+39</v>
      </c>
      <c r="G78" s="15">
        <f t="shared" si="8"/>
        <v>6.5876988834505906E+40</v>
      </c>
      <c r="H78" s="15">
        <f t="shared" si="9"/>
        <v>7.3502475594993158E+40</v>
      </c>
      <c r="I78" s="45">
        <v>118.88</v>
      </c>
      <c r="J78" s="45">
        <v>1</v>
      </c>
      <c r="K78" s="19">
        <f t="shared" si="10"/>
        <v>120.16493485084705</v>
      </c>
      <c r="L78" s="16">
        <f t="shared" si="11"/>
        <v>1.651057570921334</v>
      </c>
      <c r="M78" s="45"/>
    </row>
    <row r="79" spans="1:13" x14ac:dyDescent="0.25">
      <c r="A79" s="45">
        <v>12.2</v>
      </c>
      <c r="B79" s="45">
        <f t="shared" si="12"/>
        <v>12200</v>
      </c>
      <c r="C79" s="16">
        <f t="shared" si="13"/>
        <v>1.5926892950391645</v>
      </c>
      <c r="D79" s="15">
        <f t="shared" si="14"/>
        <v>3.7645266475999999E+20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2.3996246154062668E+39</v>
      </c>
      <c r="F79" s="15">
        <f t="shared" si="7"/>
        <v>5.9075688217108043E+39</v>
      </c>
      <c r="G79" s="15">
        <f t="shared" si="8"/>
        <v>7.432013604158303E+40</v>
      </c>
      <c r="H79" s="15">
        <f t="shared" si="9"/>
        <v>8.2627329478700103E+40</v>
      </c>
      <c r="I79" s="45">
        <v>120.98</v>
      </c>
      <c r="J79" s="45">
        <v>1</v>
      </c>
      <c r="K79" s="19">
        <f t="shared" si="10"/>
        <v>121.03260324911568</v>
      </c>
      <c r="L79" s="16">
        <f t="shared" si="11"/>
        <v>2.7671018175259659E-3</v>
      </c>
      <c r="M79" s="45"/>
    </row>
    <row r="80" spans="1:13" x14ac:dyDescent="0.25">
      <c r="A80" s="45">
        <v>13.51</v>
      </c>
      <c r="B80" s="45">
        <f t="shared" si="12"/>
        <v>13510</v>
      </c>
      <c r="C80" s="16">
        <f t="shared" si="13"/>
        <v>1.7637075718015667</v>
      </c>
      <c r="D80" s="15">
        <f t="shared" si="14"/>
        <v>4.1687504105800001E+20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2.5289297223044384E+39</v>
      </c>
      <c r="F80" s="15">
        <f t="shared" si="7"/>
        <v>6.4547487943256512E+39</v>
      </c>
      <c r="G80" s="15">
        <f t="shared" si="8"/>
        <v>8.344611932283478E+40</v>
      </c>
      <c r="H80" s="15">
        <f t="shared" si="9"/>
        <v>9.2429797839464859E+40</v>
      </c>
      <c r="I80" s="45">
        <v>126.01</v>
      </c>
      <c r="J80" s="45">
        <v>1</v>
      </c>
      <c r="K80" s="19">
        <f t="shared" si="10"/>
        <v>121.64625929136328</v>
      </c>
      <c r="L80" s="16">
        <f t="shared" si="11"/>
        <v>19.042232972213355</v>
      </c>
      <c r="M80" s="45"/>
    </row>
    <row r="81" spans="1:29" x14ac:dyDescent="0.25">
      <c r="A81" s="45">
        <v>14.95</v>
      </c>
      <c r="B81" s="45">
        <f t="shared" si="12"/>
        <v>14950</v>
      </c>
      <c r="C81" s="16">
        <f t="shared" si="13"/>
        <v>1.9516971279373367</v>
      </c>
      <c r="D81" s="15">
        <f t="shared" si="14"/>
        <v>4.6130879820999996E+20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2.6568786057718013E+39</v>
      </c>
      <c r="F81" s="15">
        <f t="shared" si="7"/>
        <v>6.9863196997879501E+39</v>
      </c>
      <c r="G81" s="15">
        <f t="shared" si="8"/>
        <v>9.3248230164613109E+40</v>
      </c>
      <c r="H81" s="15">
        <f t="shared" si="9"/>
        <v>1.0289142847017286E+41</v>
      </c>
      <c r="I81" s="45">
        <v>132.01</v>
      </c>
      <c r="J81" s="45">
        <v>1</v>
      </c>
      <c r="K81" s="19">
        <f t="shared" si="10"/>
        <v>122.00831618881716</v>
      </c>
      <c r="L81" s="16">
        <f t="shared" si="11"/>
        <v>100.03367905887669</v>
      </c>
      <c r="M81" s="45"/>
    </row>
    <row r="82" spans="1:29" x14ac:dyDescent="0.25">
      <c r="A82" s="45"/>
      <c r="H82" s="15"/>
      <c r="K82" s="45"/>
      <c r="L82" s="16">
        <f>SUM(L52:L81)/(COUNT(L52:L81)-6)</f>
        <v>29.693922530348843</v>
      </c>
      <c r="M82" s="45"/>
    </row>
    <row r="83" spans="1:29" x14ac:dyDescent="0.25">
      <c r="A83" s="45"/>
      <c r="H83" s="15"/>
      <c r="K83" s="45"/>
      <c r="M83" s="45"/>
    </row>
    <row r="84" spans="1:29" x14ac:dyDescent="0.25">
      <c r="A84" s="45"/>
      <c r="I84" s="45"/>
      <c r="J84" s="45"/>
    </row>
    <row r="85" spans="1:29" x14ac:dyDescent="0.25">
      <c r="A85" s="45"/>
      <c r="I85" s="45"/>
      <c r="J85" s="45"/>
    </row>
    <row r="86" spans="1:29" x14ac:dyDescent="0.25">
      <c r="A86" s="45"/>
      <c r="I86" s="45"/>
      <c r="J86" s="45"/>
    </row>
    <row r="87" spans="1:29" x14ac:dyDescent="0.25">
      <c r="A87" s="45"/>
      <c r="I87" s="45"/>
      <c r="J87" s="45"/>
    </row>
    <row r="88" spans="1:29" x14ac:dyDescent="0.25">
      <c r="A88" s="45"/>
      <c r="I88" s="45"/>
      <c r="J88" s="45"/>
    </row>
    <row r="89" spans="1:29" x14ac:dyDescent="0.25">
      <c r="A89" s="45"/>
      <c r="I89" s="45"/>
      <c r="J89" s="45"/>
    </row>
    <row r="90" spans="1:29" x14ac:dyDescent="0.25">
      <c r="A90" s="45"/>
      <c r="I90" s="45"/>
      <c r="J90" s="45"/>
    </row>
    <row r="91" spans="1:29" s="17" customFormat="1" x14ac:dyDescent="0.25">
      <c r="A91" s="45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spans="1:29" s="17" customFormat="1" x14ac:dyDescent="0.25">
      <c r="A92" s="45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spans="1:29" s="17" customFormat="1" x14ac:dyDescent="0.25">
      <c r="A93" s="45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spans="1:29" s="17" customFormat="1" x14ac:dyDescent="0.25">
      <c r="A94" s="45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spans="1:29" s="17" customFormat="1" x14ac:dyDescent="0.25">
      <c r="A95" s="45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spans="1:29" s="17" customFormat="1" x14ac:dyDescent="0.25">
      <c r="A96" s="45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spans="1:29" s="17" customFormat="1" x14ac:dyDescent="0.25">
      <c r="A97" s="45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spans="1:29" s="17" customFormat="1" x14ac:dyDescent="0.25">
      <c r="A98" s="45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spans="1:29" s="17" customFormat="1" x14ac:dyDescent="0.25">
      <c r="A99" s="45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45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x14ac:dyDescent="0.25">
      <c r="A539" s="45"/>
    </row>
    <row r="540" spans="1:29" x14ac:dyDescent="0.25">
      <c r="N540" s="17"/>
      <c r="O540" s="38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412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9" width="10.7109375" style="16" customWidth="1"/>
    <col min="10" max="10" width="10.7109375" style="15" customWidth="1"/>
    <col min="11" max="11" width="10.7109375" style="19" customWidth="1"/>
    <col min="12" max="12" width="10.7109375" style="16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303.37132704056398</v>
      </c>
      <c r="E2" s="55"/>
      <c r="F2" s="53" t="s">
        <v>620</v>
      </c>
      <c r="G2" s="53">
        <v>31332739902</v>
      </c>
      <c r="H2" s="62"/>
      <c r="I2" s="52"/>
      <c r="K2" s="51" t="s">
        <v>1</v>
      </c>
      <c r="L2" s="63" t="s">
        <v>606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8.8445769276830296E+39</v>
      </c>
      <c r="E3" s="53"/>
      <c r="F3" s="53" t="s">
        <v>621</v>
      </c>
      <c r="G3" s="53">
        <f>H473/SolarMass</f>
        <v>17773756497.725414</v>
      </c>
      <c r="H3" s="62"/>
      <c r="I3" s="52"/>
      <c r="K3" s="51" t="s">
        <v>562</v>
      </c>
      <c r="L3" s="57">
        <v>2.8349999999999998E-3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960.72270702998503</v>
      </c>
      <c r="E4" s="55"/>
      <c r="F4" s="53" t="s">
        <v>622</v>
      </c>
      <c r="G4" s="52">
        <f>G3/G2</f>
        <v>0.56725829127349625</v>
      </c>
      <c r="H4" s="62"/>
      <c r="I4" s="52"/>
      <c r="K4" s="61" t="s">
        <v>614</v>
      </c>
      <c r="L4" s="52">
        <f>QEHModelChiSquare</f>
        <v>147.71120109700223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2298.2665132900001</v>
      </c>
      <c r="F5" s="53"/>
      <c r="G5" s="52"/>
      <c r="H5" s="62"/>
      <c r="I5" s="52"/>
      <c r="K5" s="61" t="s">
        <v>615</v>
      </c>
      <c r="L5" s="52">
        <f>LCDMModelChiSquare</f>
        <v>25.327661765033309</v>
      </c>
      <c r="M5" s="55"/>
    </row>
    <row r="6" spans="1:13" ht="20.100000000000001" customHeight="1" x14ac:dyDescent="0.25">
      <c r="D6" s="20"/>
      <c r="E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16">
        <v>0.05</v>
      </c>
      <c r="B8" s="45">
        <f t="shared" ref="B8:B71" si="0">RadiusKpc*1000</f>
        <v>50</v>
      </c>
      <c r="C8" s="16">
        <f t="shared" ref="C8:C71" si="1">IF(QESBulgeEffectiveRadius=0,0,RadiusPc/QESBulgeEffectiveRadius)</f>
        <v>0.16481452116044726</v>
      </c>
      <c r="D8" s="15">
        <f t="shared" ref="D8:D71" si="2">RadiusKpc*kpc</f>
        <v>1.54283879E+18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7.0902373672164115E+38</v>
      </c>
      <c r="F8" s="15">
        <f t="shared" ref="F8:F71" si="3">2*PI()*QESDiskSurfaceDensity*QESDiskScaleLength*(QESDiskScaleLength-EXP(-RadiusPc/QESDiskScaleLength)*(RadiusPc+QESDiskScaleLength))*SolarMass</f>
        <v>3.4682573341285835E+37</v>
      </c>
      <c r="H8" s="18">
        <f t="shared" ref="H8:H71" si="4">BulgeMass+DiskMass+HaloMass</f>
        <v>7.4370631006292699E+38</v>
      </c>
      <c r="I8" s="16">
        <v>178.68028000000001</v>
      </c>
      <c r="J8" s="45">
        <v>1</v>
      </c>
      <c r="K8" s="19">
        <f t="shared" ref="K8:K71" si="5">SQRT(TotalMass*GravitationalConstant/RadiusKm+UniverseAcceleration*RadiusKm)/km</f>
        <v>179.52113126977181</v>
      </c>
      <c r="L8" s="16">
        <f t="shared" ref="L8:L71" si="6">(ObservedVelocity-ModelVelocity)^2/(VelocityError)^2</f>
        <v>0.70703085787685482</v>
      </c>
    </row>
    <row r="9" spans="1:13" x14ac:dyDescent="0.25">
      <c r="A9" s="16">
        <v>0.1</v>
      </c>
      <c r="B9" s="45">
        <f t="shared" si="0"/>
        <v>100</v>
      </c>
      <c r="C9" s="16">
        <f t="shared" si="1"/>
        <v>0.32962904232089452</v>
      </c>
      <c r="D9" s="15">
        <f t="shared" si="2"/>
        <v>3.08567758E+18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1.4750599949979797E+39</v>
      </c>
      <c r="F9" s="15">
        <f t="shared" si="3"/>
        <v>1.3402984997523371E+38</v>
      </c>
      <c r="H9" s="18">
        <f t="shared" si="4"/>
        <v>1.6090898449732134E+39</v>
      </c>
      <c r="I9" s="16">
        <v>180.02099999999999</v>
      </c>
      <c r="J9" s="45">
        <v>1</v>
      </c>
      <c r="K9" s="19">
        <f t="shared" si="5"/>
        <v>186.85791788497639</v>
      </c>
      <c r="L9" s="16">
        <f t="shared" si="6"/>
        <v>46.743446165910186</v>
      </c>
    </row>
    <row r="10" spans="1:13" x14ac:dyDescent="0.25">
      <c r="A10" s="16">
        <v>0.15</v>
      </c>
      <c r="B10" s="45">
        <f t="shared" si="0"/>
        <v>150</v>
      </c>
      <c r="C10" s="16">
        <f t="shared" si="1"/>
        <v>0.49444356348134177</v>
      </c>
      <c r="D10" s="15">
        <f t="shared" si="2"/>
        <v>4.62851637E+18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2.1441971772842874E+39</v>
      </c>
      <c r="F10" s="15">
        <f t="shared" si="3"/>
        <v>2.9139394434500576E+38</v>
      </c>
      <c r="H10" s="18">
        <f t="shared" si="4"/>
        <v>2.4355911216292932E+39</v>
      </c>
      <c r="I10" s="16">
        <v>182.22864000000001</v>
      </c>
      <c r="J10" s="45">
        <v>1</v>
      </c>
      <c r="K10" s="19">
        <f t="shared" si="5"/>
        <v>187.85298000837392</v>
      </c>
      <c r="L10" s="16">
        <f t="shared" si="6"/>
        <v>31.633200529795392</v>
      </c>
    </row>
    <row r="11" spans="1:13" x14ac:dyDescent="0.25">
      <c r="A11" s="16">
        <v>0.2</v>
      </c>
      <c r="B11" s="45">
        <f t="shared" si="0"/>
        <v>200</v>
      </c>
      <c r="C11" s="16">
        <f t="shared" si="1"/>
        <v>0.65925808464178903</v>
      </c>
      <c r="D11" s="15">
        <f t="shared" si="2"/>
        <v>6.17135516E+18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2.7143575288029278E+39</v>
      </c>
      <c r="F11" s="15">
        <f t="shared" si="3"/>
        <v>5.0063493443514625E+38</v>
      </c>
      <c r="H11" s="18">
        <f t="shared" si="4"/>
        <v>3.2149924632380742E+39</v>
      </c>
      <c r="I11" s="16">
        <v>184.56180000000001</v>
      </c>
      <c r="J11" s="45">
        <v>1</v>
      </c>
      <c r="K11" s="19">
        <f t="shared" si="5"/>
        <v>187.06666105572808</v>
      </c>
      <c r="L11" s="16">
        <f t="shared" si="6"/>
        <v>6.2743289085031471</v>
      </c>
    </row>
    <row r="12" spans="1:13" x14ac:dyDescent="0.25">
      <c r="A12" s="16">
        <v>0.25</v>
      </c>
      <c r="B12" s="45">
        <f t="shared" si="0"/>
        <v>250</v>
      </c>
      <c r="C12" s="16">
        <f t="shared" si="1"/>
        <v>0.82407260580223629</v>
      </c>
      <c r="D12" s="15">
        <f t="shared" si="2"/>
        <v>7.71419395E+18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3.2114389185299358E+39</v>
      </c>
      <c r="F12" s="15">
        <f t="shared" si="3"/>
        <v>7.5608643813260356E+38</v>
      </c>
      <c r="H12" s="18">
        <f t="shared" si="4"/>
        <v>3.9675253566625395E+39</v>
      </c>
      <c r="I12" s="16">
        <v>186.39711</v>
      </c>
      <c r="J12" s="45">
        <v>1</v>
      </c>
      <c r="K12" s="19">
        <f t="shared" si="5"/>
        <v>186.02983351255966</v>
      </c>
      <c r="L12" s="16">
        <f t="shared" si="6"/>
        <v>0.13489201822651098</v>
      </c>
    </row>
    <row r="13" spans="1:13" x14ac:dyDescent="0.25">
      <c r="A13" s="16">
        <v>0.3</v>
      </c>
      <c r="B13" s="45">
        <f t="shared" si="0"/>
        <v>300</v>
      </c>
      <c r="C13" s="16">
        <f t="shared" si="1"/>
        <v>0.98888712696268355</v>
      </c>
      <c r="D13" s="15">
        <f t="shared" si="2"/>
        <v>9.25703274E+18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3.6454942848607406E+39</v>
      </c>
      <c r="F13" s="15">
        <f t="shared" si="3"/>
        <v>1.0525233746557367E+39</v>
      </c>
      <c r="H13" s="18">
        <f t="shared" si="4"/>
        <v>4.6980176595164772E+39</v>
      </c>
      <c r="I13" s="16">
        <v>187.53702999999999</v>
      </c>
      <c r="J13" s="45">
        <v>1</v>
      </c>
      <c r="K13" s="19">
        <f t="shared" si="5"/>
        <v>184.95689952599298</v>
      </c>
      <c r="L13" s="16">
        <f t="shared" si="6"/>
        <v>6.6570732628996208</v>
      </c>
    </row>
    <row r="14" spans="1:13" x14ac:dyDescent="0.25">
      <c r="A14" s="16">
        <v>0.35</v>
      </c>
      <c r="B14" s="45">
        <f t="shared" si="0"/>
        <v>350</v>
      </c>
      <c r="C14" s="16">
        <f t="shared" si="1"/>
        <v>1.1537016481231308</v>
      </c>
      <c r="D14" s="15">
        <f t="shared" si="2"/>
        <v>1.0799871529999999E+19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4.0256341871874137E+39</v>
      </c>
      <c r="F14" s="15">
        <f t="shared" si="3"/>
        <v>1.3851317779594861E+39</v>
      </c>
      <c r="H14" s="18">
        <f t="shared" si="4"/>
        <v>5.4107659651468997E+39</v>
      </c>
      <c r="I14" s="16">
        <v>188.07404</v>
      </c>
      <c r="J14" s="45">
        <v>1</v>
      </c>
      <c r="K14" s="19">
        <f t="shared" si="5"/>
        <v>183.93248239968869</v>
      </c>
      <c r="L14" s="16">
        <f t="shared" si="6"/>
        <v>17.152499356696307</v>
      </c>
    </row>
    <row r="15" spans="1:13" x14ac:dyDescent="0.25">
      <c r="A15" s="16">
        <v>0.4</v>
      </c>
      <c r="B15" s="45">
        <f t="shared" si="0"/>
        <v>400</v>
      </c>
      <c r="C15" s="16">
        <f t="shared" si="1"/>
        <v>1.3185161692835781</v>
      </c>
      <c r="D15" s="15">
        <f t="shared" si="2"/>
        <v>1.234271032E+19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4.3646763354739294E+39</v>
      </c>
      <c r="F15" s="15">
        <f t="shared" si="3"/>
        <v>1.7494805369044875E+39</v>
      </c>
      <c r="H15" s="18">
        <f t="shared" si="4"/>
        <v>6.1141568723784172E+39</v>
      </c>
      <c r="I15" s="16">
        <v>188.23921000000001</v>
      </c>
      <c r="J15" s="45">
        <v>1</v>
      </c>
      <c r="K15" s="19">
        <f t="shared" si="5"/>
        <v>183.06065299680498</v>
      </c>
      <c r="L15" s="16">
        <f t="shared" si="6"/>
        <v>26.817452635340377</v>
      </c>
    </row>
    <row r="16" spans="1:13" x14ac:dyDescent="0.25">
      <c r="A16" s="16">
        <v>0.45</v>
      </c>
      <c r="B16" s="45">
        <f t="shared" si="0"/>
        <v>450</v>
      </c>
      <c r="C16" s="16">
        <f t="shared" si="1"/>
        <v>1.4833306904440253</v>
      </c>
      <c r="D16" s="15">
        <f t="shared" si="2"/>
        <v>1.3885549110000001E+19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4.6666004807846068E+39</v>
      </c>
      <c r="F16" s="15">
        <f t="shared" si="3"/>
        <v>2.1414949444001013E+39</v>
      </c>
      <c r="H16" s="18">
        <f t="shared" si="4"/>
        <v>6.8080954251847078E+39</v>
      </c>
      <c r="I16" s="16">
        <v>188.14259000000001</v>
      </c>
      <c r="J16" s="45">
        <v>1</v>
      </c>
      <c r="K16" s="19">
        <f t="shared" si="5"/>
        <v>182.28938073015374</v>
      </c>
      <c r="L16" s="16">
        <f t="shared" si="6"/>
        <v>34.260058756614363</v>
      </c>
    </row>
    <row r="17" spans="1:12" x14ac:dyDescent="0.25">
      <c r="A17" s="16">
        <v>0.5</v>
      </c>
      <c r="B17" s="45">
        <f t="shared" si="0"/>
        <v>500</v>
      </c>
      <c r="C17" s="16">
        <f t="shared" si="1"/>
        <v>1.6481452116044726</v>
      </c>
      <c r="D17" s="15">
        <f t="shared" si="2"/>
        <v>1.54283879E+19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4.9371594681421591E+39</v>
      </c>
      <c r="F17" s="15">
        <f t="shared" si="3"/>
        <v>2.5574319447233564E+39</v>
      </c>
      <c r="H17" s="18">
        <f t="shared" si="4"/>
        <v>7.4945914128655152E+39</v>
      </c>
      <c r="I17" s="16">
        <v>187.81952999999999</v>
      </c>
      <c r="J17" s="45">
        <v>1</v>
      </c>
      <c r="K17" s="19">
        <f t="shared" si="5"/>
        <v>181.61235572960487</v>
      </c>
      <c r="L17" s="16">
        <f t="shared" si="6"/>
        <v>38.529012423055121</v>
      </c>
    </row>
    <row r="18" spans="1:12" x14ac:dyDescent="0.25">
      <c r="A18" s="16">
        <v>0.55000000000000004</v>
      </c>
      <c r="B18" s="45">
        <f t="shared" si="0"/>
        <v>550</v>
      </c>
      <c r="C18" s="16">
        <f t="shared" si="1"/>
        <v>1.8129597327649198</v>
      </c>
      <c r="D18" s="15">
        <f t="shared" si="2"/>
        <v>1.6971226690000001E+19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5.1824180650786571E+39</v>
      </c>
      <c r="F18" s="15">
        <f t="shared" si="3"/>
        <v>2.9938569748010223E+39</v>
      </c>
      <c r="H18" s="18">
        <f t="shared" si="4"/>
        <v>8.1762750398796794E+39</v>
      </c>
      <c r="I18" s="16">
        <v>187.33926</v>
      </c>
      <c r="J18" s="45">
        <v>1</v>
      </c>
      <c r="K18" s="19">
        <f t="shared" si="5"/>
        <v>181.0325278981598</v>
      </c>
      <c r="L18" s="16">
        <f t="shared" si="6"/>
        <v>39.774869804381666</v>
      </c>
    </row>
    <row r="19" spans="1:12" x14ac:dyDescent="0.25">
      <c r="A19" s="16">
        <v>0.6</v>
      </c>
      <c r="B19" s="45">
        <f t="shared" si="0"/>
        <v>600</v>
      </c>
      <c r="C19" s="16">
        <f t="shared" si="1"/>
        <v>1.9777742539253671</v>
      </c>
      <c r="D19" s="15">
        <f t="shared" si="2"/>
        <v>1.851406548E+19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5.4039139842252589E+39</v>
      </c>
      <c r="F19" s="15">
        <f t="shared" si="3"/>
        <v>3.4476223014446873E+39</v>
      </c>
      <c r="H19" s="18">
        <f t="shared" si="4"/>
        <v>8.8515362856699469E+39</v>
      </c>
      <c r="I19" s="16">
        <v>186.72092000000001</v>
      </c>
      <c r="J19" s="45">
        <v>1</v>
      </c>
      <c r="K19" s="19">
        <f t="shared" si="5"/>
        <v>180.50976394233348</v>
      </c>
      <c r="L19" s="16">
        <f t="shared" si="6"/>
        <v>38.578459572687613</v>
      </c>
    </row>
    <row r="20" spans="1:12" x14ac:dyDescent="0.25">
      <c r="A20" s="16">
        <v>0.65</v>
      </c>
      <c r="B20" s="45">
        <f t="shared" si="0"/>
        <v>650</v>
      </c>
      <c r="C20" s="16">
        <f t="shared" si="1"/>
        <v>2.1425887750858146</v>
      </c>
      <c r="D20" s="15">
        <f t="shared" si="2"/>
        <v>2.0056904270000001E+19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5.6055573826232253E+39</v>
      </c>
      <c r="F20" s="15">
        <f t="shared" si="3"/>
        <v>3.9158467623699821E+39</v>
      </c>
      <c r="H20" s="18">
        <f t="shared" si="4"/>
        <v>9.5214041449932074E+39</v>
      </c>
      <c r="I20" s="16">
        <v>185.98221000000001</v>
      </c>
      <c r="J20" s="45">
        <v>1</v>
      </c>
      <c r="K20" s="19">
        <f t="shared" si="5"/>
        <v>180.04043833883287</v>
      </c>
      <c r="L20" s="16">
        <f t="shared" si="6"/>
        <v>35.304650473448895</v>
      </c>
    </row>
    <row r="21" spans="1:12" x14ac:dyDescent="0.25">
      <c r="A21" s="16">
        <v>0.7</v>
      </c>
      <c r="B21" s="45">
        <f t="shared" si="0"/>
        <v>700</v>
      </c>
      <c r="C21" s="16">
        <f t="shared" si="1"/>
        <v>2.3074032962462616</v>
      </c>
      <c r="D21" s="15">
        <f t="shared" si="2"/>
        <v>2.1599743059999998E+19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5.7905074552985511E+39</v>
      </c>
      <c r="F21" s="15">
        <f t="shared" si="3"/>
        <v>4.3958968243322879E+39</v>
      </c>
      <c r="H21" s="18">
        <f t="shared" si="4"/>
        <v>1.0186404279630839E+40</v>
      </c>
      <c r="I21" s="16">
        <v>185.19346999999999</v>
      </c>
      <c r="J21" s="45">
        <v>1</v>
      </c>
      <c r="K21" s="19">
        <f t="shared" si="5"/>
        <v>179.61768912724949</v>
      </c>
      <c r="L21" s="16">
        <f t="shared" si="6"/>
        <v>31.089332340930319</v>
      </c>
    </row>
    <row r="22" spans="1:12" x14ac:dyDescent="0.25">
      <c r="A22" s="16">
        <v>0.75</v>
      </c>
      <c r="B22" s="45">
        <f t="shared" si="0"/>
        <v>750</v>
      </c>
      <c r="C22" s="16">
        <f t="shared" si="1"/>
        <v>2.4722178174067091</v>
      </c>
      <c r="D22" s="15">
        <f t="shared" si="2"/>
        <v>2.3142581849999999E+19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5.9591226893842251E+39</v>
      </c>
      <c r="F22" s="15">
        <f t="shared" si="3"/>
        <v>4.8853688768912131E+39</v>
      </c>
      <c r="H22" s="18">
        <f t="shared" si="4"/>
        <v>1.0844491566275439E+40</v>
      </c>
      <c r="I22" s="16">
        <v>184.40735000000001</v>
      </c>
      <c r="J22" s="45">
        <v>1</v>
      </c>
      <c r="K22" s="19">
        <f t="shared" si="5"/>
        <v>179.21581218116606</v>
      </c>
      <c r="L22" s="16">
        <f t="shared" si="6"/>
        <v>26.952064924383169</v>
      </c>
    </row>
    <row r="23" spans="1:12" x14ac:dyDescent="0.25">
      <c r="A23" s="16">
        <v>0.8</v>
      </c>
      <c r="B23" s="45">
        <f t="shared" si="0"/>
        <v>800</v>
      </c>
      <c r="C23" s="16">
        <f t="shared" si="1"/>
        <v>2.6370323385671561</v>
      </c>
      <c r="D23" s="15">
        <f t="shared" si="2"/>
        <v>2.468542064E+19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6.1144549057122947E+39</v>
      </c>
      <c r="F23" s="15">
        <f t="shared" si="3"/>
        <v>5.3820726851937499E+39</v>
      </c>
      <c r="H23" s="18">
        <f t="shared" si="4"/>
        <v>1.1496527590906045E+40</v>
      </c>
      <c r="I23" s="16">
        <v>183.61879999999999</v>
      </c>
      <c r="J23" s="45">
        <v>1</v>
      </c>
      <c r="K23" s="19">
        <f t="shared" si="5"/>
        <v>178.83735195484491</v>
      </c>
      <c r="L23" s="16">
        <f t="shared" si="6"/>
        <v>22.86224540851741</v>
      </c>
    </row>
    <row r="24" spans="1:12" x14ac:dyDescent="0.25">
      <c r="A24" s="16">
        <v>0.85</v>
      </c>
      <c r="B24" s="45">
        <f t="shared" si="0"/>
        <v>850</v>
      </c>
      <c r="C24" s="16">
        <f t="shared" si="1"/>
        <v>2.8018468597276036</v>
      </c>
      <c r="D24" s="15">
        <f t="shared" si="2"/>
        <v>2.6228259430000001E+19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6.2581614108009165E+39</v>
      </c>
      <c r="F24" s="15">
        <f t="shared" si="3"/>
        <v>5.8840159297585475E+39</v>
      </c>
      <c r="H24" s="18">
        <f t="shared" si="4"/>
        <v>1.2142177340559464E+40</v>
      </c>
      <c r="I24" s="16">
        <v>182.77207999999999</v>
      </c>
      <c r="J24" s="45">
        <v>1</v>
      </c>
      <c r="K24" s="19">
        <f t="shared" si="5"/>
        <v>178.47576916095173</v>
      </c>
      <c r="L24" s="16">
        <f t="shared" si="6"/>
        <v>18.458286825723565</v>
      </c>
    </row>
    <row r="25" spans="1:12" x14ac:dyDescent="0.25">
      <c r="A25" s="16">
        <v>0.9</v>
      </c>
      <c r="B25" s="45">
        <f t="shared" si="0"/>
        <v>900</v>
      </c>
      <c r="C25" s="16">
        <f t="shared" si="1"/>
        <v>2.9666613808880506</v>
      </c>
      <c r="D25" s="15">
        <f t="shared" si="2"/>
        <v>2.7771098220000002E+19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6.3902321934571815E+39</v>
      </c>
      <c r="F25" s="15">
        <f t="shared" si="3"/>
        <v>6.3893897655673446E+39</v>
      </c>
      <c r="H25" s="18">
        <f t="shared" si="4"/>
        <v>1.2779621959024527E+40</v>
      </c>
      <c r="I25" s="16">
        <v>181.79254</v>
      </c>
      <c r="J25" s="45">
        <v>1</v>
      </c>
      <c r="K25" s="19">
        <f t="shared" si="5"/>
        <v>178.11594419986707</v>
      </c>
      <c r="L25" s="16">
        <f t="shared" si="6"/>
        <v>13.517356677555096</v>
      </c>
    </row>
    <row r="26" spans="1:12" x14ac:dyDescent="0.25">
      <c r="A26" s="16">
        <v>0.95</v>
      </c>
      <c r="B26" s="45">
        <f t="shared" si="0"/>
        <v>950</v>
      </c>
      <c r="C26" s="16">
        <f t="shared" si="1"/>
        <v>3.1314759020484981</v>
      </c>
      <c r="D26" s="15">
        <f t="shared" si="2"/>
        <v>2.9313937009999999E+19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6.5129754177578975E+39</v>
      </c>
      <c r="F26" s="15">
        <f t="shared" si="3"/>
        <v>6.8965553368400153E+39</v>
      </c>
      <c r="H26" s="18">
        <f t="shared" si="4"/>
        <v>1.3409530754597912E+40</v>
      </c>
      <c r="I26" s="16">
        <v>180.59316999999999</v>
      </c>
      <c r="J26" s="45">
        <v>1</v>
      </c>
      <c r="K26" s="19">
        <f t="shared" si="5"/>
        <v>177.76177978092426</v>
      </c>
      <c r="L26" s="16">
        <f t="shared" si="6"/>
        <v>8.0167705726777037</v>
      </c>
    </row>
    <row r="27" spans="1:12" x14ac:dyDescent="0.25">
      <c r="A27" s="16">
        <v>1</v>
      </c>
      <c r="B27" s="45">
        <f t="shared" si="0"/>
        <v>1000</v>
      </c>
      <c r="C27" s="16">
        <f t="shared" si="1"/>
        <v>3.2962904232089452</v>
      </c>
      <c r="D27" s="15">
        <f t="shared" si="2"/>
        <v>3.08567758E+19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6.6271949123444576E+39</v>
      </c>
      <c r="F27" s="15">
        <f t="shared" si="3"/>
        <v>7.4040311877012778E+39</v>
      </c>
      <c r="H27" s="18">
        <f t="shared" si="4"/>
        <v>1.4031226100045734E+40</v>
      </c>
      <c r="I27" s="16">
        <v>179.02986000000001</v>
      </c>
      <c r="J27" s="45">
        <v>1</v>
      </c>
      <c r="K27" s="19">
        <f t="shared" si="5"/>
        <v>177.40821890468072</v>
      </c>
      <c r="L27" s="16">
        <f t="shared" si="6"/>
        <v>2.6297198420283485</v>
      </c>
    </row>
    <row r="28" spans="1:12" x14ac:dyDescent="0.25">
      <c r="A28" s="16">
        <v>1.05</v>
      </c>
      <c r="B28" s="45">
        <f t="shared" si="0"/>
        <v>1050</v>
      </c>
      <c r="C28" s="16">
        <f t="shared" si="1"/>
        <v>3.4611049443693926</v>
      </c>
      <c r="D28" s="15">
        <f t="shared" si="2"/>
        <v>3.2399614590000001E+19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6.732915600010542E+39</v>
      </c>
      <c r="F28" s="15">
        <f t="shared" si="3"/>
        <v>7.9104815125537889E+39</v>
      </c>
      <c r="H28" s="18">
        <f t="shared" si="4"/>
        <v>1.4643397112564331E+40</v>
      </c>
      <c r="I28" s="16">
        <v>177.29918000000001</v>
      </c>
      <c r="J28" s="45">
        <v>1</v>
      </c>
      <c r="K28" s="19">
        <f t="shared" si="5"/>
        <v>177.04745177193121</v>
      </c>
      <c r="L28" s="16">
        <f t="shared" si="6"/>
        <v>6.3367100806657459E-2</v>
      </c>
    </row>
    <row r="29" spans="1:12" x14ac:dyDescent="0.25">
      <c r="A29" s="16">
        <v>1.1000000000000001</v>
      </c>
      <c r="B29" s="45">
        <f t="shared" si="0"/>
        <v>1100</v>
      </c>
      <c r="C29" s="16">
        <f t="shared" si="1"/>
        <v>3.6259194655298397</v>
      </c>
      <c r="D29" s="15">
        <f t="shared" si="2"/>
        <v>3.3942453380000002E+19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6.8318357782832146E+39</v>
      </c>
      <c r="F29" s="15">
        <f t="shared" si="3"/>
        <v>8.4147051933668172E+39</v>
      </c>
      <c r="H29" s="18">
        <f t="shared" si="4"/>
        <v>1.5246540971650033E+40</v>
      </c>
      <c r="I29" s="16">
        <v>175.88016999999999</v>
      </c>
      <c r="J29" s="45">
        <v>1</v>
      </c>
      <c r="K29" s="19">
        <f t="shared" si="5"/>
        <v>176.68308905204577</v>
      </c>
      <c r="L29" s="16">
        <f t="shared" si="6"/>
        <v>0.64467900413809442</v>
      </c>
    </row>
    <row r="30" spans="1:12" x14ac:dyDescent="0.25">
      <c r="A30" s="16">
        <v>1.1499999999999999</v>
      </c>
      <c r="B30" s="45">
        <f t="shared" si="0"/>
        <v>1150</v>
      </c>
      <c r="C30" s="16">
        <f t="shared" si="1"/>
        <v>3.7907339866902872</v>
      </c>
      <c r="D30" s="15">
        <f t="shared" si="2"/>
        <v>3.5485292169999999E+19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6.9242747029821384E+39</v>
      </c>
      <c r="F30" s="15">
        <f t="shared" si="3"/>
        <v>8.9156255742846658E+39</v>
      </c>
      <c r="H30" s="18">
        <f t="shared" si="4"/>
        <v>1.5839900277266804E+40</v>
      </c>
      <c r="I30" s="16">
        <v>174.75614999999999</v>
      </c>
      <c r="J30" s="45">
        <v>1</v>
      </c>
      <c r="K30" s="19">
        <f t="shared" si="5"/>
        <v>176.31144240674672</v>
      </c>
      <c r="L30" s="16">
        <f t="shared" si="6"/>
        <v>2.4189344704840363</v>
      </c>
    </row>
    <row r="31" spans="1:12" x14ac:dyDescent="0.25">
      <c r="A31" s="16">
        <v>1.2</v>
      </c>
      <c r="B31" s="45">
        <f t="shared" si="0"/>
        <v>1200</v>
      </c>
      <c r="C31" s="16">
        <f t="shared" si="1"/>
        <v>3.9555485078507342</v>
      </c>
      <c r="D31" s="15">
        <f t="shared" si="2"/>
        <v>3.702813096E+19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7.0104636049119701E+39</v>
      </c>
      <c r="F31" s="15">
        <f t="shared" si="3"/>
        <v>9.4122809269653617E+39</v>
      </c>
      <c r="H31" s="18">
        <f t="shared" si="4"/>
        <v>1.6422744531877331E+40</v>
      </c>
      <c r="I31" s="16">
        <v>173.67637999999999</v>
      </c>
      <c r="J31" s="45">
        <v>1</v>
      </c>
      <c r="K31" s="19">
        <f t="shared" si="5"/>
        <v>175.9295418079258</v>
      </c>
      <c r="L31" s="16">
        <f t="shared" si="6"/>
        <v>5.0767381326954899</v>
      </c>
    </row>
    <row r="32" spans="1:12" x14ac:dyDescent="0.25">
      <c r="A32" s="16">
        <v>1.25</v>
      </c>
      <c r="B32" s="45">
        <f t="shared" si="0"/>
        <v>1250</v>
      </c>
      <c r="C32" s="16">
        <f t="shared" si="1"/>
        <v>4.1203630290111812</v>
      </c>
      <c r="D32" s="15">
        <f t="shared" si="2"/>
        <v>3.8570969750000001E+19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7.0915046279609473E+39</v>
      </c>
      <c r="F32" s="15">
        <f t="shared" si="3"/>
        <v>9.903815562889339E+39</v>
      </c>
      <c r="H32" s="18">
        <f t="shared" si="4"/>
        <v>1.6995320190850287E+40</v>
      </c>
      <c r="I32" s="16">
        <v>172.60448</v>
      </c>
      <c r="J32" s="45">
        <v>1</v>
      </c>
      <c r="K32" s="19">
        <f t="shared" si="5"/>
        <v>175.53967385378067</v>
      </c>
      <c r="L32" s="16">
        <f t="shared" si="6"/>
        <v>8.615362959271847</v>
      </c>
    </row>
    <row r="33" spans="1:12" x14ac:dyDescent="0.25">
      <c r="A33" s="16">
        <v>1.3</v>
      </c>
      <c r="B33" s="45">
        <f t="shared" si="0"/>
        <v>1300</v>
      </c>
      <c r="C33" s="16">
        <f t="shared" si="1"/>
        <v>4.2851775501716292</v>
      </c>
      <c r="D33" s="15">
        <f t="shared" si="2"/>
        <v>4.0113808540000002E+19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7.1674778962753087E+39</v>
      </c>
      <c r="F33" s="15">
        <f t="shared" si="3"/>
        <v>1.0389471551539881E+40</v>
      </c>
      <c r="H33" s="18">
        <f t="shared" si="4"/>
        <v>1.755694944781519E+40</v>
      </c>
      <c r="I33" s="16">
        <v>171.56795</v>
      </c>
      <c r="J33" s="45">
        <v>1</v>
      </c>
      <c r="K33" s="19">
        <f t="shared" si="5"/>
        <v>175.13939119292718</v>
      </c>
      <c r="L33" s="16">
        <f t="shared" si="6"/>
        <v>12.755192194537132</v>
      </c>
    </row>
    <row r="34" spans="1:12" x14ac:dyDescent="0.25">
      <c r="A34" s="16">
        <v>1.35</v>
      </c>
      <c r="B34" s="45">
        <f t="shared" si="0"/>
        <v>1350</v>
      </c>
      <c r="C34" s="16">
        <f t="shared" si="1"/>
        <v>4.4499920713320762</v>
      </c>
      <c r="D34" s="15">
        <f t="shared" si="2"/>
        <v>4.1656647330000003E+19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7.2387079868368737E+39</v>
      </c>
      <c r="F34" s="15">
        <f t="shared" si="3"/>
        <v>1.0868581005861559E+40</v>
      </c>
      <c r="H34" s="18">
        <f t="shared" si="4"/>
        <v>1.8107288992698431E+40</v>
      </c>
      <c r="I34" s="16">
        <v>170.57864000000001</v>
      </c>
      <c r="J34" s="45">
        <v>1</v>
      </c>
      <c r="K34" s="19">
        <f t="shared" si="5"/>
        <v>174.72811155527145</v>
      </c>
      <c r="L34" s="16">
        <f t="shared" si="6"/>
        <v>17.21811418800684</v>
      </c>
    </row>
    <row r="35" spans="1:12" x14ac:dyDescent="0.25">
      <c r="A35" s="16">
        <v>1.4</v>
      </c>
      <c r="B35" s="45">
        <f t="shared" si="0"/>
        <v>1400</v>
      </c>
      <c r="C35" s="16">
        <f t="shared" si="1"/>
        <v>4.6148065924925232</v>
      </c>
      <c r="D35" s="15">
        <f t="shared" si="2"/>
        <v>4.3199486119999996E+19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7.3060006001837558E+39</v>
      </c>
      <c r="F35" s="15">
        <f t="shared" si="3"/>
        <v>1.1340558898759152E+40</v>
      </c>
      <c r="H35" s="18">
        <f t="shared" si="4"/>
        <v>1.8646559498942909E+40</v>
      </c>
      <c r="I35" s="16">
        <v>169.60899000000001</v>
      </c>
      <c r="J35" s="45">
        <v>1</v>
      </c>
      <c r="K35" s="19">
        <f t="shared" si="5"/>
        <v>174.30781769700641</v>
      </c>
      <c r="L35" s="16">
        <f t="shared" si="6"/>
        <v>22.078981726154542</v>
      </c>
    </row>
    <row r="36" spans="1:12" x14ac:dyDescent="0.25">
      <c r="A36" s="16">
        <v>1.45</v>
      </c>
      <c r="B36" s="45">
        <f t="shared" si="0"/>
        <v>1450</v>
      </c>
      <c r="C36" s="16">
        <f t="shared" si="1"/>
        <v>4.7796211136529703</v>
      </c>
      <c r="D36" s="15">
        <f t="shared" si="2"/>
        <v>4.4742324909999997E+19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7.3692294963506436E+39</v>
      </c>
      <c r="F36" s="15">
        <f t="shared" si="3"/>
        <v>1.1804896376616138E+40</v>
      </c>
      <c r="H36" s="18">
        <f t="shared" si="4"/>
        <v>1.9174125872966783E+40</v>
      </c>
      <c r="I36" s="16">
        <v>168.77646999999999</v>
      </c>
      <c r="J36" s="45">
        <v>1</v>
      </c>
      <c r="K36" s="19">
        <f t="shared" si="5"/>
        <v>173.87655426395239</v>
      </c>
      <c r="L36" s="16">
        <f t="shared" si="6"/>
        <v>26.01085949941486</v>
      </c>
    </row>
    <row r="37" spans="1:12" x14ac:dyDescent="0.25">
      <c r="A37" s="16">
        <v>1.5</v>
      </c>
      <c r="B37" s="45">
        <f t="shared" si="0"/>
        <v>1500</v>
      </c>
      <c r="C37" s="16">
        <f t="shared" si="1"/>
        <v>4.9444356348134182</v>
      </c>
      <c r="D37" s="15">
        <f t="shared" si="2"/>
        <v>4.6285163699999998E+19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7.4288617147764603E+39</v>
      </c>
      <c r="F37" s="15">
        <f t="shared" si="3"/>
        <v>1.22611545378965E+40</v>
      </c>
      <c r="H37" s="18">
        <f t="shared" si="4"/>
        <v>1.969001625267296E+40</v>
      </c>
      <c r="I37" s="16">
        <v>167.98074</v>
      </c>
      <c r="J37" s="45">
        <v>1</v>
      </c>
      <c r="K37" s="19">
        <f t="shared" si="5"/>
        <v>173.43535432927933</v>
      </c>
      <c r="L37" s="16">
        <f t="shared" si="6"/>
        <v>29.752817481179477</v>
      </c>
    </row>
    <row r="38" spans="1:12" x14ac:dyDescent="0.25">
      <c r="A38" s="16">
        <v>1.55</v>
      </c>
      <c r="B38" s="45">
        <f t="shared" si="0"/>
        <v>1550</v>
      </c>
      <c r="C38" s="16">
        <f t="shared" si="1"/>
        <v>5.1092501559738652</v>
      </c>
      <c r="D38" s="15">
        <f t="shared" si="2"/>
        <v>4.7828002489999999E+19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7.4804328992253672E+39</v>
      </c>
      <c r="F38" s="15">
        <f t="shared" si="3"/>
        <v>1.2708958646854733E+40</v>
      </c>
      <c r="H38" s="18">
        <f t="shared" si="4"/>
        <v>2.0189391546080101E+40</v>
      </c>
      <c r="I38" s="16">
        <v>167.24827999999999</v>
      </c>
      <c r="J38" s="45">
        <v>1</v>
      </c>
      <c r="K38" s="19">
        <f t="shared" si="5"/>
        <v>172.96548287571756</v>
      </c>
      <c r="L38" s="16">
        <f t="shared" si="6"/>
        <v>32.68640872211315</v>
      </c>
    </row>
    <row r="39" spans="1:12" x14ac:dyDescent="0.25">
      <c r="A39" s="16">
        <v>1.6</v>
      </c>
      <c r="B39" s="45">
        <f t="shared" si="0"/>
        <v>1600</v>
      </c>
      <c r="C39" s="16">
        <f t="shared" si="1"/>
        <v>5.2740646771343123</v>
      </c>
      <c r="D39" s="15">
        <f t="shared" si="2"/>
        <v>4.937084128E+19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7.5287998733430763E+39</v>
      </c>
      <c r="F39" s="15">
        <f t="shared" si="3"/>
        <v>1.3147992754222956E+40</v>
      </c>
      <c r="H39" s="18">
        <f t="shared" si="4"/>
        <v>2.0676792627566031E+40</v>
      </c>
      <c r="I39" s="16">
        <v>166.59135000000001</v>
      </c>
      <c r="J39" s="45">
        <v>1</v>
      </c>
      <c r="K39" s="19">
        <f t="shared" si="5"/>
        <v>172.48709060947766</v>
      </c>
      <c r="L39" s="16">
        <f t="shared" si="6"/>
        <v>34.759757334243965</v>
      </c>
    </row>
    <row r="40" spans="1:12" x14ac:dyDescent="0.25">
      <c r="A40" s="16">
        <v>1.65</v>
      </c>
      <c r="B40" s="45">
        <f t="shared" si="0"/>
        <v>1650</v>
      </c>
      <c r="C40" s="16">
        <f t="shared" si="1"/>
        <v>5.4388791982947593</v>
      </c>
      <c r="D40" s="15">
        <f t="shared" si="2"/>
        <v>5.0913680070000001E+19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7.5771668474607853E+39</v>
      </c>
      <c r="F40" s="15">
        <f t="shared" si="3"/>
        <v>1.3577994698478319E+40</v>
      </c>
      <c r="H40" s="18">
        <f t="shared" si="4"/>
        <v>2.1155161545939104E+40</v>
      </c>
      <c r="I40" s="16">
        <v>166.01147</v>
      </c>
      <c r="J40" s="45">
        <v>1</v>
      </c>
      <c r="K40" s="19">
        <f t="shared" si="5"/>
        <v>172.01197726000044</v>
      </c>
      <c r="L40" s="16">
        <f t="shared" si="6"/>
        <v>36.006087377317897</v>
      </c>
    </row>
    <row r="41" spans="1:12" x14ac:dyDescent="0.25">
      <c r="A41" s="16">
        <v>1.7</v>
      </c>
      <c r="B41" s="45">
        <f t="shared" si="0"/>
        <v>1700</v>
      </c>
      <c r="C41" s="16">
        <f t="shared" si="1"/>
        <v>5.6036937194552072</v>
      </c>
      <c r="D41" s="15">
        <f t="shared" si="2"/>
        <v>5.2456518860000002E+19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7.6255338215784956E+39</v>
      </c>
      <c r="F41" s="15">
        <f t="shared" si="3"/>
        <v>1.3998751462924488E+40</v>
      </c>
      <c r="H41" s="18">
        <f t="shared" si="4"/>
        <v>2.1624285284502983E+40</v>
      </c>
      <c r="I41" s="16">
        <v>165.50563</v>
      </c>
      <c r="J41" s="45">
        <v>1</v>
      </c>
      <c r="K41" s="19">
        <f t="shared" si="5"/>
        <v>171.53897227172249</v>
      </c>
      <c r="L41" s="16">
        <f t="shared" si="6"/>
        <v>36.401218967753486</v>
      </c>
    </row>
    <row r="42" spans="1:12" x14ac:dyDescent="0.25">
      <c r="A42" s="16">
        <v>1.75</v>
      </c>
      <c r="B42" s="45">
        <f t="shared" si="0"/>
        <v>1750</v>
      </c>
      <c r="C42" s="16">
        <f t="shared" si="1"/>
        <v>5.7685082406156543</v>
      </c>
      <c r="D42" s="15">
        <f t="shared" si="2"/>
        <v>5.3999357650000003E+19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7.6739007956962046E+39</v>
      </c>
      <c r="F42" s="15">
        <f t="shared" si="3"/>
        <v>1.441009486535419E+40</v>
      </c>
      <c r="H42" s="18">
        <f t="shared" si="4"/>
        <v>2.2083995661050396E+40</v>
      </c>
      <c r="I42" s="16">
        <v>165.07001</v>
      </c>
      <c r="J42" s="45">
        <v>1</v>
      </c>
      <c r="K42" s="19">
        <f t="shared" si="5"/>
        <v>171.06719126145074</v>
      </c>
      <c r="L42" s="16">
        <f t="shared" si="6"/>
        <v>35.966183082695991</v>
      </c>
    </row>
    <row r="43" spans="1:12" x14ac:dyDescent="0.25">
      <c r="A43" s="16">
        <v>1.8</v>
      </c>
      <c r="B43" s="45">
        <f t="shared" si="0"/>
        <v>1800</v>
      </c>
      <c r="C43" s="16">
        <f t="shared" si="1"/>
        <v>5.9333227617761013</v>
      </c>
      <c r="D43" s="15">
        <f t="shared" si="2"/>
        <v>5.5542196440000004E+19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7.7222677698139148E+39</v>
      </c>
      <c r="F43" s="15">
        <f t="shared" si="3"/>
        <v>1.4811897558501181E+40</v>
      </c>
      <c r="H43" s="18">
        <f t="shared" si="4"/>
        <v>2.2534165328315097E+40</v>
      </c>
      <c r="I43" s="16">
        <v>164.69978</v>
      </c>
      <c r="J43" s="45">
        <v>1</v>
      </c>
      <c r="K43" s="19">
        <f t="shared" si="5"/>
        <v>170.59598431870342</v>
      </c>
      <c r="L43" s="16">
        <f t="shared" si="6"/>
        <v>34.765225367896761</v>
      </c>
    </row>
    <row r="44" spans="1:12" x14ac:dyDescent="0.25">
      <c r="A44" s="16">
        <v>1.85</v>
      </c>
      <c r="B44" s="45">
        <f t="shared" si="0"/>
        <v>1850</v>
      </c>
      <c r="C44" s="16">
        <f t="shared" si="1"/>
        <v>6.0981372829365492</v>
      </c>
      <c r="D44" s="15">
        <f t="shared" si="2"/>
        <v>5.7085035230000005E+19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7.7629270571257774E+39</v>
      </c>
      <c r="F44" s="15">
        <f t="shared" si="3"/>
        <v>1.5204069320844765E+40</v>
      </c>
      <c r="H44" s="18">
        <f t="shared" si="4"/>
        <v>2.2966996377970541E+40</v>
      </c>
      <c r="I44" s="16">
        <v>164.38835</v>
      </c>
      <c r="J44" s="45">
        <v>1</v>
      </c>
      <c r="K44" s="19">
        <f t="shared" si="5"/>
        <v>170.0984066669441</v>
      </c>
      <c r="L44" s="16">
        <f t="shared" si="6"/>
        <v>32.604747139712742</v>
      </c>
    </row>
    <row r="45" spans="1:12" x14ac:dyDescent="0.25">
      <c r="A45" s="16">
        <v>1.9</v>
      </c>
      <c r="B45" s="45">
        <f t="shared" si="0"/>
        <v>1900</v>
      </c>
      <c r="C45" s="16">
        <f t="shared" si="1"/>
        <v>6.2629518040969963</v>
      </c>
      <c r="D45" s="15">
        <f t="shared" si="2"/>
        <v>5.8627874019999998E+19</v>
      </c>
      <c r="E45" s="15">
        <f>IF($C45=0,0,FORECAST($C45, OFFSET('De Vaucouleurs Deprojection'!$F$2:$F$127, MATCH($C45, 'De Vaucouleurs Deprojection'!$A$2:$A$127,1)-1,0,2), OFFSET('De Vaucouleurs Deprojection'!$A$2:$A$127, MATCH($C45, 'De Vaucouleurs Deprojection'!$A$2:$A$127,1)-1,0,2))*QESTotalBulgeMass)</f>
        <v>7.7983495246080065E+39</v>
      </c>
      <c r="F45" s="15">
        <f t="shared" si="3"/>
        <v>1.5586553618603743E+40</v>
      </c>
      <c r="H45" s="18">
        <f t="shared" si="4"/>
        <v>2.3384903143211748E+40</v>
      </c>
      <c r="I45" s="16">
        <v>164.12798000000001</v>
      </c>
      <c r="J45" s="45">
        <v>1</v>
      </c>
      <c r="K45" s="19">
        <f t="shared" si="5"/>
        <v>169.58431490357245</v>
      </c>
      <c r="L45" s="16">
        <f t="shared" si="6"/>
        <v>29.771590579942867</v>
      </c>
    </row>
    <row r="46" spans="1:12" x14ac:dyDescent="0.25">
      <c r="A46" s="16">
        <v>1.95</v>
      </c>
      <c r="B46" s="45">
        <f t="shared" si="0"/>
        <v>1950</v>
      </c>
      <c r="C46" s="16">
        <f t="shared" si="1"/>
        <v>6.4277663252574433</v>
      </c>
      <c r="D46" s="15">
        <f t="shared" si="2"/>
        <v>6.0170712809999999E+19</v>
      </c>
      <c r="E46" s="15">
        <f>IF($C46=0,0,FORECAST($C46, OFFSET('De Vaucouleurs Deprojection'!$F$2:$F$127, MATCH($C46, 'De Vaucouleurs Deprojection'!$A$2:$A$127,1)-1,0,2), OFFSET('De Vaucouleurs Deprojection'!$A$2:$A$127, MATCH($C46, 'De Vaucouleurs Deprojection'!$A$2:$A$127,1)-1,0,2))*QESTotalBulgeMass)</f>
        <v>7.8337719920902344E+39</v>
      </c>
      <c r="F46" s="15">
        <f t="shared" si="3"/>
        <v>1.5959324420953396E+40</v>
      </c>
      <c r="H46" s="18">
        <f t="shared" si="4"/>
        <v>2.3793096413043631E+40</v>
      </c>
      <c r="I46" s="16">
        <v>163.91131999999999</v>
      </c>
      <c r="J46" s="45">
        <v>1</v>
      </c>
      <c r="K46" s="19">
        <f t="shared" si="5"/>
        <v>169.07181355707698</v>
      </c>
      <c r="L46" s="16">
        <f t="shared" si="6"/>
        <v>26.630693752633121</v>
      </c>
    </row>
    <row r="47" spans="1:12" x14ac:dyDescent="0.25">
      <c r="A47" s="16">
        <v>2</v>
      </c>
      <c r="B47" s="45">
        <f t="shared" si="0"/>
        <v>2000</v>
      </c>
      <c r="C47" s="16">
        <f t="shared" si="1"/>
        <v>6.5925808464178903</v>
      </c>
      <c r="D47" s="15">
        <f t="shared" si="2"/>
        <v>6.17135516E+19</v>
      </c>
      <c r="E47" s="15">
        <f>IF($C47=0,0,FORECAST($C47, OFFSET('De Vaucouleurs Deprojection'!$F$2:$F$127, MATCH($C47, 'De Vaucouleurs Deprojection'!$A$2:$A$127,1)-1,0,2), OFFSET('De Vaucouleurs Deprojection'!$A$2:$A$127, MATCH($C47, 'De Vaucouleurs Deprojection'!$A$2:$A$127,1)-1,0,2))*QESTotalBulgeMass)</f>
        <v>7.8691944595724636E+39</v>
      </c>
      <c r="F47" s="15">
        <f t="shared" si="3"/>
        <v>1.6322383251623981E+40</v>
      </c>
      <c r="H47" s="18">
        <f t="shared" si="4"/>
        <v>2.4191577711196447E+40</v>
      </c>
      <c r="I47" s="16">
        <v>163.73177000000001</v>
      </c>
      <c r="J47" s="45">
        <v>1</v>
      </c>
      <c r="K47" s="19">
        <f t="shared" si="5"/>
        <v>168.56068478569253</v>
      </c>
      <c r="L47" s="16">
        <f t="shared" si="6"/>
        <v>23.318418007479821</v>
      </c>
    </row>
    <row r="48" spans="1:12" x14ac:dyDescent="0.25">
      <c r="A48" s="16">
        <v>2.0499999999999998</v>
      </c>
      <c r="B48" s="45">
        <f t="shared" si="0"/>
        <v>2050</v>
      </c>
      <c r="C48" s="16">
        <f t="shared" si="1"/>
        <v>6.7573953675783383</v>
      </c>
      <c r="D48" s="15">
        <f t="shared" si="2"/>
        <v>6.3256390389999993E+19</v>
      </c>
      <c r="E48" s="15">
        <f>IF($C48=0,0,FORECAST($C48, OFFSET('De Vaucouleurs Deprojection'!$F$2:$F$127, MATCH($C48, 'De Vaucouleurs Deprojection'!$A$2:$A$127,1)-1,0,2), OFFSET('De Vaucouleurs Deprojection'!$A$2:$A$127, MATCH($C48, 'De Vaucouleurs Deprojection'!$A$2:$A$127,1)-1,0,2))*QESTotalBulgeMass)</f>
        <v>7.9046169270546915E+39</v>
      </c>
      <c r="F48" s="15">
        <f t="shared" si="3"/>
        <v>1.667575646109621E+40</v>
      </c>
      <c r="H48" s="18">
        <f t="shared" si="4"/>
        <v>2.4580373388150903E+40</v>
      </c>
      <c r="I48" s="16">
        <v>163.58249000000001</v>
      </c>
      <c r="J48" s="45">
        <v>1</v>
      </c>
      <c r="K48" s="19">
        <f t="shared" si="5"/>
        <v>168.05080873254673</v>
      </c>
      <c r="L48" s="16">
        <f t="shared" si="6"/>
        <v>19.965872295627928</v>
      </c>
    </row>
    <row r="49" spans="1:12" x14ac:dyDescent="0.25">
      <c r="A49" s="16">
        <v>2.1</v>
      </c>
      <c r="B49" s="45">
        <f t="shared" si="0"/>
        <v>2100</v>
      </c>
      <c r="C49" s="16">
        <f t="shared" si="1"/>
        <v>6.9222098887387853</v>
      </c>
      <c r="D49" s="15">
        <f t="shared" si="2"/>
        <v>6.4799229180000002E+19</v>
      </c>
      <c r="E49" s="15">
        <f>IF($C49=0,0,FORECAST($C49, OFFSET('De Vaucouleurs Deprojection'!$F$2:$F$127, MATCH($C49, 'De Vaucouleurs Deprojection'!$A$2:$A$127,1)-1,0,2), OFFSET('De Vaucouleurs Deprojection'!$A$2:$A$127, MATCH($C49, 'De Vaucouleurs Deprojection'!$A$2:$A$127,1)-1,0,2))*QESTotalBulgeMass)</f>
        <v>7.9400393945369194E+39</v>
      </c>
      <c r="F49" s="15">
        <f t="shared" si="3"/>
        <v>1.7019492704602085E+40</v>
      </c>
      <c r="H49" s="18">
        <f t="shared" si="4"/>
        <v>2.4959532099139006E+40</v>
      </c>
      <c r="I49" s="16">
        <v>163.45569</v>
      </c>
      <c r="J49" s="45">
        <v>1</v>
      </c>
      <c r="K49" s="19">
        <f t="shared" si="5"/>
        <v>167.54214525684043</v>
      </c>
      <c r="L49" s="16">
        <f t="shared" si="6"/>
        <v>16.699116566158732</v>
      </c>
    </row>
    <row r="50" spans="1:12" x14ac:dyDescent="0.25">
      <c r="A50" s="16">
        <v>2.15</v>
      </c>
      <c r="B50" s="45">
        <f t="shared" si="0"/>
        <v>2150</v>
      </c>
      <c r="C50" s="16">
        <f t="shared" si="1"/>
        <v>7.0870244098992323</v>
      </c>
      <c r="D50" s="15">
        <f t="shared" si="2"/>
        <v>6.6342067969999995E+19</v>
      </c>
      <c r="E50" s="15">
        <f>IF($C50=0,0,FORECAST($C50, OFFSET('De Vaucouleurs Deprojection'!$F$2:$F$127, MATCH($C50, 'De Vaucouleurs Deprojection'!$A$2:$A$127,1)-1,0,2), OFFSET('De Vaucouleurs Deprojection'!$A$2:$A$127, MATCH($C50, 'De Vaucouleurs Deprojection'!$A$2:$A$127,1)-1,0,2))*QESTotalBulgeMass)</f>
        <v>7.9708513944323874E+39</v>
      </c>
      <c r="F50" s="15">
        <f t="shared" si="3"/>
        <v>1.7353660612072544E+40</v>
      </c>
      <c r="H50" s="18">
        <f t="shared" si="4"/>
        <v>2.532451200650493E+40</v>
      </c>
      <c r="I50" s="16">
        <v>163.34338</v>
      </c>
      <c r="J50" s="45">
        <v>1</v>
      </c>
      <c r="K50" s="19">
        <f t="shared" si="5"/>
        <v>167.02083421576597</v>
      </c>
      <c r="L50" s="16">
        <f t="shared" si="6"/>
        <v>13.523669509054955</v>
      </c>
    </row>
    <row r="51" spans="1:12" x14ac:dyDescent="0.25">
      <c r="A51" s="16">
        <v>2.2000000000000002</v>
      </c>
      <c r="B51" s="45">
        <f t="shared" si="0"/>
        <v>2200</v>
      </c>
      <c r="C51" s="16">
        <f t="shared" si="1"/>
        <v>7.2518389310596794</v>
      </c>
      <c r="D51" s="15">
        <f t="shared" si="2"/>
        <v>6.7884906760000004E+19</v>
      </c>
      <c r="E51" s="15">
        <f>IF($C51=0,0,FORECAST($C51, OFFSET('De Vaucouleurs Deprojection'!$F$2:$F$127, MATCH($C51, 'De Vaucouleurs Deprojection'!$A$2:$A$127,1)-1,0,2), OFFSET('De Vaucouleurs Deprojection'!$A$2:$A$127, MATCH($C51, 'De Vaucouleurs Deprojection'!$A$2:$A$127,1)-1,0,2))*QESTotalBulgeMass)</f>
        <v>7.997542150794511E+39</v>
      </c>
      <c r="F51" s="15">
        <f t="shared" si="3"/>
        <v>1.7678346637049509E+40</v>
      </c>
      <c r="H51" s="18">
        <f t="shared" si="4"/>
        <v>2.567588878784402E+40</v>
      </c>
      <c r="I51" s="16">
        <v>163.23898</v>
      </c>
      <c r="J51" s="45">
        <v>1</v>
      </c>
      <c r="K51" s="19">
        <f t="shared" si="5"/>
        <v>166.48921571522533</v>
      </c>
      <c r="L51" s="16">
        <f t="shared" si="6"/>
        <v>10.56403220452631</v>
      </c>
    </row>
    <row r="52" spans="1:12" x14ac:dyDescent="0.25">
      <c r="A52" s="16">
        <v>2.25</v>
      </c>
      <c r="B52" s="45">
        <f t="shared" si="0"/>
        <v>2250</v>
      </c>
      <c r="C52" s="16">
        <f t="shared" si="1"/>
        <v>7.4166534522201273</v>
      </c>
      <c r="D52" s="15">
        <f t="shared" si="2"/>
        <v>6.9427745549999997E+19</v>
      </c>
      <c r="E52" s="15">
        <f>IF($C52=0,0,FORECAST($C52, OFFSET('De Vaucouleurs Deprojection'!$F$2:$F$127, MATCH($C52, 'De Vaucouleurs Deprojection'!$A$2:$A$127,1)-1,0,2), OFFSET('De Vaucouleurs Deprojection'!$A$2:$A$127, MATCH($C52, 'De Vaucouleurs Deprojection'!$A$2:$A$127,1)-1,0,2))*QESTotalBulgeMass)</f>
        <v>8.0242329071566357E+39</v>
      </c>
      <c r="F52" s="15">
        <f t="shared" si="3"/>
        <v>1.7993653072403281E+40</v>
      </c>
      <c r="H52" s="18">
        <f t="shared" si="4"/>
        <v>2.6017885979559914E+40</v>
      </c>
      <c r="I52" s="16">
        <v>163.13811000000001</v>
      </c>
      <c r="J52" s="45">
        <v>1</v>
      </c>
      <c r="K52" s="19">
        <f t="shared" si="5"/>
        <v>165.96000350008359</v>
      </c>
      <c r="L52" s="16">
        <f t="shared" si="6"/>
        <v>7.9630829258139331</v>
      </c>
    </row>
    <row r="53" spans="1:12" x14ac:dyDescent="0.25">
      <c r="A53" s="16">
        <v>2.2999999999999998</v>
      </c>
      <c r="B53" s="45">
        <f t="shared" si="0"/>
        <v>2300</v>
      </c>
      <c r="C53" s="16">
        <f t="shared" si="1"/>
        <v>7.5814679733805743</v>
      </c>
      <c r="D53" s="15">
        <f t="shared" si="2"/>
        <v>7.0970584339999998E+19</v>
      </c>
      <c r="E53" s="15">
        <f>IF($C53=0,0,FORECAST($C53, OFFSET('De Vaucouleurs Deprojection'!$F$2:$F$127, MATCH($C53, 'De Vaucouleurs Deprojection'!$A$2:$A$127,1)-1,0,2), OFFSET('De Vaucouleurs Deprojection'!$A$2:$A$127, MATCH($C53, 'De Vaucouleurs Deprojection'!$A$2:$A$127,1)-1,0,2))*QESTotalBulgeMass)</f>
        <v>8.0509236635187593E+39</v>
      </c>
      <c r="F53" s="15">
        <f t="shared" si="3"/>
        <v>1.8299696221468841E+40</v>
      </c>
      <c r="H53" s="18">
        <f t="shared" si="4"/>
        <v>2.6350619884987602E+40</v>
      </c>
      <c r="I53" s="16">
        <v>163.0385</v>
      </c>
      <c r="J53" s="45">
        <v>1</v>
      </c>
      <c r="K53" s="19">
        <f t="shared" si="5"/>
        <v>165.43328238021957</v>
      </c>
      <c r="L53" s="16">
        <f t="shared" si="6"/>
        <v>5.734982648610095</v>
      </c>
    </row>
    <row r="54" spans="1:12" x14ac:dyDescent="0.25">
      <c r="A54" s="16">
        <v>2.35</v>
      </c>
      <c r="B54" s="45">
        <f t="shared" si="0"/>
        <v>2350</v>
      </c>
      <c r="C54" s="16">
        <f t="shared" si="1"/>
        <v>7.7462824945410214</v>
      </c>
      <c r="D54" s="15">
        <f t="shared" si="2"/>
        <v>7.2513423129999999E+19</v>
      </c>
      <c r="E54" s="15">
        <f>IF($C54=0,0,FORECAST($C54, OFFSET('De Vaucouleurs Deprojection'!$F$2:$F$127, MATCH($C54, 'De Vaucouleurs Deprojection'!$A$2:$A$127,1)-1,0,2), OFFSET('De Vaucouleurs Deprojection'!$A$2:$A$127, MATCH($C54, 'De Vaucouleurs Deprojection'!$A$2:$A$127,1)-1,0,2))*QESTotalBulgeMass)</f>
        <v>8.0776144198808829E+39</v>
      </c>
      <c r="F54" s="15">
        <f t="shared" si="3"/>
        <v>1.8596604713941024E+40</v>
      </c>
      <c r="H54" s="18">
        <f t="shared" si="4"/>
        <v>2.6674219133821907E+40</v>
      </c>
      <c r="I54" s="16">
        <v>162.93934999999999</v>
      </c>
      <c r="J54" s="45">
        <v>1</v>
      </c>
      <c r="K54" s="19">
        <f t="shared" si="5"/>
        <v>164.90916726745073</v>
      </c>
      <c r="L54" s="16">
        <f t="shared" si="6"/>
        <v>3.880180067147085</v>
      </c>
    </row>
    <row r="55" spans="1:12" x14ac:dyDescent="0.25">
      <c r="A55" s="16">
        <v>2.4</v>
      </c>
      <c r="B55" s="45">
        <f t="shared" si="0"/>
        <v>2400</v>
      </c>
      <c r="C55" s="16">
        <f t="shared" si="1"/>
        <v>7.9110970157014684</v>
      </c>
      <c r="D55" s="15">
        <f t="shared" si="2"/>
        <v>7.405626192E+19</v>
      </c>
      <c r="E55" s="15">
        <f>IF($C55=0,0,FORECAST($C55, OFFSET('De Vaucouleurs Deprojection'!$F$2:$F$127, MATCH($C55, 'De Vaucouleurs Deprojection'!$A$2:$A$127,1)-1,0,2), OFFSET('De Vaucouleurs Deprojection'!$A$2:$A$127, MATCH($C55, 'De Vaucouleurs Deprojection'!$A$2:$A$127,1)-1,0,2))*QESTotalBulgeMass)</f>
        <v>8.1043051762430065E+39</v>
      </c>
      <c r="F55" s="15">
        <f t="shared" si="3"/>
        <v>1.8884517956549423E+40</v>
      </c>
      <c r="H55" s="18">
        <f t="shared" si="4"/>
        <v>2.6988823132792428E+40</v>
      </c>
      <c r="I55" s="16">
        <v>162.84062</v>
      </c>
      <c r="J55" s="45">
        <v>1</v>
      </c>
      <c r="K55" s="19">
        <f t="shared" si="5"/>
        <v>164.38779634909011</v>
      </c>
      <c r="L55" s="16">
        <f t="shared" si="6"/>
        <v>2.3937546551837965</v>
      </c>
    </row>
    <row r="56" spans="1:12" x14ac:dyDescent="0.25">
      <c r="A56" s="16">
        <v>2.4500000000000002</v>
      </c>
      <c r="B56" s="45">
        <f t="shared" si="0"/>
        <v>2450</v>
      </c>
      <c r="C56" s="16">
        <f t="shared" si="1"/>
        <v>8.0759115368619163</v>
      </c>
      <c r="D56" s="15">
        <f t="shared" si="2"/>
        <v>7.5599100710000001E+19</v>
      </c>
      <c r="E56" s="15">
        <f>IF($C56=0,0,FORECAST($C56, OFFSET('De Vaucouleurs Deprojection'!$F$2:$F$127, MATCH($C56, 'De Vaucouleurs Deprojection'!$A$2:$A$127,1)-1,0,2), OFFSET('De Vaucouleurs Deprojection'!$A$2:$A$127, MATCH($C56, 'De Vaucouleurs Deprojection'!$A$2:$A$127,1)-1,0,2))*QESTotalBulgeMass)</f>
        <v>8.1281626017011907E+39</v>
      </c>
      <c r="F56" s="15">
        <f t="shared" si="3"/>
        <v>1.9163584709174309E+40</v>
      </c>
      <c r="H56" s="18">
        <f t="shared" si="4"/>
        <v>2.7291747310875498E+40</v>
      </c>
      <c r="I56" s="16">
        <v>162.74297000000001</v>
      </c>
      <c r="J56" s="45">
        <v>1</v>
      </c>
      <c r="K56" s="19">
        <f t="shared" si="5"/>
        <v>163.86169307300429</v>
      </c>
      <c r="L56" s="16">
        <f t="shared" si="6"/>
        <v>1.2515413140721299</v>
      </c>
    </row>
    <row r="57" spans="1:12" x14ac:dyDescent="0.25">
      <c r="A57" s="16">
        <v>2.5</v>
      </c>
      <c r="B57" s="45">
        <f t="shared" si="0"/>
        <v>2500</v>
      </c>
      <c r="C57" s="16">
        <f t="shared" si="1"/>
        <v>8.2407260580223625</v>
      </c>
      <c r="D57" s="15">
        <f t="shared" si="2"/>
        <v>7.7141939500000002E+19</v>
      </c>
      <c r="E57" s="15">
        <f>IF($C57=0,0,FORECAST($C57, OFFSET('De Vaucouleurs Deprojection'!$F$2:$F$127, MATCH($C57, 'De Vaucouleurs Deprojection'!$A$2:$A$127,1)-1,0,2), OFFSET('De Vaucouleurs Deprojection'!$A$2:$A$127, MATCH($C57, 'De Vaucouleurs Deprojection'!$A$2:$A$127,1)-1,0,2))*QESTotalBulgeMass)</f>
        <v>8.1487018019820385E+39</v>
      </c>
      <c r="F57" s="15">
        <f t="shared" si="3"/>
        <v>1.9433961777664962E+40</v>
      </c>
      <c r="H57" s="18">
        <f t="shared" si="4"/>
        <v>2.7582663579646999E+40</v>
      </c>
      <c r="I57" s="16">
        <v>162.64788999999999</v>
      </c>
      <c r="J57" s="45">
        <v>1</v>
      </c>
      <c r="K57" s="19">
        <f t="shared" si="5"/>
        <v>163.33012777189217</v>
      </c>
      <c r="L57" s="16">
        <f t="shared" si="6"/>
        <v>0.46544837739640038</v>
      </c>
    </row>
    <row r="58" spans="1:12" x14ac:dyDescent="0.25">
      <c r="A58" s="16">
        <v>2.5499999999999998</v>
      </c>
      <c r="B58" s="45">
        <f t="shared" si="0"/>
        <v>2550</v>
      </c>
      <c r="C58" s="16">
        <f t="shared" si="1"/>
        <v>8.4055405791828104</v>
      </c>
      <c r="D58" s="15">
        <f t="shared" si="2"/>
        <v>7.8684778289999987E+19</v>
      </c>
      <c r="E58" s="15">
        <f>IF($C58=0,0,FORECAST($C58, OFFSET('De Vaucouleurs Deprojection'!$F$2:$F$127, MATCH($C58, 'De Vaucouleurs Deprojection'!$A$2:$A$127,1)-1,0,2), OFFSET('De Vaucouleurs Deprojection'!$A$2:$A$127, MATCH($C58, 'De Vaucouleurs Deprojection'!$A$2:$A$127,1)-1,0,2))*QESTotalBulgeMass)</f>
        <v>8.1692410022628851E+39</v>
      </c>
      <c r="F58" s="15">
        <f t="shared" si="3"/>
        <v>1.9695812815185809E+40</v>
      </c>
      <c r="H58" s="18">
        <f t="shared" si="4"/>
        <v>2.7865053817448693E+40</v>
      </c>
      <c r="I58" s="16">
        <v>162.55788999999999</v>
      </c>
      <c r="J58" s="45">
        <v>1</v>
      </c>
      <c r="K58" s="19">
        <f t="shared" si="5"/>
        <v>162.80233988240457</v>
      </c>
      <c r="L58" s="16">
        <f t="shared" si="6"/>
        <v>5.9755745007613416E-2</v>
      </c>
    </row>
    <row r="59" spans="1:12" x14ac:dyDescent="0.25">
      <c r="A59" s="16">
        <v>2.6</v>
      </c>
      <c r="B59" s="45">
        <f t="shared" si="0"/>
        <v>2600</v>
      </c>
      <c r="C59" s="16">
        <f t="shared" si="1"/>
        <v>8.5703551003432583</v>
      </c>
      <c r="D59" s="15">
        <f t="shared" si="2"/>
        <v>8.0227617080000004E+19</v>
      </c>
      <c r="E59" s="15">
        <f>IF($C59=0,0,FORECAST($C59, OFFSET('De Vaucouleurs Deprojection'!$F$2:$F$127, MATCH($C59, 'De Vaucouleurs Deprojection'!$A$2:$A$127,1)-1,0,2), OFFSET('De Vaucouleurs Deprojection'!$A$2:$A$127, MATCH($C59, 'De Vaucouleurs Deprojection'!$A$2:$A$127,1)-1,0,2))*QESTotalBulgeMass)</f>
        <v>8.1897802025437329E+39</v>
      </c>
      <c r="F59" s="15">
        <f t="shared" si="3"/>
        <v>1.9949307224444611E+40</v>
      </c>
      <c r="H59" s="18">
        <f t="shared" si="4"/>
        <v>2.8139087426988342E+40</v>
      </c>
      <c r="I59" s="16">
        <v>162.47601</v>
      </c>
      <c r="J59" s="45">
        <v>1</v>
      </c>
      <c r="K59" s="19">
        <f t="shared" si="5"/>
        <v>162.2784813849706</v>
      </c>
      <c r="L59" s="16">
        <f t="shared" si="6"/>
        <v>3.9017553755432206E-2</v>
      </c>
    </row>
    <row r="60" spans="1:12" x14ac:dyDescent="0.25">
      <c r="A60" s="16">
        <v>2.65</v>
      </c>
      <c r="B60" s="45">
        <f t="shared" si="0"/>
        <v>2650</v>
      </c>
      <c r="C60" s="16">
        <f t="shared" si="1"/>
        <v>8.7351696215037045</v>
      </c>
      <c r="D60" s="15">
        <f t="shared" si="2"/>
        <v>8.1770455870000005E+19</v>
      </c>
      <c r="E60" s="15">
        <f>IF($C60=0,0,FORECAST($C60, OFFSET('De Vaucouleurs Deprojection'!$F$2:$F$127, MATCH($C60, 'De Vaucouleurs Deprojection'!$A$2:$A$127,1)-1,0,2), OFFSET('De Vaucouleurs Deprojection'!$A$2:$A$127, MATCH($C60, 'De Vaucouleurs Deprojection'!$A$2:$A$127,1)-1,0,2))*QESTotalBulgeMass)</f>
        <v>8.2103194028245806E+39</v>
      </c>
      <c r="F60" s="15">
        <f t="shared" si="3"/>
        <v>2.0194619153653351E+40</v>
      </c>
      <c r="H60" s="18">
        <f t="shared" si="4"/>
        <v>2.840493855647793E+40</v>
      </c>
      <c r="I60" s="16">
        <v>162.40483</v>
      </c>
      <c r="J60" s="45">
        <v>1</v>
      </c>
      <c r="K60" s="19">
        <f t="shared" si="5"/>
        <v>161.75870920551691</v>
      </c>
      <c r="L60" s="16">
        <f t="shared" si="6"/>
        <v>0.41747208106346717</v>
      </c>
    </row>
    <row r="61" spans="1:12" x14ac:dyDescent="0.25">
      <c r="A61" s="16">
        <v>2.7</v>
      </c>
      <c r="B61" s="45">
        <f t="shared" si="0"/>
        <v>2700</v>
      </c>
      <c r="C61" s="16">
        <f t="shared" si="1"/>
        <v>8.8999841426641524</v>
      </c>
      <c r="D61" s="15">
        <f t="shared" si="2"/>
        <v>8.3313294660000006E+19</v>
      </c>
      <c r="E61" s="15">
        <f>IF($C61=0,0,FORECAST($C61, OFFSET('De Vaucouleurs Deprojection'!$F$2:$F$127, MATCH($C61, 'De Vaucouleurs Deprojection'!$A$2:$A$127,1)-1,0,2), OFFSET('De Vaucouleurs Deprojection'!$A$2:$A$127, MATCH($C61, 'De Vaucouleurs Deprojection'!$A$2:$A$127,1)-1,0,2))*QESTotalBulgeMass)</f>
        <v>8.2308586031054284E+39</v>
      </c>
      <c r="F61" s="15">
        <f t="shared" si="3"/>
        <v>2.043192657953812E+40</v>
      </c>
      <c r="H61" s="18">
        <f t="shared" si="4"/>
        <v>2.8662785182643549E+40</v>
      </c>
      <c r="I61" s="16">
        <v>162.34538000000001</v>
      </c>
      <c r="J61" s="45">
        <v>1</v>
      </c>
      <c r="K61" s="19">
        <f t="shared" si="5"/>
        <v>161.24318267646584</v>
      </c>
      <c r="L61" s="16">
        <f t="shared" si="6"/>
        <v>1.2148389400058888</v>
      </c>
    </row>
    <row r="62" spans="1:12" x14ac:dyDescent="0.25">
      <c r="A62" s="16">
        <v>2.75</v>
      </c>
      <c r="B62" s="45">
        <f t="shared" si="0"/>
        <v>2750</v>
      </c>
      <c r="C62" s="16">
        <f t="shared" si="1"/>
        <v>9.0647986638246003</v>
      </c>
      <c r="D62" s="15">
        <f t="shared" si="2"/>
        <v>8.4856133450000007E+19</v>
      </c>
      <c r="E62" s="15">
        <f>IF($C62=0,0,FORECAST($C62, OFFSET('De Vaucouleurs Deprojection'!$F$2:$F$127, MATCH($C62, 'De Vaucouleurs Deprojection'!$A$2:$A$127,1)-1,0,2), OFFSET('De Vaucouleurs Deprojection'!$A$2:$A$127, MATCH($C62, 'De Vaucouleurs Deprojection'!$A$2:$A$127,1)-1,0,2))*QESTotalBulgeMass)</f>
        <v>8.2496612595822423E+39</v>
      </c>
      <c r="F62" s="15">
        <f t="shared" si="3"/>
        <v>2.0661410471151198E+40</v>
      </c>
      <c r="H62" s="18">
        <f t="shared" si="4"/>
        <v>2.8911071730733439E+40</v>
      </c>
      <c r="I62" s="16">
        <v>162.29666</v>
      </c>
      <c r="J62" s="45">
        <v>1</v>
      </c>
      <c r="K62" s="19">
        <f t="shared" si="5"/>
        <v>160.72781261755347</v>
      </c>
      <c r="L62" s="16">
        <f t="shared" si="6"/>
        <v>2.4612821094093436</v>
      </c>
    </row>
    <row r="63" spans="1:12" x14ac:dyDescent="0.25">
      <c r="A63" s="16">
        <v>2.8</v>
      </c>
      <c r="B63" s="45">
        <f t="shared" si="0"/>
        <v>2800</v>
      </c>
      <c r="C63" s="16">
        <f t="shared" si="1"/>
        <v>9.2296131849850465</v>
      </c>
      <c r="D63" s="15">
        <f t="shared" si="2"/>
        <v>8.6398972239999992E+19</v>
      </c>
      <c r="E63" s="15">
        <f>IF($C63=0,0,FORECAST($C63, OFFSET('De Vaucouleurs Deprojection'!$F$2:$F$127, MATCH($C63, 'De Vaucouleurs Deprojection'!$A$2:$A$127,1)-1,0,2), OFFSET('De Vaucouleurs Deprojection'!$A$2:$A$127, MATCH($C63, 'De Vaucouleurs Deprojection'!$A$2:$A$127,1)-1,0,2))*QESTotalBulgeMass)</f>
        <v>8.2657835842881457E+39</v>
      </c>
      <c r="F63" s="15">
        <f t="shared" si="3"/>
        <v>2.0883254028648172E+40</v>
      </c>
      <c r="H63" s="18">
        <f t="shared" si="4"/>
        <v>2.9149037612936319E+40</v>
      </c>
      <c r="I63" s="16">
        <v>162.25615999999999</v>
      </c>
      <c r="J63" s="45">
        <v>1</v>
      </c>
      <c r="K63" s="19">
        <f t="shared" si="5"/>
        <v>160.21066964733595</v>
      </c>
      <c r="L63" s="16">
        <f t="shared" si="6"/>
        <v>4.1840307828416847</v>
      </c>
    </row>
    <row r="64" spans="1:12" x14ac:dyDescent="0.25">
      <c r="A64" s="16">
        <v>2.85</v>
      </c>
      <c r="B64" s="45">
        <f t="shared" si="0"/>
        <v>2850</v>
      </c>
      <c r="C64" s="16">
        <f t="shared" si="1"/>
        <v>9.3944277061454944</v>
      </c>
      <c r="D64" s="15">
        <f t="shared" si="2"/>
        <v>8.7941811030000009E+19</v>
      </c>
      <c r="E64" s="15">
        <f>IF($C64=0,0,FORECAST($C64, OFFSET('De Vaucouleurs Deprojection'!$F$2:$F$127, MATCH($C64, 'De Vaucouleurs Deprojection'!$A$2:$A$127,1)-1,0,2), OFFSET('De Vaucouleurs Deprojection'!$A$2:$A$127, MATCH($C64, 'De Vaucouleurs Deprojection'!$A$2:$A$127,1)-1,0,2))*QESTotalBulgeMass)</f>
        <v>8.2819059089940491E+39</v>
      </c>
      <c r="F64" s="15">
        <f t="shared" si="3"/>
        <v>2.1097641991577235E+40</v>
      </c>
      <c r="H64" s="18">
        <f t="shared" si="4"/>
        <v>2.9379547900571283E+40</v>
      </c>
      <c r="I64" s="16">
        <v>162.22092000000001</v>
      </c>
      <c r="J64" s="45">
        <v>1</v>
      </c>
      <c r="K64" s="19">
        <f t="shared" si="5"/>
        <v>159.69855046349781</v>
      </c>
      <c r="L64" s="16">
        <f t="shared" si="6"/>
        <v>6.362348078674307</v>
      </c>
    </row>
    <row r="65" spans="1:12" x14ac:dyDescent="0.25">
      <c r="A65" s="16">
        <v>2.9</v>
      </c>
      <c r="B65" s="45">
        <f t="shared" si="0"/>
        <v>2900</v>
      </c>
      <c r="C65" s="16">
        <f t="shared" si="1"/>
        <v>9.5592422273059405</v>
      </c>
      <c r="D65" s="15">
        <f t="shared" si="2"/>
        <v>8.9484649819999994E+19</v>
      </c>
      <c r="E65" s="15">
        <f>IF($C65=0,0,FORECAST($C65, OFFSET('De Vaucouleurs Deprojection'!$F$2:$F$127, MATCH($C65, 'De Vaucouleurs Deprojection'!$A$2:$A$127,1)-1,0,2), OFFSET('De Vaucouleurs Deprojection'!$A$2:$A$127, MATCH($C65, 'De Vaucouleurs Deprojection'!$A$2:$A$127,1)-1,0,2))*QESTotalBulgeMass)</f>
        <v>8.2980282336999525E+39</v>
      </c>
      <c r="F65" s="15">
        <f t="shared" si="3"/>
        <v>2.1304760011588009E+40</v>
      </c>
      <c r="H65" s="18">
        <f t="shared" si="4"/>
        <v>2.9602788245287962E+40</v>
      </c>
      <c r="I65" s="16">
        <v>162.18796</v>
      </c>
      <c r="J65" s="45">
        <v>1</v>
      </c>
      <c r="K65" s="19">
        <f t="shared" si="5"/>
        <v>159.19159088344028</v>
      </c>
      <c r="L65" s="16">
        <f t="shared" si="6"/>
        <v>8.9782278826728756</v>
      </c>
    </row>
    <row r="66" spans="1:12" x14ac:dyDescent="0.25">
      <c r="A66" s="16">
        <v>2.95</v>
      </c>
      <c r="B66" s="45">
        <f t="shared" si="0"/>
        <v>2950</v>
      </c>
      <c r="C66" s="16">
        <f t="shared" si="1"/>
        <v>9.7240567484663885</v>
      </c>
      <c r="D66" s="15">
        <f t="shared" si="2"/>
        <v>9.1027488610000011E+19</v>
      </c>
      <c r="E66" s="15">
        <f>IF($C66=0,0,FORECAST($C66, OFFSET('De Vaucouleurs Deprojection'!$F$2:$F$127, MATCH($C66, 'De Vaucouleurs Deprojection'!$A$2:$A$127,1)-1,0,2), OFFSET('De Vaucouleurs Deprojection'!$A$2:$A$127, MATCH($C66, 'De Vaucouleurs Deprojection'!$A$2:$A$127,1)-1,0,2))*QESTotalBulgeMass)</f>
        <v>8.3141505584058559E+39</v>
      </c>
      <c r="F66" s="15">
        <f t="shared" si="3"/>
        <v>2.1504794084805019E+40</v>
      </c>
      <c r="H66" s="18">
        <f t="shared" si="4"/>
        <v>2.9818944643210876E+40</v>
      </c>
      <c r="I66" s="16">
        <v>162.15446</v>
      </c>
      <c r="J66" s="45">
        <v>1</v>
      </c>
      <c r="K66" s="19">
        <f t="shared" si="5"/>
        <v>158.68992282176723</v>
      </c>
      <c r="L66" s="16">
        <f t="shared" si="6"/>
        <v>12.003017859357113</v>
      </c>
    </row>
    <row r="67" spans="1:12" x14ac:dyDescent="0.25">
      <c r="A67" s="16">
        <v>3</v>
      </c>
      <c r="B67" s="45">
        <f t="shared" si="0"/>
        <v>3000</v>
      </c>
      <c r="C67" s="16">
        <f t="shared" si="1"/>
        <v>9.8888712696268364</v>
      </c>
      <c r="D67" s="15">
        <f t="shared" si="2"/>
        <v>9.2570327399999996E+19</v>
      </c>
      <c r="E67" s="15">
        <f>IF($C67=0,0,FORECAST($C67, OFFSET('De Vaucouleurs Deprojection'!$F$2:$F$127, MATCH($C67, 'De Vaucouleurs Deprojection'!$A$2:$A$127,1)-1,0,2), OFFSET('De Vaucouleurs Deprojection'!$A$2:$A$127, MATCH($C67, 'De Vaucouleurs Deprojection'!$A$2:$A$127,1)-1,0,2))*QESTotalBulgeMass)</f>
        <v>8.3302728831117593E+39</v>
      </c>
      <c r="F67" s="15">
        <f t="shared" si="3"/>
        <v>2.16979300394276E+40</v>
      </c>
      <c r="H67" s="18">
        <f t="shared" si="4"/>
        <v>3.002820292253936E+40</v>
      </c>
      <c r="I67" s="16">
        <v>162.11714000000001</v>
      </c>
      <c r="J67" s="45">
        <v>1</v>
      </c>
      <c r="K67" s="19">
        <f t="shared" si="5"/>
        <v>158.19367344654333</v>
      </c>
      <c r="L67" s="16">
        <f t="shared" si="6"/>
        <v>15.393589796093218</v>
      </c>
    </row>
    <row r="68" spans="1:12" x14ac:dyDescent="0.25">
      <c r="A68" s="16">
        <v>3.05</v>
      </c>
      <c r="B68" s="45">
        <f t="shared" si="0"/>
        <v>3050</v>
      </c>
      <c r="C68" s="16">
        <f t="shared" si="1"/>
        <v>10.053685790787283</v>
      </c>
      <c r="D68" s="15">
        <f t="shared" si="2"/>
        <v>9.4113166189999997E+19</v>
      </c>
      <c r="E68" s="15">
        <f>IF($C68=0,0,FORECAST($C68, OFFSET('De Vaucouleurs Deprojection'!$F$2:$F$127, MATCH($C68, 'De Vaucouleurs Deprojection'!$A$2:$A$127,1)-1,0,2), OFFSET('De Vaucouleurs Deprojection'!$A$2:$A$127, MATCH($C68, 'De Vaucouleurs Deprojection'!$A$2:$A$127,1)-1,0,2))*QESTotalBulgeMass)</f>
        <v>8.3453220962968785E+39</v>
      </c>
      <c r="F68" s="15">
        <f t="shared" si="3"/>
        <v>2.1884353074414562E+40</v>
      </c>
      <c r="H68" s="18">
        <f t="shared" si="4"/>
        <v>3.022967517071144E+40</v>
      </c>
      <c r="I68" s="16">
        <v>162.07239999999999</v>
      </c>
      <c r="J68" s="45">
        <v>1</v>
      </c>
      <c r="K68" s="19">
        <f t="shared" si="5"/>
        <v>157.70055171929673</v>
      </c>
      <c r="L68" s="16">
        <f t="shared" si="6"/>
        <v>19.113057389488063</v>
      </c>
    </row>
    <row r="69" spans="1:12" x14ac:dyDescent="0.25">
      <c r="A69" s="16">
        <v>3.1</v>
      </c>
      <c r="B69" s="45">
        <f t="shared" si="0"/>
        <v>3100</v>
      </c>
      <c r="C69" s="16">
        <f t="shared" si="1"/>
        <v>10.21850031194773</v>
      </c>
      <c r="D69" s="15">
        <f t="shared" si="2"/>
        <v>9.5656004979999998E+19</v>
      </c>
      <c r="E69" s="15">
        <f>IF($C69=0,0,FORECAST($C69, OFFSET('De Vaucouleurs Deprojection'!$F$2:$F$127, MATCH($C69, 'De Vaucouleurs Deprojection'!$A$2:$A$127,1)-1,0,2), OFFSET('De Vaucouleurs Deprojection'!$A$2:$A$127, MATCH($C69, 'De Vaucouleurs Deprojection'!$A$2:$A$127,1)-1,0,2))*QESTotalBulgeMass)</f>
        <v>8.3581499857554625E+39</v>
      </c>
      <c r="F69" s="15">
        <f t="shared" si="3"/>
        <v>2.206424734539019E+40</v>
      </c>
      <c r="H69" s="18">
        <f t="shared" si="4"/>
        <v>3.0422397331145654E+40</v>
      </c>
      <c r="I69" s="16">
        <v>162.01697999999999</v>
      </c>
      <c r="J69" s="45">
        <v>1</v>
      </c>
      <c r="K69" s="19">
        <f t="shared" si="5"/>
        <v>157.20822015822191</v>
      </c>
      <c r="L69" s="16">
        <f t="shared" si="6"/>
        <v>23.124171215897583</v>
      </c>
    </row>
    <row r="70" spans="1:12" x14ac:dyDescent="0.25">
      <c r="A70" s="16">
        <v>3.15</v>
      </c>
      <c r="B70" s="45">
        <f t="shared" si="0"/>
        <v>3150</v>
      </c>
      <c r="C70" s="16">
        <f t="shared" si="1"/>
        <v>10.383314833108178</v>
      </c>
      <c r="D70" s="15">
        <f t="shared" si="2"/>
        <v>9.7198843769999999E+19</v>
      </c>
      <c r="E70" s="15">
        <f>IF($C70=0,0,FORECAST($C70, OFFSET('De Vaucouleurs Deprojection'!$F$2:$F$127, MATCH($C70, 'De Vaucouleurs Deprojection'!$A$2:$A$127,1)-1,0,2), OFFSET('De Vaucouleurs Deprojection'!$A$2:$A$127, MATCH($C70, 'De Vaucouleurs Deprojection'!$A$2:$A$127,1)-1,0,2))*QESTotalBulgeMass)</f>
        <v>8.3709778752140477E+39</v>
      </c>
      <c r="F70" s="15">
        <f t="shared" si="3"/>
        <v>2.2237795594168428E+40</v>
      </c>
      <c r="H70" s="18">
        <f t="shared" si="4"/>
        <v>3.0608773469382473E+40</v>
      </c>
      <c r="I70" s="16">
        <v>161.94883999999999</v>
      </c>
      <c r="J70" s="45">
        <v>1</v>
      </c>
      <c r="K70" s="19">
        <f t="shared" si="5"/>
        <v>156.7218411053401</v>
      </c>
      <c r="L70" s="16">
        <f t="shared" si="6"/>
        <v>27.321517444775669</v>
      </c>
    </row>
    <row r="71" spans="1:12" x14ac:dyDescent="0.25">
      <c r="A71" s="16">
        <v>3.2</v>
      </c>
      <c r="B71" s="45">
        <f t="shared" si="0"/>
        <v>3200</v>
      </c>
      <c r="C71" s="16">
        <f t="shared" si="1"/>
        <v>10.548129354268625</v>
      </c>
      <c r="D71" s="15">
        <f t="shared" si="2"/>
        <v>9.874168256E+19</v>
      </c>
      <c r="E71" s="15">
        <f>IF($C71=0,0,FORECAST($C71, OFFSET('De Vaucouleurs Deprojection'!$F$2:$F$127, MATCH($C71, 'De Vaucouleurs Deprojection'!$A$2:$A$127,1)-1,0,2), OFFSET('De Vaucouleurs Deprojection'!$A$2:$A$127, MATCH($C71, 'De Vaucouleurs Deprojection'!$A$2:$A$127,1)-1,0,2))*QESTotalBulgeMass)</f>
        <v>8.3838057646726328E+39</v>
      </c>
      <c r="F71" s="15">
        <f t="shared" si="3"/>
        <v>2.2405178818536303E+40</v>
      </c>
      <c r="H71" s="18">
        <f t="shared" si="4"/>
        <v>3.0788984583208935E+40</v>
      </c>
      <c r="I71" s="16">
        <v>161.86749</v>
      </c>
      <c r="J71" s="45">
        <v>1</v>
      </c>
      <c r="K71" s="19">
        <f t="shared" si="5"/>
        <v>156.24150905907305</v>
      </c>
      <c r="L71" s="16">
        <f t="shared" si="6"/>
        <v>31.651661547673299</v>
      </c>
    </row>
    <row r="72" spans="1:12" x14ac:dyDescent="0.25">
      <c r="A72" s="16">
        <v>3.25</v>
      </c>
      <c r="B72" s="45">
        <f t="shared" ref="B72:B135" si="7">RadiusKpc*1000</f>
        <v>3250</v>
      </c>
      <c r="C72" s="16">
        <f t="shared" ref="C72:C135" si="8">IF(QESBulgeEffectiveRadius=0,0,RadiusPc/QESBulgeEffectiveRadius)</f>
        <v>10.712943875429072</v>
      </c>
      <c r="D72" s="15">
        <f t="shared" ref="D72:D135" si="9">RadiusKpc*kpc</f>
        <v>1.0028452135E+20</v>
      </c>
      <c r="E72" s="15">
        <f>IF($C72=0,0,FORECAST($C72, OFFSET('De Vaucouleurs Deprojection'!$F$2:$F$127, MATCH($C72, 'De Vaucouleurs Deprojection'!$A$2:$A$127,1)-1,0,2), OFFSET('De Vaucouleurs Deprojection'!$A$2:$A$127, MATCH($C72, 'De Vaucouleurs Deprojection'!$A$2:$A$127,1)-1,0,2))*QESTotalBulgeMass)</f>
        <v>8.3966336541312168E+39</v>
      </c>
      <c r="F72" s="15">
        <f t="shared" ref="F72:F135" si="10">2*PI()*QESDiskSurfaceDensity*QESDiskScaleLength*(QESDiskScaleLength-EXP(-RadiusPc/QESDiskScaleLength)*(RadiusPc+QESDiskScaleLength))*SolarMass</f>
        <v>2.2566575979165908E+40</v>
      </c>
      <c r="H72" s="18">
        <f t="shared" ref="H72:H135" si="11">BulgeMass+DiskMass+HaloMass</f>
        <v>3.0963209633297126E+40</v>
      </c>
      <c r="I72" s="16">
        <v>161.77345</v>
      </c>
      <c r="J72" s="45">
        <v>1</v>
      </c>
      <c r="K72" s="19">
        <f t="shared" ref="K72:K135" si="12">SQRT(TotalMass*GravitationalConstant/RadiusKm+UniverseAcceleration*RadiusKm)/km</f>
        <v>155.76731223306885</v>
      </c>
      <c r="L72" s="16">
        <f t="shared" ref="L72:L135" si="13">(ObservedVelocity-ModelVelocity)^2/(VelocityError)^2</f>
        <v>36.073690875356661</v>
      </c>
    </row>
    <row r="73" spans="1:12" x14ac:dyDescent="0.25">
      <c r="A73" s="16">
        <v>3.3</v>
      </c>
      <c r="B73" s="45">
        <f t="shared" si="7"/>
        <v>3300</v>
      </c>
      <c r="C73" s="16">
        <f t="shared" si="8"/>
        <v>10.877758396589519</v>
      </c>
      <c r="D73" s="15">
        <f t="shared" si="9"/>
        <v>1.0182736014E+20</v>
      </c>
      <c r="E73" s="15">
        <f>IF($C73=0,0,FORECAST($C73, OFFSET('De Vaucouleurs Deprojection'!$F$2:$F$127, MATCH($C73, 'De Vaucouleurs Deprojection'!$A$2:$A$127,1)-1,0,2), OFFSET('De Vaucouleurs Deprojection'!$A$2:$A$127, MATCH($C73, 'De Vaucouleurs Deprojection'!$A$2:$A$127,1)-1,0,2))*QESTotalBulgeMass)</f>
        <v>8.4094615435898019E+39</v>
      </c>
      <c r="F73" s="15">
        <f t="shared" si="10"/>
        <v>2.272216374073852E+40</v>
      </c>
      <c r="H73" s="18">
        <f t="shared" si="11"/>
        <v>3.113162528432832E+40</v>
      </c>
      <c r="I73" s="16">
        <v>161.66747000000001</v>
      </c>
      <c r="J73" s="45">
        <v>1</v>
      </c>
      <c r="K73" s="19">
        <f t="shared" si="12"/>
        <v>155.29933239130759</v>
      </c>
      <c r="L73" s="16">
        <f t="shared" si="13"/>
        <v>40.553176603242832</v>
      </c>
    </row>
    <row r="74" spans="1:12" x14ac:dyDescent="0.25">
      <c r="A74" s="16">
        <v>3.35</v>
      </c>
      <c r="B74" s="45">
        <f t="shared" si="7"/>
        <v>3350</v>
      </c>
      <c r="C74" s="16">
        <f t="shared" si="8"/>
        <v>11.042572917749967</v>
      </c>
      <c r="D74" s="15">
        <f t="shared" si="9"/>
        <v>1.0337019893E+20</v>
      </c>
      <c r="E74" s="15">
        <f>IF($C74=0,0,FORECAST($C74, OFFSET('De Vaucouleurs Deprojection'!$F$2:$F$127, MATCH($C74, 'De Vaucouleurs Deprojection'!$A$2:$A$127,1)-1,0,2), OFFSET('De Vaucouleurs Deprojection'!$A$2:$A$127, MATCH($C74, 'De Vaucouleurs Deprojection'!$A$2:$A$127,1)-1,0,2))*QESTotalBulgeMass)</f>
        <v>8.4216530813845184E+39</v>
      </c>
      <c r="F74" s="15">
        <f t="shared" si="10"/>
        <v>2.2872116244564551E+40</v>
      </c>
      <c r="H74" s="18">
        <f t="shared" si="11"/>
        <v>3.129376932594907E+40</v>
      </c>
      <c r="I74" s="16">
        <v>161.55016000000001</v>
      </c>
      <c r="J74" s="45">
        <v>1</v>
      </c>
      <c r="K74" s="19">
        <f t="shared" si="12"/>
        <v>154.83631800383756</v>
      </c>
      <c r="L74" s="16">
        <f t="shared" si="13"/>
        <v>45.075674349434507</v>
      </c>
    </row>
    <row r="75" spans="1:12" x14ac:dyDescent="0.25">
      <c r="A75" s="16">
        <v>3.4</v>
      </c>
      <c r="B75" s="45">
        <f t="shared" si="7"/>
        <v>3400</v>
      </c>
      <c r="C75" s="16">
        <f t="shared" si="8"/>
        <v>11.207387438910414</v>
      </c>
      <c r="D75" s="15">
        <f t="shared" si="9"/>
        <v>1.0491303772E+20</v>
      </c>
      <c r="E75" s="15">
        <f>IF($C75=0,0,FORECAST($C75, OFFSET('De Vaucouleurs Deprojection'!$F$2:$F$127, MATCH($C75, 'De Vaucouleurs Deprojection'!$A$2:$A$127,1)-1,0,2), OFFSET('De Vaucouleurs Deprojection'!$A$2:$A$127, MATCH($C75, 'De Vaucouleurs Deprojection'!$A$2:$A$127,1)-1,0,2))*QESTotalBulgeMass)</f>
        <v>8.4320174329811698E+39</v>
      </c>
      <c r="F75" s="15">
        <f t="shared" si="10"/>
        <v>2.3016604910170642E+40</v>
      </c>
      <c r="H75" s="18">
        <f t="shared" si="11"/>
        <v>3.1448622343151812E+40</v>
      </c>
      <c r="I75" s="16">
        <v>161.42213000000001</v>
      </c>
      <c r="J75" s="45">
        <v>1</v>
      </c>
      <c r="K75" s="19">
        <f t="shared" si="12"/>
        <v>154.37593105850587</v>
      </c>
      <c r="L75" s="16">
        <f t="shared" si="13"/>
        <v>49.648919523113136</v>
      </c>
    </row>
    <row r="76" spans="1:12" x14ac:dyDescent="0.25">
      <c r="A76" s="16">
        <v>3.45</v>
      </c>
      <c r="B76" s="45">
        <f t="shared" si="7"/>
        <v>3450</v>
      </c>
      <c r="C76" s="16">
        <f t="shared" si="8"/>
        <v>11.372201960070861</v>
      </c>
      <c r="D76" s="15">
        <f t="shared" si="9"/>
        <v>1.0645587651000001E+20</v>
      </c>
      <c r="E76" s="15">
        <f>IF($C76=0,0,FORECAST($C76, OFFSET('De Vaucouleurs Deprojection'!$F$2:$F$127, MATCH($C76, 'De Vaucouleurs Deprojection'!$A$2:$A$127,1)-1,0,2), OFFSET('De Vaucouleurs Deprojection'!$A$2:$A$127, MATCH($C76, 'De Vaucouleurs Deprojection'!$A$2:$A$127,1)-1,0,2))*QESTotalBulgeMass)</f>
        <v>8.4423817845778223E+39</v>
      </c>
      <c r="F76" s="15">
        <f t="shared" si="10"/>
        <v>2.3155798263500628E+40</v>
      </c>
      <c r="H76" s="18">
        <f t="shared" si="11"/>
        <v>3.1598180048078453E+40</v>
      </c>
      <c r="I76" s="16">
        <v>161.28399999999999</v>
      </c>
      <c r="J76" s="45">
        <v>1</v>
      </c>
      <c r="K76" s="19">
        <f t="shared" si="12"/>
        <v>153.92208438037534</v>
      </c>
      <c r="L76" s="16">
        <f t="shared" si="13"/>
        <v>54.197801590473446</v>
      </c>
    </row>
    <row r="77" spans="1:12" x14ac:dyDescent="0.25">
      <c r="A77" s="16">
        <v>3.5</v>
      </c>
      <c r="B77" s="45">
        <f t="shared" si="7"/>
        <v>3500</v>
      </c>
      <c r="C77" s="16">
        <f t="shared" si="8"/>
        <v>11.537016481231309</v>
      </c>
      <c r="D77" s="15">
        <f t="shared" si="9"/>
        <v>1.0799871530000001E+20</v>
      </c>
      <c r="E77" s="15">
        <f>IF($C77=0,0,FORECAST($C77, OFFSET('De Vaucouleurs Deprojection'!$F$2:$F$127, MATCH($C77, 'De Vaucouleurs Deprojection'!$A$2:$A$127,1)-1,0,2), OFFSET('De Vaucouleurs Deprojection'!$A$2:$A$127, MATCH($C77, 'De Vaucouleurs Deprojection'!$A$2:$A$127,1)-1,0,2))*QESTotalBulgeMass)</f>
        <v>8.4527461361744761E+39</v>
      </c>
      <c r="F77" s="15">
        <f t="shared" si="10"/>
        <v>2.3289861789541322E+40</v>
      </c>
      <c r="H77" s="18">
        <f t="shared" si="11"/>
        <v>3.1742607925715797E+40</v>
      </c>
      <c r="I77" s="16">
        <v>161.13631000000001</v>
      </c>
      <c r="J77" s="45">
        <v>1</v>
      </c>
      <c r="K77" s="19">
        <f t="shared" si="12"/>
        <v>153.4748288638668</v>
      </c>
      <c r="L77" s="16">
        <f t="shared" si="13"/>
        <v>58.698293199324937</v>
      </c>
    </row>
    <row r="78" spans="1:12" x14ac:dyDescent="0.25">
      <c r="A78" s="16">
        <v>3.55</v>
      </c>
      <c r="B78" s="45">
        <f t="shared" si="7"/>
        <v>3550</v>
      </c>
      <c r="C78" s="16">
        <f t="shared" si="8"/>
        <v>11.701831002391756</v>
      </c>
      <c r="D78" s="15">
        <f t="shared" si="9"/>
        <v>1.0954155408999999E+20</v>
      </c>
      <c r="E78" s="15">
        <f>IF($C78=0,0,FORECAST($C78, OFFSET('De Vaucouleurs Deprojection'!$F$2:$F$127, MATCH($C78, 'De Vaucouleurs Deprojection'!$A$2:$A$127,1)-1,0,2), OFFSET('De Vaucouleurs Deprojection'!$A$2:$A$127, MATCH($C78, 'De Vaucouleurs Deprojection'!$A$2:$A$127,1)-1,0,2))*QESTotalBulgeMass)</f>
        <v>8.4631104877711274E+39</v>
      </c>
      <c r="F78" s="15">
        <f t="shared" si="10"/>
        <v>2.341895780733768E+40</v>
      </c>
      <c r="H78" s="18">
        <f t="shared" si="11"/>
        <v>3.188206829510881E+40</v>
      </c>
      <c r="I78" s="16">
        <v>160.97954999999999</v>
      </c>
      <c r="J78" s="45">
        <v>1</v>
      </c>
      <c r="K78" s="19">
        <f t="shared" si="12"/>
        <v>153.03420925151207</v>
      </c>
      <c r="L78" s="16">
        <f t="shared" si="13"/>
        <v>63.128439609582614</v>
      </c>
    </row>
    <row r="79" spans="1:12" x14ac:dyDescent="0.25">
      <c r="A79" s="16">
        <v>3.6</v>
      </c>
      <c r="B79" s="45">
        <f t="shared" si="7"/>
        <v>3600</v>
      </c>
      <c r="C79" s="16">
        <f t="shared" si="8"/>
        <v>11.866645523552203</v>
      </c>
      <c r="D79" s="15">
        <f t="shared" si="9"/>
        <v>1.1108439288000001E+20</v>
      </c>
      <c r="E79" s="15">
        <f>IF($C79=0,0,FORECAST($C79, OFFSET('De Vaucouleurs Deprojection'!$F$2:$F$127, MATCH($C79, 'De Vaucouleurs Deprojection'!$A$2:$A$127,1)-1,0,2), OFFSET('De Vaucouleurs Deprojection'!$A$2:$A$127, MATCH($C79, 'De Vaucouleurs Deprojection'!$A$2:$A$127,1)-1,0,2))*QESTotalBulgeMass)</f>
        <v>8.4734748393677799E+39</v>
      </c>
      <c r="F79" s="15">
        <f t="shared" si="10"/>
        <v>2.3543245365505411E+40</v>
      </c>
      <c r="H79" s="18">
        <f t="shared" si="11"/>
        <v>3.2016720204873191E+40</v>
      </c>
      <c r="I79" s="16">
        <v>160.81422000000001</v>
      </c>
      <c r="J79" s="45">
        <v>1</v>
      </c>
      <c r="K79" s="19">
        <f t="shared" si="12"/>
        <v>152.60026422958606</v>
      </c>
      <c r="L79" s="16">
        <f t="shared" si="13"/>
        <v>67.469069398316563</v>
      </c>
    </row>
    <row r="80" spans="1:12" x14ac:dyDescent="0.25">
      <c r="A80" s="16">
        <v>3.65</v>
      </c>
      <c r="B80" s="45">
        <f t="shared" si="7"/>
        <v>3650</v>
      </c>
      <c r="C80" s="16">
        <f t="shared" si="8"/>
        <v>12.031460044712651</v>
      </c>
      <c r="D80" s="15">
        <f t="shared" si="9"/>
        <v>1.1262723166999999E+20</v>
      </c>
      <c r="E80" s="15">
        <f>IF($C80=0,0,FORECAST($C80, OFFSET('De Vaucouleurs Deprojection'!$F$2:$F$127, MATCH($C80, 'De Vaucouleurs Deprojection'!$A$2:$A$127,1)-1,0,2), OFFSET('De Vaucouleurs Deprojection'!$A$2:$A$127, MATCH($C80, 'De Vaucouleurs Deprojection'!$A$2:$A$127,1)-1,0,2))*QESTotalBulgeMass)</f>
        <v>8.4834746824352838E+39</v>
      </c>
      <c r="F80" s="15">
        <f t="shared" si="10"/>
        <v>2.36628801564836E+40</v>
      </c>
      <c r="H80" s="18">
        <f t="shared" si="11"/>
        <v>3.2146354838918884E+40</v>
      </c>
      <c r="I80" s="16">
        <v>160.64104</v>
      </c>
      <c r="J80" s="45">
        <v>1</v>
      </c>
      <c r="K80" s="19">
        <f t="shared" si="12"/>
        <v>152.17231682558648</v>
      </c>
      <c r="L80" s="16">
        <f t="shared" si="13"/>
        <v>71.719272204848707</v>
      </c>
    </row>
    <row r="81" spans="1:12" x14ac:dyDescent="0.25">
      <c r="A81" s="16">
        <v>3.7</v>
      </c>
      <c r="B81" s="45">
        <f t="shared" si="7"/>
        <v>3700</v>
      </c>
      <c r="C81" s="16">
        <f t="shared" si="8"/>
        <v>12.196274565873098</v>
      </c>
      <c r="D81" s="15">
        <f t="shared" si="9"/>
        <v>1.1417007046000001E+20</v>
      </c>
      <c r="E81" s="15">
        <f>IF($C81=0,0,FORECAST($C81, OFFSET('De Vaucouleurs Deprojection'!$F$2:$F$127, MATCH($C81, 'De Vaucouleurs Deprojection'!$A$2:$A$127,1)-1,0,2), OFFSET('De Vaucouleurs Deprojection'!$A$2:$A$127, MATCH($C81, 'De Vaucouleurs Deprojection'!$A$2:$A$127,1)-1,0,2))*QESTotalBulgeMass)</f>
        <v>8.4919294277602592E+39</v>
      </c>
      <c r="F81" s="15">
        <f t="shared" si="10"/>
        <v>2.3778014447895256E+40</v>
      </c>
      <c r="H81" s="18">
        <f t="shared" si="11"/>
        <v>3.2269943875655514E+40</v>
      </c>
      <c r="I81" s="16">
        <v>160.46093999999999</v>
      </c>
      <c r="J81" s="45">
        <v>1</v>
      </c>
      <c r="K81" s="19">
        <f t="shared" si="12"/>
        <v>151.74814298659228</v>
      </c>
      <c r="L81" s="16">
        <f t="shared" si="13"/>
        <v>75.912831796846291</v>
      </c>
    </row>
    <row r="82" spans="1:12" x14ac:dyDescent="0.25">
      <c r="A82" s="16">
        <v>3.75</v>
      </c>
      <c r="B82" s="45">
        <f t="shared" si="7"/>
        <v>3750</v>
      </c>
      <c r="C82" s="16">
        <f t="shared" si="8"/>
        <v>12.361089087033545</v>
      </c>
      <c r="D82" s="15">
        <f t="shared" si="9"/>
        <v>1.1571290924999999E+20</v>
      </c>
      <c r="E82" s="15">
        <f>IF($C82=0,0,FORECAST($C82, OFFSET('De Vaucouleurs Deprojection'!$F$2:$F$127, MATCH($C82, 'De Vaucouleurs Deprojection'!$A$2:$A$127,1)-1,0,2), OFFSET('De Vaucouleurs Deprojection'!$A$2:$A$127, MATCH($C82, 'De Vaucouleurs Deprojection'!$A$2:$A$127,1)-1,0,2))*QESTotalBulgeMass)</f>
        <v>8.5003841730852358E+39</v>
      </c>
      <c r="F82" s="15">
        <f t="shared" si="10"/>
        <v>2.3888797029501139E+40</v>
      </c>
      <c r="H82" s="18">
        <f t="shared" si="11"/>
        <v>3.2389181202586376E+40</v>
      </c>
      <c r="I82" s="16">
        <v>160.27498</v>
      </c>
      <c r="J82" s="45">
        <v>1</v>
      </c>
      <c r="K82" s="19">
        <f t="shared" si="12"/>
        <v>151.33080273493627</v>
      </c>
      <c r="L82" s="16">
        <f t="shared" si="13"/>
        <v>79.998306948882885</v>
      </c>
    </row>
    <row r="83" spans="1:12" x14ac:dyDescent="0.25">
      <c r="A83" s="16">
        <v>3.8</v>
      </c>
      <c r="B83" s="45">
        <f t="shared" si="7"/>
        <v>3800</v>
      </c>
      <c r="C83" s="16">
        <f t="shared" si="8"/>
        <v>12.525903608193993</v>
      </c>
      <c r="D83" s="15">
        <f t="shared" si="9"/>
        <v>1.1725574804E+20</v>
      </c>
      <c r="E83" s="15">
        <f>IF($C83=0,0,FORECAST($C83, OFFSET('De Vaucouleurs Deprojection'!$F$2:$F$127, MATCH($C83, 'De Vaucouleurs Deprojection'!$A$2:$A$127,1)-1,0,2), OFFSET('De Vaucouleurs Deprojection'!$A$2:$A$127, MATCH($C83, 'De Vaucouleurs Deprojection'!$A$2:$A$127,1)-1,0,2))*QESTotalBulgeMass)</f>
        <v>8.5088389184102124E+39</v>
      </c>
      <c r="F83" s="15">
        <f t="shared" si="10"/>
        <v>2.3995373174341879E+40</v>
      </c>
      <c r="H83" s="18">
        <f t="shared" si="11"/>
        <v>3.2504212092752091E+40</v>
      </c>
      <c r="I83" s="16">
        <v>160.08430000000001</v>
      </c>
      <c r="J83" s="45">
        <v>1</v>
      </c>
      <c r="K83" s="19">
        <f t="shared" si="12"/>
        <v>150.92030917319534</v>
      </c>
      <c r="L83" s="16">
        <f t="shared" si="13"/>
        <v>83.978727873760292</v>
      </c>
    </row>
    <row r="84" spans="1:12" x14ac:dyDescent="0.25">
      <c r="A84" s="16">
        <v>3.85</v>
      </c>
      <c r="B84" s="45">
        <f t="shared" si="7"/>
        <v>3850</v>
      </c>
      <c r="C84" s="16">
        <f t="shared" si="8"/>
        <v>12.690718129354439</v>
      </c>
      <c r="D84" s="15">
        <f t="shared" si="9"/>
        <v>1.1879858683E+20</v>
      </c>
      <c r="E84" s="15">
        <f>IF($C84=0,0,FORECAST($C84, OFFSET('De Vaucouleurs Deprojection'!$F$2:$F$127, MATCH($C84, 'De Vaucouleurs Deprojection'!$A$2:$A$127,1)-1,0,2), OFFSET('De Vaucouleurs Deprojection'!$A$2:$A$127, MATCH($C84, 'De Vaucouleurs Deprojection'!$A$2:$A$127,1)-1,0,2))*QESTotalBulgeMass)</f>
        <v>8.5172936637351891E+39</v>
      </c>
      <c r="F84" s="15">
        <f t="shared" si="10"/>
        <v>2.4097884612765695E+40</v>
      </c>
      <c r="H84" s="18">
        <f t="shared" si="11"/>
        <v>3.2615178276500886E+40</v>
      </c>
      <c r="I84" s="16">
        <v>159.8905</v>
      </c>
      <c r="J84" s="45">
        <v>1</v>
      </c>
      <c r="K84" s="19">
        <f t="shared" si="12"/>
        <v>150.51667027265856</v>
      </c>
      <c r="L84" s="16">
        <f t="shared" si="13"/>
        <v>87.868683757190183</v>
      </c>
    </row>
    <row r="85" spans="1:12" x14ac:dyDescent="0.25">
      <c r="A85" s="16">
        <v>3.9</v>
      </c>
      <c r="B85" s="45">
        <f t="shared" si="7"/>
        <v>3900</v>
      </c>
      <c r="C85" s="16">
        <f t="shared" si="8"/>
        <v>12.855532650514887</v>
      </c>
      <c r="D85" s="15">
        <f t="shared" si="9"/>
        <v>1.2034142562E+20</v>
      </c>
      <c r="E85" s="15">
        <f>IF($C85=0,0,FORECAST($C85, OFFSET('De Vaucouleurs Deprojection'!$F$2:$F$127, MATCH($C85, 'De Vaucouleurs Deprojection'!$A$2:$A$127,1)-1,0,2), OFFSET('De Vaucouleurs Deprojection'!$A$2:$A$127, MATCH($C85, 'De Vaucouleurs Deprojection'!$A$2:$A$127,1)-1,0,2))*QESTotalBulgeMass)</f>
        <v>8.5257484090601645E+39</v>
      </c>
      <c r="F85" s="15">
        <f t="shared" si="10"/>
        <v>2.4196469518134701E+40</v>
      </c>
      <c r="H85" s="18">
        <f t="shared" si="11"/>
        <v>3.2722217927194865E+40</v>
      </c>
      <c r="I85" s="16">
        <v>159.69592</v>
      </c>
      <c r="J85" s="45">
        <v>1</v>
      </c>
      <c r="K85" s="19">
        <f t="shared" si="12"/>
        <v>150.11988905214213</v>
      </c>
      <c r="L85" s="16">
        <f t="shared" si="13"/>
        <v>91.700368714331759</v>
      </c>
    </row>
    <row r="86" spans="1:12" x14ac:dyDescent="0.25">
      <c r="A86" s="16">
        <v>3.95</v>
      </c>
      <c r="B86" s="45">
        <f t="shared" si="7"/>
        <v>3950</v>
      </c>
      <c r="C86" s="16">
        <f t="shared" si="8"/>
        <v>13.020347171675335</v>
      </c>
      <c r="D86" s="15">
        <f t="shared" si="9"/>
        <v>1.2188426441E+20</v>
      </c>
      <c r="E86" s="15">
        <f>IF($C86=0,0,FORECAST($C86, OFFSET('De Vaucouleurs Deprojection'!$F$2:$F$127, MATCH($C86, 'De Vaucouleurs Deprojection'!$A$2:$A$127,1)-1,0,2), OFFSET('De Vaucouleurs Deprojection'!$A$2:$A$127, MATCH($C86, 'De Vaucouleurs Deprojection'!$A$2:$A$127,1)-1,0,2))*QESTotalBulgeMass)</f>
        <v>8.5340213926387457E+39</v>
      </c>
      <c r="F86" s="15">
        <f t="shared" si="10"/>
        <v>2.4291262503092134E+40</v>
      </c>
      <c r="H86" s="18">
        <f t="shared" si="11"/>
        <v>3.282528389573088E+40</v>
      </c>
      <c r="I86" s="16">
        <v>159.50349</v>
      </c>
      <c r="J86" s="45">
        <v>1</v>
      </c>
      <c r="K86" s="19">
        <f t="shared" si="12"/>
        <v>149.72963140375293</v>
      </c>
      <c r="L86" s="16">
        <f t="shared" si="13"/>
        <v>95.528311859432677</v>
      </c>
    </row>
    <row r="87" spans="1:12" x14ac:dyDescent="0.25">
      <c r="A87" s="16">
        <v>4</v>
      </c>
      <c r="B87" s="45">
        <f t="shared" si="7"/>
        <v>4000</v>
      </c>
      <c r="C87" s="16">
        <f t="shared" si="8"/>
        <v>13.185161692835781</v>
      </c>
      <c r="D87" s="15">
        <f t="shared" si="9"/>
        <v>1.234271032E+20</v>
      </c>
      <c r="E87" s="15">
        <f>IF($C87=0,0,FORECAST($C87, OFFSET('De Vaucouleurs Deprojection'!$F$2:$F$127, MATCH($C87, 'De Vaucouleurs Deprojection'!$A$2:$A$127,1)-1,0,2), OFFSET('De Vaucouleurs Deprojection'!$A$2:$A$127, MATCH($C87, 'De Vaucouleurs Deprojection'!$A$2:$A$127,1)-1,0,2))*QESTotalBulgeMass)</f>
        <v>8.5410038461054071E+39</v>
      </c>
      <c r="F87" s="15">
        <f t="shared" si="10"/>
        <v>2.4382394625356109E+40</v>
      </c>
      <c r="H87" s="18">
        <f t="shared" si="11"/>
        <v>3.2923398471461516E+40</v>
      </c>
      <c r="I87" s="16">
        <v>159.31614999999999</v>
      </c>
      <c r="J87" s="45">
        <v>1</v>
      </c>
      <c r="K87" s="19">
        <f t="shared" si="12"/>
        <v>149.34389368790895</v>
      </c>
      <c r="L87" s="16">
        <f t="shared" si="13"/>
        <v>99.445895954039742</v>
      </c>
    </row>
    <row r="88" spans="1:12" x14ac:dyDescent="0.25">
      <c r="A88" s="16">
        <v>4.05</v>
      </c>
      <c r="B88" s="45">
        <f t="shared" si="7"/>
        <v>4050</v>
      </c>
      <c r="C88" s="16">
        <f t="shared" si="8"/>
        <v>13.349976213996229</v>
      </c>
      <c r="D88" s="15">
        <f t="shared" si="9"/>
        <v>1.2496994199E+20</v>
      </c>
      <c r="E88" s="15">
        <f>IF($C88=0,0,FORECAST($C88, OFFSET('De Vaucouleurs Deprojection'!$F$2:$F$127, MATCH($C88, 'De Vaucouleurs Deprojection'!$A$2:$A$127,1)-1,0,2), OFFSET('De Vaucouleurs Deprojection'!$A$2:$A$127, MATCH($C88, 'De Vaucouleurs Deprojection'!$A$2:$A$127,1)-1,0,2))*QESTotalBulgeMass)</f>
        <v>8.5479862995720686E+39</v>
      </c>
      <c r="F88" s="15">
        <f t="shared" si="10"/>
        <v>2.4469993402083196E+40</v>
      </c>
      <c r="H88" s="18">
        <f t="shared" si="11"/>
        <v>3.3017979701655265E+40</v>
      </c>
      <c r="I88" s="16">
        <v>159.13624999999999</v>
      </c>
      <c r="J88" s="45">
        <v>1</v>
      </c>
      <c r="K88" s="19">
        <f t="shared" si="12"/>
        <v>148.96504726307336</v>
      </c>
      <c r="L88" s="16">
        <f t="shared" si="13"/>
        <v>103.45336511566379</v>
      </c>
    </row>
    <row r="89" spans="1:12" x14ac:dyDescent="0.25">
      <c r="A89" s="16">
        <v>4.0999999999999996</v>
      </c>
      <c r="B89" s="45">
        <f t="shared" si="7"/>
        <v>4100</v>
      </c>
      <c r="C89" s="16">
        <f t="shared" si="8"/>
        <v>13.514790735156677</v>
      </c>
      <c r="D89" s="15">
        <f t="shared" si="9"/>
        <v>1.2651278077999999E+20</v>
      </c>
      <c r="E89" s="15">
        <f>IF($C89=0,0,FORECAST($C89, OFFSET('De Vaucouleurs Deprojection'!$F$2:$F$127, MATCH($C89, 'De Vaucouleurs Deprojection'!$A$2:$A$127,1)-1,0,2), OFFSET('De Vaucouleurs Deprojection'!$A$2:$A$127, MATCH($C89, 'De Vaucouleurs Deprojection'!$A$2:$A$127,1)-1,0,2))*QESTotalBulgeMass)</f>
        <v>8.55496875303873E+39</v>
      </c>
      <c r="F89" s="15">
        <f t="shared" si="10"/>
        <v>2.4554182831917774E+40</v>
      </c>
      <c r="H89" s="18">
        <f t="shared" si="11"/>
        <v>3.3109151584956504E+40</v>
      </c>
      <c r="I89" s="16">
        <v>158.96557999999999</v>
      </c>
      <c r="J89" s="45">
        <v>1</v>
      </c>
      <c r="K89" s="19">
        <f t="shared" si="12"/>
        <v>148.59307557087055</v>
      </c>
      <c r="L89" s="16">
        <f t="shared" si="13"/>
        <v>107.58884813230975</v>
      </c>
    </row>
    <row r="90" spans="1:12" x14ac:dyDescent="0.25">
      <c r="A90" s="16">
        <v>4.1500000000000004</v>
      </c>
      <c r="B90" s="45">
        <f t="shared" si="7"/>
        <v>4150</v>
      </c>
      <c r="C90" s="16">
        <f t="shared" si="8"/>
        <v>13.679605256317123</v>
      </c>
      <c r="D90" s="15">
        <f t="shared" si="9"/>
        <v>1.2805561957E+20</v>
      </c>
      <c r="E90" s="15">
        <f>IF($C90=0,0,FORECAST($C90, OFFSET('De Vaucouleurs Deprojection'!$F$2:$F$127, MATCH($C90, 'De Vaucouleurs Deprojection'!$A$2:$A$127,1)-1,0,2), OFFSET('De Vaucouleurs Deprojection'!$A$2:$A$127, MATCH($C90, 'De Vaucouleurs Deprojection'!$A$2:$A$127,1)-1,0,2))*QESTotalBulgeMass)</f>
        <v>8.5619512065053914E+39</v>
      </c>
      <c r="F90" s="15">
        <f t="shared" si="10"/>
        <v>2.4635083423910687E+40</v>
      </c>
      <c r="H90" s="18">
        <f t="shared" si="11"/>
        <v>3.3197034630416078E+40</v>
      </c>
      <c r="I90" s="16">
        <v>158.80553</v>
      </c>
      <c r="J90" s="45">
        <v>1</v>
      </c>
      <c r="K90" s="19">
        <f t="shared" si="12"/>
        <v>148.22795814015728</v>
      </c>
      <c r="L90" s="16">
        <f t="shared" si="13"/>
        <v>111.88502645013659</v>
      </c>
    </row>
    <row r="91" spans="1:12" x14ac:dyDescent="0.25">
      <c r="A91" s="16">
        <v>4.2</v>
      </c>
      <c r="B91" s="45">
        <f t="shared" si="7"/>
        <v>4200</v>
      </c>
      <c r="C91" s="16">
        <f t="shared" si="8"/>
        <v>13.844419777477571</v>
      </c>
      <c r="D91" s="15">
        <f t="shared" si="9"/>
        <v>1.2959845836E+20</v>
      </c>
      <c r="E91" s="15">
        <f>IF($C91=0,0,FORECAST($C91, OFFSET('De Vaucouleurs Deprojection'!$F$2:$F$127, MATCH($C91, 'De Vaucouleurs Deprojection'!$A$2:$A$127,1)-1,0,2), OFFSET('De Vaucouleurs Deprojection'!$A$2:$A$127, MATCH($C91, 'De Vaucouleurs Deprojection'!$A$2:$A$127,1)-1,0,2))*QESTotalBulgeMass)</f>
        <v>8.5689336599720528E+39</v>
      </c>
      <c r="F91" s="15">
        <f t="shared" si="10"/>
        <v>2.4712812232553733E+40</v>
      </c>
      <c r="H91" s="18">
        <f t="shared" si="11"/>
        <v>3.3281745892525785E+40</v>
      </c>
      <c r="I91" s="16">
        <v>158.65744000000001</v>
      </c>
      <c r="J91" s="45">
        <v>1</v>
      </c>
      <c r="K91" s="19">
        <f t="shared" si="12"/>
        <v>147.86967077469978</v>
      </c>
      <c r="L91" s="16">
        <f t="shared" si="13"/>
        <v>116.37596485833458</v>
      </c>
    </row>
    <row r="92" spans="1:12" x14ac:dyDescent="0.25">
      <c r="A92" s="16">
        <v>4.25</v>
      </c>
      <c r="B92" s="45">
        <f t="shared" si="7"/>
        <v>4250</v>
      </c>
      <c r="C92" s="16">
        <f t="shared" si="8"/>
        <v>14.009234298638017</v>
      </c>
      <c r="D92" s="15">
        <f t="shared" si="9"/>
        <v>1.3114129715000001E+20</v>
      </c>
      <c r="E92" s="15">
        <f>IF($C92=0,0,FORECAST($C92, OFFSET('De Vaucouleurs Deprojection'!$F$2:$F$127, MATCH($C92, 'De Vaucouleurs Deprojection'!$A$2:$A$127,1)-1,0,2), OFFSET('De Vaucouleurs Deprojection'!$A$2:$A$127, MATCH($C92, 'De Vaucouleurs Deprojection'!$A$2:$A$127,1)-1,0,2))*QESTotalBulgeMass)</f>
        <v>8.5758499579323272E+39</v>
      </c>
      <c r="F92" s="15">
        <f t="shared" si="10"/>
        <v>2.4787482898235308E+40</v>
      </c>
      <c r="H92" s="18">
        <f t="shared" si="11"/>
        <v>3.3363332856167637E+40</v>
      </c>
      <c r="I92" s="16">
        <v>158.52234000000001</v>
      </c>
      <c r="J92" s="45">
        <v>1</v>
      </c>
      <c r="K92" s="19">
        <f t="shared" si="12"/>
        <v>147.51807162453827</v>
      </c>
      <c r="L92" s="16">
        <f t="shared" si="13"/>
        <v>121.09392247918755</v>
      </c>
    </row>
    <row r="93" spans="1:12" x14ac:dyDescent="0.25">
      <c r="A93" s="16">
        <v>4.3</v>
      </c>
      <c r="B93" s="45">
        <f t="shared" si="7"/>
        <v>4300</v>
      </c>
      <c r="C93" s="16">
        <f t="shared" si="8"/>
        <v>14.174048819798465</v>
      </c>
      <c r="D93" s="15">
        <f t="shared" si="9"/>
        <v>1.3268413593999999E+20</v>
      </c>
      <c r="E93" s="15">
        <f>IF($C93=0,0,FORECAST($C93, OFFSET('De Vaucouleurs Deprojection'!$F$2:$F$127, MATCH($C93, 'De Vaucouleurs Deprojection'!$A$2:$A$127,1)-1,0,2), OFFSET('De Vaucouleurs Deprojection'!$A$2:$A$127, MATCH($C93, 'De Vaucouleurs Deprojection'!$A$2:$A$127,1)-1,0,2))*QESTotalBulgeMass)</f>
        <v>8.5816516624829151E+39</v>
      </c>
      <c r="F93" s="15">
        <f t="shared" si="10"/>
        <v>2.4859205692477327E+40</v>
      </c>
      <c r="H93" s="18">
        <f t="shared" si="11"/>
        <v>3.344085735496024E+40</v>
      </c>
      <c r="I93" s="16">
        <v>158.40033</v>
      </c>
      <c r="J93" s="45">
        <v>1</v>
      </c>
      <c r="K93" s="19">
        <f t="shared" si="12"/>
        <v>147.17134111303423</v>
      </c>
      <c r="L93" s="16">
        <f t="shared" si="13"/>
        <v>126.09019142360067</v>
      </c>
    </row>
    <row r="94" spans="1:12" x14ac:dyDescent="0.25">
      <c r="A94" s="16">
        <v>4.3499999999999996</v>
      </c>
      <c r="B94" s="45">
        <f t="shared" si="7"/>
        <v>4350</v>
      </c>
      <c r="C94" s="16">
        <f t="shared" si="8"/>
        <v>14.338863340958913</v>
      </c>
      <c r="D94" s="15">
        <f t="shared" si="9"/>
        <v>1.3422697472999999E+20</v>
      </c>
      <c r="E94" s="15">
        <f>IF($C94=0,0,FORECAST($C94, OFFSET('De Vaucouleurs Deprojection'!$F$2:$F$127, MATCH($C94, 'De Vaucouleurs Deprojection'!$A$2:$A$127,1)-1,0,2), OFFSET('De Vaucouleurs Deprojection'!$A$2:$A$127, MATCH($C94, 'De Vaucouleurs Deprojection'!$A$2:$A$127,1)-1,0,2))*QESTotalBulgeMass)</f>
        <v>8.587453367033503E+39</v>
      </c>
      <c r="F94" s="15">
        <f t="shared" si="10"/>
        <v>2.4928087567364306E+40</v>
      </c>
      <c r="H94" s="18">
        <f t="shared" si="11"/>
        <v>3.3515540934397808E+40</v>
      </c>
      <c r="I94" s="16">
        <v>158.29051000000001</v>
      </c>
      <c r="J94" s="45">
        <v>1</v>
      </c>
      <c r="K94" s="19">
        <f t="shared" si="12"/>
        <v>146.83138473554959</v>
      </c>
      <c r="L94" s="16">
        <f t="shared" si="13"/>
        <v>131.31155182636593</v>
      </c>
    </row>
    <row r="95" spans="1:12" x14ac:dyDescent="0.25">
      <c r="A95" s="16">
        <v>4.4000000000000004</v>
      </c>
      <c r="B95" s="45">
        <f t="shared" si="7"/>
        <v>4400</v>
      </c>
      <c r="C95" s="16">
        <f t="shared" si="8"/>
        <v>14.503677862119359</v>
      </c>
      <c r="D95" s="15">
        <f t="shared" si="9"/>
        <v>1.3576981352000001E+20</v>
      </c>
      <c r="E95" s="15">
        <f>IF($C95=0,0,FORECAST($C95, OFFSET('De Vaucouleurs Deprojection'!$F$2:$F$127, MATCH($C95, 'De Vaucouleurs Deprojection'!$A$2:$A$127,1)-1,0,2), OFFSET('De Vaucouleurs Deprojection'!$A$2:$A$127, MATCH($C95, 'De Vaucouleurs Deprojection'!$A$2:$A$127,1)-1,0,2))*QESTotalBulgeMass)</f>
        <v>8.5932550715840897E+39</v>
      </c>
      <c r="F95" s="15">
        <f t="shared" si="10"/>
        <v>2.4994232208623209E+40</v>
      </c>
      <c r="H95" s="18">
        <f t="shared" si="11"/>
        <v>3.35874872802073E+40</v>
      </c>
      <c r="I95" s="16">
        <v>158.19132999999999</v>
      </c>
      <c r="J95" s="45">
        <v>1</v>
      </c>
      <c r="K95" s="19">
        <f t="shared" si="12"/>
        <v>146.49816417683542</v>
      </c>
      <c r="L95" s="16">
        <f t="shared" si="13"/>
        <v>136.73012696802411</v>
      </c>
    </row>
    <row r="96" spans="1:12" x14ac:dyDescent="0.25">
      <c r="A96" s="16">
        <v>4.45</v>
      </c>
      <c r="B96" s="45">
        <f t="shared" si="7"/>
        <v>4450</v>
      </c>
      <c r="C96" s="16">
        <f t="shared" si="8"/>
        <v>14.668492383279807</v>
      </c>
      <c r="D96" s="15">
        <f t="shared" si="9"/>
        <v>1.3731265231000001E+20</v>
      </c>
      <c r="E96" s="15">
        <f>IF($C96=0,0,FORECAST($C96, OFFSET('De Vaucouleurs Deprojection'!$F$2:$F$127, MATCH($C96, 'De Vaucouleurs Deprojection'!$A$2:$A$127,1)-1,0,2), OFFSET('De Vaucouleurs Deprojection'!$A$2:$A$127, MATCH($C96, 'De Vaucouleurs Deprojection'!$A$2:$A$127,1)-1,0,2))*QESTotalBulgeMass)</f>
        <v>8.5990567761346764E+39</v>
      </c>
      <c r="F96" s="15">
        <f t="shared" si="10"/>
        <v>2.505774009185652E+40</v>
      </c>
      <c r="H96" s="18">
        <f t="shared" si="11"/>
        <v>3.3656796867991195E+40</v>
      </c>
      <c r="I96" s="16">
        <v>158.10109</v>
      </c>
      <c r="J96" s="45">
        <v>1</v>
      </c>
      <c r="K96" s="19">
        <f t="shared" si="12"/>
        <v>146.17163835050397</v>
      </c>
      <c r="L96" s="16">
        <f t="shared" si="13"/>
        <v>142.31181665766357</v>
      </c>
    </row>
    <row r="97" spans="1:12" x14ac:dyDescent="0.25">
      <c r="A97" s="16">
        <v>4.5</v>
      </c>
      <c r="B97" s="45">
        <f t="shared" si="7"/>
        <v>4500</v>
      </c>
      <c r="C97" s="16">
        <f t="shared" si="8"/>
        <v>14.833306904440255</v>
      </c>
      <c r="D97" s="15">
        <f t="shared" si="9"/>
        <v>1.3885549109999999E+20</v>
      </c>
      <c r="E97" s="15">
        <f>IF($C97=0,0,FORECAST($C97, OFFSET('De Vaucouleurs Deprojection'!$F$2:$F$127, MATCH($C97, 'De Vaucouleurs Deprojection'!$A$2:$A$127,1)-1,0,2), OFFSET('De Vaucouleurs Deprojection'!$A$2:$A$127, MATCH($C97, 'De Vaucouleurs Deprojection'!$A$2:$A$127,1)-1,0,2))*QESTotalBulgeMass)</f>
        <v>8.6048584806852643E+39</v>
      </c>
      <c r="F97" s="15">
        <f t="shared" si="10"/>
        <v>2.5118708541472342E+40</v>
      </c>
      <c r="H97" s="18">
        <f t="shared" si="11"/>
        <v>3.3723567022157606E+40</v>
      </c>
      <c r="I97" s="16">
        <v>158.01791</v>
      </c>
      <c r="J97" s="45">
        <v>1</v>
      </c>
      <c r="K97" s="19">
        <f t="shared" si="12"/>
        <v>145.85176356618081</v>
      </c>
      <c r="L97" s="16">
        <f t="shared" si="13"/>
        <v>148.01511904913147</v>
      </c>
    </row>
    <row r="98" spans="1:12" x14ac:dyDescent="0.25">
      <c r="A98" s="16">
        <v>4.55</v>
      </c>
      <c r="B98" s="45">
        <f t="shared" si="7"/>
        <v>4550</v>
      </c>
      <c r="C98" s="16">
        <f t="shared" si="8"/>
        <v>14.998121425600701</v>
      </c>
      <c r="D98" s="15">
        <f t="shared" si="9"/>
        <v>1.4039832988999999E+20</v>
      </c>
      <c r="E98" s="15">
        <f>IF($C98=0,0,FORECAST($C98, OFFSET('De Vaucouleurs Deprojection'!$F$2:$F$127, MATCH($C98, 'De Vaucouleurs Deprojection'!$A$2:$A$127,1)-1,0,2), OFFSET('De Vaucouleurs Deprojection'!$A$2:$A$127, MATCH($C98, 'De Vaucouleurs Deprojection'!$A$2:$A$127,1)-1,0,2))*QESTotalBulgeMass)</f>
        <v>8.610660185235851E+39</v>
      </c>
      <c r="F98" s="15">
        <f t="shared" si="10"/>
        <v>2.5177231791893234E+40</v>
      </c>
      <c r="H98" s="18">
        <f t="shared" si="11"/>
        <v>3.3787891977129088E+40</v>
      </c>
      <c r="I98" s="16">
        <v>157.93943999999999</v>
      </c>
      <c r="J98" s="45">
        <v>1</v>
      </c>
      <c r="K98" s="19">
        <f t="shared" si="12"/>
        <v>145.53849369243838</v>
      </c>
      <c r="L98" s="16">
        <f t="shared" si="13"/>
        <v>153.78346932302597</v>
      </c>
    </row>
    <row r="99" spans="1:12" x14ac:dyDescent="0.25">
      <c r="A99" s="16">
        <v>4.5999999999999996</v>
      </c>
      <c r="B99" s="45">
        <f t="shared" si="7"/>
        <v>4600</v>
      </c>
      <c r="C99" s="16">
        <f t="shared" si="8"/>
        <v>15.162935946761149</v>
      </c>
      <c r="D99" s="15">
        <f t="shared" si="9"/>
        <v>1.4194116868E+20</v>
      </c>
      <c r="E99" s="15">
        <f>IF($C99=0,0,FORECAST($C99, OFFSET('De Vaucouleurs Deprojection'!$F$2:$F$127, MATCH($C99, 'De Vaucouleurs Deprojection'!$A$2:$A$127,1)-1,0,2), OFFSET('De Vaucouleurs Deprojection'!$A$2:$A$127, MATCH($C99, 'De Vaucouleurs Deprojection'!$A$2:$A$127,1)-1,0,2))*QESTotalBulgeMass)</f>
        <v>8.6142944761152547E+39</v>
      </c>
      <c r="F99" s="15">
        <f t="shared" si="10"/>
        <v>2.5233401050661191E+40</v>
      </c>
      <c r="H99" s="18">
        <f t="shared" si="11"/>
        <v>3.3847695526776447E+40</v>
      </c>
      <c r="I99" s="16">
        <v>157.86272</v>
      </c>
      <c r="J99" s="45">
        <v>1</v>
      </c>
      <c r="K99" s="19">
        <f t="shared" si="12"/>
        <v>145.22827167834339</v>
      </c>
      <c r="L99" s="16">
        <f t="shared" si="13"/>
        <v>159.62928439261142</v>
      </c>
    </row>
    <row r="100" spans="1:12" x14ac:dyDescent="0.25">
      <c r="A100" s="16">
        <v>4.6500000000000004</v>
      </c>
      <c r="B100" s="45">
        <f t="shared" si="7"/>
        <v>4650</v>
      </c>
      <c r="C100" s="16">
        <f t="shared" si="8"/>
        <v>15.327750467921595</v>
      </c>
      <c r="D100" s="15">
        <f t="shared" si="9"/>
        <v>1.4348400747000001E+20</v>
      </c>
      <c r="E100" s="15">
        <f>IF($C100=0,0,FORECAST($C100, OFFSET('De Vaucouleurs Deprojection'!$F$2:$F$127, MATCH($C100, 'De Vaucouleurs Deprojection'!$A$2:$A$127,1)-1,0,2), OFFSET('De Vaucouleurs Deprojection'!$A$2:$A$127, MATCH($C100, 'De Vaucouleurs Deprojection'!$A$2:$A$127,1)-1,0,2))*QESTotalBulgeMass)</f>
        <v>8.6179037777401929E+39</v>
      </c>
      <c r="F100" s="15">
        <f t="shared" si="10"/>
        <v>2.5287304563088977E+40</v>
      </c>
      <c r="H100" s="18">
        <f t="shared" si="11"/>
        <v>3.390520834082917E+40</v>
      </c>
      <c r="I100" s="16">
        <v>157.78451999999999</v>
      </c>
      <c r="J100" s="45">
        <v>1</v>
      </c>
      <c r="K100" s="19">
        <f t="shared" si="12"/>
        <v>144.92457650828757</v>
      </c>
      <c r="L100" s="16">
        <f t="shared" si="13"/>
        <v>165.37814661003648</v>
      </c>
    </row>
    <row r="101" spans="1:12" x14ac:dyDescent="0.25">
      <c r="A101" s="16">
        <v>4.7</v>
      </c>
      <c r="B101" s="45">
        <f t="shared" si="7"/>
        <v>4700</v>
      </c>
      <c r="C101" s="16">
        <f t="shared" si="8"/>
        <v>15.492564989082043</v>
      </c>
      <c r="D101" s="15">
        <f t="shared" si="9"/>
        <v>1.4502684626E+20</v>
      </c>
      <c r="E101" s="15">
        <f>IF($C101=0,0,FORECAST($C101, OFFSET('De Vaucouleurs Deprojection'!$F$2:$F$127, MATCH($C101, 'De Vaucouleurs Deprojection'!$A$2:$A$127,1)-1,0,2), OFFSET('De Vaucouleurs Deprojection'!$A$2:$A$127, MATCH($C101, 'De Vaucouleurs Deprojection'!$A$2:$A$127,1)-1,0,2))*QESTotalBulgeMass)</f>
        <v>8.6215130793651323E+39</v>
      </c>
      <c r="F101" s="15">
        <f t="shared" si="10"/>
        <v>2.5339027678138714E+40</v>
      </c>
      <c r="H101" s="18">
        <f t="shared" si="11"/>
        <v>3.3960540757503849E+40</v>
      </c>
      <c r="I101" s="16">
        <v>157.70219</v>
      </c>
      <c r="J101" s="45">
        <v>1</v>
      </c>
      <c r="K101" s="19">
        <f t="shared" si="12"/>
        <v>144.62739487973113</v>
      </c>
      <c r="L101" s="16">
        <f t="shared" si="13"/>
        <v>170.95026743700674</v>
      </c>
    </row>
    <row r="102" spans="1:12" x14ac:dyDescent="0.25">
      <c r="A102" s="16">
        <v>4.75</v>
      </c>
      <c r="B102" s="45">
        <f t="shared" si="7"/>
        <v>4750</v>
      </c>
      <c r="C102" s="16">
        <f t="shared" si="8"/>
        <v>15.657379510242491</v>
      </c>
      <c r="D102" s="15">
        <f t="shared" si="9"/>
        <v>1.4656968505E+20</v>
      </c>
      <c r="E102" s="15">
        <f>IF($C102=0,0,FORECAST($C102, OFFSET('De Vaucouleurs Deprojection'!$F$2:$F$127, MATCH($C102, 'De Vaucouleurs Deprojection'!$A$2:$A$127,1)-1,0,2), OFFSET('De Vaucouleurs Deprojection'!$A$2:$A$127, MATCH($C102, 'De Vaucouleurs Deprojection'!$A$2:$A$127,1)-1,0,2))*QESTotalBulgeMass)</f>
        <v>8.6251223809900692E+39</v>
      </c>
      <c r="F102" s="15">
        <f t="shared" si="10"/>
        <v>2.5388652915236945E+40</v>
      </c>
      <c r="H102" s="18">
        <f t="shared" si="11"/>
        <v>3.4013775296227017E+40</v>
      </c>
      <c r="I102" s="16">
        <v>157.61417</v>
      </c>
      <c r="J102" s="45">
        <v>1</v>
      </c>
      <c r="K102" s="19">
        <f t="shared" si="12"/>
        <v>144.33667091225789</v>
      </c>
      <c r="L102" s="16">
        <f t="shared" si="13"/>
        <v>176.29198202499268</v>
      </c>
    </row>
    <row r="103" spans="1:12" x14ac:dyDescent="0.25">
      <c r="A103" s="16">
        <v>4.8</v>
      </c>
      <c r="B103" s="45">
        <f t="shared" si="7"/>
        <v>4800</v>
      </c>
      <c r="C103" s="16">
        <f t="shared" si="8"/>
        <v>15.822194031402937</v>
      </c>
      <c r="D103" s="15">
        <f t="shared" si="9"/>
        <v>1.4811252384E+20</v>
      </c>
      <c r="E103" s="15">
        <f>IF($C103=0,0,FORECAST($C103, OFFSET('De Vaucouleurs Deprojection'!$F$2:$F$127, MATCH($C103, 'De Vaucouleurs Deprojection'!$A$2:$A$127,1)-1,0,2), OFFSET('De Vaucouleurs Deprojection'!$A$2:$A$127, MATCH($C103, 'De Vaucouleurs Deprojection'!$A$2:$A$127,1)-1,0,2))*QESTotalBulgeMass)</f>
        <v>8.6287316826150074E+39</v>
      </c>
      <c r="F103" s="15">
        <f t="shared" si="10"/>
        <v>2.5436260031761804E+40</v>
      </c>
      <c r="H103" s="18">
        <f t="shared" si="11"/>
        <v>3.4064991714376812E+40</v>
      </c>
      <c r="I103" s="16">
        <v>157.52001999999999</v>
      </c>
      <c r="J103" s="45">
        <v>1</v>
      </c>
      <c r="K103" s="19">
        <f t="shared" si="12"/>
        <v>144.05234709351629</v>
      </c>
      <c r="L103" s="16">
        <f t="shared" si="13"/>
        <v>181.37821351603509</v>
      </c>
    </row>
    <row r="104" spans="1:12" x14ac:dyDescent="0.25">
      <c r="A104" s="16">
        <v>4.8499999999999996</v>
      </c>
      <c r="B104" s="45">
        <f t="shared" si="7"/>
        <v>4850</v>
      </c>
      <c r="C104" s="16">
        <f t="shared" si="8"/>
        <v>15.987008552563385</v>
      </c>
      <c r="D104" s="15">
        <f t="shared" si="9"/>
        <v>1.4965536262999998E+20</v>
      </c>
      <c r="E104" s="15">
        <f>IF($C104=0,0,FORECAST($C104, OFFSET('De Vaucouleurs Deprojection'!$F$2:$F$127, MATCH($C104, 'De Vaucouleurs Deprojection'!$A$2:$A$127,1)-1,0,2), OFFSET('De Vaucouleurs Deprojection'!$A$2:$A$127, MATCH($C104, 'De Vaucouleurs Deprojection'!$A$2:$A$127,1)-1,0,2))*QESTotalBulgeMass)</f>
        <v>8.6323409842399456E+39</v>
      </c>
      <c r="F104" s="15">
        <f t="shared" si="10"/>
        <v>2.5481926090962236E+40</v>
      </c>
      <c r="H104" s="18">
        <f t="shared" si="11"/>
        <v>3.4114267075202181E+40</v>
      </c>
      <c r="I104" s="16">
        <v>157.42000999999999</v>
      </c>
      <c r="J104" s="45">
        <v>1</v>
      </c>
      <c r="K104" s="19">
        <f t="shared" si="12"/>
        <v>143.77436440964254</v>
      </c>
      <c r="L104" s="16">
        <f t="shared" si="13"/>
        <v>186.20364357764163</v>
      </c>
    </row>
    <row r="105" spans="1:12" x14ac:dyDescent="0.25">
      <c r="A105" s="16">
        <v>4.9000000000000004</v>
      </c>
      <c r="B105" s="45">
        <f t="shared" si="7"/>
        <v>4900</v>
      </c>
      <c r="C105" s="16">
        <f t="shared" si="8"/>
        <v>16.151823073723833</v>
      </c>
      <c r="D105" s="15">
        <f t="shared" si="9"/>
        <v>1.5119820142E+20</v>
      </c>
      <c r="E105" s="15">
        <f>IF($C105=0,0,FORECAST($C105, OFFSET('De Vaucouleurs Deprojection'!$F$2:$F$127, MATCH($C105, 'De Vaucouleurs Deprojection'!$A$2:$A$127,1)-1,0,2), OFFSET('De Vaucouleurs Deprojection'!$A$2:$A$127, MATCH($C105, 'De Vaucouleurs Deprojection'!$A$2:$A$127,1)-1,0,2))*QESTotalBulgeMass)</f>
        <v>8.6359502858648838E+39</v>
      </c>
      <c r="F105" s="15">
        <f t="shared" si="10"/>
        <v>2.5525725530091926E+40</v>
      </c>
      <c r="H105" s="18">
        <f t="shared" si="11"/>
        <v>3.4161675815956808E+40</v>
      </c>
      <c r="I105" s="16">
        <v>157.31474</v>
      </c>
      <c r="J105" s="45">
        <v>1</v>
      </c>
      <c r="K105" s="19">
        <f t="shared" si="12"/>
        <v>143.50266247091545</v>
      </c>
      <c r="L105" s="16">
        <f t="shared" si="13"/>
        <v>190.77348566944229</v>
      </c>
    </row>
    <row r="106" spans="1:12" x14ac:dyDescent="0.25">
      <c r="A106" s="16">
        <v>4.95</v>
      </c>
      <c r="B106" s="45">
        <f t="shared" si="7"/>
        <v>4950</v>
      </c>
      <c r="C106" s="16">
        <f t="shared" si="8"/>
        <v>16.316637594884281</v>
      </c>
      <c r="D106" s="15">
        <f t="shared" si="9"/>
        <v>1.5274104021000002E+20</v>
      </c>
      <c r="E106" s="15">
        <f>IF($C106=0,0,FORECAST($C106, OFFSET('De Vaucouleurs Deprojection'!$F$2:$F$127, MATCH($C106, 'De Vaucouleurs Deprojection'!$A$2:$A$127,1)-1,0,2), OFFSET('De Vaucouleurs Deprojection'!$A$2:$A$127, MATCH($C106, 'De Vaucouleurs Deprojection'!$A$2:$A$127,1)-1,0,2))*QESTotalBulgeMass)</f>
        <v>8.6395595874898231E+39</v>
      </c>
      <c r="F106" s="15">
        <f t="shared" si="10"/>
        <v>2.5567730228561461E+40</v>
      </c>
      <c r="H106" s="18">
        <f t="shared" si="11"/>
        <v>3.4207289816051286E+40</v>
      </c>
      <c r="I106" s="16">
        <v>157.20515</v>
      </c>
      <c r="J106" s="45">
        <v>1</v>
      </c>
      <c r="K106" s="19">
        <f t="shared" si="12"/>
        <v>143.23717963264167</v>
      </c>
      <c r="L106" s="16">
        <f t="shared" si="13"/>
        <v>195.10419618340049</v>
      </c>
    </row>
    <row r="107" spans="1:12" x14ac:dyDescent="0.25">
      <c r="A107" s="16">
        <v>5</v>
      </c>
      <c r="B107" s="45">
        <f t="shared" si="7"/>
        <v>5000</v>
      </c>
      <c r="C107" s="16">
        <f t="shared" si="8"/>
        <v>16.481452116044725</v>
      </c>
      <c r="D107" s="15">
        <f t="shared" si="9"/>
        <v>1.54283879E+20</v>
      </c>
      <c r="E107" s="15">
        <f>IF($C107=0,0,FORECAST($C107, OFFSET('De Vaucouleurs Deprojection'!$F$2:$F$127, MATCH($C107, 'De Vaucouleurs Deprojection'!$A$2:$A$127,1)-1,0,2), OFFSET('De Vaucouleurs Deprojection'!$A$2:$A$127, MATCH($C107, 'De Vaucouleurs Deprojection'!$A$2:$A$127,1)-1,0,2))*QESTotalBulgeMass)</f>
        <v>8.6431688891147601E+39</v>
      </c>
      <c r="F107" s="15">
        <f t="shared" si="10"/>
        <v>2.5608009575931659E+40</v>
      </c>
      <c r="H107" s="18">
        <f t="shared" si="11"/>
        <v>3.425117846504642E+40</v>
      </c>
      <c r="I107" s="16">
        <v>157.09267</v>
      </c>
      <c r="J107" s="45">
        <v>1</v>
      </c>
      <c r="K107" s="19">
        <f t="shared" si="12"/>
        <v>142.97785311129223</v>
      </c>
      <c r="L107" s="16">
        <f t="shared" si="13"/>
        <v>199.22805580174995</v>
      </c>
    </row>
    <row r="108" spans="1:12" x14ac:dyDescent="0.25">
      <c r="A108" s="16">
        <v>5.05</v>
      </c>
      <c r="B108" s="45">
        <f t="shared" si="7"/>
        <v>5050</v>
      </c>
      <c r="C108" s="16">
        <f t="shared" si="8"/>
        <v>16.646266637205173</v>
      </c>
      <c r="D108" s="15">
        <f t="shared" si="9"/>
        <v>1.5582671778999999E+20</v>
      </c>
      <c r="E108" s="15">
        <f>IF($C108=0,0,FORECAST($C108, OFFSET('De Vaucouleurs Deprojection'!$F$2:$F$127, MATCH($C108, 'De Vaucouleurs Deprojection'!$A$2:$A$127,1)-1,0,2), OFFSET('De Vaucouleurs Deprojection'!$A$2:$A$127, MATCH($C108, 'De Vaucouleurs Deprojection'!$A$2:$A$127,1)-1,0,2))*QESTotalBulgeMass)</f>
        <v>8.6467781907396983E+39</v>
      </c>
      <c r="F108" s="15">
        <f t="shared" si="10"/>
        <v>2.5646630539588875E+40</v>
      </c>
      <c r="H108" s="18">
        <f t="shared" si="11"/>
        <v>3.4293408730328573E+40</v>
      </c>
      <c r="I108" s="16">
        <v>156.97935000000001</v>
      </c>
      <c r="J108" s="45">
        <v>1</v>
      </c>
      <c r="K108" s="19">
        <f t="shared" si="12"/>
        <v>142.72461909592917</v>
      </c>
      <c r="L108" s="16">
        <f t="shared" si="13"/>
        <v>203.19735314747226</v>
      </c>
    </row>
    <row r="109" spans="1:12" x14ac:dyDescent="0.25">
      <c r="A109" s="16">
        <v>5.0999999999999996</v>
      </c>
      <c r="B109" s="45">
        <f t="shared" si="7"/>
        <v>5100</v>
      </c>
      <c r="C109" s="16">
        <f t="shared" si="8"/>
        <v>16.811081158365621</v>
      </c>
      <c r="D109" s="15">
        <f t="shared" si="9"/>
        <v>1.5736955657999997E+20</v>
      </c>
      <c r="E109" s="15">
        <f>IF($C109=0,0,FORECAST($C109, OFFSET('De Vaucouleurs Deprojection'!$F$2:$F$127, MATCH($C109, 'De Vaucouleurs Deprojection'!$A$2:$A$127,1)-1,0,2), OFFSET('De Vaucouleurs Deprojection'!$A$2:$A$127, MATCH($C109, 'De Vaucouleurs Deprojection'!$A$2:$A$127,1)-1,0,2))*QESTotalBulgeMass)</f>
        <v>8.6503874923646365E+39</v>
      </c>
      <c r="F109" s="15">
        <f t="shared" si="10"/>
        <v>2.5683657731959726E+40</v>
      </c>
      <c r="H109" s="18">
        <f t="shared" si="11"/>
        <v>3.4334045224324362E+40</v>
      </c>
      <c r="I109" s="16">
        <v>156.86752000000001</v>
      </c>
      <c r="J109" s="45">
        <v>1</v>
      </c>
      <c r="K109" s="19">
        <f t="shared" si="12"/>
        <v>142.47741285497668</v>
      </c>
      <c r="L109" s="16">
        <f t="shared" si="13"/>
        <v>207.07518364525166</v>
      </c>
    </row>
    <row r="110" spans="1:12" x14ac:dyDescent="0.25">
      <c r="A110" s="16">
        <v>5.15</v>
      </c>
      <c r="B110" s="45">
        <f t="shared" si="7"/>
        <v>5150</v>
      </c>
      <c r="C110" s="16">
        <f t="shared" si="8"/>
        <v>16.975895679526069</v>
      </c>
      <c r="D110" s="15">
        <f t="shared" si="9"/>
        <v>1.5891239537000002E+20</v>
      </c>
      <c r="E110" s="15">
        <f>IF($C110=0,0,FORECAST($C110, OFFSET('De Vaucouleurs Deprojection'!$F$2:$F$127, MATCH($C110, 'De Vaucouleurs Deprojection'!$A$2:$A$127,1)-1,0,2), OFFSET('De Vaucouleurs Deprojection'!$A$2:$A$127, MATCH($C110, 'De Vaucouleurs Deprojection'!$A$2:$A$127,1)-1,0,2))*QESTotalBulgeMass)</f>
        <v>8.6539967939895746E+39</v>
      </c>
      <c r="F110" s="15">
        <f t="shared" si="10"/>
        <v>2.5719153477137852E+40</v>
      </c>
      <c r="H110" s="18">
        <f t="shared" si="11"/>
        <v>3.4373150271127429E+40</v>
      </c>
      <c r="I110" s="16">
        <v>156.75916000000001</v>
      </c>
      <c r="J110" s="45">
        <v>1</v>
      </c>
      <c r="K110" s="19">
        <f t="shared" si="12"/>
        <v>142.23616883840458</v>
      </c>
      <c r="L110" s="16">
        <f t="shared" si="13"/>
        <v>210.91727227977893</v>
      </c>
    </row>
    <row r="111" spans="1:12" x14ac:dyDescent="0.25">
      <c r="A111" s="16">
        <v>5.2</v>
      </c>
      <c r="B111" s="45">
        <f t="shared" si="7"/>
        <v>5200</v>
      </c>
      <c r="C111" s="16">
        <f t="shared" si="8"/>
        <v>17.140710200686517</v>
      </c>
      <c r="D111" s="15">
        <f t="shared" si="9"/>
        <v>1.6045523416000001E+20</v>
      </c>
      <c r="E111" s="15">
        <f>IF($C111=0,0,FORECAST($C111, OFFSET('De Vaucouleurs Deprojection'!$F$2:$F$127, MATCH($C111, 'De Vaucouleurs Deprojection'!$A$2:$A$127,1)-1,0,2), OFFSET('De Vaucouleurs Deprojection'!$A$2:$A$127, MATCH($C111, 'De Vaucouleurs Deprojection'!$A$2:$A$127,1)-1,0,2))*QESTotalBulgeMass)</f>
        <v>8.657606095614514E+39</v>
      </c>
      <c r="F111" s="15">
        <f t="shared" si="10"/>
        <v>2.5753177876809482E+40</v>
      </c>
      <c r="H111" s="18">
        <f t="shared" si="11"/>
        <v>3.4410783972423996E+40</v>
      </c>
      <c r="I111" s="16">
        <v>156.65523999999999</v>
      </c>
      <c r="J111" s="45">
        <v>1</v>
      </c>
      <c r="K111" s="19">
        <f t="shared" si="12"/>
        <v>142.00082077540281</v>
      </c>
      <c r="L111" s="16">
        <f t="shared" si="13"/>
        <v>214.75200281024334</v>
      </c>
    </row>
    <row r="112" spans="1:12" x14ac:dyDescent="0.25">
      <c r="A112" s="16">
        <v>5.25</v>
      </c>
      <c r="B112" s="45">
        <f t="shared" si="7"/>
        <v>5250</v>
      </c>
      <c r="C112" s="16">
        <f t="shared" si="8"/>
        <v>17.305524721846961</v>
      </c>
      <c r="D112" s="15">
        <f t="shared" si="9"/>
        <v>1.6199807294999999E+20</v>
      </c>
      <c r="E112" s="15">
        <f>IF($C112=0,0,FORECAST($C112, OFFSET('De Vaucouleurs Deprojection'!$F$2:$F$127, MATCH($C112, 'De Vaucouleurs Deprojection'!$A$2:$A$127,1)-1,0,2), OFFSET('De Vaucouleurs Deprojection'!$A$2:$A$127, MATCH($C112, 'De Vaucouleurs Deprojection'!$A$2:$A$127,1)-1,0,2))*QESTotalBulgeMass)</f>
        <v>8.6612153972394522E+39</v>
      </c>
      <c r="F112" s="15">
        <f t="shared" si="10"/>
        <v>2.5785788875377622E+40</v>
      </c>
      <c r="H112" s="18">
        <f t="shared" si="11"/>
        <v>3.4447004272617073E+40</v>
      </c>
      <c r="I112" s="16">
        <v>156.55573000000001</v>
      </c>
      <c r="J112" s="45">
        <v>1</v>
      </c>
      <c r="K112" s="19">
        <f t="shared" si="12"/>
        <v>141.77130176763552</v>
      </c>
      <c r="L112" s="16">
        <f t="shared" si="13"/>
        <v>218.5793181579362</v>
      </c>
    </row>
    <row r="113" spans="1:12" x14ac:dyDescent="0.25">
      <c r="A113" s="16">
        <v>5.3</v>
      </c>
      <c r="B113" s="45">
        <f t="shared" si="7"/>
        <v>5300</v>
      </c>
      <c r="C113" s="16">
        <f t="shared" si="8"/>
        <v>17.470339243007409</v>
      </c>
      <c r="D113" s="15">
        <f t="shared" si="9"/>
        <v>1.6354091174000001E+20</v>
      </c>
      <c r="E113" s="15">
        <f>IF($C113=0,0,FORECAST($C113, OFFSET('De Vaucouleurs Deprojection'!$F$2:$F$127, MATCH($C113, 'De Vaucouleurs Deprojection'!$A$2:$A$127,1)-1,0,2), OFFSET('De Vaucouleurs Deprojection'!$A$2:$A$127, MATCH($C113, 'De Vaucouleurs Deprojection'!$A$2:$A$127,1)-1,0,2))*QESTotalBulgeMass)</f>
        <v>8.6648246988643892E+39</v>
      </c>
      <c r="F113" s="15">
        <f t="shared" si="10"/>
        <v>2.5817042324196584E+40</v>
      </c>
      <c r="H113" s="18">
        <f t="shared" si="11"/>
        <v>3.4481867023060972E+40</v>
      </c>
      <c r="I113" s="16">
        <v>156.45977999999999</v>
      </c>
      <c r="J113" s="45">
        <v>1</v>
      </c>
      <c r="K113" s="19">
        <f t="shared" si="12"/>
        <v>141.54754437817007</v>
      </c>
      <c r="L113" s="16">
        <f t="shared" si="13"/>
        <v>222.37477124097322</v>
      </c>
    </row>
    <row r="114" spans="1:12" x14ac:dyDescent="0.25">
      <c r="A114" s="16">
        <v>5.35</v>
      </c>
      <c r="B114" s="45">
        <f t="shared" si="7"/>
        <v>5350</v>
      </c>
      <c r="C114" s="16">
        <f t="shared" si="8"/>
        <v>17.635153764167857</v>
      </c>
      <c r="D114" s="15">
        <f t="shared" si="9"/>
        <v>1.6508375052999999E+20</v>
      </c>
      <c r="E114" s="15">
        <f>IF($C114=0,0,FORECAST($C114, OFFSET('De Vaucouleurs Deprojection'!$F$2:$F$127, MATCH($C114, 'De Vaucouleurs Deprojection'!$A$2:$A$127,1)-1,0,2), OFFSET('De Vaucouleurs Deprojection'!$A$2:$A$127, MATCH($C114, 'De Vaucouleurs Deprojection'!$A$2:$A$127,1)-1,0,2))*QESTotalBulgeMass)</f>
        <v>8.6684340004893274E+39</v>
      </c>
      <c r="F114" s="15">
        <f t="shared" si="10"/>
        <v>2.5846992044839501E+40</v>
      </c>
      <c r="H114" s="18">
        <f t="shared" si="11"/>
        <v>3.4515426045328826E+40</v>
      </c>
      <c r="I114" s="16">
        <v>156.36618000000001</v>
      </c>
      <c r="J114" s="45">
        <v>1</v>
      </c>
      <c r="K114" s="19">
        <f t="shared" si="12"/>
        <v>141.32948071618407</v>
      </c>
      <c r="L114" s="16">
        <f t="shared" si="13"/>
        <v>226.10232535191108</v>
      </c>
    </row>
    <row r="115" spans="1:12" x14ac:dyDescent="0.25">
      <c r="A115" s="16">
        <v>5.4</v>
      </c>
      <c r="B115" s="45">
        <f t="shared" si="7"/>
        <v>5400</v>
      </c>
      <c r="C115" s="16">
        <f t="shared" si="8"/>
        <v>17.799968285328305</v>
      </c>
      <c r="D115" s="15">
        <f t="shared" si="9"/>
        <v>1.6662658932000001E+20</v>
      </c>
      <c r="E115" s="15">
        <f>IF($C115=0,0,FORECAST($C115, OFFSET('De Vaucouleurs Deprojection'!$F$2:$F$127, MATCH($C115, 'De Vaucouleurs Deprojection'!$A$2:$A$127,1)-1,0,2), OFFSET('De Vaucouleurs Deprojection'!$A$2:$A$127, MATCH($C115, 'De Vaucouleurs Deprojection'!$A$2:$A$127,1)-1,0,2))*QESTotalBulgeMass)</f>
        <v>8.6720433021142655E+39</v>
      </c>
      <c r="F115" s="15">
        <f t="shared" si="10"/>
        <v>2.5875689891331916E+40</v>
      </c>
      <c r="H115" s="18">
        <f t="shared" si="11"/>
        <v>3.4547733193446182E+40</v>
      </c>
      <c r="I115" s="16">
        <v>156.27347</v>
      </c>
      <c r="J115" s="45">
        <v>1</v>
      </c>
      <c r="K115" s="19">
        <f t="shared" si="12"/>
        <v>141.11704251755654</v>
      </c>
      <c r="L115" s="16">
        <f t="shared" si="13"/>
        <v>229.71729403056744</v>
      </c>
    </row>
    <row r="116" spans="1:12" x14ac:dyDescent="0.25">
      <c r="A116" s="16">
        <v>5.45</v>
      </c>
      <c r="B116" s="45">
        <f t="shared" si="7"/>
        <v>5450</v>
      </c>
      <c r="C116" s="16">
        <f t="shared" si="8"/>
        <v>17.964782806488753</v>
      </c>
      <c r="D116" s="15">
        <f t="shared" si="9"/>
        <v>1.6816942811E+20</v>
      </c>
      <c r="E116" s="15">
        <f>IF($C116=0,0,FORECAST($C116, OFFSET('De Vaucouleurs Deprojection'!$F$2:$F$127, MATCH($C116, 'De Vaucouleurs Deprojection'!$A$2:$A$127,1)-1,0,2), OFFSET('De Vaucouleurs Deprojection'!$A$2:$A$127, MATCH($C116, 'De Vaucouleurs Deprojection'!$A$2:$A$127,1)-1,0,2))*QESTotalBulgeMass)</f>
        <v>8.6756526037392049E+39</v>
      </c>
      <c r="F116" s="15">
        <f t="shared" si="10"/>
        <v>2.5903185811293383E+40</v>
      </c>
      <c r="H116" s="18">
        <f t="shared" si="11"/>
        <v>3.4578838415032587E+40</v>
      </c>
      <c r="I116" s="16">
        <v>156.17964000000001</v>
      </c>
      <c r="J116" s="45">
        <v>1</v>
      </c>
      <c r="K116" s="19">
        <f t="shared" si="12"/>
        <v>140.91016122145561</v>
      </c>
      <c r="L116" s="16">
        <f t="shared" si="13"/>
        <v>233.15698216841767</v>
      </c>
    </row>
    <row r="117" spans="1:12" x14ac:dyDescent="0.25">
      <c r="A117" s="16">
        <v>5.5</v>
      </c>
      <c r="B117" s="45">
        <f t="shared" si="7"/>
        <v>5500</v>
      </c>
      <c r="C117" s="16">
        <f t="shared" si="8"/>
        <v>18.129597327649201</v>
      </c>
      <c r="D117" s="15">
        <f t="shared" si="9"/>
        <v>1.6971226690000001E+20</v>
      </c>
      <c r="E117" s="15">
        <f>IF($C117=0,0,FORECAST($C117, OFFSET('De Vaucouleurs Deprojection'!$F$2:$F$127, MATCH($C117, 'De Vaucouleurs Deprojection'!$A$2:$A$127,1)-1,0,2), OFFSET('De Vaucouleurs Deprojection'!$A$2:$A$127, MATCH($C117, 'De Vaucouleurs Deprojection'!$A$2:$A$127,1)-1,0,2))*QESTotalBulgeMass)</f>
        <v>8.6792619053641431E+39</v>
      </c>
      <c r="F117" s="15">
        <f t="shared" si="10"/>
        <v>2.5929527905937923E+40</v>
      </c>
      <c r="H117" s="18">
        <f t="shared" si="11"/>
        <v>3.4608789811302064E+40</v>
      </c>
      <c r="I117" s="16">
        <v>156.08192</v>
      </c>
      <c r="J117" s="45">
        <v>1</v>
      </c>
      <c r="K117" s="19">
        <f t="shared" si="12"/>
        <v>140.708768043036</v>
      </c>
      <c r="L117" s="16">
        <f t="shared" si="13"/>
        <v>236.33380109190588</v>
      </c>
    </row>
    <row r="118" spans="1:12" x14ac:dyDescent="0.25">
      <c r="A118" s="16">
        <v>5.55</v>
      </c>
      <c r="B118" s="45">
        <f t="shared" si="7"/>
        <v>5550</v>
      </c>
      <c r="C118" s="16">
        <f t="shared" si="8"/>
        <v>18.294411848809645</v>
      </c>
      <c r="D118" s="15">
        <f t="shared" si="9"/>
        <v>1.7125510569E+20</v>
      </c>
      <c r="E118" s="15">
        <f>IF($C118=0,0,FORECAST($C118, OFFSET('De Vaucouleurs Deprojection'!$F$2:$F$127, MATCH($C118, 'De Vaucouleurs Deprojection'!$A$2:$A$127,1)-1,0,2), OFFSET('De Vaucouleurs Deprojection'!$A$2:$A$127, MATCH($C118, 'De Vaucouleurs Deprojection'!$A$2:$A$127,1)-1,0,2))*QESTotalBulgeMass)</f>
        <v>8.6828712069890801E+39</v>
      </c>
      <c r="F118" s="15">
        <f t="shared" si="10"/>
        <v>2.5954762488891771E+40</v>
      </c>
      <c r="H118" s="18">
        <f t="shared" si="11"/>
        <v>3.4637633695880848E+40</v>
      </c>
      <c r="I118" s="16">
        <v>155.97696999999999</v>
      </c>
      <c r="J118" s="45">
        <v>1</v>
      </c>
      <c r="K118" s="19">
        <f t="shared" si="12"/>
        <v>140.51279404236351</v>
      </c>
      <c r="L118" s="16">
        <f t="shared" si="13"/>
        <v>239.14073804874229</v>
      </c>
    </row>
    <row r="119" spans="1:12" x14ac:dyDescent="0.25">
      <c r="A119" s="16">
        <v>5.6</v>
      </c>
      <c r="B119" s="45">
        <f t="shared" si="7"/>
        <v>5600</v>
      </c>
      <c r="C119" s="16">
        <f t="shared" si="8"/>
        <v>18.459226369970093</v>
      </c>
      <c r="D119" s="15">
        <f t="shared" si="9"/>
        <v>1.7279794447999998E+20</v>
      </c>
      <c r="E119" s="15">
        <f>IF($C119=0,0,FORECAST($C119, OFFSET('De Vaucouleurs Deprojection'!$F$2:$F$127, MATCH($C119, 'De Vaucouleurs Deprojection'!$A$2:$A$127,1)-1,0,2), OFFSET('De Vaucouleurs Deprojection'!$A$2:$A$127, MATCH($C119, 'De Vaucouleurs Deprojection'!$A$2:$A$127,1)-1,0,2))*QESTotalBulgeMass)</f>
        <v>8.6864805086140182E+39</v>
      </c>
      <c r="F119" s="15">
        <f t="shared" si="10"/>
        <v>2.5978934143794108E+40</v>
      </c>
      <c r="H119" s="18">
        <f t="shared" si="11"/>
        <v>3.4665414652408128E+40</v>
      </c>
      <c r="I119" s="16">
        <v>155.86136999999999</v>
      </c>
      <c r="J119" s="45">
        <v>1</v>
      </c>
      <c r="K119" s="19">
        <f t="shared" si="12"/>
        <v>140.32217018968348</v>
      </c>
      <c r="L119" s="16">
        <f t="shared" si="13"/>
        <v>241.46673074494092</v>
      </c>
    </row>
    <row r="120" spans="1:12" x14ac:dyDescent="0.25">
      <c r="A120" s="16">
        <v>5.65</v>
      </c>
      <c r="B120" s="45">
        <f t="shared" si="7"/>
        <v>5650</v>
      </c>
      <c r="C120" s="16">
        <f t="shared" si="8"/>
        <v>18.624040891130541</v>
      </c>
      <c r="D120" s="15">
        <f t="shared" si="9"/>
        <v>1.7434078327E+20</v>
      </c>
      <c r="E120" s="15">
        <f>IF($C120=0,0,FORECAST($C120, OFFSET('De Vaucouleurs Deprojection'!$F$2:$F$127, MATCH($C120, 'De Vaucouleurs Deprojection'!$A$2:$A$127,1)-1,0,2), OFFSET('De Vaucouleurs Deprojection'!$A$2:$A$127, MATCH($C120, 'De Vaucouleurs Deprojection'!$A$2:$A$127,1)-1,0,2))*QESTotalBulgeMass)</f>
        <v>8.6900898102389564E+39</v>
      </c>
      <c r="F120" s="15">
        <f t="shared" si="10"/>
        <v>2.600208578065288E+40</v>
      </c>
      <c r="H120" s="18">
        <f t="shared" si="11"/>
        <v>3.4692175590891836E+40</v>
      </c>
      <c r="I120" s="16">
        <v>155.73222000000001</v>
      </c>
      <c r="J120" s="45">
        <v>1</v>
      </c>
      <c r="K120" s="19">
        <f t="shared" si="12"/>
        <v>140.1368274271521</v>
      </c>
      <c r="L120" s="16">
        <f t="shared" si="13"/>
        <v>243.21626950123985</v>
      </c>
    </row>
    <row r="121" spans="1:12" x14ac:dyDescent="0.25">
      <c r="A121" s="16">
        <v>5.7</v>
      </c>
      <c r="B121" s="45">
        <f t="shared" si="7"/>
        <v>5700</v>
      </c>
      <c r="C121" s="16">
        <f t="shared" si="8"/>
        <v>18.788855412290989</v>
      </c>
      <c r="D121" s="15">
        <f t="shared" si="9"/>
        <v>1.7588362206000002E+20</v>
      </c>
      <c r="E121" s="15">
        <f>IF($C121=0,0,FORECAST($C121, OFFSET('De Vaucouleurs Deprojection'!$F$2:$F$127, MATCH($C121, 'De Vaucouleurs Deprojection'!$A$2:$A$127,1)-1,0,2), OFFSET('De Vaucouleurs Deprojection'!$A$2:$A$127, MATCH($C121, 'De Vaucouleurs Deprojection'!$A$2:$A$127,1)-1,0,2))*QESTotalBulgeMass)</f>
        <v>8.6936991118638946E+39</v>
      </c>
      <c r="F121" s="15">
        <f t="shared" si="10"/>
        <v>2.6024258690933879E+40</v>
      </c>
      <c r="H121" s="18">
        <f t="shared" si="11"/>
        <v>3.4717957802797772E+40</v>
      </c>
      <c r="I121" s="16">
        <v>155.58702</v>
      </c>
      <c r="J121" s="45">
        <v>1</v>
      </c>
      <c r="K121" s="19">
        <f t="shared" si="12"/>
        <v>139.95669672714953</v>
      </c>
      <c r="L121" s="16">
        <f t="shared" si="13"/>
        <v>244.30700561381076</v>
      </c>
    </row>
    <row r="122" spans="1:12" x14ac:dyDescent="0.25">
      <c r="A122" s="16">
        <v>5.75</v>
      </c>
      <c r="B122" s="45">
        <f t="shared" si="7"/>
        <v>5750</v>
      </c>
      <c r="C122" s="16">
        <f t="shared" si="8"/>
        <v>18.953669933451437</v>
      </c>
      <c r="D122" s="15">
        <f t="shared" si="9"/>
        <v>1.7742646085E+20</v>
      </c>
      <c r="E122" s="15">
        <f>IF($C122=0,0,FORECAST($C122, OFFSET('De Vaucouleurs Deprojection'!$F$2:$F$127, MATCH($C122, 'De Vaucouleurs Deprojection'!$A$2:$A$127,1)-1,0,2), OFFSET('De Vaucouleurs Deprojection'!$A$2:$A$127, MATCH($C122, 'De Vaucouleurs Deprojection'!$A$2:$A$127,1)-1,0,2))*QESTotalBulgeMass)</f>
        <v>8.697308413488834E+39</v>
      </c>
      <c r="F122" s="15">
        <f t="shared" si="10"/>
        <v>2.6045492601366645E+40</v>
      </c>
      <c r="H122" s="18">
        <f t="shared" si="11"/>
        <v>3.4742801014855481E+40</v>
      </c>
      <c r="I122" s="16">
        <v>155.42329000000001</v>
      </c>
      <c r="J122" s="45">
        <v>1</v>
      </c>
      <c r="K122" s="19">
        <f t="shared" si="12"/>
        <v>139.78170914729276</v>
      </c>
      <c r="L122" s="16">
        <f t="shared" si="13"/>
        <v>244.65905157177806</v>
      </c>
    </row>
    <row r="123" spans="1:12" x14ac:dyDescent="0.25">
      <c r="A123" s="16">
        <v>5.8</v>
      </c>
      <c r="B123" s="45">
        <f t="shared" si="7"/>
        <v>5800</v>
      </c>
      <c r="C123" s="16">
        <f t="shared" si="8"/>
        <v>19.118484454611881</v>
      </c>
      <c r="D123" s="15">
        <f t="shared" si="9"/>
        <v>1.7896929963999999E+20</v>
      </c>
      <c r="E123" s="15">
        <f>IF($C123=0,0,FORECAST($C123, OFFSET('De Vaucouleurs Deprojection'!$F$2:$F$127, MATCH($C123, 'De Vaucouleurs Deprojection'!$A$2:$A$127,1)-1,0,2), OFFSET('De Vaucouleurs Deprojection'!$A$2:$A$127, MATCH($C123, 'De Vaucouleurs Deprojection'!$A$2:$A$127,1)-1,0,2))*QESTotalBulgeMass)</f>
        <v>8.7009177151137722E+39</v>
      </c>
      <c r="F123" s="15">
        <f t="shared" si="10"/>
        <v>2.6065825726455621E+40</v>
      </c>
      <c r="H123" s="18">
        <f t="shared" si="11"/>
        <v>3.4766743441569393E+40</v>
      </c>
      <c r="I123" s="16">
        <v>155.23856000000001</v>
      </c>
      <c r="J123" s="45">
        <v>1</v>
      </c>
      <c r="K123" s="19">
        <f t="shared" si="12"/>
        <v>139.61179588226611</v>
      </c>
      <c r="L123" s="16">
        <f t="shared" si="13"/>
        <v>244.19575679129571</v>
      </c>
    </row>
    <row r="124" spans="1:12" x14ac:dyDescent="0.25">
      <c r="A124" s="16">
        <v>5.85</v>
      </c>
      <c r="B124" s="45">
        <f t="shared" si="7"/>
        <v>5850</v>
      </c>
      <c r="C124" s="16">
        <f t="shared" si="8"/>
        <v>19.283298975772329</v>
      </c>
      <c r="D124" s="15">
        <f t="shared" si="9"/>
        <v>1.8051213843000001E+20</v>
      </c>
      <c r="E124" s="15">
        <f>IF($C124=0,0,FORECAST($C124, OFFSET('De Vaucouleurs Deprojection'!$F$2:$F$127, MATCH($C124, 'De Vaucouleurs Deprojection'!$A$2:$A$127,1)-1,0,2), OFFSET('De Vaucouleurs Deprojection'!$A$2:$A$127, MATCH($C124, 'De Vaucouleurs Deprojection'!$A$2:$A$127,1)-1,0,2))*QESTotalBulgeMass)</f>
        <v>8.7045270167387091E+39</v>
      </c>
      <c r="F124" s="15">
        <f t="shared" si="10"/>
        <v>2.6085294819689485E+40</v>
      </c>
      <c r="H124" s="18">
        <f t="shared" si="11"/>
        <v>3.4789821836428194E+40</v>
      </c>
      <c r="I124" s="16">
        <v>155.03110000000001</v>
      </c>
      <c r="J124" s="45">
        <v>1</v>
      </c>
      <c r="K124" s="19">
        <f t="shared" si="12"/>
        <v>139.446888312586</v>
      </c>
      <c r="L124" s="16">
        <f t="shared" si="13"/>
        <v>242.86765391813148</v>
      </c>
    </row>
    <row r="125" spans="1:12" x14ac:dyDescent="0.25">
      <c r="A125" s="16">
        <v>5.9</v>
      </c>
      <c r="B125" s="45">
        <f t="shared" si="7"/>
        <v>5900</v>
      </c>
      <c r="C125" s="16">
        <f t="shared" si="8"/>
        <v>19.448113496932777</v>
      </c>
      <c r="D125" s="15">
        <f t="shared" si="9"/>
        <v>1.8205497722000002E+20</v>
      </c>
      <c r="E125" s="15">
        <f>IF($C125=0,0,FORECAST($C125, OFFSET('De Vaucouleurs Deprojection'!$F$2:$F$127, MATCH($C125, 'De Vaucouleurs Deprojection'!$A$2:$A$127,1)-1,0,2), OFFSET('De Vaucouleurs Deprojection'!$A$2:$A$127, MATCH($C125, 'De Vaucouleurs Deprojection'!$A$2:$A$127,1)-1,0,2))*QESTotalBulgeMass)</f>
        <v>8.7081363183636473E+39</v>
      </c>
      <c r="F125" s="15">
        <f t="shared" si="10"/>
        <v>2.6103935223445727E+40</v>
      </c>
      <c r="H125" s="18">
        <f t="shared" si="11"/>
        <v>3.4812071541809373E+40</v>
      </c>
      <c r="I125" s="16">
        <v>154.80074999999999</v>
      </c>
      <c r="J125" s="45">
        <v>1</v>
      </c>
      <c r="K125" s="19">
        <f t="shared" si="12"/>
        <v>139.2869180504153</v>
      </c>
      <c r="L125" s="16">
        <f t="shared" si="13"/>
        <v>240.67898175995498</v>
      </c>
    </row>
    <row r="126" spans="1:12" x14ac:dyDescent="0.25">
      <c r="A126" s="16">
        <v>5.95</v>
      </c>
      <c r="B126" s="45">
        <f t="shared" si="7"/>
        <v>5950</v>
      </c>
      <c r="C126" s="16">
        <f t="shared" si="8"/>
        <v>19.612928018093225</v>
      </c>
      <c r="D126" s="15">
        <f t="shared" si="9"/>
        <v>1.8359781601000001E+20</v>
      </c>
      <c r="E126" s="15">
        <f>IF($C126=0,0,FORECAST($C126, OFFSET('De Vaucouleurs Deprojection'!$F$2:$F$127, MATCH($C126, 'De Vaucouleurs Deprojection'!$A$2:$A$127,1)-1,0,2), OFFSET('De Vaucouleurs Deprojection'!$A$2:$A$127, MATCH($C126, 'De Vaucouleurs Deprojection'!$A$2:$A$127,1)-1,0,2))*QESTotalBulgeMass)</f>
        <v>8.7117456199885855E+39</v>
      </c>
      <c r="F126" s="15">
        <f t="shared" si="10"/>
        <v>2.6121780917591038E+40</v>
      </c>
      <c r="H126" s="18">
        <f t="shared" si="11"/>
        <v>3.4833526537579621E+40</v>
      </c>
      <c r="I126" s="16">
        <v>154.54881</v>
      </c>
      <c r="J126" s="45">
        <v>1</v>
      </c>
      <c r="K126" s="19">
        <f t="shared" si="12"/>
        <v>139.13181698254013</v>
      </c>
      <c r="L126" s="16">
        <f t="shared" si="13"/>
        <v>237.6836737004065</v>
      </c>
    </row>
    <row r="127" spans="1:12" x14ac:dyDescent="0.25">
      <c r="A127" s="16">
        <v>6</v>
      </c>
      <c r="B127" s="45">
        <f t="shared" si="7"/>
        <v>6000</v>
      </c>
      <c r="C127" s="16">
        <f t="shared" si="8"/>
        <v>19.777742539253673</v>
      </c>
      <c r="D127" s="15">
        <f t="shared" si="9"/>
        <v>1.8514065479999999E+20</v>
      </c>
      <c r="E127" s="15">
        <f>IF($C127=0,0,FORECAST($C127, OFFSET('De Vaucouleurs Deprojection'!$F$2:$F$127, MATCH($C127, 'De Vaucouleurs Deprojection'!$A$2:$A$127,1)-1,0,2), OFFSET('De Vaucouleurs Deprojection'!$A$2:$A$127, MATCH($C127, 'De Vaucouleurs Deprojection'!$A$2:$A$127,1)-1,0,2))*QESTotalBulgeMass)</f>
        <v>8.7153549216135249E+39</v>
      </c>
      <c r="F127" s="15">
        <f t="shared" si="10"/>
        <v>2.6138864566781457E+40</v>
      </c>
      <c r="H127" s="18">
        <f t="shared" si="11"/>
        <v>3.4854219488394982E+40</v>
      </c>
      <c r="I127" s="16">
        <v>154.27727999999999</v>
      </c>
      <c r="J127" s="45">
        <v>1</v>
      </c>
      <c r="K127" s="19">
        <f t="shared" si="12"/>
        <v>138.98151731062177</v>
      </c>
      <c r="L127" s="16">
        <f t="shared" si="13"/>
        <v>233.96035624977489</v>
      </c>
    </row>
    <row r="128" spans="1:12" x14ac:dyDescent="0.25">
      <c r="A128" s="16">
        <v>6.05</v>
      </c>
      <c r="B128" s="45">
        <f t="shared" si="7"/>
        <v>6050</v>
      </c>
      <c r="C128" s="16">
        <f t="shared" si="8"/>
        <v>19.942557060414121</v>
      </c>
      <c r="D128" s="15">
        <f t="shared" si="9"/>
        <v>1.8668349359000001E+20</v>
      </c>
      <c r="E128" s="15">
        <f>IF($C128=0,0,FORECAST($C128, OFFSET('De Vaucouleurs Deprojection'!$F$2:$F$127, MATCH($C128, 'De Vaucouleurs Deprojection'!$A$2:$A$127,1)-1,0,2), OFFSET('De Vaucouleurs Deprojection'!$A$2:$A$127, MATCH($C128, 'De Vaucouleurs Deprojection'!$A$2:$A$127,1)-1,0,2))*QESTotalBulgeMass)</f>
        <v>8.7189642232384631E+39</v>
      </c>
      <c r="F128" s="15">
        <f t="shared" si="10"/>
        <v>2.6155217566469192E+40</v>
      </c>
      <c r="H128" s="18">
        <f t="shared" si="11"/>
        <v>3.4874181789707654E+40</v>
      </c>
      <c r="I128" s="16">
        <v>153.98841999999999</v>
      </c>
      <c r="J128" s="45">
        <v>1</v>
      </c>
      <c r="K128" s="19">
        <f t="shared" si="12"/>
        <v>138.83595158883207</v>
      </c>
      <c r="L128" s="16">
        <f t="shared" si="13"/>
        <v>229.59729895144156</v>
      </c>
    </row>
    <row r="129" spans="1:12" x14ac:dyDescent="0.25">
      <c r="A129" s="16">
        <v>6.1</v>
      </c>
      <c r="B129" s="45">
        <f t="shared" si="7"/>
        <v>6100</v>
      </c>
      <c r="C129" s="16">
        <f t="shared" si="8"/>
        <v>20.107371581574565</v>
      </c>
      <c r="D129" s="15">
        <f t="shared" si="9"/>
        <v>1.8822633237999999E+20</v>
      </c>
      <c r="E129" s="15">
        <f>IF($C129=0,0,FORECAST($C129, OFFSET('De Vaucouleurs Deprojection'!$F$2:$F$127, MATCH($C129, 'De Vaucouleurs Deprojection'!$A$2:$A$127,1)-1,0,2), OFFSET('De Vaucouleurs Deprojection'!$A$2:$A$127, MATCH($C129, 'De Vaucouleurs Deprojection'!$A$2:$A$127,1)-1,0,2))*QESTotalBulgeMass)</f>
        <v>8.721285791038459E+39</v>
      </c>
      <c r="F129" s="15">
        <f t="shared" si="10"/>
        <v>2.6170870087625604E+40</v>
      </c>
      <c r="H129" s="18">
        <f t="shared" si="11"/>
        <v>3.4892155878664062E+40</v>
      </c>
      <c r="I129" s="16">
        <v>153.68512000000001</v>
      </c>
      <c r="J129" s="45">
        <v>1</v>
      </c>
      <c r="K129" s="19">
        <f t="shared" si="12"/>
        <v>138.69340668730095</v>
      </c>
      <c r="L129" s="16">
        <f t="shared" si="13"/>
        <v>224.75146805015828</v>
      </c>
    </row>
    <row r="130" spans="1:12" x14ac:dyDescent="0.25">
      <c r="A130" s="16">
        <v>6.15</v>
      </c>
      <c r="B130" s="45">
        <f t="shared" si="7"/>
        <v>6150</v>
      </c>
      <c r="C130" s="16">
        <f t="shared" si="8"/>
        <v>20.272186102735013</v>
      </c>
      <c r="D130" s="15">
        <f t="shared" si="9"/>
        <v>1.8976917117000001E+20</v>
      </c>
      <c r="E130" s="15">
        <f>IF($C130=0,0,FORECAST($C130, OFFSET('De Vaucouleurs Deprojection'!$F$2:$F$127, MATCH($C130, 'De Vaucouleurs Deprojection'!$A$2:$A$127,1)-1,0,2), OFFSET('De Vaucouleurs Deprojection'!$A$2:$A$127, MATCH($C130, 'De Vaucouleurs Deprojection'!$A$2:$A$127,1)-1,0,2))*QESTotalBulgeMass)</f>
        <v>8.7229184315150059E+39</v>
      </c>
      <c r="F130" s="15">
        <f t="shared" si="10"/>
        <v>2.6185851120192285E+40</v>
      </c>
      <c r="H130" s="18">
        <f t="shared" si="11"/>
        <v>3.4908769551707293E+40</v>
      </c>
      <c r="I130" s="16">
        <v>153.37163000000001</v>
      </c>
      <c r="J130" s="45">
        <v>1</v>
      </c>
      <c r="K130" s="19">
        <f t="shared" si="12"/>
        <v>138.55461122099564</v>
      </c>
      <c r="L130" s="16">
        <f t="shared" si="13"/>
        <v>219.54404549736819</v>
      </c>
    </row>
    <row r="131" spans="1:12" x14ac:dyDescent="0.25">
      <c r="A131" s="16">
        <v>6.2</v>
      </c>
      <c r="B131" s="45">
        <f t="shared" si="7"/>
        <v>6200</v>
      </c>
      <c r="C131" s="16">
        <f t="shared" si="8"/>
        <v>20.437000623895461</v>
      </c>
      <c r="D131" s="15">
        <f t="shared" si="9"/>
        <v>1.9131200996E+20</v>
      </c>
      <c r="E131" s="15">
        <f>IF($C131=0,0,FORECAST($C131, OFFSET('De Vaucouleurs Deprojection'!$F$2:$F$127, MATCH($C131, 'De Vaucouleurs Deprojection'!$A$2:$A$127,1)-1,0,2), OFFSET('De Vaucouleurs Deprojection'!$A$2:$A$127, MATCH($C131, 'De Vaucouleurs Deprojection'!$A$2:$A$127,1)-1,0,2))*QESTotalBulgeMass)</f>
        <v>8.7245510719915529E+39</v>
      </c>
      <c r="F131" s="15">
        <f t="shared" si="10"/>
        <v>2.6200188515274208E+40</v>
      </c>
      <c r="H131" s="18">
        <f t="shared" si="11"/>
        <v>3.4924739587265762E+40</v>
      </c>
      <c r="I131" s="16">
        <v>153.05341000000001</v>
      </c>
      <c r="J131" s="45">
        <v>1</v>
      </c>
      <c r="K131" s="19">
        <f t="shared" si="12"/>
        <v>138.42038536267518</v>
      </c>
      <c r="L131" s="16">
        <f t="shared" si="13"/>
        <v>214.12541003655568</v>
      </c>
    </row>
    <row r="132" spans="1:12" x14ac:dyDescent="0.25">
      <c r="A132" s="16">
        <v>6.25</v>
      </c>
      <c r="B132" s="45">
        <f t="shared" si="7"/>
        <v>6250</v>
      </c>
      <c r="C132" s="16">
        <f t="shared" si="8"/>
        <v>20.601815145055909</v>
      </c>
      <c r="D132" s="15">
        <f t="shared" si="9"/>
        <v>1.9285484875000001E+20</v>
      </c>
      <c r="E132" s="15">
        <f>IF($C132=0,0,FORECAST($C132, OFFSET('De Vaucouleurs Deprojection'!$F$2:$F$127, MATCH($C132, 'De Vaucouleurs Deprojection'!$A$2:$A$127,1)-1,0,2), OFFSET('De Vaucouleurs Deprojection'!$A$2:$A$127, MATCH($C132, 'De Vaucouleurs Deprojection'!$A$2:$A$127,1)-1,0,2))*QESTotalBulgeMass)</f>
        <v>8.7261837124680999E+39</v>
      </c>
      <c r="F132" s="15">
        <f t="shared" si="10"/>
        <v>2.6213909026090721E+40</v>
      </c>
      <c r="H132" s="18">
        <f t="shared" si="11"/>
        <v>3.4940092738558821E+40</v>
      </c>
      <c r="I132" s="16">
        <v>152.73607999999999</v>
      </c>
      <c r="J132" s="45">
        <v>1</v>
      </c>
      <c r="K132" s="19">
        <f t="shared" si="12"/>
        <v>138.29066277782283</v>
      </c>
      <c r="L132" s="16">
        <f t="shared" si="13"/>
        <v>208.67007872277239</v>
      </c>
    </row>
    <row r="133" spans="1:12" x14ac:dyDescent="0.25">
      <c r="A133" s="16">
        <v>6.3</v>
      </c>
      <c r="B133" s="45">
        <f t="shared" si="7"/>
        <v>6300</v>
      </c>
      <c r="C133" s="16">
        <f t="shared" si="8"/>
        <v>20.766629666216357</v>
      </c>
      <c r="D133" s="15">
        <f t="shared" si="9"/>
        <v>1.9439768754E+20</v>
      </c>
      <c r="E133" s="15">
        <f>IF($C133=0,0,FORECAST($C133, OFFSET('De Vaucouleurs Deprojection'!$F$2:$F$127, MATCH($C133, 'De Vaucouleurs Deprojection'!$A$2:$A$127,1)-1,0,2), OFFSET('De Vaucouleurs Deprojection'!$A$2:$A$127, MATCH($C133, 'De Vaucouleurs Deprojection'!$A$2:$A$127,1)-1,0,2))*QESTotalBulgeMass)</f>
        <v>8.7278163529446469E+39</v>
      </c>
      <c r="F133" s="15">
        <f t="shared" si="10"/>
        <v>2.6227038347702015E+40</v>
      </c>
      <c r="H133" s="18">
        <f t="shared" si="11"/>
        <v>3.4954854700646661E+40</v>
      </c>
      <c r="I133" s="16">
        <v>152.42406</v>
      </c>
      <c r="J133" s="45">
        <v>1</v>
      </c>
      <c r="K133" s="19">
        <f t="shared" si="12"/>
        <v>138.16537765398471</v>
      </c>
      <c r="L133" s="16">
        <f t="shared" si="13"/>
        <v>203.31002224456813</v>
      </c>
    </row>
    <row r="134" spans="1:12" x14ac:dyDescent="0.25">
      <c r="A134" s="16">
        <v>6.35</v>
      </c>
      <c r="B134" s="45">
        <f t="shared" si="7"/>
        <v>6350</v>
      </c>
      <c r="C134" s="16">
        <f t="shared" si="8"/>
        <v>20.931444187376801</v>
      </c>
      <c r="D134" s="15">
        <f t="shared" si="9"/>
        <v>1.9594052632999998E+20</v>
      </c>
      <c r="E134" s="15">
        <f>IF($C134=0,0,FORECAST($C134, OFFSET('De Vaucouleurs Deprojection'!$F$2:$F$127, MATCH($C134, 'De Vaucouleurs Deprojection'!$A$2:$A$127,1)-1,0,2), OFFSET('De Vaucouleurs Deprojection'!$A$2:$A$127, MATCH($C134, 'De Vaucouleurs Deprojection'!$A$2:$A$127,1)-1,0,2))*QESTotalBulgeMass)</f>
        <v>8.7294489934211951E+39</v>
      </c>
      <c r="F134" s="15">
        <f t="shared" si="10"/>
        <v>2.6239601155529736E+40</v>
      </c>
      <c r="H134" s="18">
        <f t="shared" si="11"/>
        <v>3.4969050148950933E+40</v>
      </c>
      <c r="I134" s="16">
        <v>152.11993000000001</v>
      </c>
      <c r="J134" s="45">
        <v>1</v>
      </c>
      <c r="K134" s="19">
        <f t="shared" si="12"/>
        <v>138.04446472414921</v>
      </c>
      <c r="L134" s="16">
        <f t="shared" si="13"/>
        <v>198.11872273168171</v>
      </c>
    </row>
    <row r="135" spans="1:12" x14ac:dyDescent="0.25">
      <c r="A135" s="16">
        <v>6.4</v>
      </c>
      <c r="B135" s="45">
        <f t="shared" si="7"/>
        <v>6400</v>
      </c>
      <c r="C135" s="16">
        <f t="shared" si="8"/>
        <v>21.096258708537249</v>
      </c>
      <c r="D135" s="15">
        <f t="shared" si="9"/>
        <v>1.9748336512E+20</v>
      </c>
      <c r="E135" s="15">
        <f>IF($C135=0,0,FORECAST($C135, OFFSET('De Vaucouleurs Deprojection'!$F$2:$F$127, MATCH($C135, 'De Vaucouleurs Deprojection'!$A$2:$A$127,1)-1,0,2), OFFSET('De Vaucouleurs Deprojection'!$A$2:$A$127, MATCH($C135, 'De Vaucouleurs Deprojection'!$A$2:$A$127,1)-1,0,2))*QESTotalBulgeMass)</f>
        <v>8.7310816338977421E+39</v>
      </c>
      <c r="F135" s="15">
        <f t="shared" si="10"/>
        <v>2.6251621142692091E+40</v>
      </c>
      <c r="H135" s="18">
        <f t="shared" si="11"/>
        <v>3.4982702776589833E+40</v>
      </c>
      <c r="I135" s="16">
        <v>151.82486</v>
      </c>
      <c r="J135" s="45">
        <v>1</v>
      </c>
      <c r="K135" s="19">
        <f t="shared" si="12"/>
        <v>137.92785928824742</v>
      </c>
      <c r="L135" s="16">
        <f t="shared" si="13"/>
        <v>193.12662878245177</v>
      </c>
    </row>
    <row r="136" spans="1:12" x14ac:dyDescent="0.25">
      <c r="A136" s="16">
        <v>6.45</v>
      </c>
      <c r="B136" s="45">
        <f t="shared" ref="B136:B199" si="14">RadiusKpc*1000</f>
        <v>6450</v>
      </c>
      <c r="C136" s="16">
        <f t="shared" ref="C136:C199" si="15">IF(QESBulgeEffectiveRadius=0,0,RadiusPc/QESBulgeEffectiveRadius)</f>
        <v>21.261073229697697</v>
      </c>
      <c r="D136" s="15">
        <f t="shared" ref="D136:D199" si="16">RadiusKpc*kpc</f>
        <v>1.9902620391000002E+20</v>
      </c>
      <c r="E136" s="15">
        <f>IF($C136=0,0,FORECAST($C136, OFFSET('De Vaucouleurs Deprojection'!$F$2:$F$127, MATCH($C136, 'De Vaucouleurs Deprojection'!$A$2:$A$127,1)-1,0,2), OFFSET('De Vaucouleurs Deprojection'!$A$2:$A$127, MATCH($C136, 'De Vaucouleurs Deprojection'!$A$2:$A$127,1)-1,0,2))*QESTotalBulgeMass)</f>
        <v>8.732714274374289E+39</v>
      </c>
      <c r="F136" s="15">
        <f t="shared" ref="F136:F199" si="17">2*PI()*QESDiskSurfaceDensity*QESDiskScaleLength*(QESDiskScaleLength-EXP(-RadiusPc/QESDiskScaleLength)*(RadiusPc+QESDiskScaleLength))*SolarMass</f>
        <v>2.6263121056174454E+40</v>
      </c>
      <c r="H136" s="18">
        <f t="shared" ref="H136:H199" si="18">BulgeMass+DiskMass+HaloMass</f>
        <v>3.4995835330548742E+40</v>
      </c>
      <c r="I136" s="16">
        <v>151.53908999999999</v>
      </c>
      <c r="J136" s="45">
        <v>1</v>
      </c>
      <c r="K136" s="19">
        <f t="shared" ref="K136:K199" si="19">SQRT(TotalMass*GravitationalConstant/RadiusKm+UniverseAcceleration*RadiusKm)/km</f>
        <v>137.81549723286042</v>
      </c>
      <c r="L136" s="16">
        <f t="shared" ref="L136:L199" si="20">(ObservedVelocity-ModelVelocity)^2/(VelocityError)^2</f>
        <v>188.33699843828538</v>
      </c>
    </row>
    <row r="137" spans="1:12" x14ac:dyDescent="0.25">
      <c r="A137" s="16">
        <v>6.5</v>
      </c>
      <c r="B137" s="45">
        <f t="shared" si="14"/>
        <v>6500</v>
      </c>
      <c r="C137" s="16">
        <f t="shared" si="15"/>
        <v>21.425887750858145</v>
      </c>
      <c r="D137" s="15">
        <f t="shared" si="16"/>
        <v>2.005690427E+20</v>
      </c>
      <c r="E137" s="15">
        <f>IF($C137=0,0,FORECAST($C137, OFFSET('De Vaucouleurs Deprojection'!$F$2:$F$127, MATCH($C137, 'De Vaucouleurs Deprojection'!$A$2:$A$127,1)-1,0,2), OFFSET('De Vaucouleurs Deprojection'!$A$2:$A$127, MATCH($C137, 'De Vaucouleurs Deprojection'!$A$2:$A$127,1)-1,0,2))*QESTotalBulgeMass)</f>
        <v>8.734346914850836E+39</v>
      </c>
      <c r="F137" s="15">
        <f t="shared" si="17"/>
        <v>2.627412273185765E+40</v>
      </c>
      <c r="H137" s="18">
        <f t="shared" si="18"/>
        <v>3.5008469646708484E+40</v>
      </c>
      <c r="I137" s="16">
        <v>151.26248000000001</v>
      </c>
      <c r="J137" s="45">
        <v>1</v>
      </c>
      <c r="K137" s="19">
        <f t="shared" si="19"/>
        <v>137.70731504921801</v>
      </c>
      <c r="L137" s="16">
        <f t="shared" si="20"/>
        <v>183.74249684290879</v>
      </c>
    </row>
    <row r="138" spans="1:12" x14ac:dyDescent="0.25">
      <c r="A138" s="16">
        <v>6.55</v>
      </c>
      <c r="B138" s="45">
        <f t="shared" si="14"/>
        <v>6550</v>
      </c>
      <c r="C138" s="16">
        <f t="shared" si="15"/>
        <v>21.590702272018593</v>
      </c>
      <c r="D138" s="15">
        <f t="shared" si="16"/>
        <v>2.0211188148999999E+20</v>
      </c>
      <c r="E138" s="15">
        <f>IF($C138=0,0,FORECAST($C138, OFFSET('De Vaucouleurs Deprojection'!$F$2:$F$127, MATCH($C138, 'De Vaucouleurs Deprojection'!$A$2:$A$127,1)-1,0,2), OFFSET('De Vaucouleurs Deprojection'!$A$2:$A$127, MATCH($C138, 'De Vaucouleurs Deprojection'!$A$2:$A$127,1)-1,0,2))*QESTotalBulgeMass)</f>
        <v>8.735979555327383E+39</v>
      </c>
      <c r="F138" s="15">
        <f t="shared" si="17"/>
        <v>2.6284647128426737E+40</v>
      </c>
      <c r="H138" s="18">
        <f t="shared" si="18"/>
        <v>3.5020626683754121E+40</v>
      </c>
      <c r="I138" s="16">
        <v>150.99399</v>
      </c>
      <c r="J138" s="45">
        <v>1</v>
      </c>
      <c r="K138" s="19">
        <f t="shared" si="19"/>
        <v>137.60324984956961</v>
      </c>
      <c r="L138" s="16">
        <f t="shared" si="20"/>
        <v>179.31192177634847</v>
      </c>
    </row>
    <row r="139" spans="1:12" x14ac:dyDescent="0.25">
      <c r="A139" s="16">
        <v>6.6</v>
      </c>
      <c r="B139" s="45">
        <f t="shared" si="14"/>
        <v>6600</v>
      </c>
      <c r="C139" s="16">
        <f t="shared" si="15"/>
        <v>21.755516793179037</v>
      </c>
      <c r="D139" s="15">
        <f t="shared" si="16"/>
        <v>2.0365472028E+20</v>
      </c>
      <c r="E139" s="15">
        <f>IF($C139=0,0,FORECAST($C139, OFFSET('De Vaucouleurs Deprojection'!$F$2:$F$127, MATCH($C139, 'De Vaucouleurs Deprojection'!$A$2:$A$127,1)-1,0,2), OFFSET('De Vaucouleurs Deprojection'!$A$2:$A$127, MATCH($C139, 'De Vaucouleurs Deprojection'!$A$2:$A$127,1)-1,0,2))*QESTotalBulgeMass)</f>
        <v>8.73761219580393E+39</v>
      </c>
      <c r="F139" s="15">
        <f t="shared" si="17"/>
        <v>2.6294714360183746E+40</v>
      </c>
      <c r="H139" s="18">
        <f t="shared" si="18"/>
        <v>3.5032326555987676E+40</v>
      </c>
      <c r="I139" s="16">
        <v>150.73138</v>
      </c>
      <c r="J139" s="45">
        <v>1</v>
      </c>
      <c r="K139" s="19">
        <f t="shared" si="19"/>
        <v>137.50323938200592</v>
      </c>
      <c r="L139" s="16">
        <f t="shared" si="20"/>
        <v>174.98370420942496</v>
      </c>
    </row>
    <row r="140" spans="1:12" x14ac:dyDescent="0.25">
      <c r="A140" s="16">
        <v>6.65</v>
      </c>
      <c r="B140" s="45">
        <f t="shared" si="14"/>
        <v>6650</v>
      </c>
      <c r="C140" s="16">
        <f t="shared" si="15"/>
        <v>21.920331314339485</v>
      </c>
      <c r="D140" s="15">
        <f t="shared" si="16"/>
        <v>2.0519755907000002E+20</v>
      </c>
      <c r="E140" s="15">
        <f>IF($C140=0,0,FORECAST($C140, OFFSET('De Vaucouleurs Deprojection'!$F$2:$F$127, MATCH($C140, 'De Vaucouleurs Deprojection'!$A$2:$A$127,1)-1,0,2), OFFSET('De Vaucouleurs Deprojection'!$A$2:$A$127, MATCH($C140, 'De Vaucouleurs Deprojection'!$A$2:$A$127,1)-1,0,2))*QESTotalBulgeMass)</f>
        <v>8.739244836280477E+39</v>
      </c>
      <c r="F140" s="15">
        <f t="shared" si="17"/>
        <v>2.6304343728788312E+40</v>
      </c>
      <c r="H140" s="18">
        <f t="shared" si="18"/>
        <v>3.5043588565068788E+40</v>
      </c>
      <c r="I140" s="16">
        <v>150.47134</v>
      </c>
      <c r="J140" s="45">
        <v>1</v>
      </c>
      <c r="K140" s="19">
        <f t="shared" si="19"/>
        <v>137.40722204380782</v>
      </c>
      <c r="L140" s="16">
        <f t="shared" si="20"/>
        <v>170.67117797330286</v>
      </c>
    </row>
    <row r="141" spans="1:12" x14ac:dyDescent="0.25">
      <c r="A141" s="16">
        <v>6.7</v>
      </c>
      <c r="B141" s="45">
        <f t="shared" si="14"/>
        <v>6700</v>
      </c>
      <c r="C141" s="16">
        <f t="shared" si="15"/>
        <v>22.085145835499933</v>
      </c>
      <c r="D141" s="15">
        <f t="shared" si="16"/>
        <v>2.0674039786000001E+20</v>
      </c>
      <c r="E141" s="15">
        <f>IF($C141=0,0,FORECAST($C141, OFFSET('De Vaucouleurs Deprojection'!$F$2:$F$127, MATCH($C141, 'De Vaucouleurs Deprojection'!$A$2:$A$127,1)-1,0,2), OFFSET('De Vaucouleurs Deprojection'!$A$2:$A$127, MATCH($C141, 'De Vaucouleurs Deprojection'!$A$2:$A$127,1)-1,0,2))*QESTotalBulgeMass)</f>
        <v>8.740877476757024E+39</v>
      </c>
      <c r="F141" s="15">
        <f t="shared" si="17"/>
        <v>2.6313553753950626E+40</v>
      </c>
      <c r="H141" s="18">
        <f t="shared" si="18"/>
        <v>3.5054431230707648E+40</v>
      </c>
      <c r="I141" s="16">
        <v>150.21030999999999</v>
      </c>
      <c r="J141" s="45">
        <v>1</v>
      </c>
      <c r="K141" s="19">
        <f t="shared" si="19"/>
        <v>137.31513689339559</v>
      </c>
      <c r="L141" s="16">
        <f t="shared" si="20"/>
        <v>166.28548944929346</v>
      </c>
    </row>
    <row r="142" spans="1:12" x14ac:dyDescent="0.25">
      <c r="A142" s="16">
        <v>6.75</v>
      </c>
      <c r="B142" s="45">
        <f t="shared" si="14"/>
        <v>6750</v>
      </c>
      <c r="C142" s="16">
        <f t="shared" si="15"/>
        <v>22.249960356660381</v>
      </c>
      <c r="D142" s="15">
        <f t="shared" si="16"/>
        <v>2.0828323664999999E+20</v>
      </c>
      <c r="E142" s="15">
        <f>IF($C142=0,0,FORECAST($C142, OFFSET('De Vaucouleurs Deprojection'!$F$2:$F$127, MATCH($C142, 'De Vaucouleurs Deprojection'!$A$2:$A$127,1)-1,0,2), OFFSET('De Vaucouleurs Deprojection'!$A$2:$A$127, MATCH($C142, 'De Vaucouleurs Deprojection'!$A$2:$A$127,1)-1,0,2))*QESTotalBulgeMass)</f>
        <v>8.7425101172335721E+39</v>
      </c>
      <c r="F142" s="15">
        <f t="shared" si="17"/>
        <v>2.6322362203101222E+40</v>
      </c>
      <c r="H142" s="18">
        <f t="shared" si="18"/>
        <v>3.5064872320334794E+40</v>
      </c>
      <c r="I142" s="16">
        <v>149.94562999999999</v>
      </c>
      <c r="J142" s="45">
        <v>1</v>
      </c>
      <c r="K142" s="19">
        <f t="shared" si="19"/>
        <v>137.22692366094904</v>
      </c>
      <c r="L142" s="16">
        <f t="shared" si="20"/>
        <v>161.76549093901491</v>
      </c>
    </row>
    <row r="143" spans="1:12" x14ac:dyDescent="0.25">
      <c r="A143" s="16">
        <v>6.8</v>
      </c>
      <c r="B143" s="45">
        <f t="shared" si="14"/>
        <v>6800</v>
      </c>
      <c r="C143" s="16">
        <f t="shared" si="15"/>
        <v>22.414774877820829</v>
      </c>
      <c r="D143" s="15">
        <f t="shared" si="16"/>
        <v>2.0982607544000001E+20</v>
      </c>
      <c r="E143" s="15">
        <f>IF($C143=0,0,FORECAST($C143, OFFSET('De Vaucouleurs Deprojection'!$F$2:$F$127, MATCH($C143, 'De Vaucouleurs Deprojection'!$A$2:$A$127,1)-1,0,2), OFFSET('De Vaucouleurs Deprojection'!$A$2:$A$127, MATCH($C143, 'De Vaucouleurs Deprojection'!$A$2:$A$127,1)-1,0,2))*QESTotalBulgeMass)</f>
        <v>8.7441427577101191E+39</v>
      </c>
      <c r="F143" s="15">
        <f t="shared" si="17"/>
        <v>2.6330786120062527E+40</v>
      </c>
      <c r="H143" s="18">
        <f t="shared" si="18"/>
        <v>3.5074928877772645E+40</v>
      </c>
      <c r="I143" s="16">
        <v>149.67625000000001</v>
      </c>
      <c r="J143" s="45">
        <v>1</v>
      </c>
      <c r="K143" s="19">
        <f t="shared" si="19"/>
        <v>137.14252275776752</v>
      </c>
      <c r="L143" s="16">
        <f t="shared" si="20"/>
        <v>157.09431858268078</v>
      </c>
    </row>
    <row r="144" spans="1:12" x14ac:dyDescent="0.25">
      <c r="A144" s="16">
        <v>6.85</v>
      </c>
      <c r="B144" s="45">
        <f t="shared" si="14"/>
        <v>6850</v>
      </c>
      <c r="C144" s="16">
        <f t="shared" si="15"/>
        <v>22.579589398981277</v>
      </c>
      <c r="D144" s="15">
        <f t="shared" si="16"/>
        <v>2.1136891422999999E+20</v>
      </c>
      <c r="E144" s="15">
        <f>IF($C144=0,0,FORECAST($C144, OFFSET('De Vaucouleurs Deprojection'!$F$2:$F$127, MATCH($C144, 'De Vaucouleurs Deprojection'!$A$2:$A$127,1)-1,0,2), OFFSET('De Vaucouleurs Deprojection'!$A$2:$A$127, MATCH($C144, 'De Vaucouleurs Deprojection'!$A$2:$A$127,1)-1,0,2))*QESTotalBulgeMass)</f>
        <v>8.7457753981866661E+39</v>
      </c>
      <c r="F144" s="15">
        <f t="shared" si="17"/>
        <v>2.6338841852747124E+40</v>
      </c>
      <c r="H144" s="18">
        <f t="shared" si="18"/>
        <v>3.5084617250933792E+40</v>
      </c>
      <c r="I144" s="16">
        <v>149.40273999999999</v>
      </c>
      <c r="J144" s="45">
        <v>1</v>
      </c>
      <c r="K144" s="19">
        <f t="shared" si="19"/>
        <v>137.06187528443496</v>
      </c>
      <c r="L144" s="16">
        <f t="shared" si="20"/>
        <v>152.29694192787801</v>
      </c>
    </row>
    <row r="145" spans="1:12" x14ac:dyDescent="0.25">
      <c r="A145" s="16">
        <v>6.9</v>
      </c>
      <c r="B145" s="45">
        <f t="shared" si="14"/>
        <v>6900</v>
      </c>
      <c r="C145" s="16">
        <f t="shared" si="15"/>
        <v>22.744403920141721</v>
      </c>
      <c r="D145" s="15">
        <f t="shared" si="16"/>
        <v>2.1291175302000001E+20</v>
      </c>
      <c r="E145" s="15">
        <f>IF($C145=0,0,FORECAST($C145, OFFSET('De Vaucouleurs Deprojection'!$F$2:$F$127, MATCH($C145, 'De Vaucouleurs Deprojection'!$A$2:$A$127,1)-1,0,2), OFFSET('De Vaucouleurs Deprojection'!$A$2:$A$127, MATCH($C145, 'De Vaucouleurs Deprojection'!$A$2:$A$127,1)-1,0,2))*QESTotalBulgeMass)</f>
        <v>8.7474080386632131E+39</v>
      </c>
      <c r="F145" s="15">
        <f t="shared" si="17"/>
        <v>2.6346545079907588E+40</v>
      </c>
      <c r="H145" s="18">
        <f t="shared" si="18"/>
        <v>3.5093953118570802E+40</v>
      </c>
      <c r="I145" s="16">
        <v>149.12663000000001</v>
      </c>
      <c r="J145" s="45">
        <v>1</v>
      </c>
      <c r="K145" s="19">
        <f t="shared" si="19"/>
        <v>136.984923037854</v>
      </c>
      <c r="L145" s="16">
        <f t="shared" si="20"/>
        <v>147.42104795462473</v>
      </c>
    </row>
    <row r="146" spans="1:12" x14ac:dyDescent="0.25">
      <c r="A146" s="16">
        <v>6.95</v>
      </c>
      <c r="B146" s="45">
        <f t="shared" si="14"/>
        <v>6950</v>
      </c>
      <c r="C146" s="16">
        <f t="shared" si="15"/>
        <v>22.909218441302169</v>
      </c>
      <c r="D146" s="15">
        <f t="shared" si="16"/>
        <v>2.1445459180999999E+20</v>
      </c>
      <c r="E146" s="15">
        <f>IF($C146=0,0,FORECAST($C146, OFFSET('De Vaucouleurs Deprojection'!$F$2:$F$127, MATCH($C146, 'De Vaucouleurs Deprojection'!$A$2:$A$127,1)-1,0,2), OFFSET('De Vaucouleurs Deprojection'!$A$2:$A$127, MATCH($C146, 'De Vaucouleurs Deprojection'!$A$2:$A$127,1)-1,0,2))*QESTotalBulgeMass)</f>
        <v>8.7490406791397601E+39</v>
      </c>
      <c r="F146" s="15">
        <f t="shared" si="17"/>
        <v>2.6353910836963072E+40</v>
      </c>
      <c r="H146" s="18">
        <f t="shared" si="18"/>
        <v>3.5102951516102832E+40</v>
      </c>
      <c r="I146" s="16">
        <v>148.84993</v>
      </c>
      <c r="J146" s="45">
        <v>1</v>
      </c>
      <c r="K146" s="19">
        <f t="shared" si="19"/>
        <v>136.91160851720932</v>
      </c>
      <c r="L146" s="16">
        <f t="shared" si="20"/>
        <v>142.52351982646155</v>
      </c>
    </row>
    <row r="147" spans="1:12" x14ac:dyDescent="0.25">
      <c r="A147" s="16">
        <v>7</v>
      </c>
      <c r="B147" s="45">
        <f t="shared" si="14"/>
        <v>7000</v>
      </c>
      <c r="C147" s="16">
        <f t="shared" si="15"/>
        <v>23.074032962462617</v>
      </c>
      <c r="D147" s="15">
        <f t="shared" si="16"/>
        <v>2.1599743060000001E+20</v>
      </c>
      <c r="E147" s="15">
        <f>IF($C147=0,0,FORECAST($C147, OFFSET('De Vaucouleurs Deprojection'!$F$2:$F$127, MATCH($C147, 'De Vaucouleurs Deprojection'!$A$2:$A$127,1)-1,0,2), OFFSET('De Vaucouleurs Deprojection'!$A$2:$A$127, MATCH($C147, 'De Vaucouleurs Deprojection'!$A$2:$A$127,1)-1,0,2))*QESTotalBulgeMass)</f>
        <v>8.7506733196163071E+39</v>
      </c>
      <c r="F147" s="15">
        <f t="shared" si="17"/>
        <v>2.6360953540927213E+40</v>
      </c>
      <c r="H147" s="18">
        <f t="shared" si="18"/>
        <v>3.5111626860543519E+40</v>
      </c>
      <c r="I147" s="16">
        <v>148.57464999999999</v>
      </c>
      <c r="J147" s="45">
        <v>1</v>
      </c>
      <c r="K147" s="19">
        <f t="shared" si="19"/>
        <v>136.84187492891985</v>
      </c>
      <c r="L147" s="16">
        <f t="shared" si="20"/>
        <v>137.65801086855961</v>
      </c>
    </row>
    <row r="148" spans="1:12" x14ac:dyDescent="0.25">
      <c r="A148" s="16">
        <v>7.05</v>
      </c>
      <c r="B148" s="45">
        <f t="shared" si="14"/>
        <v>7050</v>
      </c>
      <c r="C148" s="16">
        <f t="shared" si="15"/>
        <v>23.238847483623065</v>
      </c>
      <c r="D148" s="15">
        <f t="shared" si="16"/>
        <v>2.1754026939E+20</v>
      </c>
      <c r="E148" s="15">
        <f>IF($C148=0,0,FORECAST($C148, OFFSET('De Vaucouleurs Deprojection'!$F$2:$F$127, MATCH($C148, 'De Vaucouleurs Deprojection'!$A$2:$A$127,1)-1,0,2), OFFSET('De Vaucouleurs Deprojection'!$A$2:$A$127, MATCH($C148, 'De Vaucouleurs Deprojection'!$A$2:$A$127,1)-1,0,2))*QESTotalBulgeMass)</f>
        <v>8.752305960092854E+39</v>
      </c>
      <c r="F148" s="15">
        <f t="shared" si="17"/>
        <v>2.6367687014462321E+40</v>
      </c>
      <c r="H148" s="18">
        <f t="shared" si="18"/>
        <v>3.5119992974555172E+40</v>
      </c>
      <c r="I148" s="16">
        <v>148.30309</v>
      </c>
      <c r="J148" s="45">
        <v>1</v>
      </c>
      <c r="K148" s="19">
        <f t="shared" si="19"/>
        <v>136.77566619063504</v>
      </c>
      <c r="L148" s="16">
        <f t="shared" si="20"/>
        <v>132.8814996807142</v>
      </c>
    </row>
    <row r="149" spans="1:12" x14ac:dyDescent="0.25">
      <c r="A149" s="16">
        <v>7.1</v>
      </c>
      <c r="B149" s="45">
        <f t="shared" si="14"/>
        <v>7100</v>
      </c>
      <c r="C149" s="16">
        <f t="shared" si="15"/>
        <v>23.403662004783513</v>
      </c>
      <c r="D149" s="15">
        <f t="shared" si="16"/>
        <v>2.1908310817999998E+20</v>
      </c>
      <c r="E149" s="15">
        <f>IF($C149=0,0,FORECAST($C149, OFFSET('De Vaucouleurs Deprojection'!$F$2:$F$127, MATCH($C149, 'De Vaucouleurs Deprojection'!$A$2:$A$127,1)-1,0,2), OFFSET('De Vaucouleurs Deprojection'!$A$2:$A$127, MATCH($C149, 'De Vaucouleurs Deprojection'!$A$2:$A$127,1)-1,0,2))*QESTotalBulgeMass)</f>
        <v>8.753938600569401E+39</v>
      </c>
      <c r="F149" s="15">
        <f t="shared" si="17"/>
        <v>2.6374124509084262E+40</v>
      </c>
      <c r="H149" s="18">
        <f t="shared" si="18"/>
        <v>3.5128063109653664E+40</v>
      </c>
      <c r="I149" s="16">
        <v>148.03795</v>
      </c>
      <c r="J149" s="45">
        <v>1</v>
      </c>
      <c r="K149" s="19">
        <f t="shared" si="19"/>
        <v>136.71292693433</v>
      </c>
      <c r="L149" s="16">
        <f t="shared" si="20"/>
        <v>128.25614743795742</v>
      </c>
    </row>
    <row r="150" spans="1:12" x14ac:dyDescent="0.25">
      <c r="A150" s="16">
        <v>7.15</v>
      </c>
      <c r="B150" s="45">
        <f t="shared" si="14"/>
        <v>7150</v>
      </c>
      <c r="C150" s="16">
        <f t="shared" si="15"/>
        <v>23.568476525943957</v>
      </c>
      <c r="D150" s="15">
        <f t="shared" si="16"/>
        <v>2.2062594697E+20</v>
      </c>
      <c r="E150" s="15">
        <f>IF($C150=0,0,FORECAST($C150, OFFSET('De Vaucouleurs Deprojection'!$F$2:$F$127, MATCH($C150, 'De Vaucouleurs Deprojection'!$A$2:$A$127,1)-1,0,2), OFFSET('De Vaucouleurs Deprojection'!$A$2:$A$127, MATCH($C150, 'De Vaucouleurs Deprojection'!$A$2:$A$127,1)-1,0,2))*QESTotalBulgeMass)</f>
        <v>8.7555712410459492E+39</v>
      </c>
      <c r="F150" s="15">
        <f t="shared" si="17"/>
        <v>2.6380278727542294E+40</v>
      </c>
      <c r="H150" s="18">
        <f t="shared" si="18"/>
        <v>3.5135849968588242E+40</v>
      </c>
      <c r="I150" s="16">
        <v>147.78210000000001</v>
      </c>
      <c r="J150" s="45">
        <v>1</v>
      </c>
      <c r="K150" s="19">
        <f t="shared" si="19"/>
        <v>136.65360250855136</v>
      </c>
      <c r="L150" s="16">
        <f t="shared" si="20"/>
        <v>123.84345641717901</v>
      </c>
    </row>
    <row r="151" spans="1:12" x14ac:dyDescent="0.25">
      <c r="A151" s="16">
        <v>7.2</v>
      </c>
      <c r="B151" s="45">
        <f t="shared" si="14"/>
        <v>7200</v>
      </c>
      <c r="C151" s="16">
        <f t="shared" si="15"/>
        <v>23.733291047104405</v>
      </c>
      <c r="D151" s="15">
        <f t="shared" si="16"/>
        <v>2.2216878576000002E+20</v>
      </c>
      <c r="E151" s="15">
        <f>IF($C151=0,0,FORECAST($C151, OFFSET('De Vaucouleurs Deprojection'!$F$2:$F$127, MATCH($C151, 'De Vaucouleurs Deprojection'!$A$2:$A$127,1)-1,0,2), OFFSET('De Vaucouleurs Deprojection'!$A$2:$A$127, MATCH($C151, 'De Vaucouleurs Deprojection'!$A$2:$A$127,1)-1,0,2))*QESTotalBulgeMass)</f>
        <v>8.7572038815224962E+39</v>
      </c>
      <c r="F151" s="15">
        <f t="shared" si="17"/>
        <v>2.6386161845397883E+40</v>
      </c>
      <c r="H151" s="18">
        <f t="shared" si="18"/>
        <v>3.5143365726920382E+40</v>
      </c>
      <c r="I151" s="16">
        <v>147.5378</v>
      </c>
      <c r="J151" s="45">
        <v>1</v>
      </c>
      <c r="K151" s="19">
        <f t="shared" si="19"/>
        <v>136.59763897986301</v>
      </c>
      <c r="L151" s="16">
        <f t="shared" si="20"/>
        <v>119.687123146525</v>
      </c>
    </row>
    <row r="152" spans="1:12" x14ac:dyDescent="0.25">
      <c r="A152" s="16">
        <v>7.25</v>
      </c>
      <c r="B152" s="45">
        <f t="shared" si="14"/>
        <v>7250</v>
      </c>
      <c r="C152" s="16">
        <f t="shared" si="15"/>
        <v>23.898105568264853</v>
      </c>
      <c r="D152" s="15">
        <f t="shared" si="16"/>
        <v>2.2371162455E+20</v>
      </c>
      <c r="E152" s="15">
        <f>IF($C152=0,0,FORECAST($C152, OFFSET('De Vaucouleurs Deprojection'!$F$2:$F$127, MATCH($C152, 'De Vaucouleurs Deprojection'!$A$2:$A$127,1)-1,0,2), OFFSET('De Vaucouleurs Deprojection'!$A$2:$A$127, MATCH($C152, 'De Vaucouleurs Deprojection'!$A$2:$A$127,1)-1,0,2))*QESTotalBulgeMass)</f>
        <v>8.7588365219990432E+39</v>
      </c>
      <c r="F152" s="15">
        <f t="shared" si="17"/>
        <v>2.6391785531826237E+40</v>
      </c>
      <c r="H152" s="18">
        <f t="shared" si="18"/>
        <v>3.5150622053825281E+40</v>
      </c>
      <c r="I152" s="16">
        <v>147.30598000000001</v>
      </c>
      <c r="J152" s="45">
        <v>1</v>
      </c>
      <c r="K152" s="19">
        <f t="shared" si="19"/>
        <v>136.54498313353974</v>
      </c>
      <c r="L152" s="16">
        <f t="shared" si="20"/>
        <v>115.79905355996755</v>
      </c>
    </row>
    <row r="153" spans="1:12" x14ac:dyDescent="0.25">
      <c r="A153" s="16">
        <v>7.3</v>
      </c>
      <c r="B153" s="45">
        <f t="shared" si="14"/>
        <v>7300</v>
      </c>
      <c r="C153" s="16">
        <f t="shared" si="15"/>
        <v>24.062920089425301</v>
      </c>
      <c r="D153" s="15">
        <f t="shared" si="16"/>
        <v>2.2525446333999999E+20</v>
      </c>
      <c r="E153" s="15">
        <f>IF($C153=0,0,FORECAST($C153, OFFSET('De Vaucouleurs Deprojection'!$F$2:$F$127, MATCH($C153, 'De Vaucouleurs Deprojection'!$A$2:$A$127,1)-1,0,2), OFFSET('De Vaucouleurs Deprojection'!$A$2:$A$127, MATCH($C153, 'De Vaucouleurs Deprojection'!$A$2:$A$127,1)-1,0,2))*QESTotalBulgeMass)</f>
        <v>8.7604691624755902E+39</v>
      </c>
      <c r="F153" s="15">
        <f t="shared" si="17"/>
        <v>2.639716096966379E+40</v>
      </c>
      <c r="H153" s="18">
        <f t="shared" si="18"/>
        <v>3.515763013213938E+40</v>
      </c>
      <c r="I153" s="16">
        <v>147.08615</v>
      </c>
      <c r="J153" s="45">
        <v>1</v>
      </c>
      <c r="K153" s="19">
        <f t="shared" si="19"/>
        <v>136.49558247355475</v>
      </c>
      <c r="L153" s="16">
        <f t="shared" si="20"/>
        <v>112.16012053219677</v>
      </c>
    </row>
    <row r="154" spans="1:12" x14ac:dyDescent="0.25">
      <c r="A154" s="16">
        <v>7.35</v>
      </c>
      <c r="B154" s="45">
        <f t="shared" si="14"/>
        <v>7350</v>
      </c>
      <c r="C154" s="16">
        <f t="shared" si="15"/>
        <v>24.227734610585749</v>
      </c>
      <c r="D154" s="15">
        <f t="shared" si="16"/>
        <v>2.2679730213E+20</v>
      </c>
      <c r="E154" s="15">
        <f>IF($C154=0,0,FORECAST($C154, OFFSET('De Vaucouleurs Deprojection'!$F$2:$F$127, MATCH($C154, 'De Vaucouleurs Deprojection'!$A$2:$A$127,1)-1,0,2), OFFSET('De Vaucouleurs Deprojection'!$A$2:$A$127, MATCH($C154, 'De Vaucouleurs Deprojection'!$A$2:$A$127,1)-1,0,2))*QESTotalBulgeMass)</f>
        <v>8.7621018029521371E+39</v>
      </c>
      <c r="F154" s="15">
        <f t="shared" si="17"/>
        <v>2.6402298874724716E+40</v>
      </c>
      <c r="H154" s="18">
        <f t="shared" si="18"/>
        <v>3.5164400677676852E+40</v>
      </c>
      <c r="I154" s="16">
        <v>146.87698</v>
      </c>
      <c r="J154" s="45">
        <v>1</v>
      </c>
      <c r="K154" s="19">
        <f t="shared" si="19"/>
        <v>136.44938522190347</v>
      </c>
      <c r="L154" s="16">
        <f t="shared" si="20"/>
        <v>108.7347328561861</v>
      </c>
    </row>
    <row r="155" spans="1:12" x14ac:dyDescent="0.25">
      <c r="A155" s="16">
        <v>7.4</v>
      </c>
      <c r="B155" s="45">
        <f t="shared" si="14"/>
        <v>7400</v>
      </c>
      <c r="C155" s="16">
        <f t="shared" si="15"/>
        <v>24.392549131746197</v>
      </c>
      <c r="D155" s="15">
        <f t="shared" si="16"/>
        <v>2.2834014092000002E+20</v>
      </c>
      <c r="E155" s="15">
        <f>IF($C155=0,0,FORECAST($C155, OFFSET('De Vaucouleurs Deprojection'!$F$2:$F$127, MATCH($C155, 'De Vaucouleurs Deprojection'!$A$2:$A$127,1)-1,0,2), OFFSET('De Vaucouleurs Deprojection'!$A$2:$A$127, MATCH($C155, 'De Vaucouleurs Deprojection'!$A$2:$A$127,1)-1,0,2))*QESTotalBulgeMass)</f>
        <v>8.7637344434286841E+39</v>
      </c>
      <c r="F155" s="15">
        <f t="shared" si="17"/>
        <v>2.6407209514409013E+40</v>
      </c>
      <c r="H155" s="18">
        <f t="shared" si="18"/>
        <v>3.5170943957837695E+40</v>
      </c>
      <c r="I155" s="16">
        <v>146.67702</v>
      </c>
      <c r="J155" s="45">
        <v>1</v>
      </c>
      <c r="K155" s="19">
        <f t="shared" si="19"/>
        <v>136.40634031730724</v>
      </c>
      <c r="L155" s="16">
        <f t="shared" si="20"/>
        <v>105.48686114447783</v>
      </c>
    </row>
    <row r="156" spans="1:12" x14ac:dyDescent="0.25">
      <c r="A156" s="16">
        <v>7.45</v>
      </c>
      <c r="B156" s="45">
        <f t="shared" si="14"/>
        <v>7450</v>
      </c>
      <c r="C156" s="16">
        <f t="shared" si="15"/>
        <v>24.557363652906641</v>
      </c>
      <c r="D156" s="15">
        <f t="shared" si="16"/>
        <v>2.2988297971000001E+20</v>
      </c>
      <c r="E156" s="15">
        <f>IF($C156=0,0,FORECAST($C156, OFFSET('De Vaucouleurs Deprojection'!$F$2:$F$127, MATCH($C156, 'De Vaucouleurs Deprojection'!$A$2:$A$127,1)-1,0,2), OFFSET('De Vaucouleurs Deprojection'!$A$2:$A$127, MATCH($C156, 'De Vaucouleurs Deprojection'!$A$2:$A$127,1)-1,0,2))*QESTotalBulgeMass)</f>
        <v>8.7653670839052311E+39</v>
      </c>
      <c r="F156" s="15">
        <f t="shared" si="17"/>
        <v>2.6411902725624298E+40</v>
      </c>
      <c r="H156" s="18">
        <f t="shared" si="18"/>
        <v>3.517726980952953E+40</v>
      </c>
      <c r="I156" s="16">
        <v>146.48497</v>
      </c>
      <c r="J156" s="45">
        <v>1</v>
      </c>
      <c r="K156" s="19">
        <f t="shared" si="19"/>
        <v>136.36639741333457</v>
      </c>
      <c r="L156" s="16">
        <f t="shared" si="20"/>
        <v>102.38551119161727</v>
      </c>
    </row>
    <row r="157" spans="1:12" x14ac:dyDescent="0.25">
      <c r="A157" s="16">
        <v>7.5</v>
      </c>
      <c r="B157" s="45">
        <f t="shared" si="14"/>
        <v>7500</v>
      </c>
      <c r="C157" s="16">
        <f t="shared" si="15"/>
        <v>24.722178174067089</v>
      </c>
      <c r="D157" s="15">
        <f t="shared" si="16"/>
        <v>2.3142581849999999E+20</v>
      </c>
      <c r="E157" s="15">
        <f>IF($C157=0,0,FORECAST($C157, OFFSET('De Vaucouleurs Deprojection'!$F$2:$F$127, MATCH($C157, 'De Vaucouleurs Deprojection'!$A$2:$A$127,1)-1,0,2), OFFSET('De Vaucouleurs Deprojection'!$A$2:$A$127, MATCH($C157, 'De Vaucouleurs Deprojection'!$A$2:$A$127,1)-1,0,2))*QESTotalBulgeMass)</f>
        <v>8.7669997243817781E+39</v>
      </c>
      <c r="F157" s="15">
        <f t="shared" si="17"/>
        <v>2.6416387932043188E+40</v>
      </c>
      <c r="H157" s="18">
        <f t="shared" si="18"/>
        <v>3.5183387656424966E+40</v>
      </c>
      <c r="I157" s="16">
        <v>146.29964000000001</v>
      </c>
      <c r="J157" s="45">
        <v>1</v>
      </c>
      <c r="K157" s="19">
        <f t="shared" si="19"/>
        <v>136.32950687598012</v>
      </c>
      <c r="L157" s="16">
        <f t="shared" si="20"/>
        <v>99.403554510678717</v>
      </c>
    </row>
    <row r="158" spans="1:12" x14ac:dyDescent="0.25">
      <c r="A158" s="16">
        <v>7.55</v>
      </c>
      <c r="B158" s="45">
        <f t="shared" si="14"/>
        <v>7550</v>
      </c>
      <c r="C158" s="16">
        <f t="shared" si="15"/>
        <v>24.886992695227537</v>
      </c>
      <c r="D158" s="15">
        <f t="shared" si="16"/>
        <v>2.3296865729000001E+20</v>
      </c>
      <c r="E158" s="15">
        <f>IF($C158=0,0,FORECAST($C158, OFFSET('De Vaucouleurs Deprojection'!$F$2:$F$127, MATCH($C158, 'De Vaucouleurs Deprojection'!$A$2:$A$127,1)-1,0,2), OFFSET('De Vaucouleurs Deprojection'!$A$2:$A$127, MATCH($C158, 'De Vaucouleurs Deprojection'!$A$2:$A$127,1)-1,0,2))*QESTotalBulgeMass)</f>
        <v>8.7686323648583263E+39</v>
      </c>
      <c r="F158" s="15">
        <f t="shared" si="17"/>
        <v>2.6420674160717365E+40</v>
      </c>
      <c r="H158" s="18">
        <f t="shared" si="18"/>
        <v>3.5189306525575688E+40</v>
      </c>
      <c r="I158" s="16">
        <v>146.11977999999999</v>
      </c>
      <c r="J158" s="45">
        <v>1</v>
      </c>
      <c r="K158" s="19">
        <f t="shared" si="19"/>
        <v>136.29561978073627</v>
      </c>
      <c r="L158" s="16">
        <f t="shared" si="20"/>
        <v>96.514124013763734</v>
      </c>
    </row>
    <row r="159" spans="1:12" x14ac:dyDescent="0.25">
      <c r="A159" s="16">
        <v>7.6</v>
      </c>
      <c r="B159" s="45">
        <f t="shared" si="14"/>
        <v>7600</v>
      </c>
      <c r="C159" s="16">
        <f t="shared" si="15"/>
        <v>25.051807216387985</v>
      </c>
      <c r="D159" s="15">
        <f t="shared" si="16"/>
        <v>2.3451149607999999E+20</v>
      </c>
      <c r="E159" s="15">
        <f>IF($C159=0,0,FORECAST($C159, OFFSET('De Vaucouleurs Deprojection'!$F$2:$F$127, MATCH($C159, 'De Vaucouleurs Deprojection'!$A$2:$A$127,1)-1,0,2), OFFSET('De Vaucouleurs Deprojection'!$A$2:$A$127, MATCH($C159, 'De Vaucouleurs Deprojection'!$A$2:$A$127,1)-1,0,2))*QESTotalBulgeMass)</f>
        <v>8.7700661409316067E+39</v>
      </c>
      <c r="F159" s="15">
        <f t="shared" si="17"/>
        <v>2.6424770058069416E+40</v>
      </c>
      <c r="H159" s="18">
        <f t="shared" si="18"/>
        <v>3.519483619900102E+40</v>
      </c>
      <c r="I159" s="16">
        <v>145.94441</v>
      </c>
      <c r="J159" s="45">
        <v>1</v>
      </c>
      <c r="K159" s="19">
        <f t="shared" si="19"/>
        <v>136.26448024035554</v>
      </c>
      <c r="L159" s="16">
        <f t="shared" si="20"/>
        <v>93.701040151650574</v>
      </c>
    </row>
    <row r="160" spans="1:12" x14ac:dyDescent="0.25">
      <c r="A160" s="16">
        <v>7.65</v>
      </c>
      <c r="B160" s="45">
        <f t="shared" si="14"/>
        <v>7650</v>
      </c>
      <c r="C160" s="16">
        <f t="shared" si="15"/>
        <v>25.216621737548433</v>
      </c>
      <c r="D160" s="15">
        <f t="shared" si="16"/>
        <v>2.3605433487000001E+20</v>
      </c>
      <c r="E160" s="15">
        <f>IF($C160=0,0,FORECAST($C160, OFFSET('De Vaucouleurs Deprojection'!$F$2:$F$127, MATCH($C160, 'De Vaucouleurs Deprojection'!$A$2:$A$127,1)-1,0,2), OFFSET('De Vaucouleurs Deprojection'!$A$2:$A$127, MATCH($C160, 'De Vaucouleurs Deprojection'!$A$2:$A$127,1)-1,0,2))*QESTotalBulgeMass)</f>
        <v>8.7710661332234933E+39</v>
      </c>
      <c r="F160" s="15">
        <f t="shared" si="17"/>
        <v>2.6428683905282618E+40</v>
      </c>
      <c r="H160" s="18">
        <f t="shared" si="18"/>
        <v>3.5199750038506111E+40</v>
      </c>
      <c r="I160" s="16">
        <v>145.77298999999999</v>
      </c>
      <c r="J160" s="45">
        <v>1</v>
      </c>
      <c r="K160" s="19">
        <f t="shared" si="19"/>
        <v>136.23580091440471</v>
      </c>
      <c r="L160" s="16">
        <f t="shared" si="20"/>
        <v>90.95797565439787</v>
      </c>
    </row>
    <row r="161" spans="1:12" x14ac:dyDescent="0.25">
      <c r="A161" s="16">
        <v>7.7</v>
      </c>
      <c r="B161" s="45">
        <f t="shared" si="14"/>
        <v>7700</v>
      </c>
      <c r="C161" s="16">
        <f t="shared" si="15"/>
        <v>25.381436258708877</v>
      </c>
      <c r="D161" s="15">
        <f t="shared" si="16"/>
        <v>2.3759717365999999E+20</v>
      </c>
      <c r="E161" s="15">
        <f>IF($C161=0,0,FORECAST($C161, OFFSET('De Vaucouleurs Deprojection'!$F$2:$F$127, MATCH($C161, 'De Vaucouleurs Deprojection'!$A$2:$A$127,1)-1,0,2), OFFSET('De Vaucouleurs Deprojection'!$A$2:$A$127, MATCH($C161, 'De Vaucouleurs Deprojection'!$A$2:$A$127,1)-1,0,2))*QESTotalBulgeMass)</f>
        <v>8.7720661255153774E+39</v>
      </c>
      <c r="F161" s="15">
        <f t="shared" si="17"/>
        <v>2.6432423633108787E+40</v>
      </c>
      <c r="H161" s="18">
        <f t="shared" si="18"/>
        <v>3.5204489758624167E+40</v>
      </c>
      <c r="I161" s="16">
        <v>145.60581999999999</v>
      </c>
      <c r="J161" s="45">
        <v>1</v>
      </c>
      <c r="K161" s="19">
        <f t="shared" si="19"/>
        <v>136.20999074667813</v>
      </c>
      <c r="L161" s="16">
        <f t="shared" si="20"/>
        <v>88.281607357578892</v>
      </c>
    </row>
    <row r="162" spans="1:12" x14ac:dyDescent="0.25">
      <c r="A162" s="16">
        <v>7.75</v>
      </c>
      <c r="B162" s="45">
        <f t="shared" si="14"/>
        <v>7750</v>
      </c>
      <c r="C162" s="16">
        <f t="shared" si="15"/>
        <v>25.546250779869325</v>
      </c>
      <c r="D162" s="15">
        <f t="shared" si="16"/>
        <v>2.3914001245000001E+20</v>
      </c>
      <c r="E162" s="15">
        <f>IF($C162=0,0,FORECAST($C162, OFFSET('De Vaucouleurs Deprojection'!$F$2:$F$127, MATCH($C162, 'De Vaucouleurs Deprojection'!$A$2:$A$127,1)-1,0,2), OFFSET('De Vaucouleurs Deprojection'!$A$2:$A$127, MATCH($C162, 'De Vaucouleurs Deprojection'!$A$2:$A$127,1)-1,0,2))*QESTotalBulgeMass)</f>
        <v>8.7730661178072627E+39</v>
      </c>
      <c r="F162" s="15">
        <f t="shared" si="17"/>
        <v>2.6435996836113492E+40</v>
      </c>
      <c r="H162" s="18">
        <f t="shared" si="18"/>
        <v>3.5209062953920755E+40</v>
      </c>
      <c r="I162" s="16">
        <v>145.44399999999999</v>
      </c>
      <c r="J162" s="45">
        <v>1</v>
      </c>
      <c r="K162" s="19">
        <f t="shared" si="19"/>
        <v>136.18700349243079</v>
      </c>
      <c r="L162" s="16">
        <f t="shared" si="20"/>
        <v>85.691984341148327</v>
      </c>
    </row>
    <row r="163" spans="1:12" x14ac:dyDescent="0.25">
      <c r="A163" s="16">
        <v>7.8</v>
      </c>
      <c r="B163" s="45">
        <f t="shared" si="14"/>
        <v>7800</v>
      </c>
      <c r="C163" s="16">
        <f t="shared" si="15"/>
        <v>25.711065301029773</v>
      </c>
      <c r="D163" s="15">
        <f t="shared" si="16"/>
        <v>2.4068285124E+20</v>
      </c>
      <c r="E163" s="15">
        <f>IF($C163=0,0,FORECAST($C163, OFFSET('De Vaucouleurs Deprojection'!$F$2:$F$127, MATCH($C163, 'De Vaucouleurs Deprojection'!$A$2:$A$127,1)-1,0,2), OFFSET('De Vaucouleurs Deprojection'!$A$2:$A$127, MATCH($C163, 'De Vaucouleurs Deprojection'!$A$2:$A$127,1)-1,0,2))*QESTotalBulgeMass)</f>
        <v>8.774066110099148E+39</v>
      </c>
      <c r="F163" s="15">
        <f t="shared" si="17"/>
        <v>2.6439410786377713E+40</v>
      </c>
      <c r="H163" s="18">
        <f t="shared" si="18"/>
        <v>3.5213476896476859E+40</v>
      </c>
      <c r="I163" s="16">
        <v>145.28937999999999</v>
      </c>
      <c r="J163" s="45">
        <v>1</v>
      </c>
      <c r="K163" s="19">
        <f t="shared" si="19"/>
        <v>136.16679359759911</v>
      </c>
      <c r="L163" s="16">
        <f t="shared" si="20"/>
        <v>83.221582669269509</v>
      </c>
    </row>
    <row r="164" spans="1:12" x14ac:dyDescent="0.25">
      <c r="A164" s="16">
        <v>7.85</v>
      </c>
      <c r="B164" s="45">
        <f t="shared" si="14"/>
        <v>7850</v>
      </c>
      <c r="C164" s="16">
        <f t="shared" si="15"/>
        <v>25.875879822190221</v>
      </c>
      <c r="D164" s="15">
        <f t="shared" si="16"/>
        <v>2.4222569002999998E+20</v>
      </c>
      <c r="E164" s="15">
        <f>IF($C164=0,0,FORECAST($C164, OFFSET('De Vaucouleurs Deprojection'!$F$2:$F$127, MATCH($C164, 'De Vaucouleurs Deprojection'!$A$2:$A$127,1)-1,0,2), OFFSET('De Vaucouleurs Deprojection'!$A$2:$A$127, MATCH($C164, 'De Vaucouleurs Deprojection'!$A$2:$A$127,1)-1,0,2))*QESTotalBulgeMass)</f>
        <v>8.7750661023910333E+39</v>
      </c>
      <c r="F164" s="15">
        <f t="shared" si="17"/>
        <v>2.6442672446674399E+40</v>
      </c>
      <c r="H164" s="18">
        <f t="shared" si="18"/>
        <v>3.5217738549065432E+40</v>
      </c>
      <c r="I164" s="16">
        <v>145.14412999999999</v>
      </c>
      <c r="J164" s="45">
        <v>1</v>
      </c>
      <c r="K164" s="19">
        <f t="shared" si="19"/>
        <v>136.14931619343997</v>
      </c>
      <c r="L164" s="16">
        <f t="shared" si="20"/>
        <v>80.906675414682709</v>
      </c>
    </row>
    <row r="165" spans="1:12" x14ac:dyDescent="0.25">
      <c r="A165" s="16">
        <v>7.9</v>
      </c>
      <c r="B165" s="45">
        <f t="shared" si="14"/>
        <v>7900</v>
      </c>
      <c r="C165" s="16">
        <f t="shared" si="15"/>
        <v>26.040694343350669</v>
      </c>
      <c r="D165" s="15">
        <f t="shared" si="16"/>
        <v>2.4376852882E+20</v>
      </c>
      <c r="E165" s="15">
        <f>IF($C165=0,0,FORECAST($C165, OFFSET('De Vaucouleurs Deprojection'!$F$2:$F$127, MATCH($C165, 'De Vaucouleurs Deprojection'!$A$2:$A$127,1)-1,0,2), OFFSET('De Vaucouleurs Deprojection'!$A$2:$A$127, MATCH($C165, 'De Vaucouleurs Deprojection'!$A$2:$A$127,1)-1,0,2))*QESTotalBulgeMass)</f>
        <v>8.7760660946829174E+39</v>
      </c>
      <c r="F165" s="15">
        <f t="shared" si="17"/>
        <v>2.6445788483137914E+40</v>
      </c>
      <c r="H165" s="18">
        <f t="shared" si="18"/>
        <v>3.522185457782083E+40</v>
      </c>
      <c r="I165" s="16">
        <v>145.01006000000001</v>
      </c>
      <c r="J165" s="45">
        <v>1</v>
      </c>
      <c r="K165" s="19">
        <f t="shared" si="19"/>
        <v>136.13452709087616</v>
      </c>
      <c r="L165" s="16">
        <f t="shared" si="20"/>
        <v>78.775084420940431</v>
      </c>
    </row>
    <row r="166" spans="1:12" x14ac:dyDescent="0.25">
      <c r="A166" s="16">
        <v>7.95</v>
      </c>
      <c r="B166" s="45">
        <f t="shared" si="14"/>
        <v>7950</v>
      </c>
      <c r="C166" s="16">
        <f t="shared" si="15"/>
        <v>26.205508864511113</v>
      </c>
      <c r="D166" s="15">
        <f t="shared" si="16"/>
        <v>2.4531136761000002E+20</v>
      </c>
      <c r="E166" s="15">
        <f>IF($C166=0,0,FORECAST($C166, OFFSET('De Vaucouleurs Deprojection'!$F$2:$F$127, MATCH($C166, 'De Vaucouleurs Deprojection'!$A$2:$A$127,1)-1,0,2), OFFSET('De Vaucouleurs Deprojection'!$A$2:$A$127, MATCH($C166, 'De Vaucouleurs Deprojection'!$A$2:$A$127,1)-1,0,2))*QESTotalBulgeMass)</f>
        <v>8.7770660869748039E+39</v>
      </c>
      <c r="F166" s="15">
        <f t="shared" si="17"/>
        <v>2.6448765277443994E+40</v>
      </c>
      <c r="H166" s="18">
        <f t="shared" si="18"/>
        <v>3.5225831364418798E+40</v>
      </c>
      <c r="I166" s="16">
        <v>144.88849999999999</v>
      </c>
      <c r="J166" s="45">
        <v>1</v>
      </c>
      <c r="K166" s="19">
        <f t="shared" si="19"/>
        <v>136.12238277457288</v>
      </c>
      <c r="L166" s="16">
        <f t="shared" si="20"/>
        <v>76.844811209929887</v>
      </c>
    </row>
    <row r="167" spans="1:12" x14ac:dyDescent="0.25">
      <c r="A167" s="16">
        <v>8</v>
      </c>
      <c r="B167" s="45">
        <f t="shared" si="14"/>
        <v>8000</v>
      </c>
      <c r="C167" s="16">
        <f t="shared" si="15"/>
        <v>26.370323385671561</v>
      </c>
      <c r="D167" s="15">
        <f t="shared" si="16"/>
        <v>2.468542064E+20</v>
      </c>
      <c r="E167" s="15">
        <f>IF($C167=0,0,FORECAST($C167, OFFSET('De Vaucouleurs Deprojection'!$F$2:$F$127, MATCH($C167, 'De Vaucouleurs Deprojection'!$A$2:$A$127,1)-1,0,2), OFFSET('De Vaucouleurs Deprojection'!$A$2:$A$127, MATCH($C167, 'De Vaucouleurs Deprojection'!$A$2:$A$127,1)-1,0,2))*QESTotalBulgeMass)</f>
        <v>8.778066079266688E+39</v>
      </c>
      <c r="F167" s="15">
        <f t="shared" si="17"/>
        <v>2.6451608938517239E+40</v>
      </c>
      <c r="H167" s="18">
        <f t="shared" si="18"/>
        <v>3.5229675017783926E+40</v>
      </c>
      <c r="I167" s="16">
        <v>144.78056000000001</v>
      </c>
      <c r="J167" s="45">
        <v>1</v>
      </c>
      <c r="K167" s="19">
        <f t="shared" si="19"/>
        <v>136.11284039676875</v>
      </c>
      <c r="L167" s="16">
        <f t="shared" si="20"/>
        <v>75.129363120239503</v>
      </c>
    </row>
    <row r="168" spans="1:12" x14ac:dyDescent="0.25">
      <c r="A168" s="16">
        <v>8.0500000000000007</v>
      </c>
      <c r="B168" s="45">
        <f t="shared" si="14"/>
        <v>8050.0000000000009</v>
      </c>
      <c r="C168" s="16">
        <f t="shared" si="15"/>
        <v>26.535137906832013</v>
      </c>
      <c r="D168" s="15">
        <f t="shared" si="16"/>
        <v>2.4839704519000002E+20</v>
      </c>
      <c r="E168" s="15">
        <f>IF($C168=0,0,FORECAST($C168, OFFSET('De Vaucouleurs Deprojection'!$F$2:$F$127, MATCH($C168, 'De Vaucouleurs Deprojection'!$A$2:$A$127,1)-1,0,2), OFFSET('De Vaucouleurs Deprojection'!$A$2:$A$127, MATCH($C168, 'De Vaucouleurs Deprojection'!$A$2:$A$127,1)-1,0,2))*QESTotalBulgeMass)</f>
        <v>8.7790660715585734E+39</v>
      </c>
      <c r="F168" s="15">
        <f t="shared" si="17"/>
        <v>2.6454325313782676E+40</v>
      </c>
      <c r="H168" s="18">
        <f t="shared" si="18"/>
        <v>3.5233391385341251E+40</v>
      </c>
      <c r="I168" s="16">
        <v>144.68735000000001</v>
      </c>
      <c r="J168" s="45">
        <v>1</v>
      </c>
      <c r="K168" s="19">
        <f t="shared" si="19"/>
        <v>136.10585777088224</v>
      </c>
      <c r="L168" s="16">
        <f t="shared" si="20"/>
        <v>73.642008878408689</v>
      </c>
    </row>
    <row r="169" spans="1:12" x14ac:dyDescent="0.25">
      <c r="A169" s="16">
        <v>8.1</v>
      </c>
      <c r="B169" s="45">
        <f t="shared" si="14"/>
        <v>8100</v>
      </c>
      <c r="C169" s="16">
        <f t="shared" si="15"/>
        <v>26.699952427992457</v>
      </c>
      <c r="D169" s="15">
        <f t="shared" si="16"/>
        <v>2.4993988398E+20</v>
      </c>
      <c r="E169" s="15">
        <f>IF($C169=0,0,FORECAST($C169, OFFSET('De Vaucouleurs Deprojection'!$F$2:$F$127, MATCH($C169, 'De Vaucouleurs Deprojection'!$A$2:$A$127,1)-1,0,2), OFFSET('De Vaucouleurs Deprojection'!$A$2:$A$127, MATCH($C169, 'De Vaucouleurs Deprojection'!$A$2:$A$127,1)-1,0,2))*QESTotalBulgeMass)</f>
        <v>8.7800660638504587E+39</v>
      </c>
      <c r="F169" s="15">
        <f t="shared" si="17"/>
        <v>2.6456919999977668E+40</v>
      </c>
      <c r="H169" s="18">
        <f t="shared" si="18"/>
        <v>3.5236986063828125E+40</v>
      </c>
      <c r="I169" s="16">
        <v>144.60977</v>
      </c>
      <c r="J169" s="45">
        <v>1</v>
      </c>
      <c r="K169" s="19">
        <f t="shared" si="19"/>
        <v>136.10139336491568</v>
      </c>
      <c r="L169" s="16">
        <f t="shared" si="20"/>
        <v>72.392472964448743</v>
      </c>
    </row>
    <row r="170" spans="1:12" x14ac:dyDescent="0.25">
      <c r="A170" s="16">
        <v>8.15</v>
      </c>
      <c r="B170" s="45">
        <f t="shared" si="14"/>
        <v>8150</v>
      </c>
      <c r="C170" s="16">
        <f t="shared" si="15"/>
        <v>26.864766949152905</v>
      </c>
      <c r="D170" s="15">
        <f t="shared" si="16"/>
        <v>2.5148272277000002E+20</v>
      </c>
      <c r="E170" s="15">
        <f>IF($C170=0,0,FORECAST($C170, OFFSET('De Vaucouleurs Deprojection'!$F$2:$F$127, MATCH($C170, 'De Vaucouleurs Deprojection'!$A$2:$A$127,1)-1,0,2), OFFSET('De Vaucouleurs Deprojection'!$A$2:$A$127, MATCH($C170, 'De Vaucouleurs Deprojection'!$A$2:$A$127,1)-1,0,2))*QESTotalBulgeMass)</f>
        <v>8.781066056142344E+39</v>
      </c>
      <c r="F170" s="15">
        <f t="shared" si="17"/>
        <v>2.6459398353539675E+40</v>
      </c>
      <c r="H170" s="18">
        <f t="shared" si="18"/>
        <v>3.524046440968202E+40</v>
      </c>
      <c r="I170" s="16">
        <v>144.5479</v>
      </c>
      <c r="J170" s="45">
        <v>1</v>
      </c>
      <c r="K170" s="19">
        <f t="shared" si="19"/>
        <v>136.09940629467522</v>
      </c>
      <c r="L170" s="16">
        <f t="shared" si="20"/>
        <v>71.37704588891242</v>
      </c>
    </row>
    <row r="171" spans="1:12" x14ac:dyDescent="0.25">
      <c r="A171" s="16">
        <v>8.1999999999999993</v>
      </c>
      <c r="B171" s="45">
        <f t="shared" si="14"/>
        <v>8200</v>
      </c>
      <c r="C171" s="16">
        <f t="shared" si="15"/>
        <v>27.029581470313353</v>
      </c>
      <c r="D171" s="15">
        <f t="shared" si="16"/>
        <v>2.5302556155999997E+20</v>
      </c>
      <c r="E171" s="15">
        <f>IF($C171=0,0,FORECAST($C171, OFFSET('De Vaucouleurs Deprojection'!$F$2:$F$127, MATCH($C171, 'De Vaucouleurs Deprojection'!$A$2:$A$127,1)-1,0,2), OFFSET('De Vaucouleurs Deprojection'!$A$2:$A$127, MATCH($C171, 'De Vaucouleurs Deprojection'!$A$2:$A$127,1)-1,0,2))*QESTotalBulgeMass)</f>
        <v>8.7820660484342293E+39</v>
      </c>
      <c r="F171" s="15">
        <f t="shared" si="17"/>
        <v>2.6461765500585185E+40</v>
      </c>
      <c r="H171" s="18">
        <f t="shared" si="18"/>
        <v>3.5243831549019413E+40</v>
      </c>
      <c r="I171" s="16">
        <v>144.50064</v>
      </c>
      <c r="J171" s="45">
        <v>1</v>
      </c>
      <c r="K171" s="19">
        <f t="shared" si="19"/>
        <v>136.09985631682628</v>
      </c>
      <c r="L171" s="16">
        <f t="shared" si="20"/>
        <v>70.573166491477949</v>
      </c>
    </row>
    <row r="172" spans="1:12" x14ac:dyDescent="0.25">
      <c r="A172" s="16">
        <v>8.25</v>
      </c>
      <c r="B172" s="45">
        <f t="shared" si="14"/>
        <v>8250</v>
      </c>
      <c r="C172" s="16">
        <f t="shared" si="15"/>
        <v>27.194395991473797</v>
      </c>
      <c r="D172" s="15">
        <f t="shared" si="16"/>
        <v>2.5456840034999999E+20</v>
      </c>
      <c r="E172" s="15">
        <f>IF($C172=0,0,FORECAST($C172, OFFSET('De Vaucouleurs Deprojection'!$F$2:$F$127, MATCH($C172, 'De Vaucouleurs Deprojection'!$A$2:$A$127,1)-1,0,2), OFFSET('De Vaucouleurs Deprojection'!$A$2:$A$127, MATCH($C172, 'De Vaucouleurs Deprojection'!$A$2:$A$127,1)-1,0,2))*QESTotalBulgeMass)</f>
        <v>8.7830660407261146E+39</v>
      </c>
      <c r="F172" s="15">
        <f t="shared" si="17"/>
        <v>2.646402634649451E+40</v>
      </c>
      <c r="H172" s="18">
        <f t="shared" si="18"/>
        <v>3.5247092387220626E+40</v>
      </c>
      <c r="I172" s="16">
        <v>144.46628000000001</v>
      </c>
      <c r="J172" s="45">
        <v>1</v>
      </c>
      <c r="K172" s="19">
        <f t="shared" si="19"/>
        <v>136.10270382180158</v>
      </c>
      <c r="L172" s="16">
        <f t="shared" si="20"/>
        <v>69.94940648852824</v>
      </c>
    </row>
    <row r="173" spans="1:12" x14ac:dyDescent="0.25">
      <c r="A173" s="16">
        <v>8.3000000000000007</v>
      </c>
      <c r="B173" s="45">
        <f t="shared" si="14"/>
        <v>8300</v>
      </c>
      <c r="C173" s="16">
        <f t="shared" si="15"/>
        <v>27.359210512634245</v>
      </c>
      <c r="D173" s="15">
        <f t="shared" si="16"/>
        <v>2.5611123914000001E+20</v>
      </c>
      <c r="E173" s="15">
        <f>IF($C173=0,0,FORECAST($C173, OFFSET('De Vaucouleurs Deprojection'!$F$2:$F$127, MATCH($C173, 'De Vaucouleurs Deprojection'!$A$2:$A$127,1)-1,0,2), OFFSET('De Vaucouleurs Deprojection'!$A$2:$A$127, MATCH($C173, 'De Vaucouleurs Deprojection'!$A$2:$A$127,1)-1,0,2))*QESTotalBulgeMass)</f>
        <v>8.7840660330179987E+39</v>
      </c>
      <c r="F173" s="15">
        <f t="shared" si="17"/>
        <v>2.6466185585116774E+40</v>
      </c>
      <c r="H173" s="18">
        <f t="shared" si="18"/>
        <v>3.5250251618134772E+40</v>
      </c>
      <c r="I173" s="16">
        <v>144.44315</v>
      </c>
      <c r="J173" s="45">
        <v>1</v>
      </c>
      <c r="K173" s="19">
        <f t="shared" si="19"/>
        <v>136.10790982657886</v>
      </c>
      <c r="L173" s="16">
        <f t="shared" si="20"/>
        <v>69.476228748613693</v>
      </c>
    </row>
    <row r="174" spans="1:12" x14ac:dyDescent="0.25">
      <c r="A174" s="16">
        <v>8.35</v>
      </c>
      <c r="B174" s="45">
        <f t="shared" si="14"/>
        <v>8350</v>
      </c>
      <c r="C174" s="16">
        <f t="shared" si="15"/>
        <v>27.524025033794693</v>
      </c>
      <c r="D174" s="15">
        <f t="shared" si="16"/>
        <v>2.5765407792999999E+20</v>
      </c>
      <c r="E174" s="15">
        <f>IF($C174=0,0,FORECAST($C174, OFFSET('De Vaucouleurs Deprojection'!$F$2:$F$127, MATCH($C174, 'De Vaucouleurs Deprojection'!$A$2:$A$127,1)-1,0,2), OFFSET('De Vaucouleurs Deprojection'!$A$2:$A$127, MATCH($C174, 'De Vaucouleurs Deprojection'!$A$2:$A$127,1)-1,0,2))*QESTotalBulgeMass)</f>
        <v>8.7850660253098852E+39</v>
      </c>
      <c r="F174" s="15">
        <f t="shared" si="17"/>
        <v>2.6468247707608977E+40</v>
      </c>
      <c r="H174" s="18">
        <f t="shared" si="18"/>
        <v>3.5253313732918863E+40</v>
      </c>
      <c r="I174" s="16">
        <v>144.43027000000001</v>
      </c>
      <c r="J174" s="45">
        <v>1</v>
      </c>
      <c r="K174" s="19">
        <f t="shared" si="19"/>
        <v>136.11543596734347</v>
      </c>
      <c r="L174" s="16">
        <f t="shared" si="20"/>
        <v>69.136464990623324</v>
      </c>
    </row>
    <row r="175" spans="1:12" x14ac:dyDescent="0.25">
      <c r="A175" s="16">
        <v>8.4</v>
      </c>
      <c r="B175" s="45">
        <f t="shared" si="14"/>
        <v>8400</v>
      </c>
      <c r="C175" s="16">
        <f t="shared" si="15"/>
        <v>27.688839554955141</v>
      </c>
      <c r="D175" s="15">
        <f t="shared" si="16"/>
        <v>2.5919691672000001E+20</v>
      </c>
      <c r="E175" s="15">
        <f>IF($C175=0,0,FORECAST($C175, OFFSET('De Vaucouleurs Deprojection'!$F$2:$F$127, MATCH($C175, 'De Vaucouleurs Deprojection'!$A$2:$A$127,1)-1,0,2), OFFSET('De Vaucouleurs Deprojection'!$A$2:$A$127, MATCH($C175, 'De Vaucouleurs Deprojection'!$A$2:$A$127,1)-1,0,2))*QESTotalBulgeMass)</f>
        <v>8.7860660176017693E+39</v>
      </c>
      <c r="F175" s="15">
        <f t="shared" si="17"/>
        <v>2.6470217010922574E+40</v>
      </c>
      <c r="H175" s="18">
        <f t="shared" si="18"/>
        <v>3.5256283028524343E+40</v>
      </c>
      <c r="I175" s="16">
        <v>144.42743999999999</v>
      </c>
      <c r="J175" s="45">
        <v>1</v>
      </c>
      <c r="K175" s="19">
        <f t="shared" si="19"/>
        <v>136.12524449205119</v>
      </c>
      <c r="L175" s="16">
        <f t="shared" si="20"/>
        <v>68.926450252205157</v>
      </c>
    </row>
    <row r="176" spans="1:12" x14ac:dyDescent="0.25">
      <c r="A176" s="16">
        <v>8.4499999999999993</v>
      </c>
      <c r="B176" s="45">
        <f t="shared" si="14"/>
        <v>8450</v>
      </c>
      <c r="C176" s="16">
        <f t="shared" si="15"/>
        <v>27.853654076115589</v>
      </c>
      <c r="D176" s="15">
        <f t="shared" si="16"/>
        <v>2.6073975550999999E+20</v>
      </c>
      <c r="E176" s="15">
        <f>IF($C176=0,0,FORECAST($C176, OFFSET('De Vaucouleurs Deprojection'!$F$2:$F$127, MATCH($C176, 'De Vaucouleurs Deprojection'!$A$2:$A$127,1)-1,0,2), OFFSET('De Vaucouleurs Deprojection'!$A$2:$A$127, MATCH($C176, 'De Vaucouleurs Deprojection'!$A$2:$A$127,1)-1,0,2))*QESTotalBulgeMass)</f>
        <v>8.7870660098936547E+39</v>
      </c>
      <c r="F176" s="15">
        <f t="shared" si="17"/>
        <v>2.6472097605950548E+40</v>
      </c>
      <c r="H176" s="18">
        <f t="shared" si="18"/>
        <v>3.5259163615844201E+40</v>
      </c>
      <c r="I176" s="16">
        <v>144.43536</v>
      </c>
      <c r="J176" s="45">
        <v>1</v>
      </c>
      <c r="K176" s="19">
        <f t="shared" si="19"/>
        <v>136.137298252905</v>
      </c>
      <c r="L176" s="16">
        <f t="shared" si="20"/>
        <v>68.857828758601414</v>
      </c>
    </row>
    <row r="177" spans="1:12" x14ac:dyDescent="0.25">
      <c r="A177" s="16">
        <v>8.5</v>
      </c>
      <c r="B177" s="45">
        <f t="shared" si="14"/>
        <v>8500</v>
      </c>
      <c r="C177" s="16">
        <f t="shared" si="15"/>
        <v>28.018468597276033</v>
      </c>
      <c r="D177" s="15">
        <f t="shared" si="16"/>
        <v>2.6228259430000001E+20</v>
      </c>
      <c r="E177" s="15">
        <f>IF($C177=0,0,FORECAST($C177, OFFSET('De Vaucouleurs Deprojection'!$F$2:$F$127, MATCH($C177, 'De Vaucouleurs Deprojection'!$A$2:$A$127,1)-1,0,2), OFFSET('De Vaucouleurs Deprojection'!$A$2:$A$127, MATCH($C177, 'De Vaucouleurs Deprojection'!$A$2:$A$127,1)-1,0,2))*QESTotalBulgeMass)</f>
        <v>8.78806600218554E+39</v>
      </c>
      <c r="F177" s="15">
        <f t="shared" si="17"/>
        <v>2.6473893425347663E+40</v>
      </c>
      <c r="H177" s="18">
        <f t="shared" si="18"/>
        <v>3.5261959427533203E+40</v>
      </c>
      <c r="I177" s="16">
        <v>144.45527999999999</v>
      </c>
      <c r="J177" s="45">
        <v>1</v>
      </c>
      <c r="K177" s="19">
        <f t="shared" si="19"/>
        <v>136.15156069875903</v>
      </c>
      <c r="L177" s="16">
        <f t="shared" si="20"/>
        <v>68.951754233801665</v>
      </c>
    </row>
    <row r="178" spans="1:12" x14ac:dyDescent="0.25">
      <c r="A178" s="16">
        <v>8.5500000000000007</v>
      </c>
      <c r="B178" s="45">
        <f t="shared" si="14"/>
        <v>8550</v>
      </c>
      <c r="C178" s="16">
        <f t="shared" si="15"/>
        <v>28.183283118436481</v>
      </c>
      <c r="D178" s="15">
        <f t="shared" si="16"/>
        <v>2.6382543309000003E+20</v>
      </c>
      <c r="E178" s="15">
        <f>IF($C178=0,0,FORECAST($C178, OFFSET('De Vaucouleurs Deprojection'!$F$2:$F$127, MATCH($C178, 'De Vaucouleurs Deprojection'!$A$2:$A$127,1)-1,0,2), OFFSET('De Vaucouleurs Deprojection'!$A$2:$A$127, MATCH($C178, 'De Vaucouleurs Deprojection'!$A$2:$A$127,1)-1,0,2))*QESTotalBulgeMass)</f>
        <v>8.7890659944774253E+39</v>
      </c>
      <c r="F178" s="15">
        <f t="shared" si="17"/>
        <v>2.647560823103599E+40</v>
      </c>
      <c r="H178" s="18">
        <f t="shared" si="18"/>
        <v>3.5264674225513413E+40</v>
      </c>
      <c r="I178" s="16">
        <v>144.48875000000001</v>
      </c>
      <c r="J178" s="45">
        <v>1</v>
      </c>
      <c r="K178" s="19">
        <f t="shared" si="19"/>
        <v>136.16799586746217</v>
      </c>
      <c r="L178" s="16">
        <f t="shared" si="20"/>
        <v>69.234949334145597</v>
      </c>
    </row>
    <row r="179" spans="1:12" x14ac:dyDescent="0.25">
      <c r="A179" s="16">
        <v>8.6</v>
      </c>
      <c r="B179" s="45">
        <f t="shared" si="14"/>
        <v>8600</v>
      </c>
      <c r="C179" s="16">
        <f t="shared" si="15"/>
        <v>28.348097639596929</v>
      </c>
      <c r="D179" s="15">
        <f t="shared" si="16"/>
        <v>2.6536827187999998E+20</v>
      </c>
      <c r="E179" s="15">
        <f>IF($C179=0,0,FORECAST($C179, OFFSET('De Vaucouleurs Deprojection'!$F$2:$F$127, MATCH($C179, 'De Vaucouleurs Deprojection'!$A$2:$A$127,1)-1,0,2), OFFSET('De Vaucouleurs Deprojection'!$A$2:$A$127, MATCH($C179, 'De Vaucouleurs Deprojection'!$A$2:$A$127,1)-1,0,2))*QESTotalBulgeMass)</f>
        <v>8.7900659867693106E+39</v>
      </c>
      <c r="F179" s="15">
        <f t="shared" si="17"/>
        <v>2.6477245621407624E+40</v>
      </c>
      <c r="H179" s="18">
        <f t="shared" si="18"/>
        <v>3.5267311608176934E+40</v>
      </c>
      <c r="I179" s="16">
        <v>144.53704999999999</v>
      </c>
      <c r="J179" s="45">
        <v>1</v>
      </c>
      <c r="K179" s="19">
        <f t="shared" si="19"/>
        <v>136.186568378153</v>
      </c>
      <c r="L179" s="16">
        <f t="shared" si="20"/>
        <v>69.730543316804429</v>
      </c>
    </row>
    <row r="180" spans="1:12" x14ac:dyDescent="0.25">
      <c r="A180" s="16">
        <v>8.65</v>
      </c>
      <c r="B180" s="45">
        <f t="shared" si="14"/>
        <v>8650</v>
      </c>
      <c r="C180" s="16">
        <f t="shared" si="15"/>
        <v>28.512912160757377</v>
      </c>
      <c r="D180" s="15">
        <f t="shared" si="16"/>
        <v>2.6691111067E+20</v>
      </c>
      <c r="E180" s="15">
        <f>IF($C180=0,0,FORECAST($C180, OFFSET('De Vaucouleurs Deprojection'!$F$2:$F$127, MATCH($C180, 'De Vaucouleurs Deprojection'!$A$2:$A$127,1)-1,0,2), OFFSET('De Vaucouleurs Deprojection'!$A$2:$A$127, MATCH($C180, 'De Vaucouleurs Deprojection'!$A$2:$A$127,1)-1,0,2))*QESTotalBulgeMass)</f>
        <v>8.7910659790611959E+39</v>
      </c>
      <c r="F180" s="15">
        <f t="shared" si="17"/>
        <v>2.6478809038235942E+40</v>
      </c>
      <c r="H180" s="18">
        <f t="shared" si="18"/>
        <v>3.526987501729714E+40</v>
      </c>
      <c r="I180" s="16">
        <v>144.60106999999999</v>
      </c>
      <c r="J180" s="45">
        <v>1</v>
      </c>
      <c r="K180" s="19">
        <f t="shared" si="19"/>
        <v>136.2072434235169</v>
      </c>
      <c r="L180" s="16">
        <f t="shared" si="20"/>
        <v>70.456324596073884</v>
      </c>
    </row>
    <row r="181" spans="1:12" x14ac:dyDescent="0.25">
      <c r="A181" s="16">
        <v>8.6999999999999993</v>
      </c>
      <c r="B181" s="45">
        <f t="shared" si="14"/>
        <v>8700</v>
      </c>
      <c r="C181" s="16">
        <f t="shared" si="15"/>
        <v>28.677726681917825</v>
      </c>
      <c r="D181" s="15">
        <f t="shared" si="16"/>
        <v>2.6845394945999998E+20</v>
      </c>
      <c r="E181" s="15">
        <f>IF($C181=0,0,FORECAST($C181, OFFSET('De Vaucouleurs Deprojection'!$F$2:$F$127, MATCH($C181, 'De Vaucouleurs Deprojection'!$A$2:$A$127,1)-1,0,2), OFFSET('De Vaucouleurs Deprojection'!$A$2:$A$127, MATCH($C181, 'De Vaucouleurs Deprojection'!$A$2:$A$127,1)-1,0,2))*QESTotalBulgeMass)</f>
        <v>8.79206597135308E+39</v>
      </c>
      <c r="F181" s="15">
        <f t="shared" si="17"/>
        <v>2.6480301773306404E+40</v>
      </c>
      <c r="H181" s="18">
        <f t="shared" si="18"/>
        <v>3.5272367744659485E+40</v>
      </c>
      <c r="I181" s="16">
        <v>144.68161000000001</v>
      </c>
      <c r="J181" s="45">
        <v>1</v>
      </c>
      <c r="K181" s="19">
        <f t="shared" si="19"/>
        <v>136.22998676201576</v>
      </c>
      <c r="L181" s="16">
        <f t="shared" si="20"/>
        <v>71.429935356835387</v>
      </c>
    </row>
    <row r="182" spans="1:12" x14ac:dyDescent="0.25">
      <c r="A182" s="16">
        <v>8.75</v>
      </c>
      <c r="B182" s="45">
        <f t="shared" si="14"/>
        <v>8750</v>
      </c>
      <c r="C182" s="16">
        <f t="shared" si="15"/>
        <v>28.84254120307827</v>
      </c>
      <c r="D182" s="15">
        <f t="shared" si="16"/>
        <v>2.6999678825E+20</v>
      </c>
      <c r="E182" s="15">
        <f>IF($C182=0,0,FORECAST($C182, OFFSET('De Vaucouleurs Deprojection'!$F$2:$F$127, MATCH($C182, 'De Vaucouleurs Deprojection'!$A$2:$A$127,1)-1,0,2), OFFSET('De Vaucouleurs Deprojection'!$A$2:$A$127, MATCH($C182, 'De Vaucouleurs Deprojection'!$A$2:$A$127,1)-1,0,2))*QESTotalBulgeMass)</f>
        <v>8.7930659636449665E+39</v>
      </c>
      <c r="F182" s="15">
        <f t="shared" si="17"/>
        <v>2.6481726974777668E+40</v>
      </c>
      <c r="H182" s="18">
        <f t="shared" si="18"/>
        <v>3.5274792938422632E+40</v>
      </c>
      <c r="I182" s="16">
        <v>144.77936</v>
      </c>
      <c r="J182" s="45">
        <v>1</v>
      </c>
      <c r="K182" s="19">
        <f t="shared" si="19"/>
        <v>136.25476471010001</v>
      </c>
      <c r="L182" s="16">
        <f t="shared" si="20"/>
        <v>72.668724856585129</v>
      </c>
    </row>
    <row r="183" spans="1:12" x14ac:dyDescent="0.25">
      <c r="A183" s="16">
        <v>8.8000000000000007</v>
      </c>
      <c r="B183" s="45">
        <f t="shared" si="14"/>
        <v>8800</v>
      </c>
      <c r="C183" s="16">
        <f t="shared" si="15"/>
        <v>29.007355724238717</v>
      </c>
      <c r="D183" s="15">
        <f t="shared" si="16"/>
        <v>2.7153962704000002E+20</v>
      </c>
      <c r="E183" s="15">
        <f>IF($C183=0,0,FORECAST($C183, OFFSET('De Vaucouleurs Deprojection'!$F$2:$F$127, MATCH($C183, 'De Vaucouleurs Deprojection'!$A$2:$A$127,1)-1,0,2), OFFSET('De Vaucouleurs Deprojection'!$A$2:$A$127, MATCH($C183, 'De Vaucouleurs Deprojection'!$A$2:$A$127,1)-1,0,2))*QESTotalBulgeMass)</f>
        <v>8.7940659559368506E+39</v>
      </c>
      <c r="F183" s="15">
        <f t="shared" si="17"/>
        <v>2.6483087653283227E+40</v>
      </c>
      <c r="H183" s="18">
        <f t="shared" si="18"/>
        <v>3.5277153609220079E+40</v>
      </c>
      <c r="I183" s="16">
        <v>144.89431999999999</v>
      </c>
      <c r="J183" s="45">
        <v>1</v>
      </c>
      <c r="K183" s="19">
        <f t="shared" si="19"/>
        <v>136.28154413441183</v>
      </c>
      <c r="L183" s="16">
        <f t="shared" si="20"/>
        <v>74.179908110857909</v>
      </c>
    </row>
    <row r="184" spans="1:12" x14ac:dyDescent="0.25">
      <c r="A184" s="16">
        <v>8.85</v>
      </c>
      <c r="B184" s="45">
        <f t="shared" si="14"/>
        <v>8850</v>
      </c>
      <c r="C184" s="16">
        <f t="shared" si="15"/>
        <v>29.172170245399165</v>
      </c>
      <c r="D184" s="15">
        <f t="shared" si="16"/>
        <v>2.7308246583E+20</v>
      </c>
      <c r="E184" s="15">
        <f>IF($C184=0,0,FORECAST($C184, OFFSET('De Vaucouleurs Deprojection'!$F$2:$F$127, MATCH($C184, 'De Vaucouleurs Deprojection'!$A$2:$A$127,1)-1,0,2), OFFSET('De Vaucouleurs Deprojection'!$A$2:$A$127, MATCH($C184, 'De Vaucouleurs Deprojection'!$A$2:$A$127,1)-1,0,2))*QESTotalBulgeMass)</f>
        <v>8.795065948228736E+39</v>
      </c>
      <c r="F184" s="15">
        <f t="shared" si="17"/>
        <v>2.6484386687783583E+40</v>
      </c>
      <c r="H184" s="18">
        <f t="shared" si="18"/>
        <v>3.5279452636012318E+40</v>
      </c>
      <c r="I184" s="16">
        <v>145.02498</v>
      </c>
      <c r="J184" s="45">
        <v>1</v>
      </c>
      <c r="K184" s="19">
        <f t="shared" si="19"/>
        <v>136.310292443988</v>
      </c>
      <c r="L184" s="16">
        <f t="shared" si="20"/>
        <v>75.945779198910316</v>
      </c>
    </row>
    <row r="185" spans="1:12" x14ac:dyDescent="0.25">
      <c r="A185" s="16">
        <v>8.9</v>
      </c>
      <c r="B185" s="45">
        <f t="shared" si="14"/>
        <v>8900</v>
      </c>
      <c r="C185" s="16">
        <f t="shared" si="15"/>
        <v>29.336984766559613</v>
      </c>
      <c r="D185" s="15">
        <f t="shared" si="16"/>
        <v>2.7462530462000002E+20</v>
      </c>
      <c r="E185" s="15">
        <f>IF($C185=0,0,FORECAST($C185, OFFSET('De Vaucouleurs Deprojection'!$F$2:$F$127, MATCH($C185, 'De Vaucouleurs Deprojection'!$A$2:$A$127,1)-1,0,2), OFFSET('De Vaucouleurs Deprojection'!$A$2:$A$127, MATCH($C185, 'De Vaucouleurs Deprojection'!$A$2:$A$127,1)-1,0,2))*QESTotalBulgeMass)</f>
        <v>8.7960659405206213E+39</v>
      </c>
      <c r="F185" s="15">
        <f t="shared" si="17"/>
        <v>2.6485626831178523E+40</v>
      </c>
      <c r="H185" s="18">
        <f t="shared" si="18"/>
        <v>3.5281692771699146E+40</v>
      </c>
      <c r="I185" s="16">
        <v>145.16813999999999</v>
      </c>
      <c r="J185" s="45">
        <v>1</v>
      </c>
      <c r="K185" s="19">
        <f t="shared" si="19"/>
        <v>136.34097758247049</v>
      </c>
      <c r="L185" s="16">
        <f t="shared" si="20"/>
        <v>77.918796345445372</v>
      </c>
    </row>
    <row r="186" spans="1:12" x14ac:dyDescent="0.25">
      <c r="A186" s="16">
        <v>8.9499999999999993</v>
      </c>
      <c r="B186" s="45">
        <f t="shared" si="14"/>
        <v>8950</v>
      </c>
      <c r="C186" s="16">
        <f t="shared" si="15"/>
        <v>29.501799287720061</v>
      </c>
      <c r="D186" s="15">
        <f t="shared" si="16"/>
        <v>2.7616814340999997E+20</v>
      </c>
      <c r="E186" s="15">
        <f>IF($C186=0,0,FORECAST($C186, OFFSET('De Vaucouleurs Deprojection'!$F$2:$F$127, MATCH($C186, 'De Vaucouleurs Deprojection'!$A$2:$A$127,1)-1,0,2), OFFSET('De Vaucouleurs Deprojection'!$A$2:$A$127, MATCH($C186, 'De Vaucouleurs Deprojection'!$A$2:$A$127,1)-1,0,2))*QESTotalBulgeMass)</f>
        <v>8.7970659328125054E+39</v>
      </c>
      <c r="F186" s="15">
        <f t="shared" si="17"/>
        <v>2.648681071568883E+40</v>
      </c>
      <c r="H186" s="18">
        <f t="shared" si="18"/>
        <v>3.5283876648501336E+40</v>
      </c>
      <c r="I186" s="16">
        <v>145.31970000000001</v>
      </c>
      <c r="J186" s="45">
        <v>1</v>
      </c>
      <c r="K186" s="19">
        <f t="shared" si="19"/>
        <v>136.37356802033216</v>
      </c>
      <c r="L186" s="16">
        <f t="shared" si="20"/>
        <v>80.033277397635871</v>
      </c>
    </row>
    <row r="187" spans="1:12" x14ac:dyDescent="0.25">
      <c r="A187" s="16">
        <v>9</v>
      </c>
      <c r="B187" s="45">
        <f t="shared" si="14"/>
        <v>9000</v>
      </c>
      <c r="C187" s="16">
        <f t="shared" si="15"/>
        <v>29.666613808880509</v>
      </c>
      <c r="D187" s="15">
        <f t="shared" si="16"/>
        <v>2.7771098219999999E+20</v>
      </c>
      <c r="E187" s="15">
        <f>IF($C187=0,0,FORECAST($C187, OFFSET('De Vaucouleurs Deprojection'!$F$2:$F$127, MATCH($C187, 'De Vaucouleurs Deprojection'!$A$2:$A$127,1)-1,0,2), OFFSET('De Vaucouleurs Deprojection'!$A$2:$A$127, MATCH($C187, 'De Vaucouleurs Deprojection'!$A$2:$A$127,1)-1,0,2))*QESTotalBulgeMass)</f>
        <v>8.7980659251043919E+39</v>
      </c>
      <c r="F187" s="15">
        <f t="shared" si="17"/>
        <v>2.6487940858016338E+40</v>
      </c>
      <c r="H187" s="18">
        <f t="shared" si="18"/>
        <v>3.5286006783120731E+40</v>
      </c>
      <c r="I187" s="16">
        <v>145.47577999999999</v>
      </c>
      <c r="J187" s="45">
        <v>1</v>
      </c>
      <c r="K187" s="19">
        <f t="shared" si="19"/>
        <v>136.4080327471242</v>
      </c>
      <c r="L187" s="16">
        <f t="shared" si="20"/>
        <v>82.224040242036438</v>
      </c>
    </row>
    <row r="188" spans="1:12" x14ac:dyDescent="0.25">
      <c r="A188" s="16">
        <v>9.0500000000000007</v>
      </c>
      <c r="B188" s="45">
        <f t="shared" si="14"/>
        <v>9050</v>
      </c>
      <c r="C188" s="16">
        <f t="shared" si="15"/>
        <v>29.831428330040954</v>
      </c>
      <c r="D188" s="15">
        <f t="shared" si="16"/>
        <v>2.7925382099000004E+20</v>
      </c>
      <c r="E188" s="15">
        <f>IF($C188=0,0,FORECAST($C188, OFFSET('De Vaucouleurs Deprojection'!$F$2:$F$127, MATCH($C188, 'De Vaucouleurs Deprojection'!$A$2:$A$127,1)-1,0,2), OFFSET('De Vaucouleurs Deprojection'!$A$2:$A$127, MATCH($C188, 'De Vaucouleurs Deprojection'!$A$2:$A$127,1)-1,0,2))*QESTotalBulgeMass)</f>
        <v>8.799065917396276E+39</v>
      </c>
      <c r="F188" s="15">
        <f t="shared" si="17"/>
        <v>2.648901966429097E+40</v>
      </c>
      <c r="H188" s="18">
        <f t="shared" si="18"/>
        <v>3.5288085581687246E+40</v>
      </c>
      <c r="I188" s="16">
        <v>145.63338999999999</v>
      </c>
      <c r="J188" s="45">
        <v>1</v>
      </c>
      <c r="K188" s="19">
        <f t="shared" si="19"/>
        <v>136.44434126375165</v>
      </c>
      <c r="L188" s="16">
        <f t="shared" si="20"/>
        <v>84.438616677147181</v>
      </c>
    </row>
    <row r="189" spans="1:12" x14ac:dyDescent="0.25">
      <c r="A189" s="16">
        <v>9.1</v>
      </c>
      <c r="B189" s="45">
        <f t="shared" si="14"/>
        <v>9100</v>
      </c>
      <c r="C189" s="16">
        <f t="shared" si="15"/>
        <v>29.996242851201401</v>
      </c>
      <c r="D189" s="15">
        <f t="shared" si="16"/>
        <v>2.8079665977999999E+20</v>
      </c>
      <c r="E189" s="15">
        <f>IF($C189=0,0,FORECAST($C189, OFFSET('De Vaucouleurs Deprojection'!$F$2:$F$127, MATCH($C189, 'De Vaucouleurs Deprojection'!$A$2:$A$127,1)-1,0,2), OFFSET('De Vaucouleurs Deprojection'!$A$2:$A$127, MATCH($C189, 'De Vaucouleurs Deprojection'!$A$2:$A$127,1)-1,0,2))*QESTotalBulgeMass)</f>
        <v>8.8000659096881613E+39</v>
      </c>
      <c r="F189" s="15">
        <f t="shared" si="17"/>
        <v>2.6490049434813157E+40</v>
      </c>
      <c r="H189" s="18">
        <f t="shared" si="18"/>
        <v>3.5290115344501316E+40</v>
      </c>
      <c r="I189" s="16">
        <v>145.79033000000001</v>
      </c>
      <c r="J189" s="45">
        <v>1</v>
      </c>
      <c r="K189" s="19">
        <f t="shared" si="19"/>
        <v>136.48246357478368</v>
      </c>
      <c r="L189" s="16">
        <f t="shared" si="20"/>
        <v>86.636377389669462</v>
      </c>
    </row>
    <row r="190" spans="1:12" x14ac:dyDescent="0.25">
      <c r="A190" s="16">
        <v>9.15</v>
      </c>
      <c r="B190" s="45">
        <f t="shared" si="14"/>
        <v>9150</v>
      </c>
      <c r="C190" s="16">
        <f t="shared" si="15"/>
        <v>30.161057372361849</v>
      </c>
      <c r="D190" s="15">
        <f t="shared" si="16"/>
        <v>2.8233949857000001E+20</v>
      </c>
      <c r="E190" s="15">
        <f>IF($C190=0,0,FORECAST($C190, OFFSET('De Vaucouleurs Deprojection'!$F$2:$F$127, MATCH($C190, 'De Vaucouleurs Deprojection'!$A$2:$A$127,1)-1,0,2), OFFSET('De Vaucouleurs Deprojection'!$A$2:$A$127, MATCH($C190, 'De Vaucouleurs Deprojection'!$A$2:$A$127,1)-1,0,2))*QESTotalBulgeMass)</f>
        <v>8.8005958221545695E+39</v>
      </c>
      <c r="F190" s="15">
        <f t="shared" si="17"/>
        <v>2.649103236859957E+40</v>
      </c>
      <c r="H190" s="18">
        <f t="shared" si="18"/>
        <v>3.5291628190754138E+40</v>
      </c>
      <c r="I190" s="16">
        <v>145.94492</v>
      </c>
      <c r="J190" s="45">
        <v>1</v>
      </c>
      <c r="K190" s="19">
        <f t="shared" si="19"/>
        <v>136.52196321472215</v>
      </c>
      <c r="L190" s="16">
        <f t="shared" si="20"/>
        <v>88.792114577213823</v>
      </c>
    </row>
    <row r="191" spans="1:12" x14ac:dyDescent="0.25">
      <c r="A191" s="16">
        <v>9.1999999999999993</v>
      </c>
      <c r="B191" s="45">
        <f t="shared" si="14"/>
        <v>9200</v>
      </c>
      <c r="C191" s="16">
        <f t="shared" si="15"/>
        <v>30.325871893522297</v>
      </c>
      <c r="D191" s="15">
        <f t="shared" si="16"/>
        <v>2.8388233735999999E+20</v>
      </c>
      <c r="E191" s="15">
        <f>IF($C191=0,0,FORECAST($C191, OFFSET('De Vaucouleurs Deprojection'!$F$2:$F$127, MATCH($C191, 'De Vaucouleurs Deprojection'!$A$2:$A$127,1)-1,0,2), OFFSET('De Vaucouleurs Deprojection'!$A$2:$A$127, MATCH($C191, 'De Vaucouleurs Deprojection'!$A$2:$A$127,1)-1,0,2))*QESTotalBulgeMass)</f>
        <v>8.8011147685917582E+39</v>
      </c>
      <c r="F191" s="15">
        <f t="shared" si="17"/>
        <v>2.6491970567740003E+40</v>
      </c>
      <c r="H191" s="18">
        <f t="shared" si="18"/>
        <v>3.529308533633176E+40</v>
      </c>
      <c r="I191" s="16">
        <v>146.09585999999999</v>
      </c>
      <c r="J191" s="45">
        <v>1</v>
      </c>
      <c r="K191" s="19">
        <f t="shared" si="19"/>
        <v>136.56321336867418</v>
      </c>
      <c r="L191" s="16">
        <f t="shared" si="20"/>
        <v>90.871351797727201</v>
      </c>
    </row>
    <row r="192" spans="1:12" x14ac:dyDescent="0.25">
      <c r="A192" s="16">
        <v>9.25</v>
      </c>
      <c r="B192" s="45">
        <f t="shared" si="14"/>
        <v>9250</v>
      </c>
      <c r="C192" s="16">
        <f t="shared" si="15"/>
        <v>30.490686414682745</v>
      </c>
      <c r="D192" s="15">
        <f t="shared" si="16"/>
        <v>2.8542517615000001E+20</v>
      </c>
      <c r="E192" s="15">
        <f>IF($C192=0,0,FORECAST($C192, OFFSET('De Vaucouleurs Deprojection'!$F$2:$F$127, MATCH($C192, 'De Vaucouleurs Deprojection'!$A$2:$A$127,1)-1,0,2), OFFSET('De Vaucouleurs Deprojection'!$A$2:$A$127, MATCH($C192, 'De Vaucouleurs Deprojection'!$A$2:$A$127,1)-1,0,2))*QESTotalBulgeMass)</f>
        <v>8.801633715028947E+39</v>
      </c>
      <c r="F192" s="15">
        <f t="shared" si="17"/>
        <v>2.6492866041572831E+40</v>
      </c>
      <c r="H192" s="18">
        <f t="shared" si="18"/>
        <v>3.5294499756601777E+40</v>
      </c>
      <c r="I192" s="16">
        <v>146.24258</v>
      </c>
      <c r="J192" s="45">
        <v>1</v>
      </c>
      <c r="K192" s="19">
        <f t="shared" si="19"/>
        <v>136.60619499304985</v>
      </c>
      <c r="L192" s="16">
        <f t="shared" si="20"/>
        <v>92.859916002173634</v>
      </c>
    </row>
    <row r="193" spans="1:12" x14ac:dyDescent="0.25">
      <c r="A193" s="16">
        <v>9.3000000000000007</v>
      </c>
      <c r="B193" s="45">
        <f t="shared" si="14"/>
        <v>9300</v>
      </c>
      <c r="C193" s="16">
        <f t="shared" si="15"/>
        <v>30.65550093584319</v>
      </c>
      <c r="D193" s="15">
        <f t="shared" si="16"/>
        <v>2.8696801494000003E+20</v>
      </c>
      <c r="E193" s="15">
        <f>IF($C193=0,0,FORECAST($C193, OFFSET('De Vaucouleurs Deprojection'!$F$2:$F$127, MATCH($C193, 'De Vaucouleurs Deprojection'!$A$2:$A$127,1)-1,0,2), OFFSET('De Vaucouleurs Deprojection'!$A$2:$A$127, MATCH($C193, 'De Vaucouleurs Deprojection'!$A$2:$A$127,1)-1,0,2))*QESTotalBulgeMass)</f>
        <v>8.8021526614661345E+39</v>
      </c>
      <c r="F193" s="15">
        <f t="shared" si="17"/>
        <v>2.6493720710686221E+40</v>
      </c>
      <c r="H193" s="18">
        <f t="shared" si="18"/>
        <v>3.5295873372152356E+40</v>
      </c>
      <c r="I193" s="16">
        <v>146.38564</v>
      </c>
      <c r="J193" s="45">
        <v>1</v>
      </c>
      <c r="K193" s="19">
        <f t="shared" si="19"/>
        <v>136.65087996991838</v>
      </c>
      <c r="L193" s="16">
        <f t="shared" si="20"/>
        <v>94.765552843274648</v>
      </c>
    </row>
    <row r="194" spans="1:12" x14ac:dyDescent="0.25">
      <c r="A194" s="16">
        <v>9.35</v>
      </c>
      <c r="B194" s="45">
        <f t="shared" si="14"/>
        <v>9350</v>
      </c>
      <c r="C194" s="16">
        <f t="shared" si="15"/>
        <v>30.820315457003638</v>
      </c>
      <c r="D194" s="15">
        <f t="shared" si="16"/>
        <v>2.8851085372999998E+20</v>
      </c>
      <c r="E194" s="15">
        <f>IF($C194=0,0,FORECAST($C194, OFFSET('De Vaucouleurs Deprojection'!$F$2:$F$127, MATCH($C194, 'De Vaucouleurs Deprojection'!$A$2:$A$127,1)-1,0,2), OFFSET('De Vaucouleurs Deprojection'!$A$2:$A$127, MATCH($C194, 'De Vaucouleurs Deprojection'!$A$2:$A$127,1)-1,0,2))*QESTotalBulgeMass)</f>
        <v>8.8026716079033221E+39</v>
      </c>
      <c r="F194" s="15">
        <f t="shared" si="17"/>
        <v>2.6494536410752113E+40</v>
      </c>
      <c r="H194" s="18">
        <f t="shared" si="18"/>
        <v>3.5297208018655436E+40</v>
      </c>
      <c r="I194" s="16">
        <v>146.52674999999999</v>
      </c>
      <c r="J194" s="45">
        <v>1</v>
      </c>
      <c r="K194" s="19">
        <f t="shared" si="19"/>
        <v>136.6972406481953</v>
      </c>
      <c r="L194" s="16">
        <f t="shared" si="20"/>
        <v>96.61925409721583</v>
      </c>
    </row>
    <row r="195" spans="1:12" x14ac:dyDescent="0.25">
      <c r="A195" s="16">
        <v>9.4</v>
      </c>
      <c r="B195" s="45">
        <f t="shared" si="14"/>
        <v>9400</v>
      </c>
      <c r="C195" s="16">
        <f t="shared" si="15"/>
        <v>30.985129978164085</v>
      </c>
      <c r="D195" s="15">
        <f t="shared" si="16"/>
        <v>2.9005369252E+20</v>
      </c>
      <c r="E195" s="15">
        <f>IF($C195=0,0,FORECAST($C195, OFFSET('De Vaucouleurs Deprojection'!$F$2:$F$127, MATCH($C195, 'De Vaucouleurs Deprojection'!$A$2:$A$127,1)-1,0,2), OFFSET('De Vaucouleurs Deprojection'!$A$2:$A$127, MATCH($C195, 'De Vaucouleurs Deprojection'!$A$2:$A$127,1)-1,0,2))*QESTotalBulgeMass)</f>
        <v>8.8031905543405108E+39</v>
      </c>
      <c r="F195" s="15">
        <f t="shared" si="17"/>
        <v>2.6495314896199513E+40</v>
      </c>
      <c r="H195" s="18">
        <f t="shared" si="18"/>
        <v>3.5298505450540025E+40</v>
      </c>
      <c r="I195" s="16">
        <v>146.66846000000001</v>
      </c>
      <c r="J195" s="45">
        <v>1</v>
      </c>
      <c r="K195" s="19">
        <f t="shared" si="19"/>
        <v>136.7452498362411</v>
      </c>
      <c r="L195" s="16">
        <f t="shared" si="20"/>
        <v>98.470099954128131</v>
      </c>
    </row>
    <row r="196" spans="1:12" x14ac:dyDescent="0.25">
      <c r="A196" s="16">
        <v>9.4499999999999993</v>
      </c>
      <c r="B196" s="45">
        <f t="shared" si="14"/>
        <v>9450</v>
      </c>
      <c r="C196" s="16">
        <f t="shared" si="15"/>
        <v>31.149944499324533</v>
      </c>
      <c r="D196" s="15">
        <f t="shared" si="16"/>
        <v>2.9159653130999998E+20</v>
      </c>
      <c r="E196" s="15">
        <f>IF($C196=0,0,FORECAST($C196, OFFSET('De Vaucouleurs Deprojection'!$F$2:$F$127, MATCH($C196, 'De Vaucouleurs Deprojection'!$A$2:$A$127,1)-1,0,2), OFFSET('De Vaucouleurs Deprojection'!$A$2:$A$127, MATCH($C196, 'De Vaucouleurs Deprojection'!$A$2:$A$127,1)-1,0,2))*QESTotalBulgeMass)</f>
        <v>8.8037095007776984E+39</v>
      </c>
      <c r="F196" s="15">
        <f t="shared" si="17"/>
        <v>2.6496057843733657E+40</v>
      </c>
      <c r="H196" s="18">
        <f t="shared" si="18"/>
        <v>3.5299767344511353E+40</v>
      </c>
      <c r="I196" s="16">
        <v>146.81332</v>
      </c>
      <c r="J196" s="45">
        <v>1</v>
      </c>
      <c r="K196" s="19">
        <f t="shared" si="19"/>
        <v>136.79488079452528</v>
      </c>
      <c r="L196" s="16">
        <f t="shared" si="20"/>
        <v>100.36912411379295</v>
      </c>
    </row>
    <row r="197" spans="1:12" x14ac:dyDescent="0.25">
      <c r="A197" s="16">
        <v>9.5</v>
      </c>
      <c r="B197" s="45">
        <f t="shared" si="14"/>
        <v>9500</v>
      </c>
      <c r="C197" s="16">
        <f t="shared" si="15"/>
        <v>31.314759020484981</v>
      </c>
      <c r="D197" s="15">
        <f t="shared" si="16"/>
        <v>2.931393701E+20</v>
      </c>
      <c r="E197" s="15">
        <f>IF($C197=0,0,FORECAST($C197, OFFSET('De Vaucouleurs Deprojection'!$F$2:$F$127, MATCH($C197, 'De Vaucouleurs Deprojection'!$A$2:$A$127,1)-1,0,2), OFFSET('De Vaucouleurs Deprojection'!$A$2:$A$127, MATCH($C197, 'De Vaucouleurs Deprojection'!$A$2:$A$127,1)-1,0,2))*QESTotalBulgeMass)</f>
        <v>8.8042284472148871E+39</v>
      </c>
      <c r="F197" s="15">
        <f t="shared" si="17"/>
        <v>2.6496766855707172E+40</v>
      </c>
      <c r="H197" s="18">
        <f t="shared" si="18"/>
        <v>3.5300995302922062E+40</v>
      </c>
      <c r="I197" s="16">
        <v>146.96329</v>
      </c>
      <c r="J197" s="45">
        <v>1</v>
      </c>
      <c r="K197" s="19">
        <f t="shared" si="19"/>
        <v>136.84610722835905</v>
      </c>
      <c r="L197" s="16">
        <f t="shared" si="20"/>
        <v>102.35738723478856</v>
      </c>
    </row>
    <row r="198" spans="1:12" x14ac:dyDescent="0.25">
      <c r="A198" s="16">
        <v>9.5500000000000007</v>
      </c>
      <c r="B198" s="45">
        <f t="shared" si="14"/>
        <v>9550</v>
      </c>
      <c r="C198" s="16">
        <f t="shared" si="15"/>
        <v>31.479573541645429</v>
      </c>
      <c r="D198" s="15">
        <f t="shared" si="16"/>
        <v>2.9468220889000002E+20</v>
      </c>
      <c r="E198" s="15">
        <f>IF($C198=0,0,FORECAST($C198, OFFSET('De Vaucouleurs Deprojection'!$F$2:$F$127, MATCH($C198, 'De Vaucouleurs Deprojection'!$A$2:$A$127,1)-1,0,2), OFFSET('De Vaucouleurs Deprojection'!$A$2:$A$127, MATCH($C198, 'De Vaucouleurs Deprojection'!$A$2:$A$127,1)-1,0,2))*QESTotalBulgeMass)</f>
        <v>8.8047473936520759E+39</v>
      </c>
      <c r="F198" s="15">
        <f t="shared" si="17"/>
        <v>2.6497443463349168E+40</v>
      </c>
      <c r="H198" s="18">
        <f t="shared" si="18"/>
        <v>3.5302190857001246E+40</v>
      </c>
      <c r="I198" s="16">
        <v>147.11967000000001</v>
      </c>
      <c r="J198" s="45">
        <v>1</v>
      </c>
      <c r="K198" s="19">
        <f t="shared" si="19"/>
        <v>136.8989032806991</v>
      </c>
      <c r="L198" s="16">
        <f t="shared" si="20"/>
        <v>104.46407233036912</v>
      </c>
    </row>
    <row r="199" spans="1:12" x14ac:dyDescent="0.25">
      <c r="A199" s="16">
        <v>9.6</v>
      </c>
      <c r="B199" s="45">
        <f t="shared" si="14"/>
        <v>9600</v>
      </c>
      <c r="C199" s="16">
        <f t="shared" si="15"/>
        <v>31.644388062805874</v>
      </c>
      <c r="D199" s="15">
        <f t="shared" si="16"/>
        <v>2.9622504768E+20</v>
      </c>
      <c r="E199" s="15">
        <f>IF($C199=0,0,FORECAST($C199, OFFSET('De Vaucouleurs Deprojection'!$F$2:$F$127, MATCH($C199, 'De Vaucouleurs Deprojection'!$A$2:$A$127,1)-1,0,2), OFFSET('De Vaucouleurs Deprojection'!$A$2:$A$127, MATCH($C199, 'De Vaucouleurs Deprojection'!$A$2:$A$127,1)-1,0,2))*QESTotalBulgeMass)</f>
        <v>8.8052663400892634E+39</v>
      </c>
      <c r="F199" s="15">
        <f t="shared" si="17"/>
        <v>2.649808912985812E+40</v>
      </c>
      <c r="H199" s="18">
        <f t="shared" si="18"/>
        <v>3.5303355469947382E+40</v>
      </c>
      <c r="I199" s="16">
        <v>147.28344999999999</v>
      </c>
      <c r="J199" s="45">
        <v>1</v>
      </c>
      <c r="K199" s="19">
        <f t="shared" si="19"/>
        <v>136.95324352502533</v>
      </c>
      <c r="L199" s="16">
        <f t="shared" si="20"/>
        <v>106.71316581560838</v>
      </c>
    </row>
    <row r="200" spans="1:12" x14ac:dyDescent="0.25">
      <c r="A200" s="16">
        <v>9.65</v>
      </c>
      <c r="B200" s="45">
        <f t="shared" ref="B200:B263" si="21">RadiusKpc*1000</f>
        <v>9650</v>
      </c>
      <c r="C200" s="16">
        <f t="shared" ref="C200:C263" si="22">IF(QESBulgeEffectiveRadius=0,0,RadiusPc/QESBulgeEffectiveRadius)</f>
        <v>31.809202583966321</v>
      </c>
      <c r="D200" s="15">
        <f t="shared" ref="D200:D263" si="23">RadiusKpc*kpc</f>
        <v>2.9776788647000002E+20</v>
      </c>
      <c r="E200" s="15">
        <f>IF($C200=0,0,FORECAST($C200, OFFSET('De Vaucouleurs Deprojection'!$F$2:$F$127, MATCH($C200, 'De Vaucouleurs Deprojection'!$A$2:$A$127,1)-1,0,2), OFFSET('De Vaucouleurs Deprojection'!$A$2:$A$127, MATCH($C200, 'De Vaucouleurs Deprojection'!$A$2:$A$127,1)-1,0,2))*QESTotalBulgeMass)</f>
        <v>8.8057852865264521E+39</v>
      </c>
      <c r="F200" s="15">
        <f t="shared" ref="F200:F263" si="24">2*PI()*QESDiskSurfaceDensity*QESDiskScaleLength*(QESDiskScaleLength-EXP(-RadiusPc/QESDiskScaleLength)*(RadiusPc+QESDiskScaleLength))*SolarMass</f>
        <v>2.6498705253363857E+40</v>
      </c>
      <c r="H200" s="18">
        <f t="shared" ref="H200:H263" si="25">BulgeMass+DiskMass+HaloMass</f>
        <v>3.5304490539890308E+40</v>
      </c>
      <c r="I200" s="16">
        <v>147.45536999999999</v>
      </c>
      <c r="J200" s="45">
        <v>1</v>
      </c>
      <c r="K200" s="19">
        <f t="shared" ref="K200:K263" si="26">SQRT(TotalMass*GravitationalConstant/RadiusKm+UniverseAcceleration*RadiusKm)/km</f>
        <v>137.00910295829456</v>
      </c>
      <c r="L200" s="16">
        <f t="shared" ref="L200:L263" si="27">(ObservedVelocity-ModelVelocity)^2/(VelocityError)^2</f>
        <v>109.12449510662103</v>
      </c>
    </row>
    <row r="201" spans="1:12" x14ac:dyDescent="0.25">
      <c r="A201" s="16">
        <v>9.6999999999999993</v>
      </c>
      <c r="B201" s="45">
        <f t="shared" si="21"/>
        <v>9700</v>
      </c>
      <c r="C201" s="16">
        <f t="shared" si="22"/>
        <v>31.974017105126769</v>
      </c>
      <c r="D201" s="15">
        <f t="shared" si="23"/>
        <v>2.9931072525999997E+20</v>
      </c>
      <c r="E201" s="15">
        <f>IF($C201=0,0,FORECAST($C201, OFFSET('De Vaucouleurs Deprojection'!$F$2:$F$127, MATCH($C201, 'De Vaucouleurs Deprojection'!$A$2:$A$127,1)-1,0,2), OFFSET('De Vaucouleurs Deprojection'!$A$2:$A$127, MATCH($C201, 'De Vaucouleurs Deprojection'!$A$2:$A$127,1)-1,0,2))*QESTotalBulgeMass)</f>
        <v>8.8063042329636397E+39</v>
      </c>
      <c r="F201" s="15">
        <f t="shared" si="24"/>
        <v>2.6499293169764179E+40</v>
      </c>
      <c r="H201" s="18">
        <f t="shared" si="25"/>
        <v>3.5305597402727819E+40</v>
      </c>
      <c r="I201" s="16">
        <v>147.63594000000001</v>
      </c>
      <c r="J201" s="45">
        <v>1</v>
      </c>
      <c r="K201" s="19">
        <f t="shared" si="26"/>
        <v>137.06645699397222</v>
      </c>
      <c r="L201" s="16">
        <f t="shared" si="27"/>
        <v>111.71397101471005</v>
      </c>
    </row>
    <row r="202" spans="1:12" x14ac:dyDescent="0.25">
      <c r="A202" s="16">
        <v>9.75</v>
      </c>
      <c r="B202" s="45">
        <f t="shared" si="21"/>
        <v>9750</v>
      </c>
      <c r="C202" s="16">
        <f t="shared" si="22"/>
        <v>32.138831626287214</v>
      </c>
      <c r="D202" s="15">
        <f t="shared" si="23"/>
        <v>3.0085356404999999E+20</v>
      </c>
      <c r="E202" s="15">
        <f>IF($C202=0,0,FORECAST($C202, OFFSET('De Vaucouleurs Deprojection'!$F$2:$F$127, MATCH($C202, 'De Vaucouleurs Deprojection'!$A$2:$A$127,1)-1,0,2), OFFSET('De Vaucouleurs Deprojection'!$A$2:$A$127, MATCH($C202, 'De Vaucouleurs Deprojection'!$A$2:$A$127,1)-1,0,2))*QESTotalBulgeMass)</f>
        <v>8.8068231794008284E+39</v>
      </c>
      <c r="F202" s="15">
        <f t="shared" si="24"/>
        <v>2.649985415544108E+40</v>
      </c>
      <c r="H202" s="18">
        <f t="shared" si="25"/>
        <v>3.5306677334841908E+40</v>
      </c>
      <c r="I202" s="16">
        <v>147.82500999999999</v>
      </c>
      <c r="J202" s="45">
        <v>1</v>
      </c>
      <c r="K202" s="19">
        <f t="shared" si="26"/>
        <v>137.12528145514375</v>
      </c>
      <c r="L202" s="16">
        <f t="shared" si="27"/>
        <v>114.48419093361147</v>
      </c>
    </row>
    <row r="203" spans="1:12" x14ac:dyDescent="0.25">
      <c r="A203" s="16">
        <v>9.8000000000000007</v>
      </c>
      <c r="B203" s="45">
        <f t="shared" si="21"/>
        <v>9800</v>
      </c>
      <c r="C203" s="16">
        <f t="shared" si="22"/>
        <v>32.303646147447665</v>
      </c>
      <c r="D203" s="15">
        <f t="shared" si="23"/>
        <v>3.0239640284E+20</v>
      </c>
      <c r="E203" s="15">
        <f>IF($C203=0,0,FORECAST($C203, OFFSET('De Vaucouleurs Deprojection'!$F$2:$F$127, MATCH($C203, 'De Vaucouleurs Deprojection'!$A$2:$A$127,1)-1,0,2), OFFSET('De Vaucouleurs Deprojection'!$A$2:$A$127, MATCH($C203, 'De Vaucouleurs Deprojection'!$A$2:$A$127,1)-1,0,2))*QESTotalBulgeMass)</f>
        <v>8.807342125838016E+39</v>
      </c>
      <c r="F203" s="15">
        <f t="shared" si="24"/>
        <v>2.650038942986152E+40</v>
      </c>
      <c r="H203" s="18">
        <f t="shared" si="25"/>
        <v>3.5307731555699537E+40</v>
      </c>
      <c r="I203" s="16">
        <v>148.02172999999999</v>
      </c>
      <c r="J203" s="45">
        <v>1</v>
      </c>
      <c r="K203" s="19">
        <f t="shared" si="26"/>
        <v>137.18555256770782</v>
      </c>
      <c r="L203" s="16">
        <f t="shared" si="27"/>
        <v>117.42274134411822</v>
      </c>
    </row>
    <row r="204" spans="1:12" x14ac:dyDescent="0.25">
      <c r="A204" s="16">
        <v>9.85</v>
      </c>
      <c r="B204" s="45">
        <f t="shared" si="21"/>
        <v>9850</v>
      </c>
      <c r="C204" s="16">
        <f t="shared" si="22"/>
        <v>32.46846066860811</v>
      </c>
      <c r="D204" s="15">
        <f t="shared" si="23"/>
        <v>3.0393924163000002E+20</v>
      </c>
      <c r="E204" s="15">
        <f>IF($C204=0,0,FORECAST($C204, OFFSET('De Vaucouleurs Deprojection'!$F$2:$F$127, MATCH($C204, 'De Vaucouleurs Deprojection'!$A$2:$A$127,1)-1,0,2), OFFSET('De Vaucouleurs Deprojection'!$A$2:$A$127, MATCH($C204, 'De Vaucouleurs Deprojection'!$A$2:$A$127,1)-1,0,2))*QESTotalBulgeMass)</f>
        <v>8.8078610722752035E+39</v>
      </c>
      <c r="F204" s="15">
        <f t="shared" si="24"/>
        <v>2.6500900158067468E+40</v>
      </c>
      <c r="H204" s="18">
        <f t="shared" si="25"/>
        <v>3.5308761230342674E+40</v>
      </c>
      <c r="I204" s="16">
        <v>148.22481999999999</v>
      </c>
      <c r="J204" s="45">
        <v>1</v>
      </c>
      <c r="K204" s="19">
        <f t="shared" si="26"/>
        <v>137.24724695365157</v>
      </c>
      <c r="L204" s="16">
        <f t="shared" si="27"/>
        <v>120.50710998791544</v>
      </c>
    </row>
    <row r="205" spans="1:12" x14ac:dyDescent="0.25">
      <c r="A205" s="16">
        <v>9.9</v>
      </c>
      <c r="B205" s="45">
        <f t="shared" si="21"/>
        <v>9900</v>
      </c>
      <c r="C205" s="16">
        <f t="shared" si="22"/>
        <v>32.633275189768561</v>
      </c>
      <c r="D205" s="15">
        <f t="shared" si="23"/>
        <v>3.0548208042000004E+20</v>
      </c>
      <c r="E205" s="15">
        <f>IF($C205=0,0,FORECAST($C205, OFFSET('De Vaucouleurs Deprojection'!$F$2:$F$127, MATCH($C205, 'De Vaucouleurs Deprojection'!$A$2:$A$127,1)-1,0,2), OFFSET('De Vaucouleurs Deprojection'!$A$2:$A$127, MATCH($C205, 'De Vaucouleurs Deprojection'!$A$2:$A$127,1)-1,0,2))*QESTotalBulgeMass)</f>
        <v>8.8083800187123935E+39</v>
      </c>
      <c r="F205" s="15">
        <f t="shared" si="24"/>
        <v>2.6501387453059796E+40</v>
      </c>
      <c r="H205" s="18">
        <f t="shared" si="25"/>
        <v>3.5309767471772191E+40</v>
      </c>
      <c r="I205" s="16">
        <v>148.43297999999999</v>
      </c>
      <c r="J205" s="45">
        <v>1</v>
      </c>
      <c r="K205" s="19">
        <f t="shared" si="26"/>
        <v>137.31034162441085</v>
      </c>
      <c r="L205" s="16">
        <f t="shared" si="27"/>
        <v>123.71308443412808</v>
      </c>
    </row>
    <row r="206" spans="1:12" x14ac:dyDescent="0.25">
      <c r="A206" s="16">
        <v>9.9499999999999993</v>
      </c>
      <c r="B206" s="45">
        <f t="shared" si="21"/>
        <v>9950</v>
      </c>
      <c r="C206" s="16">
        <f t="shared" si="22"/>
        <v>32.798089710929005</v>
      </c>
      <c r="D206" s="15">
        <f t="shared" si="23"/>
        <v>3.0702491920999999E+20</v>
      </c>
      <c r="E206" s="15">
        <f>IF($C206=0,0,FORECAST($C206, OFFSET('De Vaucouleurs Deprojection'!$F$2:$F$127, MATCH($C206, 'De Vaucouleurs Deprojection'!$A$2:$A$127,1)-1,0,2), OFFSET('De Vaucouleurs Deprojection'!$A$2:$A$127, MATCH($C206, 'De Vaucouleurs Deprojection'!$A$2:$A$127,1)-1,0,2))*QESTotalBulgeMass)</f>
        <v>8.808898965149581E+39</v>
      </c>
      <c r="F206" s="15">
        <f t="shared" si="24"/>
        <v>2.65018523780803E+40</v>
      </c>
      <c r="H206" s="18">
        <f t="shared" si="25"/>
        <v>3.5310751343229879E+40</v>
      </c>
      <c r="I206" s="16">
        <v>148.64491000000001</v>
      </c>
      <c r="J206" s="45">
        <v>1</v>
      </c>
      <c r="K206" s="19">
        <f t="shared" si="26"/>
        <v>137.37481397431455</v>
      </c>
      <c r="L206" s="16">
        <f t="shared" si="27"/>
        <v>127.01506442817123</v>
      </c>
    </row>
    <row r="207" spans="1:12" x14ac:dyDescent="0.25">
      <c r="A207" s="16">
        <v>10</v>
      </c>
      <c r="B207" s="45">
        <f t="shared" si="21"/>
        <v>10000</v>
      </c>
      <c r="C207" s="16">
        <f t="shared" si="22"/>
        <v>32.96290423208945</v>
      </c>
      <c r="D207" s="15">
        <f t="shared" si="23"/>
        <v>3.0856775800000001E+20</v>
      </c>
      <c r="E207" s="15">
        <f>IF($C207=0,0,FORECAST($C207, OFFSET('De Vaucouleurs Deprojection'!$F$2:$F$127, MATCH($C207, 'De Vaucouleurs Deprojection'!$A$2:$A$127,1)-1,0,2), OFFSET('De Vaucouleurs Deprojection'!$A$2:$A$127, MATCH($C207, 'De Vaucouleurs Deprojection'!$A$2:$A$127,1)-1,0,2))*QESTotalBulgeMass)</f>
        <v>8.8094179115867698E+39</v>
      </c>
      <c r="F207" s="15">
        <f t="shared" si="24"/>
        <v>2.6502295948796195E+40</v>
      </c>
      <c r="H207" s="18">
        <f t="shared" si="25"/>
        <v>3.5311713860382962E+40</v>
      </c>
      <c r="I207" s="16">
        <v>148.85920999999999</v>
      </c>
      <c r="J207" s="45">
        <v>1</v>
      </c>
      <c r="K207" s="19">
        <f t="shared" si="26"/>
        <v>137.44064177411545</v>
      </c>
      <c r="L207" s="16">
        <f t="shared" si="27"/>
        <v>130.38370032918004</v>
      </c>
    </row>
    <row r="208" spans="1:12" x14ac:dyDescent="0.25">
      <c r="A208" s="16">
        <v>10.050000000000001</v>
      </c>
      <c r="B208" s="45">
        <f t="shared" si="21"/>
        <v>10050</v>
      </c>
      <c r="C208" s="16">
        <f t="shared" si="22"/>
        <v>33.127718753249901</v>
      </c>
      <c r="D208" s="15">
        <f t="shared" si="23"/>
        <v>3.1011059679000003E+20</v>
      </c>
      <c r="E208" s="15">
        <f>IF($C208=0,0,FORECAST($C208, OFFSET('De Vaucouleurs Deprojection'!$F$2:$F$127, MATCH($C208, 'De Vaucouleurs Deprojection'!$A$2:$A$127,1)-1,0,2), OFFSET('De Vaucouleurs Deprojection'!$A$2:$A$127, MATCH($C208, 'De Vaucouleurs Deprojection'!$A$2:$A$127,1)-1,0,2))*QESTotalBulgeMass)</f>
        <v>8.8099368580239573E+39</v>
      </c>
      <c r="F208" s="15">
        <f t="shared" si="24"/>
        <v>2.6502719135390894E+40</v>
      </c>
      <c r="H208" s="18">
        <f t="shared" si="25"/>
        <v>3.531265599341485E+40</v>
      </c>
      <c r="I208" s="16">
        <v>149.07422</v>
      </c>
      <c r="J208" s="45">
        <v>1</v>
      </c>
      <c r="K208" s="19">
        <f t="shared" si="26"/>
        <v>137.50780316460722</v>
      </c>
      <c r="L208" s="16">
        <f t="shared" si="27"/>
        <v>133.78199841005735</v>
      </c>
    </row>
    <row r="209" spans="1:12" x14ac:dyDescent="0.25">
      <c r="A209" s="16">
        <v>10.1</v>
      </c>
      <c r="B209" s="45">
        <f t="shared" si="21"/>
        <v>10100</v>
      </c>
      <c r="C209" s="16">
        <f t="shared" si="22"/>
        <v>33.292533274410346</v>
      </c>
      <c r="D209" s="15">
        <f t="shared" si="23"/>
        <v>3.1165343557999998E+20</v>
      </c>
      <c r="E209" s="15">
        <f>IF($C209=0,0,FORECAST($C209, OFFSET('De Vaucouleurs Deprojection'!$F$2:$F$127, MATCH($C209, 'De Vaucouleurs Deprojection'!$A$2:$A$127,1)-1,0,2), OFFSET('De Vaucouleurs Deprojection'!$A$2:$A$127, MATCH($C209, 'De Vaucouleurs Deprojection'!$A$2:$A$127,1)-1,0,2))*QESTotalBulgeMass)</f>
        <v>8.8104558044611448E+39</v>
      </c>
      <c r="F209" s="15">
        <f t="shared" si="24"/>
        <v>2.6503122864565196E+40</v>
      </c>
      <c r="H209" s="18">
        <f t="shared" si="25"/>
        <v>3.531357866902634E+40</v>
      </c>
      <c r="I209" s="16">
        <v>149.28827999999999</v>
      </c>
      <c r="J209" s="45">
        <v>1</v>
      </c>
      <c r="K209" s="19">
        <f t="shared" si="26"/>
        <v>137.57627665032913</v>
      </c>
      <c r="L209" s="16">
        <f t="shared" si="27"/>
        <v>137.17102246270125</v>
      </c>
    </row>
    <row r="210" spans="1:12" x14ac:dyDescent="0.25">
      <c r="A210" s="16">
        <v>10.15</v>
      </c>
      <c r="B210" s="45">
        <f t="shared" si="21"/>
        <v>10150</v>
      </c>
      <c r="C210" s="16">
        <f t="shared" si="22"/>
        <v>33.457347795570797</v>
      </c>
      <c r="D210" s="15">
        <f t="shared" si="23"/>
        <v>3.1319627436999999E+20</v>
      </c>
      <c r="E210" s="15">
        <f>IF($C210=0,0,FORECAST($C210, OFFSET('De Vaucouleurs Deprojection'!$F$2:$F$127, MATCH($C210, 'De Vaucouleurs Deprojection'!$A$2:$A$127,1)-1,0,2), OFFSET('De Vaucouleurs Deprojection'!$A$2:$A$127, MATCH($C210, 'De Vaucouleurs Deprojection'!$A$2:$A$127,1)-1,0,2))*QESTotalBulgeMass)</f>
        <v>8.8109747508983336E+39</v>
      </c>
      <c r="F210" s="15">
        <f t="shared" si="24"/>
        <v>2.6503508021452397E+40</v>
      </c>
      <c r="H210" s="18">
        <f t="shared" si="25"/>
        <v>3.531448277235073E+40</v>
      </c>
      <c r="I210" s="16">
        <v>149.49985000000001</v>
      </c>
      <c r="J210" s="45">
        <v>1</v>
      </c>
      <c r="K210" s="19">
        <f t="shared" si="26"/>
        <v>137.64604109335764</v>
      </c>
      <c r="L210" s="16">
        <f t="shared" si="27"/>
        <v>140.512785595194</v>
      </c>
    </row>
    <row r="211" spans="1:12" x14ac:dyDescent="0.25">
      <c r="A211" s="16">
        <v>10.199999999999999</v>
      </c>
      <c r="B211" s="45">
        <f t="shared" si="21"/>
        <v>10200</v>
      </c>
      <c r="C211" s="16">
        <f t="shared" si="22"/>
        <v>33.622162316731242</v>
      </c>
      <c r="D211" s="15">
        <f t="shared" si="23"/>
        <v>3.1473911315999995E+20</v>
      </c>
      <c r="E211" s="15">
        <f>IF($C211=0,0,FORECAST($C211, OFFSET('De Vaucouleurs Deprojection'!$F$2:$F$127, MATCH($C211, 'De Vaucouleurs Deprojection'!$A$2:$A$127,1)-1,0,2), OFFSET('De Vaucouleurs Deprojection'!$A$2:$A$127, MATCH($C211, 'De Vaucouleurs Deprojection'!$A$2:$A$127,1)-1,0,2))*QESTotalBulgeMass)</f>
        <v>8.8114936973355211E+39</v>
      </c>
      <c r="F211" s="15">
        <f t="shared" si="24"/>
        <v>2.6503875451451045E+40</v>
      </c>
      <c r="H211" s="18">
        <f t="shared" si="25"/>
        <v>3.5315369148786567E+40</v>
      </c>
      <c r="I211" s="16">
        <v>149.70762999999999</v>
      </c>
      <c r="J211" s="45">
        <v>1</v>
      </c>
      <c r="K211" s="19">
        <f t="shared" si="26"/>
        <v>137.71707570718681</v>
      </c>
      <c r="L211" s="16">
        <f t="shared" si="27"/>
        <v>143.77339224890073</v>
      </c>
    </row>
    <row r="212" spans="1:12" x14ac:dyDescent="0.25">
      <c r="A212" s="16">
        <v>10.25</v>
      </c>
      <c r="B212" s="45">
        <f t="shared" si="21"/>
        <v>10250</v>
      </c>
      <c r="C212" s="16">
        <f t="shared" si="22"/>
        <v>33.786976837891686</v>
      </c>
      <c r="D212" s="15">
        <f t="shared" si="23"/>
        <v>3.1628195195000003E+20</v>
      </c>
      <c r="E212" s="15">
        <f>IF($C212=0,0,FORECAST($C212, OFFSET('De Vaucouleurs Deprojection'!$F$2:$F$127, MATCH($C212, 'De Vaucouleurs Deprojection'!$A$2:$A$127,1)-1,0,2), OFFSET('De Vaucouleurs Deprojection'!$A$2:$A$127, MATCH($C212, 'De Vaucouleurs Deprojection'!$A$2:$A$127,1)-1,0,2))*QESTotalBulgeMass)</f>
        <v>8.8120126437727099E+39</v>
      </c>
      <c r="F212" s="15">
        <f t="shared" si="24"/>
        <v>2.6504225961978642E+40</v>
      </c>
      <c r="H212" s="18">
        <f t="shared" si="25"/>
        <v>3.5316238605751353E+40</v>
      </c>
      <c r="I212" s="16">
        <v>149.91057000000001</v>
      </c>
      <c r="J212" s="45">
        <v>1</v>
      </c>
      <c r="K212" s="19">
        <f t="shared" si="26"/>
        <v>137.78936005069599</v>
      </c>
      <c r="L212" s="16">
        <f t="shared" si="27"/>
        <v>146.92373063510669</v>
      </c>
    </row>
    <row r="213" spans="1:12" x14ac:dyDescent="0.25">
      <c r="A213" s="16">
        <v>10.3</v>
      </c>
      <c r="B213" s="45">
        <f t="shared" si="21"/>
        <v>10300</v>
      </c>
      <c r="C213" s="16">
        <f t="shared" si="22"/>
        <v>33.951791359052137</v>
      </c>
      <c r="D213" s="15">
        <f t="shared" si="23"/>
        <v>3.1782479074000005E+20</v>
      </c>
      <c r="E213" s="15">
        <f>IF($C213=0,0,FORECAST($C213, OFFSET('De Vaucouleurs Deprojection'!$F$2:$F$127, MATCH($C213, 'De Vaucouleurs Deprojection'!$A$2:$A$127,1)-1,0,2), OFFSET('De Vaucouleurs Deprojection'!$A$2:$A$127, MATCH($C213, 'De Vaucouleurs Deprojection'!$A$2:$A$127,1)-1,0,2))*QESTotalBulgeMass)</f>
        <v>8.8125315902098986E+39</v>
      </c>
      <c r="F213" s="15">
        <f t="shared" si="24"/>
        <v>2.6504560324149765E+40</v>
      </c>
      <c r="H213" s="18">
        <f t="shared" si="25"/>
        <v>3.5317091914359664E+40</v>
      </c>
      <c r="I213" s="16">
        <v>150.10757000000001</v>
      </c>
      <c r="J213" s="45">
        <v>1</v>
      </c>
      <c r="K213" s="19">
        <f t="shared" si="26"/>
        <v>137.86287402220626</v>
      </c>
      <c r="L213" s="16">
        <f t="shared" si="27"/>
        <v>149.93257958859851</v>
      </c>
    </row>
    <row r="214" spans="1:12" x14ac:dyDescent="0.25">
      <c r="A214" s="16">
        <v>10.35</v>
      </c>
      <c r="B214" s="45">
        <f t="shared" si="21"/>
        <v>10350</v>
      </c>
      <c r="C214" s="16">
        <f t="shared" si="22"/>
        <v>34.116605880212582</v>
      </c>
      <c r="D214" s="15">
        <f t="shared" si="23"/>
        <v>3.1936762953E+20</v>
      </c>
      <c r="E214" s="15">
        <f>IF($C214=0,0,FORECAST($C214, OFFSET('De Vaucouleurs Deprojection'!$F$2:$F$127, MATCH($C214, 'De Vaucouleurs Deprojection'!$A$2:$A$127,1)-1,0,2), OFFSET('De Vaucouleurs Deprojection'!$A$2:$A$127, MATCH($C214, 'De Vaucouleurs Deprojection'!$A$2:$A$127,1)-1,0,2))*QESTotalBulgeMass)</f>
        <v>8.8130505366470874E+39</v>
      </c>
      <c r="F214" s="15">
        <f t="shared" si="24"/>
        <v>2.6504879274381538E+40</v>
      </c>
      <c r="H214" s="18">
        <f t="shared" si="25"/>
        <v>3.5317929811028626E+40</v>
      </c>
      <c r="I214" s="16">
        <v>150.29781</v>
      </c>
      <c r="J214" s="45">
        <v>1</v>
      </c>
      <c r="K214" s="19">
        <f t="shared" si="26"/>
        <v>137.93759785362496</v>
      </c>
      <c r="L214" s="16">
        <f t="shared" si="27"/>
        <v>152.77484430339692</v>
      </c>
    </row>
    <row r="215" spans="1:12" x14ac:dyDescent="0.25">
      <c r="A215" s="16">
        <v>10.4</v>
      </c>
      <c r="B215" s="45">
        <f t="shared" si="21"/>
        <v>10400</v>
      </c>
      <c r="C215" s="16">
        <f t="shared" si="22"/>
        <v>34.281420401373033</v>
      </c>
      <c r="D215" s="15">
        <f t="shared" si="23"/>
        <v>3.2091046832000002E+20</v>
      </c>
      <c r="E215" s="15">
        <f>IF($C215=0,0,FORECAST($C215, OFFSET('De Vaucouleurs Deprojection'!$F$2:$F$127, MATCH($C215, 'De Vaucouleurs Deprojection'!$A$2:$A$127,1)-1,0,2), OFFSET('De Vaucouleurs Deprojection'!$A$2:$A$127, MATCH($C215, 'De Vaucouleurs Deprojection'!$A$2:$A$127,1)-1,0,2))*QESTotalBulgeMass)</f>
        <v>8.8135694830842749E+39</v>
      </c>
      <c r="F215" s="15">
        <f t="shared" si="24"/>
        <v>2.6505183515929752E+40</v>
      </c>
      <c r="H215" s="18">
        <f t="shared" si="25"/>
        <v>3.5318752999014024E+40</v>
      </c>
      <c r="I215" s="16">
        <v>150.48111</v>
      </c>
      <c r="J215" s="45">
        <v>1</v>
      </c>
      <c r="K215" s="19">
        <f t="shared" si="26"/>
        <v>138.01351210467811</v>
      </c>
      <c r="L215" s="16">
        <f t="shared" si="27"/>
        <v>155.44099727943475</v>
      </c>
    </row>
    <row r="216" spans="1:12" x14ac:dyDescent="0.25">
      <c r="A216" s="16">
        <v>10.45</v>
      </c>
      <c r="B216" s="45">
        <f t="shared" si="21"/>
        <v>10450</v>
      </c>
      <c r="C216" s="16">
        <f t="shared" si="22"/>
        <v>34.446234922533478</v>
      </c>
      <c r="D216" s="15">
        <f t="shared" si="23"/>
        <v>3.2245330710999997E+20</v>
      </c>
      <c r="E216" s="15">
        <f>IF($C216=0,0,FORECAST($C216, OFFSET('De Vaucouleurs Deprojection'!$F$2:$F$127, MATCH($C216, 'De Vaucouleurs Deprojection'!$A$2:$A$127,1)-1,0,2), OFFSET('De Vaucouleurs Deprojection'!$A$2:$A$127, MATCH($C216, 'De Vaucouleurs Deprojection'!$A$2:$A$127,1)-1,0,2))*QESTotalBulgeMass)</f>
        <v>8.8140884295214624E+39</v>
      </c>
      <c r="F216" s="15">
        <f t="shared" si="24"/>
        <v>2.6505473720358319E+40</v>
      </c>
      <c r="H216" s="18">
        <f t="shared" si="25"/>
        <v>3.5319562149879781E+40</v>
      </c>
      <c r="I216" s="16">
        <v>150.65842000000001</v>
      </c>
      <c r="J216" s="45">
        <v>1</v>
      </c>
      <c r="K216" s="19">
        <f t="shared" si="26"/>
        <v>138.09059765723094</v>
      </c>
      <c r="L216" s="16">
        <f t="shared" si="27"/>
        <v>157.95015843940524</v>
      </c>
    </row>
    <row r="217" spans="1:12" x14ac:dyDescent="0.25">
      <c r="A217" s="16">
        <v>10.5</v>
      </c>
      <c r="B217" s="45">
        <f t="shared" si="21"/>
        <v>10500</v>
      </c>
      <c r="C217" s="16">
        <f t="shared" si="22"/>
        <v>34.611049443693922</v>
      </c>
      <c r="D217" s="15">
        <f t="shared" si="23"/>
        <v>3.2399614589999999E+20</v>
      </c>
      <c r="E217" s="15">
        <f>IF($C217=0,0,FORECAST($C217, OFFSET('De Vaucouleurs Deprojection'!$F$2:$F$127, MATCH($C217, 'De Vaucouleurs Deprojection'!$A$2:$A$127,1)-1,0,2), OFFSET('De Vaucouleurs Deprojection'!$A$2:$A$127, MATCH($C217, 'De Vaucouleurs Deprojection'!$A$2:$A$127,1)-1,0,2))*QESTotalBulgeMass)</f>
        <v>8.8146073759586512E+39</v>
      </c>
      <c r="F217" s="15">
        <f t="shared" si="24"/>
        <v>2.650575052894505E+40</v>
      </c>
      <c r="H217" s="18">
        <f t="shared" si="25"/>
        <v>3.53203579049037E+40</v>
      </c>
      <c r="I217" s="16">
        <v>150.83161999999999</v>
      </c>
      <c r="J217" s="45">
        <v>1</v>
      </c>
      <c r="K217" s="19">
        <f t="shared" si="26"/>
        <v>138.16883570969597</v>
      </c>
      <c r="L217" s="16">
        <f t="shared" si="27"/>
        <v>160.34610598277021</v>
      </c>
    </row>
    <row r="218" spans="1:12" x14ac:dyDescent="0.25">
      <c r="A218" s="16">
        <v>10.55</v>
      </c>
      <c r="B218" s="45">
        <f t="shared" si="21"/>
        <v>10550</v>
      </c>
      <c r="C218" s="16">
        <f t="shared" si="22"/>
        <v>34.775863964854373</v>
      </c>
      <c r="D218" s="15">
        <f t="shared" si="23"/>
        <v>3.2553898469E+20</v>
      </c>
      <c r="E218" s="15">
        <f>IF($C218=0,0,FORECAST($C218, OFFSET('De Vaucouleurs Deprojection'!$F$2:$F$127, MATCH($C218, 'De Vaucouleurs Deprojection'!$A$2:$A$127,1)-1,0,2), OFFSET('De Vaucouleurs Deprojection'!$A$2:$A$127, MATCH($C218, 'De Vaucouleurs Deprojection'!$A$2:$A$127,1)-1,0,2))*QESTotalBulgeMass)</f>
        <v>8.8151263223958387E+39</v>
      </c>
      <c r="F218" s="15">
        <f t="shared" si="24"/>
        <v>2.6506014554026293E+40</v>
      </c>
      <c r="H218" s="18">
        <f t="shared" si="25"/>
        <v>3.5321140876422132E+40</v>
      </c>
      <c r="I218" s="16">
        <v>151.00309999999999</v>
      </c>
      <c r="J218" s="45">
        <v>1</v>
      </c>
      <c r="K218" s="19">
        <f t="shared" si="26"/>
        <v>138.24820777152823</v>
      </c>
      <c r="L218" s="16">
        <f t="shared" si="27"/>
        <v>162.68727575992932</v>
      </c>
    </row>
    <row r="219" spans="1:12" x14ac:dyDescent="0.25">
      <c r="A219" s="16">
        <v>10.6</v>
      </c>
      <c r="B219" s="45">
        <f t="shared" si="21"/>
        <v>10600</v>
      </c>
      <c r="C219" s="16">
        <f t="shared" si="22"/>
        <v>34.940678486014818</v>
      </c>
      <c r="D219" s="15">
        <f t="shared" si="23"/>
        <v>3.2708182348000002E+20</v>
      </c>
      <c r="E219" s="15">
        <f>IF($C219=0,0,FORECAST($C219, OFFSET('De Vaucouleurs Deprojection'!$F$2:$F$127, MATCH($C219, 'De Vaucouleurs Deprojection'!$A$2:$A$127,1)-1,0,2), OFFSET('De Vaucouleurs Deprojection'!$A$2:$A$127, MATCH($C219, 'De Vaucouleurs Deprojection'!$A$2:$A$127,1)-1,0,2))*QESTotalBulgeMass)</f>
        <v>8.8156452688330275E+39</v>
      </c>
      <c r="F219" s="15">
        <f t="shared" si="24"/>
        <v>2.6506266380283102E+40</v>
      </c>
      <c r="H219" s="18">
        <f t="shared" si="25"/>
        <v>3.532191164911613E+40</v>
      </c>
      <c r="I219" s="16">
        <v>151.17492999999999</v>
      </c>
      <c r="J219" s="45">
        <v>1</v>
      </c>
      <c r="K219" s="19">
        <f t="shared" si="26"/>
        <v>138.32869565780743</v>
      </c>
      <c r="L219" s="16">
        <f t="shared" si="27"/>
        <v>165.0257367745275</v>
      </c>
    </row>
    <row r="220" spans="1:12" x14ac:dyDescent="0.25">
      <c r="A220" s="16">
        <v>10.65</v>
      </c>
      <c r="B220" s="45">
        <f t="shared" si="21"/>
        <v>10650</v>
      </c>
      <c r="C220" s="16">
        <f t="shared" si="22"/>
        <v>35.105493007175269</v>
      </c>
      <c r="D220" s="15">
        <f t="shared" si="23"/>
        <v>3.2862466227000004E+20</v>
      </c>
      <c r="E220" s="15">
        <f>IF($C220=0,0,FORECAST($C220, OFFSET('De Vaucouleurs Deprojection'!$F$2:$F$127, MATCH($C220, 'De Vaucouleurs Deprojection'!$A$2:$A$127,1)-1,0,2), OFFSET('De Vaucouleurs Deprojection'!$A$2:$A$127, MATCH($C220, 'De Vaucouleurs Deprojection'!$A$2:$A$127,1)-1,0,2))*QESTotalBulgeMass)</f>
        <v>8.81603172344576E+39</v>
      </c>
      <c r="F220" s="15">
        <f t="shared" si="24"/>
        <v>2.6506506565971433E+40</v>
      </c>
      <c r="H220" s="18">
        <f t="shared" si="25"/>
        <v>3.5322538289417193E+40</v>
      </c>
      <c r="I220" s="16">
        <v>151.34871999999999</v>
      </c>
      <c r="J220" s="45">
        <v>1</v>
      </c>
      <c r="K220" s="19">
        <f t="shared" si="26"/>
        <v>138.41018428035329</v>
      </c>
      <c r="L220" s="16">
        <f t="shared" si="27"/>
        <v>167.40570656857341</v>
      </c>
    </row>
    <row r="221" spans="1:12" x14ac:dyDescent="0.25">
      <c r="A221" s="16">
        <v>10.7</v>
      </c>
      <c r="B221" s="45">
        <f t="shared" si="21"/>
        <v>10700</v>
      </c>
      <c r="C221" s="16">
        <f t="shared" si="22"/>
        <v>35.270307528335714</v>
      </c>
      <c r="D221" s="15">
        <f t="shared" si="23"/>
        <v>3.3016750105999999E+20</v>
      </c>
      <c r="E221" s="15">
        <f>IF($C221=0,0,FORECAST($C221, OFFSET('De Vaucouleurs Deprojection'!$F$2:$F$127, MATCH($C221, 'De Vaucouleurs Deprojection'!$A$2:$A$127,1)-1,0,2), OFFSET('De Vaucouleurs Deprojection'!$A$2:$A$127, MATCH($C221, 'De Vaucouleurs Deprojection'!$A$2:$A$127,1)-1,0,2))*QESTotalBulgeMass)</f>
        <v>8.8163436743939569E+39</v>
      </c>
      <c r="F221" s="15">
        <f t="shared" si="24"/>
        <v>2.6506735644098585E+40</v>
      </c>
      <c r="H221" s="18">
        <f t="shared" si="25"/>
        <v>3.5323079318492542E+40</v>
      </c>
      <c r="I221" s="16">
        <v>151.52565000000001</v>
      </c>
      <c r="J221" s="45">
        <v>1</v>
      </c>
      <c r="K221" s="19">
        <f t="shared" si="26"/>
        <v>138.49269990470899</v>
      </c>
      <c r="L221" s="16">
        <f t="shared" si="27"/>
        <v>169.85778818634643</v>
      </c>
    </row>
    <row r="222" spans="1:12" x14ac:dyDescent="0.25">
      <c r="A222" s="16">
        <v>10.75</v>
      </c>
      <c r="B222" s="45">
        <f t="shared" si="21"/>
        <v>10750</v>
      </c>
      <c r="C222" s="16">
        <f t="shared" si="22"/>
        <v>35.435122049496165</v>
      </c>
      <c r="D222" s="15">
        <f t="shared" si="23"/>
        <v>3.3171033985000001E+20</v>
      </c>
      <c r="E222" s="15">
        <f>IF($C222=0,0,FORECAST($C222, OFFSET('De Vaucouleurs Deprojection'!$F$2:$F$127, MATCH($C222, 'De Vaucouleurs Deprojection'!$A$2:$A$127,1)-1,0,2), OFFSET('De Vaucouleurs Deprojection'!$A$2:$A$127, MATCH($C222, 'De Vaucouleurs Deprojection'!$A$2:$A$127,1)-1,0,2))*QESTotalBulgeMass)</f>
        <v>8.8166556253421549E+39</v>
      </c>
      <c r="F222" s="15">
        <f t="shared" si="24"/>
        <v>2.65069541235484E+40</v>
      </c>
      <c r="H222" s="18">
        <f t="shared" si="25"/>
        <v>3.5323609748890553E+40</v>
      </c>
      <c r="I222" s="16">
        <v>151.70653999999999</v>
      </c>
      <c r="J222" s="45">
        <v>1</v>
      </c>
      <c r="K222" s="19">
        <f t="shared" si="26"/>
        <v>138.57628016230333</v>
      </c>
      <c r="L222" s="16">
        <f t="shared" si="27"/>
        <v>172.40372340542982</v>
      </c>
    </row>
    <row r="223" spans="1:12" x14ac:dyDescent="0.25">
      <c r="A223" s="16">
        <v>10.8</v>
      </c>
      <c r="B223" s="45">
        <f t="shared" si="21"/>
        <v>10800</v>
      </c>
      <c r="C223" s="16">
        <f t="shared" si="22"/>
        <v>35.59993657065661</v>
      </c>
      <c r="D223" s="15">
        <f t="shared" si="23"/>
        <v>3.3325317864000002E+20</v>
      </c>
      <c r="E223" s="15">
        <f>IF($C223=0,0,FORECAST($C223, OFFSET('De Vaucouleurs Deprojection'!$F$2:$F$127, MATCH($C223, 'De Vaucouleurs Deprojection'!$A$2:$A$127,1)-1,0,2), OFFSET('De Vaucouleurs Deprojection'!$A$2:$A$127, MATCH($C223, 'De Vaucouleurs Deprojection'!$A$2:$A$127,1)-1,0,2))*QESTotalBulgeMass)</f>
        <v>8.816967576290353E+39</v>
      </c>
      <c r="F223" s="15">
        <f t="shared" si="24"/>
        <v>2.6507162490157182E+40</v>
      </c>
      <c r="H223" s="18">
        <f t="shared" si="25"/>
        <v>3.5324130066447537E+40</v>
      </c>
      <c r="I223" s="16">
        <v>151.892</v>
      </c>
      <c r="J223" s="45">
        <v>1</v>
      </c>
      <c r="K223" s="19">
        <f t="shared" si="26"/>
        <v>138.66090801931668</v>
      </c>
      <c r="L223" s="16">
        <f t="shared" si="27"/>
        <v>175.06179500130239</v>
      </c>
    </row>
    <row r="224" spans="1:12" x14ac:dyDescent="0.25">
      <c r="A224" s="16">
        <v>10.85</v>
      </c>
      <c r="B224" s="45">
        <f t="shared" si="21"/>
        <v>10850</v>
      </c>
      <c r="C224" s="16">
        <f t="shared" si="22"/>
        <v>35.764751091817054</v>
      </c>
      <c r="D224" s="15">
        <f t="shared" si="23"/>
        <v>3.3479601742999998E+20</v>
      </c>
      <c r="E224" s="15">
        <f>IF($C224=0,0,FORECAST($C224, OFFSET('De Vaucouleurs Deprojection'!$F$2:$F$127, MATCH($C224, 'De Vaucouleurs Deprojection'!$A$2:$A$127,1)-1,0,2), OFFSET('De Vaucouleurs Deprojection'!$A$2:$A$127, MATCH($C224, 'De Vaucouleurs Deprojection'!$A$2:$A$127,1)-1,0,2))*QESTotalBulgeMass)</f>
        <v>8.8172795272385499E+39</v>
      </c>
      <c r="F224" s="15">
        <f t="shared" si="24"/>
        <v>2.6507361207742567E+40</v>
      </c>
      <c r="H224" s="18">
        <f t="shared" si="25"/>
        <v>3.5324640734981114E+40</v>
      </c>
      <c r="I224" s="16">
        <v>152.08179999999999</v>
      </c>
      <c r="J224" s="45">
        <v>1</v>
      </c>
      <c r="K224" s="19">
        <f t="shared" si="26"/>
        <v>138.7465667220097</v>
      </c>
      <c r="L224" s="16">
        <f t="shared" si="27"/>
        <v>177.82844657841949</v>
      </c>
    </row>
    <row r="225" spans="1:12" x14ac:dyDescent="0.25">
      <c r="A225" s="16">
        <v>10.9</v>
      </c>
      <c r="B225" s="45">
        <f t="shared" si="21"/>
        <v>10900</v>
      </c>
      <c r="C225" s="16">
        <f t="shared" si="22"/>
        <v>35.929565612977505</v>
      </c>
      <c r="D225" s="15">
        <f t="shared" si="23"/>
        <v>3.3633885621999999E+20</v>
      </c>
      <c r="E225" s="15">
        <f>IF($C225=0,0,FORECAST($C225, OFFSET('De Vaucouleurs Deprojection'!$F$2:$F$127, MATCH($C225, 'De Vaucouleurs Deprojection'!$A$2:$A$127,1)-1,0,2), OFFSET('De Vaucouleurs Deprojection'!$A$2:$A$127, MATCH($C225, 'De Vaucouleurs Deprojection'!$A$2:$A$127,1)-1,0,2))*QESTotalBulgeMass)</f>
        <v>8.8175914781867468E+39</v>
      </c>
      <c r="F225" s="15">
        <f t="shared" si="24"/>
        <v>2.6507550719087336E+40</v>
      </c>
      <c r="H225" s="18">
        <f t="shared" si="25"/>
        <v>3.5325142197274085E+40</v>
      </c>
      <c r="I225" s="16">
        <v>152.27463</v>
      </c>
      <c r="J225" s="45">
        <v>1</v>
      </c>
      <c r="K225" s="19">
        <f t="shared" si="26"/>
        <v>138.83323979181023</v>
      </c>
      <c r="L225" s="16">
        <f t="shared" si="27"/>
        <v>180.67097072881992</v>
      </c>
    </row>
    <row r="226" spans="1:12" x14ac:dyDescent="0.25">
      <c r="A226" s="16">
        <v>10.95</v>
      </c>
      <c r="B226" s="45">
        <f t="shared" si="21"/>
        <v>10950</v>
      </c>
      <c r="C226" s="16">
        <f t="shared" si="22"/>
        <v>36.09438013413795</v>
      </c>
      <c r="D226" s="15">
        <f t="shared" si="23"/>
        <v>3.3788169500999995E+20</v>
      </c>
      <c r="E226" s="15">
        <f>IF($C226=0,0,FORECAST($C226, OFFSET('De Vaucouleurs Deprojection'!$F$2:$F$127, MATCH($C226, 'De Vaucouleurs Deprojection'!$A$2:$A$127,1)-1,0,2), OFFSET('De Vaucouleurs Deprojection'!$A$2:$A$127, MATCH($C226, 'De Vaucouleurs Deprojection'!$A$2:$A$127,1)-1,0,2))*QESTotalBulgeMass)</f>
        <v>8.8179034291349449E+39</v>
      </c>
      <c r="F226" s="15">
        <f t="shared" si="24"/>
        <v>2.6507731446880008E+40</v>
      </c>
      <c r="H226" s="18">
        <f t="shared" si="25"/>
        <v>3.5325634876014955E+40</v>
      </c>
      <c r="I226" s="16">
        <v>152.46797000000001</v>
      </c>
      <c r="J226" s="45">
        <v>1</v>
      </c>
      <c r="K226" s="19">
        <f t="shared" si="26"/>
        <v>138.92091102048173</v>
      </c>
      <c r="L226" s="16">
        <f t="shared" si="27"/>
        <v>183.52280699454695</v>
      </c>
    </row>
    <row r="227" spans="1:12" x14ac:dyDescent="0.25">
      <c r="A227" s="16">
        <v>11</v>
      </c>
      <c r="B227" s="45">
        <f t="shared" si="21"/>
        <v>11000</v>
      </c>
      <c r="C227" s="16">
        <f t="shared" si="22"/>
        <v>36.259194655298401</v>
      </c>
      <c r="D227" s="15">
        <f t="shared" si="23"/>
        <v>3.3942453380000003E+20</v>
      </c>
      <c r="E227" s="15">
        <f>IF($C227=0,0,FORECAST($C227, OFFSET('De Vaucouleurs Deprojection'!$F$2:$F$127, MATCH($C227, 'De Vaucouleurs Deprojection'!$A$2:$A$127,1)-1,0,2), OFFSET('De Vaucouleurs Deprojection'!$A$2:$A$127, MATCH($C227, 'De Vaucouleurs Deprojection'!$A$2:$A$127,1)-1,0,2))*QESTotalBulgeMass)</f>
        <v>8.8182153800831418E+39</v>
      </c>
      <c r="F227" s="15">
        <f t="shared" si="24"/>
        <v>2.6507903794614199E+40</v>
      </c>
      <c r="H227" s="18">
        <f t="shared" si="25"/>
        <v>3.5326119174697342E+40</v>
      </c>
      <c r="I227" s="16">
        <v>152.65864999999999</v>
      </c>
      <c r="J227" s="45">
        <v>1</v>
      </c>
      <c r="K227" s="19">
        <f t="shared" si="26"/>
        <v>139.00956446537415</v>
      </c>
      <c r="L227" s="16">
        <f t="shared" si="27"/>
        <v>186.29753593153234</v>
      </c>
    </row>
    <row r="228" spans="1:12" x14ac:dyDescent="0.25">
      <c r="A228" s="16">
        <v>11.05</v>
      </c>
      <c r="B228" s="45">
        <f t="shared" si="21"/>
        <v>11050</v>
      </c>
      <c r="C228" s="16">
        <f t="shared" si="22"/>
        <v>36.424009176458846</v>
      </c>
      <c r="D228" s="15">
        <f t="shared" si="23"/>
        <v>3.4096737259000005E+20</v>
      </c>
      <c r="E228" s="15">
        <f>IF($C228=0,0,FORECAST($C228, OFFSET('De Vaucouleurs Deprojection'!$F$2:$F$127, MATCH($C228, 'De Vaucouleurs Deprojection'!$A$2:$A$127,1)-1,0,2), OFFSET('De Vaucouleurs Deprojection'!$A$2:$A$127, MATCH($C228, 'De Vaucouleurs Deprojection'!$A$2:$A$127,1)-1,0,2))*QESTotalBulgeMass)</f>
        <v>8.8185273310313387E+39</v>
      </c>
      <c r="F228" s="15">
        <f t="shared" si="24"/>
        <v>2.6508068147448394E+40</v>
      </c>
      <c r="H228" s="18">
        <f t="shared" si="25"/>
        <v>3.5326595478479734E+40</v>
      </c>
      <c r="I228" s="16">
        <v>152.84363999999999</v>
      </c>
      <c r="J228" s="45">
        <v>1</v>
      </c>
      <c r="K228" s="19">
        <f t="shared" si="26"/>
        <v>139.099184444755</v>
      </c>
      <c r="L228" s="16">
        <f t="shared" si="27"/>
        <v>188.91005851010505</v>
      </c>
    </row>
    <row r="229" spans="1:12" x14ac:dyDescent="0.25">
      <c r="A229" s="16">
        <v>11.1</v>
      </c>
      <c r="B229" s="45">
        <f t="shared" si="21"/>
        <v>11100</v>
      </c>
      <c r="C229" s="16">
        <f t="shared" si="22"/>
        <v>36.58882369761929</v>
      </c>
      <c r="D229" s="15">
        <f t="shared" si="23"/>
        <v>3.4251021138E+20</v>
      </c>
      <c r="E229" s="15">
        <f>IF($C229=0,0,FORECAST($C229, OFFSET('De Vaucouleurs Deprojection'!$F$2:$F$127, MATCH($C229, 'De Vaucouleurs Deprojection'!$A$2:$A$127,1)-1,0,2), OFFSET('De Vaucouleurs Deprojection'!$A$2:$A$127, MATCH($C229, 'De Vaucouleurs Deprojection'!$A$2:$A$127,1)-1,0,2))*QESTotalBulgeMass)</f>
        <v>8.8188392819795368E+39</v>
      </c>
      <c r="F229" s="15">
        <f t="shared" si="24"/>
        <v>2.6508224873027897E+40</v>
      </c>
      <c r="H229" s="18">
        <f t="shared" si="25"/>
        <v>3.5327064155007434E+40</v>
      </c>
      <c r="I229" s="16">
        <v>153.02065999999999</v>
      </c>
      <c r="J229" s="45">
        <v>1</v>
      </c>
      <c r="K229" s="19">
        <f t="shared" si="26"/>
        <v>139.18975553322031</v>
      </c>
      <c r="L229" s="16">
        <f t="shared" si="27"/>
        <v>191.29391836918626</v>
      </c>
    </row>
    <row r="230" spans="1:12" x14ac:dyDescent="0.25">
      <c r="A230" s="16">
        <v>11.15</v>
      </c>
      <c r="B230" s="45">
        <f t="shared" si="21"/>
        <v>11150</v>
      </c>
      <c r="C230" s="16">
        <f t="shared" si="22"/>
        <v>36.753638218779741</v>
      </c>
      <c r="D230" s="15">
        <f t="shared" si="23"/>
        <v>3.4405305017000002E+20</v>
      </c>
      <c r="E230" s="15">
        <f>IF($C230=0,0,FORECAST($C230, OFFSET('De Vaucouleurs Deprojection'!$F$2:$F$127, MATCH($C230, 'De Vaucouleurs Deprojection'!$A$2:$A$127,1)-1,0,2), OFFSET('De Vaucouleurs Deprojection'!$A$2:$A$127, MATCH($C230, 'De Vaucouleurs Deprojection'!$A$2:$A$127,1)-1,0,2))*QESTotalBulgeMass)</f>
        <v>8.8191512329277349E+39</v>
      </c>
      <c r="F230" s="15">
        <f t="shared" si="24"/>
        <v>2.6508374322270589E+40</v>
      </c>
      <c r="H230" s="18">
        <f t="shared" si="25"/>
        <v>3.5327525555198323E+40</v>
      </c>
      <c r="I230" s="16">
        <v>153.18799000000001</v>
      </c>
      <c r="J230" s="45">
        <v>1</v>
      </c>
      <c r="K230" s="19">
        <f t="shared" si="26"/>
        <v>139.28126255718462</v>
      </c>
      <c r="L230" s="16">
        <f t="shared" si="27"/>
        <v>193.39706816875483</v>
      </c>
    </row>
    <row r="231" spans="1:12" x14ac:dyDescent="0.25">
      <c r="A231" s="16">
        <v>11.2</v>
      </c>
      <c r="B231" s="45">
        <f t="shared" si="21"/>
        <v>11200</v>
      </c>
      <c r="C231" s="16">
        <f t="shared" si="22"/>
        <v>36.918452739940186</v>
      </c>
      <c r="D231" s="15">
        <f t="shared" si="23"/>
        <v>3.4559588895999997E+20</v>
      </c>
      <c r="E231" s="15">
        <f>IF($C231=0,0,FORECAST($C231, OFFSET('De Vaucouleurs Deprojection'!$F$2:$F$127, MATCH($C231, 'De Vaucouleurs Deprojection'!$A$2:$A$127,1)-1,0,2), OFFSET('De Vaucouleurs Deprojection'!$A$2:$A$127, MATCH($C231, 'De Vaucouleurs Deprojection'!$A$2:$A$127,1)-1,0,2))*QESTotalBulgeMass)</f>
        <v>8.8194631838759318E+39</v>
      </c>
      <c r="F231" s="15">
        <f t="shared" si="24"/>
        <v>2.6508516830117987E+40</v>
      </c>
      <c r="H231" s="18">
        <f t="shared" si="25"/>
        <v>3.5327980013993918E+40</v>
      </c>
      <c r="I231" s="16">
        <v>153.34419</v>
      </c>
      <c r="J231" s="45">
        <v>1</v>
      </c>
      <c r="K231" s="19">
        <f t="shared" si="26"/>
        <v>139.37369059044889</v>
      </c>
      <c r="L231" s="16">
        <f t="shared" si="27"/>
        <v>195.17485375226789</v>
      </c>
    </row>
    <row r="232" spans="1:12" x14ac:dyDescent="0.25">
      <c r="A232" s="16">
        <v>11.25</v>
      </c>
      <c r="B232" s="45">
        <f t="shared" si="21"/>
        <v>11250</v>
      </c>
      <c r="C232" s="16">
        <f t="shared" si="22"/>
        <v>37.083267261100637</v>
      </c>
      <c r="D232" s="15">
        <f t="shared" si="23"/>
        <v>3.4713872774999998E+20</v>
      </c>
      <c r="E232" s="15">
        <f>IF($C232=0,0,FORECAST($C232, OFFSET('De Vaucouleurs Deprojection'!$F$2:$F$127, MATCH($C232, 'De Vaucouleurs Deprojection'!$A$2:$A$127,1)-1,0,2), OFFSET('De Vaucouleurs Deprojection'!$A$2:$A$127, MATCH($C232, 'De Vaucouleurs Deprojection'!$A$2:$A$127,1)-1,0,2))*QESTotalBulgeMass)</f>
        <v>8.8197751348241287E+39</v>
      </c>
      <c r="F232" s="15">
        <f t="shared" si="24"/>
        <v>2.6508652716253163E+40</v>
      </c>
      <c r="H232" s="18">
        <f t="shared" si="25"/>
        <v>3.532842785107729E+40</v>
      </c>
      <c r="I232" s="16">
        <v>153.48804000000001</v>
      </c>
      <c r="J232" s="45">
        <v>1</v>
      </c>
      <c r="K232" s="19">
        <f t="shared" si="26"/>
        <v>139.46702494984535</v>
      </c>
      <c r="L232" s="16">
        <f t="shared" si="27"/>
        <v>196.58886303666347</v>
      </c>
    </row>
    <row r="233" spans="1:12" x14ac:dyDescent="0.25">
      <c r="A233" s="16">
        <v>11.3</v>
      </c>
      <c r="B233" s="45">
        <f t="shared" si="21"/>
        <v>11300</v>
      </c>
      <c r="C233" s="16">
        <f t="shared" si="22"/>
        <v>37.248081782261082</v>
      </c>
      <c r="D233" s="15">
        <f t="shared" si="23"/>
        <v>3.4868156654E+20</v>
      </c>
      <c r="E233" s="15">
        <f>IF($C233=0,0,FORECAST($C233, OFFSET('De Vaucouleurs Deprojection'!$F$2:$F$127, MATCH($C233, 'De Vaucouleurs Deprojection'!$A$2:$A$127,1)-1,0,2), OFFSET('De Vaucouleurs Deprojection'!$A$2:$A$127, MATCH($C233, 'De Vaucouleurs Deprojection'!$A$2:$A$127,1)-1,0,2))*QESTotalBulgeMass)</f>
        <v>8.8200870857723268E+39</v>
      </c>
      <c r="F233" s="15">
        <f t="shared" si="24"/>
        <v>2.6508782285786981E+40</v>
      </c>
      <c r="H233" s="18">
        <f t="shared" si="25"/>
        <v>3.532886937155931E+40</v>
      </c>
      <c r="I233" s="16">
        <v>153.61877000000001</v>
      </c>
      <c r="J233" s="45">
        <v>1</v>
      </c>
      <c r="K233" s="19">
        <f t="shared" si="26"/>
        <v>139.56125119095864</v>
      </c>
      <c r="L233" s="16">
        <f t="shared" si="27"/>
        <v>197.61383506655187</v>
      </c>
    </row>
    <row r="234" spans="1:12" x14ac:dyDescent="0.25">
      <c r="A234" s="16">
        <v>11.35</v>
      </c>
      <c r="B234" s="45">
        <f t="shared" si="21"/>
        <v>11350</v>
      </c>
      <c r="C234" s="16">
        <f t="shared" si="22"/>
        <v>37.412896303421526</v>
      </c>
      <c r="D234" s="15">
        <f t="shared" si="23"/>
        <v>3.5022440533000002E+20</v>
      </c>
      <c r="E234" s="15">
        <f>IF($C234=0,0,FORECAST($C234, OFFSET('De Vaucouleurs Deprojection'!$F$2:$F$127, MATCH($C234, 'De Vaucouleurs Deprojection'!$A$2:$A$127,1)-1,0,2), OFFSET('De Vaucouleurs Deprojection'!$A$2:$A$127, MATCH($C234, 'De Vaucouleurs Deprojection'!$A$2:$A$127,1)-1,0,2))*QESTotalBulgeMass)</f>
        <v>8.8203990367205237E+39</v>
      </c>
      <c r="F234" s="15">
        <f t="shared" si="24"/>
        <v>2.6508905829913883E+40</v>
      </c>
      <c r="H234" s="18">
        <f t="shared" si="25"/>
        <v>3.5329304866634409E+40</v>
      </c>
      <c r="I234" s="16">
        <v>153.73669000000001</v>
      </c>
      <c r="J234" s="45">
        <v>1</v>
      </c>
      <c r="K234" s="19">
        <f t="shared" si="26"/>
        <v>139.65635510392178</v>
      </c>
      <c r="L234" s="16">
        <f t="shared" si="27"/>
        <v>198.25583078571827</v>
      </c>
    </row>
    <row r="235" spans="1:12" x14ac:dyDescent="0.25">
      <c r="A235" s="16">
        <v>11.4</v>
      </c>
      <c r="B235" s="45">
        <f t="shared" si="21"/>
        <v>11400</v>
      </c>
      <c r="C235" s="16">
        <f t="shared" si="22"/>
        <v>37.577710824581978</v>
      </c>
      <c r="D235" s="15">
        <f t="shared" si="23"/>
        <v>3.5176724412000004E+20</v>
      </c>
      <c r="E235" s="15">
        <f>IF($C235=0,0,FORECAST($C235, OFFSET('De Vaucouleurs Deprojection'!$F$2:$F$127, MATCH($C235, 'De Vaucouleurs Deprojection'!$A$2:$A$127,1)-1,0,2), OFFSET('De Vaucouleurs Deprojection'!$A$2:$A$127, MATCH($C235, 'De Vaucouleurs Deprojection'!$A$2:$A$127,1)-1,0,2))*QESTotalBulgeMass)</f>
        <v>8.8207109876687205E+39</v>
      </c>
      <c r="F235" s="15">
        <f t="shared" si="24"/>
        <v>2.6509023626538733E+40</v>
      </c>
      <c r="H235" s="18">
        <f t="shared" si="25"/>
        <v>3.5329734614207451E+40</v>
      </c>
      <c r="I235" s="16">
        <v>153.84298999999999</v>
      </c>
      <c r="J235" s="45">
        <v>1</v>
      </c>
      <c r="K235" s="19">
        <f t="shared" si="26"/>
        <v>139.75232270928657</v>
      </c>
      <c r="L235" s="16">
        <f t="shared" si="27"/>
        <v>198.54690469758086</v>
      </c>
    </row>
    <row r="236" spans="1:12" x14ac:dyDescent="0.25">
      <c r="A236" s="16">
        <v>11.45</v>
      </c>
      <c r="B236" s="45">
        <f t="shared" si="21"/>
        <v>11450</v>
      </c>
      <c r="C236" s="16">
        <f t="shared" si="22"/>
        <v>37.742525345742422</v>
      </c>
      <c r="D236" s="15">
        <f t="shared" si="23"/>
        <v>3.5331008290999999E+20</v>
      </c>
      <c r="E236" s="15">
        <f>IF($C236=0,0,FORECAST($C236, OFFSET('De Vaucouleurs Deprojection'!$F$2:$F$127, MATCH($C236, 'De Vaucouleurs Deprojection'!$A$2:$A$127,1)-1,0,2), OFFSET('De Vaucouleurs Deprojection'!$A$2:$A$127, MATCH($C236, 'De Vaucouleurs Deprojection'!$A$2:$A$127,1)-1,0,2))*QESTotalBulgeMass)</f>
        <v>8.8210229386169186E+39</v>
      </c>
      <c r="F236" s="15">
        <f t="shared" si="24"/>
        <v>2.6509135940875803E+40</v>
      </c>
      <c r="H236" s="18">
        <f t="shared" si="25"/>
        <v>3.5330158879492722E+40</v>
      </c>
      <c r="I236" s="16">
        <v>153.93919</v>
      </c>
      <c r="J236" s="45">
        <v>1</v>
      </c>
      <c r="K236" s="19">
        <f t="shared" si="26"/>
        <v>139.84914025396662</v>
      </c>
      <c r="L236" s="16">
        <f t="shared" si="27"/>
        <v>198.52950184569511</v>
      </c>
    </row>
    <row r="237" spans="1:12" x14ac:dyDescent="0.25">
      <c r="A237" s="16">
        <v>11.5</v>
      </c>
      <c r="B237" s="45">
        <f t="shared" si="21"/>
        <v>11500</v>
      </c>
      <c r="C237" s="16">
        <f t="shared" si="22"/>
        <v>37.907339866902873</v>
      </c>
      <c r="D237" s="15">
        <f t="shared" si="23"/>
        <v>3.5485292170000001E+20</v>
      </c>
      <c r="E237" s="15">
        <f>IF($C237=0,0,FORECAST($C237, OFFSET('De Vaucouleurs Deprojection'!$F$2:$F$127, MATCH($C237, 'De Vaucouleurs Deprojection'!$A$2:$A$127,1)-1,0,2), OFFSET('De Vaucouleurs Deprojection'!$A$2:$A$127, MATCH($C237, 'De Vaucouleurs Deprojection'!$A$2:$A$127,1)-1,0,2))*QESTotalBulgeMass)</f>
        <v>8.8213348895651167E+39</v>
      </c>
      <c r="F237" s="15">
        <f t="shared" si="24"/>
        <v>2.6509243026021223E+40</v>
      </c>
      <c r="H237" s="18">
        <f t="shared" si="25"/>
        <v>3.5330577915586339E+40</v>
      </c>
      <c r="I237" s="16">
        <v>154.02701999999999</v>
      </c>
      <c r="J237" s="45">
        <v>1</v>
      </c>
      <c r="K237" s="19">
        <f t="shared" si="26"/>
        <v>139.94679420725291</v>
      </c>
      <c r="L237" s="16">
        <f t="shared" si="27"/>
        <v>198.25275837474032</v>
      </c>
    </row>
    <row r="238" spans="1:12" x14ac:dyDescent="0.25">
      <c r="A238" s="16">
        <v>11.55</v>
      </c>
      <c r="B238" s="45">
        <f t="shared" si="21"/>
        <v>11550</v>
      </c>
      <c r="C238" s="16">
        <f t="shared" si="22"/>
        <v>38.072154388063318</v>
      </c>
      <c r="D238" s="15">
        <f t="shared" si="23"/>
        <v>3.5639576049000002E+20</v>
      </c>
      <c r="E238" s="15">
        <f>IF($C238=0,0,FORECAST($C238, OFFSET('De Vaucouleurs Deprojection'!$F$2:$F$127, MATCH($C238, 'De Vaucouleurs Deprojection'!$A$2:$A$127,1)-1,0,2), OFFSET('De Vaucouleurs Deprojection'!$A$2:$A$127, MATCH($C238, 'De Vaucouleurs Deprojection'!$A$2:$A$127,1)-1,0,2))*QESTotalBulgeMass)</f>
        <v>8.8216468405133136E+39</v>
      </c>
      <c r="F238" s="15">
        <f t="shared" si="24"/>
        <v>2.6509345123499982E+40</v>
      </c>
      <c r="H238" s="18">
        <f t="shared" si="25"/>
        <v>3.5330991964013295E+40</v>
      </c>
      <c r="I238" s="16">
        <v>154.10843</v>
      </c>
      <c r="J238" s="45">
        <v>1</v>
      </c>
      <c r="K238" s="19">
        <f t="shared" si="26"/>
        <v>140.04527125690018</v>
      </c>
      <c r="L238" s="16">
        <f t="shared" si="27"/>
        <v>197.77243383362489</v>
      </c>
    </row>
    <row r="239" spans="1:12" x14ac:dyDescent="0.25">
      <c r="A239" s="16">
        <v>11.6</v>
      </c>
      <c r="B239" s="45">
        <f t="shared" si="21"/>
        <v>11600</v>
      </c>
      <c r="C239" s="16">
        <f t="shared" si="22"/>
        <v>38.236968909223762</v>
      </c>
      <c r="D239" s="15">
        <f t="shared" si="23"/>
        <v>3.5793859927999998E+20</v>
      </c>
      <c r="E239" s="15">
        <f>IF($C239=0,0,FORECAST($C239, OFFSET('De Vaucouleurs Deprojection'!$F$2:$F$127, MATCH($C239, 'De Vaucouleurs Deprojection'!$A$2:$A$127,1)-1,0,2), OFFSET('De Vaucouleurs Deprojection'!$A$2:$A$127, MATCH($C239, 'De Vaucouleurs Deprojection'!$A$2:$A$127,1)-1,0,2))*QESTotalBulgeMass)</f>
        <v>8.8219587914615105E+39</v>
      </c>
      <c r="F239" s="15">
        <f t="shared" si="24"/>
        <v>2.6509442463788647E+40</v>
      </c>
      <c r="H239" s="18">
        <f t="shared" si="25"/>
        <v>3.5331401255250157E+40</v>
      </c>
      <c r="I239" s="16">
        <v>154.18597</v>
      </c>
      <c r="J239" s="45">
        <v>1</v>
      </c>
      <c r="K239" s="19">
        <f t="shared" si="26"/>
        <v>140.14455830528328</v>
      </c>
      <c r="L239" s="16">
        <f t="shared" si="27"/>
        <v>197.16124238052731</v>
      </c>
    </row>
    <row r="240" spans="1:12" x14ac:dyDescent="0.25">
      <c r="A240" s="16">
        <v>11.65</v>
      </c>
      <c r="B240" s="45">
        <f t="shared" si="21"/>
        <v>11650</v>
      </c>
      <c r="C240" s="16">
        <f t="shared" si="22"/>
        <v>38.401783430384214</v>
      </c>
      <c r="D240" s="15">
        <f t="shared" si="23"/>
        <v>3.5948143806999999E+20</v>
      </c>
      <c r="E240" s="15">
        <f>IF($C240=0,0,FORECAST($C240, OFFSET('De Vaucouleurs Deprojection'!$F$2:$F$127, MATCH($C240, 'De Vaucouleurs Deprojection'!$A$2:$A$127,1)-1,0,2), OFFSET('De Vaucouleurs Deprojection'!$A$2:$A$127, MATCH($C240, 'De Vaucouleurs Deprojection'!$A$2:$A$127,1)-1,0,2))*QESTotalBulgeMass)</f>
        <v>8.8222707424097086E+39</v>
      </c>
      <c r="F240" s="15">
        <f t="shared" si="24"/>
        <v>2.6509535266814795E+40</v>
      </c>
      <c r="H240" s="18">
        <f t="shared" si="25"/>
        <v>3.5331806009224502E+40</v>
      </c>
      <c r="I240" s="16">
        <v>154.26279</v>
      </c>
      <c r="J240" s="45">
        <v>1</v>
      </c>
      <c r="K240" s="19">
        <f t="shared" si="26"/>
        <v>140.2446424656228</v>
      </c>
      <c r="L240" s="16">
        <f t="shared" si="27"/>
        <v>196.50846029556536</v>
      </c>
    </row>
    <row r="241" spans="1:12" x14ac:dyDescent="0.25">
      <c r="A241" s="16">
        <v>11.7</v>
      </c>
      <c r="B241" s="45">
        <f t="shared" si="21"/>
        <v>11700</v>
      </c>
      <c r="C241" s="16">
        <f t="shared" si="22"/>
        <v>38.566597951544658</v>
      </c>
      <c r="D241" s="15">
        <f t="shared" si="23"/>
        <v>3.6102427686000001E+20</v>
      </c>
      <c r="E241" s="15">
        <f>IF($C241=0,0,FORECAST($C241, OFFSET('De Vaucouleurs Deprojection'!$F$2:$F$127, MATCH($C241, 'De Vaucouleurs Deprojection'!$A$2:$A$127,1)-1,0,2), OFFSET('De Vaucouleurs Deprojection'!$A$2:$A$127, MATCH($C241, 'De Vaucouleurs Deprojection'!$A$2:$A$127,1)-1,0,2))*QESTotalBulgeMass)</f>
        <v>8.8225826933579055E+39</v>
      </c>
      <c r="F241" s="15">
        <f t="shared" si="24"/>
        <v>2.6509623742434191E+40</v>
      </c>
      <c r="H241" s="18">
        <f t="shared" si="25"/>
        <v>3.5332206435792095E+40</v>
      </c>
      <c r="I241" s="16">
        <v>154.34190000000001</v>
      </c>
      <c r="J241" s="45">
        <v>1</v>
      </c>
      <c r="K241" s="19">
        <f t="shared" si="26"/>
        <v>140.34551105827836</v>
      </c>
      <c r="L241" s="16">
        <f t="shared" si="27"/>
        <v>195.89890340794804</v>
      </c>
    </row>
    <row r="242" spans="1:12" x14ac:dyDescent="0.25">
      <c r="A242" s="16">
        <v>11.75</v>
      </c>
      <c r="B242" s="45">
        <f t="shared" si="21"/>
        <v>11750</v>
      </c>
      <c r="C242" s="16">
        <f t="shared" si="22"/>
        <v>38.731412472705109</v>
      </c>
      <c r="D242" s="15">
        <f t="shared" si="23"/>
        <v>3.6256711565000003E+20</v>
      </c>
      <c r="E242" s="15">
        <f>IF($C242=0,0,FORECAST($C242, OFFSET('De Vaucouleurs Deprojection'!$F$2:$F$127, MATCH($C242, 'De Vaucouleurs Deprojection'!$A$2:$A$127,1)-1,0,2), OFFSET('De Vaucouleurs Deprojection'!$A$2:$A$127, MATCH($C242, 'De Vaucouleurs Deprojection'!$A$2:$A$127,1)-1,0,2))*QESTotalBulgeMass)</f>
        <v>8.8228946443061024E+39</v>
      </c>
      <c r="F242" s="15">
        <f t="shared" si="24"/>
        <v>2.650970809088677E+40</v>
      </c>
      <c r="H242" s="18">
        <f t="shared" si="25"/>
        <v>3.5332602735192871E+40</v>
      </c>
      <c r="I242" s="16">
        <v>154.42545000000001</v>
      </c>
      <c r="J242" s="45">
        <v>1</v>
      </c>
      <c r="K242" s="19">
        <f t="shared" si="26"/>
        <v>140.44715160710905</v>
      </c>
      <c r="L242" s="16">
        <f t="shared" si="27"/>
        <v>195.39282596069808</v>
      </c>
    </row>
    <row r="243" spans="1:12" x14ac:dyDescent="0.25">
      <c r="A243" s="16">
        <v>11.8</v>
      </c>
      <c r="B243" s="45">
        <f t="shared" si="21"/>
        <v>11800</v>
      </c>
      <c r="C243" s="16">
        <f t="shared" si="22"/>
        <v>38.896226993865554</v>
      </c>
      <c r="D243" s="15">
        <f t="shared" si="23"/>
        <v>3.6410995444000005E+20</v>
      </c>
      <c r="E243" s="15">
        <f>IF($C243=0,0,FORECAST($C243, OFFSET('De Vaucouleurs Deprojection'!$F$2:$F$127, MATCH($C243, 'De Vaucouleurs Deprojection'!$A$2:$A$127,1)-1,0,2), OFFSET('De Vaucouleurs Deprojection'!$A$2:$A$127, MATCH($C243, 'De Vaucouleurs Deprojection'!$A$2:$A$127,1)-1,0,2))*QESTotalBulgeMass)</f>
        <v>8.8232065952543005E+39</v>
      </c>
      <c r="F243" s="15">
        <f t="shared" si="24"/>
        <v>2.6509788503232178E+40</v>
      </c>
      <c r="H243" s="18">
        <f t="shared" si="25"/>
        <v>3.5332995098486476E+40</v>
      </c>
      <c r="I243" s="16">
        <v>154.51403999999999</v>
      </c>
      <c r="J243" s="45">
        <v>1</v>
      </c>
      <c r="K243" s="19">
        <f t="shared" si="26"/>
        <v>140.54955183589962</v>
      </c>
      <c r="L243" s="16">
        <f t="shared" si="27"/>
        <v>195.00692968529941</v>
      </c>
    </row>
    <row r="244" spans="1:12" x14ac:dyDescent="0.25">
      <c r="A244" s="16">
        <v>11.85</v>
      </c>
      <c r="B244" s="45">
        <f t="shared" si="21"/>
        <v>11850</v>
      </c>
      <c r="C244" s="16">
        <f t="shared" si="22"/>
        <v>39.061041515025998</v>
      </c>
      <c r="D244" s="15">
        <f t="shared" si="23"/>
        <v>3.6565279323E+20</v>
      </c>
      <c r="E244" s="15">
        <f>IF($C244=0,0,FORECAST($C244, OFFSET('De Vaucouleurs Deprojection'!$F$2:$F$127, MATCH($C244, 'De Vaucouleurs Deprojection'!$A$2:$A$127,1)-1,0,2), OFFSET('De Vaucouleurs Deprojection'!$A$2:$A$127, MATCH($C244, 'De Vaucouleurs Deprojection'!$A$2:$A$127,1)-1,0,2))*QESTotalBulgeMass)</f>
        <v>8.8235185462024986E+39</v>
      </c>
      <c r="F244" s="15">
        <f t="shared" si="24"/>
        <v>2.6509865161765927E+40</v>
      </c>
      <c r="H244" s="18">
        <f t="shared" si="25"/>
        <v>3.5333383707968427E+40</v>
      </c>
      <c r="I244" s="16">
        <v>154.60704000000001</v>
      </c>
      <c r="J244" s="45">
        <v>1</v>
      </c>
      <c r="K244" s="19">
        <f t="shared" si="26"/>
        <v>140.65269966485178</v>
      </c>
      <c r="L244" s="16">
        <f t="shared" si="27"/>
        <v>194.72361418914485</v>
      </c>
    </row>
    <row r="245" spans="1:12" x14ac:dyDescent="0.25">
      <c r="A245" s="16">
        <v>11.9</v>
      </c>
      <c r="B245" s="45">
        <f t="shared" si="21"/>
        <v>11900</v>
      </c>
      <c r="C245" s="16">
        <f t="shared" si="22"/>
        <v>39.22585603618645</v>
      </c>
      <c r="D245" s="15">
        <f t="shared" si="23"/>
        <v>3.6719563202000001E+20</v>
      </c>
      <c r="E245" s="15">
        <f>IF($C245=0,0,FORECAST($C245, OFFSET('De Vaucouleurs Deprojection'!$F$2:$F$127, MATCH($C245, 'De Vaucouleurs Deprojection'!$A$2:$A$127,1)-1,0,2), OFFSET('De Vaucouleurs Deprojection'!$A$2:$A$127, MATCH($C245, 'De Vaucouleurs Deprojection'!$A$2:$A$127,1)-1,0,2))*QESTotalBulgeMass)</f>
        <v>8.8238304971506955E+39</v>
      </c>
      <c r="F245" s="15">
        <f t="shared" si="24"/>
        <v>2.6509938240416948E+40</v>
      </c>
      <c r="H245" s="18">
        <f t="shared" si="25"/>
        <v>3.5333768737567645E+40</v>
      </c>
      <c r="I245" s="16">
        <v>154.70295999999999</v>
      </c>
      <c r="J245" s="45">
        <v>1</v>
      </c>
      <c r="K245" s="19">
        <f t="shared" si="26"/>
        <v>140.75658320713896</v>
      </c>
      <c r="L245" s="16">
        <f t="shared" si="27"/>
        <v>194.50142564845274</v>
      </c>
    </row>
    <row r="246" spans="1:12" x14ac:dyDescent="0.25">
      <c r="A246" s="16">
        <v>11.95</v>
      </c>
      <c r="B246" s="45">
        <f t="shared" si="21"/>
        <v>11950</v>
      </c>
      <c r="C246" s="16">
        <f t="shared" si="22"/>
        <v>39.390670557346894</v>
      </c>
      <c r="D246" s="15">
        <f t="shared" si="23"/>
        <v>3.6873847080999997E+20</v>
      </c>
      <c r="E246" s="15">
        <f>IF($C246=0,0,FORECAST($C246, OFFSET('De Vaucouleurs Deprojection'!$F$2:$F$127, MATCH($C246, 'De Vaucouleurs Deprojection'!$A$2:$A$127,1)-1,0,2), OFFSET('De Vaucouleurs Deprojection'!$A$2:$A$127, MATCH($C246, 'De Vaucouleurs Deprojection'!$A$2:$A$127,1)-1,0,2))*QESTotalBulgeMass)</f>
        <v>8.8241424480988924E+39</v>
      </c>
      <c r="F246" s="15">
        <f t="shared" si="24"/>
        <v>2.6510007905127341E+40</v>
      </c>
      <c r="H246" s="18">
        <f t="shared" si="25"/>
        <v>3.5334150353226235E+40</v>
      </c>
      <c r="I246" s="16">
        <v>154.80002999999999</v>
      </c>
      <c r="J246" s="45">
        <v>1</v>
      </c>
      <c r="K246" s="19">
        <f t="shared" si="26"/>
        <v>140.86119076552441</v>
      </c>
      <c r="L246" s="16">
        <f t="shared" si="27"/>
        <v>194.29123920455578</v>
      </c>
    </row>
    <row r="247" spans="1:12" x14ac:dyDescent="0.25">
      <c r="A247" s="16">
        <v>12</v>
      </c>
      <c r="B247" s="45">
        <f t="shared" si="21"/>
        <v>12000</v>
      </c>
      <c r="C247" s="16">
        <f t="shared" si="22"/>
        <v>39.555485078507346</v>
      </c>
      <c r="D247" s="15">
        <f t="shared" si="23"/>
        <v>3.7028130959999998E+20</v>
      </c>
      <c r="E247" s="15">
        <f>IF($C247=0,0,FORECAST($C247, OFFSET('De Vaucouleurs Deprojection'!$F$2:$F$127, MATCH($C247, 'De Vaucouleurs Deprojection'!$A$2:$A$127,1)-1,0,2), OFFSET('De Vaucouleurs Deprojection'!$A$2:$A$127, MATCH($C247, 'De Vaucouleurs Deprojection'!$A$2:$A$127,1)-1,0,2))*QESTotalBulgeMass)</f>
        <v>8.8244543990470905E+39</v>
      </c>
      <c r="F247" s="15">
        <f t="shared" si="24"/>
        <v>2.651007431421512E+40</v>
      </c>
      <c r="H247" s="18">
        <f t="shared" si="25"/>
        <v>3.533452871326221E+40</v>
      </c>
      <c r="I247" s="16">
        <v>154.89626999999999</v>
      </c>
      <c r="J247" s="45">
        <v>1</v>
      </c>
      <c r="K247" s="19">
        <f t="shared" si="26"/>
        <v>140.96651082904054</v>
      </c>
      <c r="L247" s="16">
        <f t="shared" si="27"/>
        <v>194.03819056092871</v>
      </c>
    </row>
    <row r="248" spans="1:12" x14ac:dyDescent="0.25">
      <c r="A248" s="16">
        <v>12.05</v>
      </c>
      <c r="B248" s="45">
        <f t="shared" si="21"/>
        <v>12050</v>
      </c>
      <c r="C248" s="16">
        <f t="shared" si="22"/>
        <v>39.72029959966779</v>
      </c>
      <c r="D248" s="15">
        <f t="shared" si="23"/>
        <v>3.7182414839E+20</v>
      </c>
      <c r="E248" s="15">
        <f>IF($C248=0,0,FORECAST($C248, OFFSET('De Vaucouleurs Deprojection'!$F$2:$F$127, MATCH($C248, 'De Vaucouleurs Deprojection'!$A$2:$A$127,1)-1,0,2), OFFSET('De Vaucouleurs Deprojection'!$A$2:$A$127, MATCH($C248, 'De Vaucouleurs Deprojection'!$A$2:$A$127,1)-1,0,2))*QESTotalBulgeMass)</f>
        <v>8.8247663499952873E+39</v>
      </c>
      <c r="F248" s="15">
        <f t="shared" si="24"/>
        <v>2.6510137618720769E+40</v>
      </c>
      <c r="H248" s="18">
        <f t="shared" si="25"/>
        <v>3.5334903968716056E+40</v>
      </c>
      <c r="I248" s="16">
        <v>154.98922999999999</v>
      </c>
      <c r="J248" s="45">
        <v>1</v>
      </c>
      <c r="K248" s="19">
        <f t="shared" si="26"/>
        <v>141.07253206972956</v>
      </c>
      <c r="L248" s="16">
        <f t="shared" si="27"/>
        <v>193.67448128239329</v>
      </c>
    </row>
    <row r="249" spans="1:12" x14ac:dyDescent="0.25">
      <c r="A249" s="16">
        <v>12.1</v>
      </c>
      <c r="B249" s="45">
        <f t="shared" si="21"/>
        <v>12100</v>
      </c>
      <c r="C249" s="16">
        <f t="shared" si="22"/>
        <v>39.885114120828241</v>
      </c>
      <c r="D249" s="15">
        <f t="shared" si="23"/>
        <v>3.7336698718000002E+20</v>
      </c>
      <c r="E249" s="15">
        <f>IF($C249=0,0,FORECAST($C249, OFFSET('De Vaucouleurs Deprojection'!$F$2:$F$127, MATCH($C249, 'De Vaucouleurs Deprojection'!$A$2:$A$127,1)-1,0,2), OFFSET('De Vaucouleurs Deprojection'!$A$2:$A$127, MATCH($C249, 'De Vaucouleurs Deprojection'!$A$2:$A$127,1)-1,0,2))*QESTotalBulgeMass)</f>
        <v>8.8250783009434842E+39</v>
      </c>
      <c r="F249" s="15">
        <f t="shared" si="24"/>
        <v>2.6510197962738148E+40</v>
      </c>
      <c r="H249" s="18">
        <f t="shared" si="25"/>
        <v>3.5335276263681633E+40</v>
      </c>
      <c r="I249" s="16">
        <v>155.07594</v>
      </c>
      <c r="J249" s="45">
        <v>1</v>
      </c>
      <c r="K249" s="19">
        <f t="shared" si="26"/>
        <v>141.17924333944347</v>
      </c>
      <c r="L249" s="16">
        <f t="shared" si="27"/>
        <v>193.11817807552299</v>
      </c>
    </row>
    <row r="250" spans="1:12" x14ac:dyDescent="0.25">
      <c r="A250" s="16">
        <v>12.15</v>
      </c>
      <c r="B250" s="45">
        <f t="shared" si="21"/>
        <v>12150</v>
      </c>
      <c r="C250" s="16">
        <f t="shared" si="22"/>
        <v>40.049928641988686</v>
      </c>
      <c r="D250" s="15">
        <f t="shared" si="23"/>
        <v>3.7490982597000004E+20</v>
      </c>
      <c r="E250" s="15">
        <f>IF($C250=0,0,FORECAST($C250, OFFSET('De Vaucouleurs Deprojection'!$F$2:$F$127, MATCH($C250, 'De Vaucouleurs Deprojection'!$A$2:$A$127,1)-1,0,2), OFFSET('De Vaucouleurs Deprojection'!$A$2:$A$127, MATCH($C250, 'De Vaucouleurs Deprojection'!$A$2:$A$127,1)-1,0,2))*QESTotalBulgeMass)</f>
        <v>8.8253549240744855E+39</v>
      </c>
      <c r="F250" s="15">
        <f t="shared" si="24"/>
        <v>2.6510255483730669E+40</v>
      </c>
      <c r="H250" s="18">
        <f t="shared" si="25"/>
        <v>3.5335610407805155E+40</v>
      </c>
      <c r="I250" s="16">
        <v>155.15347</v>
      </c>
      <c r="J250" s="45">
        <v>1</v>
      </c>
      <c r="K250" s="19">
        <f t="shared" si="26"/>
        <v>141.28661141053712</v>
      </c>
      <c r="L250" s="16">
        <f t="shared" si="27"/>
        <v>192.28976714016042</v>
      </c>
    </row>
    <row r="251" spans="1:12" x14ac:dyDescent="0.25">
      <c r="A251" s="16">
        <v>12.2</v>
      </c>
      <c r="B251" s="45">
        <f t="shared" si="21"/>
        <v>12200</v>
      </c>
      <c r="C251" s="16">
        <f t="shared" si="22"/>
        <v>40.21474316314913</v>
      </c>
      <c r="D251" s="15">
        <f t="shared" si="23"/>
        <v>3.7645266475999999E+20</v>
      </c>
      <c r="E251" s="15">
        <f>IF($C251=0,0,FORECAST($C251, OFFSET('De Vaucouleurs Deprojection'!$F$2:$F$127, MATCH($C251, 'De Vaucouleurs Deprojection'!$A$2:$A$127,1)-1,0,2), OFFSET('De Vaucouleurs Deprojection'!$A$2:$A$127, MATCH($C251, 'De Vaucouleurs Deprojection'!$A$2:$A$127,1)-1,0,2))*QESTotalBulgeMass)</f>
        <v>8.8255502578457865E+39</v>
      </c>
      <c r="F251" s="15">
        <f t="shared" si="24"/>
        <v>2.6510310312833179E+40</v>
      </c>
      <c r="H251" s="18">
        <f t="shared" si="25"/>
        <v>3.5335860570678965E+40</v>
      </c>
      <c r="I251" s="16">
        <v>155.21985000000001</v>
      </c>
      <c r="J251" s="45">
        <v>1</v>
      </c>
      <c r="K251" s="19">
        <f t="shared" si="26"/>
        <v>141.39459699495376</v>
      </c>
      <c r="L251" s="16">
        <f t="shared" si="27"/>
        <v>191.13762065354035</v>
      </c>
    </row>
    <row r="252" spans="1:12" x14ac:dyDescent="0.25">
      <c r="A252" s="16">
        <v>12.25</v>
      </c>
      <c r="B252" s="45">
        <f t="shared" si="21"/>
        <v>12250</v>
      </c>
      <c r="C252" s="16">
        <f t="shared" si="22"/>
        <v>40.379557684309582</v>
      </c>
      <c r="D252" s="15">
        <f t="shared" si="23"/>
        <v>3.7799550355000001E+20</v>
      </c>
      <c r="E252" s="15">
        <f>IF($C252=0,0,FORECAST($C252, OFFSET('De Vaucouleurs Deprojection'!$F$2:$F$127, MATCH($C252, 'De Vaucouleurs Deprojection'!$A$2:$A$127,1)-1,0,2), OFFSET('De Vaucouleurs Deprojection'!$A$2:$A$127, MATCH($C252, 'De Vaucouleurs Deprojection'!$A$2:$A$127,1)-1,0,2))*QESTotalBulgeMass)</f>
        <v>8.8257455916170886E+39</v>
      </c>
      <c r="F252" s="15">
        <f t="shared" si="24"/>
        <v>2.6510362575140313E+40</v>
      </c>
      <c r="H252" s="18">
        <f t="shared" si="25"/>
        <v>3.5336108166757403E+40</v>
      </c>
      <c r="I252" s="16">
        <v>155.27486999999999</v>
      </c>
      <c r="J252" s="45">
        <v>1</v>
      </c>
      <c r="K252" s="19">
        <f t="shared" si="26"/>
        <v>141.50324091954866</v>
      </c>
      <c r="L252" s="16">
        <f t="shared" si="27"/>
        <v>189.65776752953283</v>
      </c>
    </row>
    <row r="253" spans="1:12" x14ac:dyDescent="0.25">
      <c r="A253" s="16">
        <v>12.3</v>
      </c>
      <c r="B253" s="45">
        <f t="shared" si="21"/>
        <v>12300</v>
      </c>
      <c r="C253" s="16">
        <f t="shared" si="22"/>
        <v>40.544372205470026</v>
      </c>
      <c r="D253" s="15">
        <f t="shared" si="23"/>
        <v>3.7953834234000002E+20</v>
      </c>
      <c r="E253" s="15">
        <f>IF($C253=0,0,FORECAST($C253, OFFSET('De Vaucouleurs Deprojection'!$F$2:$F$127, MATCH($C253, 'De Vaucouleurs Deprojection'!$A$2:$A$127,1)-1,0,2), OFFSET('De Vaucouleurs Deprojection'!$A$2:$A$127, MATCH($C253, 'De Vaucouleurs Deprojection'!$A$2:$A$127,1)-1,0,2))*QESTotalBulgeMass)</f>
        <v>8.8259409253883896E+39</v>
      </c>
      <c r="F253" s="15">
        <f t="shared" si="24"/>
        <v>2.6510412389981902E+40</v>
      </c>
      <c r="H253" s="18">
        <f t="shared" si="25"/>
        <v>3.5336353315370291E+40</v>
      </c>
      <c r="I253" s="16">
        <v>155.32017999999999</v>
      </c>
      <c r="J253" s="45">
        <v>1</v>
      </c>
      <c r="K253" s="19">
        <f t="shared" si="26"/>
        <v>141.61253271667803</v>
      </c>
      <c r="L253" s="16">
        <f t="shared" si="27"/>
        <v>187.89959404396393</v>
      </c>
    </row>
    <row r="254" spans="1:12" x14ac:dyDescent="0.25">
      <c r="A254" s="16">
        <v>12.35</v>
      </c>
      <c r="B254" s="45">
        <f t="shared" si="21"/>
        <v>12350</v>
      </c>
      <c r="C254" s="16">
        <f t="shared" si="22"/>
        <v>40.709186726630477</v>
      </c>
      <c r="D254" s="15">
        <f t="shared" si="23"/>
        <v>3.8108118112999997E+20</v>
      </c>
      <c r="E254" s="15">
        <f>IF($C254=0,0,FORECAST($C254, OFFSET('De Vaucouleurs Deprojection'!$F$2:$F$127, MATCH($C254, 'De Vaucouleurs Deprojection'!$A$2:$A$127,1)-1,0,2), OFFSET('De Vaucouleurs Deprojection'!$A$2:$A$127, MATCH($C254, 'De Vaucouleurs Deprojection'!$A$2:$A$127,1)-1,0,2))*QESTotalBulgeMass)</f>
        <v>8.8261362591596905E+39</v>
      </c>
      <c r="F254" s="15">
        <f t="shared" si="24"/>
        <v>2.6510459871185924E+40</v>
      </c>
      <c r="H254" s="18">
        <f t="shared" si="25"/>
        <v>3.5336596130345614E+40</v>
      </c>
      <c r="I254" s="16">
        <v>155.35839999999999</v>
      </c>
      <c r="J254" s="45">
        <v>1</v>
      </c>
      <c r="K254" s="19">
        <f t="shared" si="26"/>
        <v>141.72246208347229</v>
      </c>
      <c r="L254" s="16">
        <f t="shared" si="27"/>
        <v>185.93880286339765</v>
      </c>
    </row>
    <row r="255" spans="1:12" x14ac:dyDescent="0.25">
      <c r="A255" s="16">
        <v>12.4</v>
      </c>
      <c r="B255" s="45">
        <f t="shared" si="21"/>
        <v>12400</v>
      </c>
      <c r="C255" s="16">
        <f t="shared" si="22"/>
        <v>40.874001247790922</v>
      </c>
      <c r="D255" s="15">
        <f t="shared" si="23"/>
        <v>3.8262401991999999E+20</v>
      </c>
      <c r="E255" s="15">
        <f>IF($C255=0,0,FORECAST($C255, OFFSET('De Vaucouleurs Deprojection'!$F$2:$F$127, MATCH($C255, 'De Vaucouleurs Deprojection'!$A$2:$A$127,1)-1,0,2), OFFSET('De Vaucouleurs Deprojection'!$A$2:$A$127, MATCH($C255, 'De Vaucouleurs Deprojection'!$A$2:$A$127,1)-1,0,2))*QESTotalBulgeMass)</f>
        <v>8.8263315929309926E+39</v>
      </c>
      <c r="F255" s="15">
        <f t="shared" si="24"/>
        <v>2.6510505127329668E+40</v>
      </c>
      <c r="H255" s="18">
        <f t="shared" si="25"/>
        <v>3.5336836720260662E+40</v>
      </c>
      <c r="I255" s="16">
        <v>155.39230000000001</v>
      </c>
      <c r="J255" s="45">
        <v>1</v>
      </c>
      <c r="K255" s="19">
        <f t="shared" si="26"/>
        <v>141.83301887897278</v>
      </c>
      <c r="L255" s="16">
        <f t="shared" si="27"/>
        <v>183.85410451904534</v>
      </c>
    </row>
    <row r="256" spans="1:12" x14ac:dyDescent="0.25">
      <c r="A256" s="16">
        <v>12.45</v>
      </c>
      <c r="B256" s="45">
        <f t="shared" si="21"/>
        <v>12450</v>
      </c>
      <c r="C256" s="16">
        <f t="shared" si="22"/>
        <v>41.038815768951366</v>
      </c>
      <c r="D256" s="15">
        <f t="shared" si="23"/>
        <v>3.8416685871000001E+20</v>
      </c>
      <c r="E256" s="15">
        <f>IF($C256=0,0,FORECAST($C256, OFFSET('De Vaucouleurs Deprojection'!$F$2:$F$127, MATCH($C256, 'De Vaucouleurs Deprojection'!$A$2:$A$127,1)-1,0,2), OFFSET('De Vaucouleurs Deprojection'!$A$2:$A$127, MATCH($C256, 'De Vaucouleurs Deprojection'!$A$2:$A$127,1)-1,0,2))*QESTotalBulgeMass)</f>
        <v>8.8265269267022936E+39</v>
      </c>
      <c r="F256" s="15">
        <f t="shared" si="24"/>
        <v>2.6510548261979502E+40</v>
      </c>
      <c r="H256" s="18">
        <f t="shared" si="25"/>
        <v>3.5337075188681796E+40</v>
      </c>
      <c r="I256" s="16">
        <v>155.42426</v>
      </c>
      <c r="J256" s="45">
        <v>1</v>
      </c>
      <c r="K256" s="19">
        <f t="shared" si="26"/>
        <v>141.94419312132118</v>
      </c>
      <c r="L256" s="16">
        <f t="shared" si="27"/>
        <v>181.71220305365392</v>
      </c>
    </row>
    <row r="257" spans="1:12" x14ac:dyDescent="0.25">
      <c r="A257" s="16">
        <v>12.5</v>
      </c>
      <c r="B257" s="45">
        <f t="shared" si="21"/>
        <v>12500</v>
      </c>
      <c r="C257" s="16">
        <f t="shared" si="22"/>
        <v>41.203630290111818</v>
      </c>
      <c r="D257" s="15">
        <f t="shared" si="23"/>
        <v>3.8570969750000003E+20</v>
      </c>
      <c r="E257" s="15">
        <f>IF($C257=0,0,FORECAST($C257, OFFSET('De Vaucouleurs Deprojection'!$F$2:$F$127, MATCH($C257, 'De Vaucouleurs Deprojection'!$A$2:$A$127,1)-1,0,2), OFFSET('De Vaucouleurs Deprojection'!$A$2:$A$127, MATCH($C257, 'De Vaucouleurs Deprojection'!$A$2:$A$127,1)-1,0,2))*QESTotalBulgeMass)</f>
        <v>8.8267222604735933E+39</v>
      </c>
      <c r="F257" s="15">
        <f t="shared" si="24"/>
        <v>2.6510589373919937E+40</v>
      </c>
      <c r="H257" s="18">
        <f t="shared" si="25"/>
        <v>3.533731163439353E+40</v>
      </c>
      <c r="I257" s="16">
        <v>155.45638</v>
      </c>
      <c r="J257" s="45">
        <v>1</v>
      </c>
      <c r="K257" s="19">
        <f t="shared" si="26"/>
        <v>142.05597498500128</v>
      </c>
      <c r="L257" s="16">
        <f t="shared" si="27"/>
        <v>179.57085456600259</v>
      </c>
    </row>
    <row r="258" spans="1:12" x14ac:dyDescent="0.25">
      <c r="A258" s="16">
        <v>12.55</v>
      </c>
      <c r="B258" s="45">
        <f t="shared" si="21"/>
        <v>12550</v>
      </c>
      <c r="C258" s="16">
        <f t="shared" si="22"/>
        <v>41.368444811272262</v>
      </c>
      <c r="D258" s="15">
        <f t="shared" si="23"/>
        <v>3.8725253629000004E+20</v>
      </c>
      <c r="E258" s="15">
        <f>IF($C258=0,0,FORECAST($C258, OFFSET('De Vaucouleurs Deprojection'!$F$2:$F$127, MATCH($C258, 'De Vaucouleurs Deprojection'!$A$2:$A$127,1)-1,0,2), OFFSET('De Vaucouleurs Deprojection'!$A$2:$A$127, MATCH($C258, 'De Vaucouleurs Deprojection'!$A$2:$A$127,1)-1,0,2))*QESTotalBulgeMass)</f>
        <v>8.8269175942448954E+39</v>
      </c>
      <c r="F258" s="15">
        <f t="shared" si="24"/>
        <v>2.6510628557372223E+40</v>
      </c>
      <c r="H258" s="18">
        <f t="shared" si="25"/>
        <v>3.5337546151617121E+40</v>
      </c>
      <c r="I258" s="16">
        <v>155.49065999999999</v>
      </c>
      <c r="J258" s="45">
        <v>1</v>
      </c>
      <c r="K258" s="19">
        <f t="shared" si="26"/>
        <v>142.1683547981315</v>
      </c>
      <c r="L258" s="16">
        <f t="shared" si="27"/>
        <v>177.48381589173218</v>
      </c>
    </row>
    <row r="259" spans="1:12" x14ac:dyDescent="0.25">
      <c r="A259" s="16">
        <v>12.6</v>
      </c>
      <c r="B259" s="45">
        <f t="shared" si="21"/>
        <v>12600</v>
      </c>
      <c r="C259" s="16">
        <f t="shared" si="22"/>
        <v>41.533259332432714</v>
      </c>
      <c r="D259" s="15">
        <f t="shared" si="23"/>
        <v>3.8879537508E+20</v>
      </c>
      <c r="E259" s="15">
        <f>IF($C259=0,0,FORECAST($C259, OFFSET('De Vaucouleurs Deprojection'!$F$2:$F$127, MATCH($C259, 'De Vaucouleurs Deprojection'!$A$2:$A$127,1)-1,0,2), OFFSET('De Vaucouleurs Deprojection'!$A$2:$A$127, MATCH($C259, 'De Vaucouleurs Deprojection'!$A$2:$A$127,1)-1,0,2))*QESTotalBulgeMass)</f>
        <v>8.8271129280161964E+39</v>
      </c>
      <c r="F259" s="15">
        <f t="shared" si="24"/>
        <v>2.6510665902203148E+40</v>
      </c>
      <c r="H259" s="18">
        <f t="shared" si="25"/>
        <v>3.5337778830219346E+40</v>
      </c>
      <c r="I259" s="16">
        <v>155.52905000000001</v>
      </c>
      <c r="J259" s="45">
        <v>1</v>
      </c>
      <c r="K259" s="19">
        <f t="shared" si="26"/>
        <v>142.28132303980792</v>
      </c>
      <c r="L259" s="16">
        <f t="shared" si="27"/>
        <v>175.50226961180053</v>
      </c>
    </row>
    <row r="260" spans="1:12" x14ac:dyDescent="0.25">
      <c r="A260" s="16">
        <v>12.65</v>
      </c>
      <c r="B260" s="45">
        <f t="shared" si="21"/>
        <v>12650</v>
      </c>
      <c r="C260" s="16">
        <f t="shared" si="22"/>
        <v>41.698073853593158</v>
      </c>
      <c r="D260" s="15">
        <f t="shared" si="23"/>
        <v>3.9033821387000001E+20</v>
      </c>
      <c r="E260" s="15">
        <f>IF($C260=0,0,FORECAST($C260, OFFSET('De Vaucouleurs Deprojection'!$F$2:$F$127, MATCH($C260, 'De Vaucouleurs Deprojection'!$A$2:$A$127,1)-1,0,2), OFFSET('De Vaucouleurs Deprojection'!$A$2:$A$127, MATCH($C260, 'De Vaucouleurs Deprojection'!$A$2:$A$127,1)-1,0,2))*QESTotalBulgeMass)</f>
        <v>8.8273082617874973E+39</v>
      </c>
      <c r="F260" s="15">
        <f t="shared" si="24"/>
        <v>2.6510701494124386E+40</v>
      </c>
      <c r="H260" s="18">
        <f t="shared" si="25"/>
        <v>3.5338009755911884E+40</v>
      </c>
      <c r="I260" s="16">
        <v>155.57293999999999</v>
      </c>
      <c r="J260" s="45">
        <v>1</v>
      </c>
      <c r="K260" s="19">
        <f t="shared" si="26"/>
        <v>142.39487033749614</v>
      </c>
      <c r="L260" s="16">
        <f t="shared" si="27"/>
        <v>173.66152002980419</v>
      </c>
    </row>
    <row r="261" spans="1:12" x14ac:dyDescent="0.25">
      <c r="A261" s="16">
        <v>12.7</v>
      </c>
      <c r="B261" s="45">
        <f t="shared" si="21"/>
        <v>12700</v>
      </c>
      <c r="C261" s="16">
        <f t="shared" si="22"/>
        <v>41.862888374753602</v>
      </c>
      <c r="D261" s="15">
        <f t="shared" si="23"/>
        <v>3.9188105265999997E+20</v>
      </c>
      <c r="E261" s="15">
        <f>IF($C261=0,0,FORECAST($C261, OFFSET('De Vaucouleurs Deprojection'!$F$2:$F$127, MATCH($C261, 'De Vaucouleurs Deprojection'!$A$2:$A$127,1)-1,0,2), OFFSET('De Vaucouleurs Deprojection'!$A$2:$A$127, MATCH($C261, 'De Vaucouleurs Deprojection'!$A$2:$A$127,1)-1,0,2))*QESTotalBulgeMass)</f>
        <v>8.8275035955587995E+39</v>
      </c>
      <c r="F261" s="15">
        <f t="shared" si="24"/>
        <v>2.6510735414882782E+40</v>
      </c>
      <c r="H261" s="18">
        <f t="shared" si="25"/>
        <v>3.5338239010441584E+40</v>
      </c>
      <c r="I261" s="16">
        <v>155.62289000000001</v>
      </c>
      <c r="J261" s="45">
        <v>1</v>
      </c>
      <c r="K261" s="19">
        <f t="shared" si="26"/>
        <v>142.50898746447217</v>
      </c>
      <c r="L261" s="16">
        <f t="shared" si="27"/>
        <v>171.97443971132356</v>
      </c>
    </row>
    <row r="262" spans="1:12" x14ac:dyDescent="0.25">
      <c r="A262" s="16">
        <v>12.75</v>
      </c>
      <c r="B262" s="45">
        <f t="shared" si="21"/>
        <v>12750</v>
      </c>
      <c r="C262" s="16">
        <f t="shared" si="22"/>
        <v>42.027702895914054</v>
      </c>
      <c r="D262" s="15">
        <f t="shared" si="23"/>
        <v>3.9342389144999998E+20</v>
      </c>
      <c r="E262" s="15">
        <f>IF($C262=0,0,FORECAST($C262, OFFSET('De Vaucouleurs Deprojection'!$F$2:$F$127, MATCH($C262, 'De Vaucouleurs Deprojection'!$A$2:$A$127,1)-1,0,2), OFFSET('De Vaucouleurs Deprojection'!$A$2:$A$127, MATCH($C262, 'De Vaucouleurs Deprojection'!$A$2:$A$127,1)-1,0,2))*QESTotalBulgeMass)</f>
        <v>8.8276989293301004E+39</v>
      </c>
      <c r="F262" s="15">
        <f t="shared" si="24"/>
        <v>2.6510767742442087E+40</v>
      </c>
      <c r="H262" s="18">
        <f t="shared" si="25"/>
        <v>3.5338466671772188E+40</v>
      </c>
      <c r="I262" s="16">
        <v>155.67876000000001</v>
      </c>
      <c r="J262" s="45">
        <v>1</v>
      </c>
      <c r="K262" s="19">
        <f t="shared" si="26"/>
        <v>142.62366533731014</v>
      </c>
      <c r="L262" s="16">
        <f t="shared" si="27"/>
        <v>170.43549665179347</v>
      </c>
    </row>
    <row r="263" spans="1:12" x14ac:dyDescent="0.25">
      <c r="A263" s="16">
        <v>12.8</v>
      </c>
      <c r="B263" s="45">
        <f t="shared" si="21"/>
        <v>12800</v>
      </c>
      <c r="C263" s="16">
        <f t="shared" si="22"/>
        <v>42.192517417074498</v>
      </c>
      <c r="D263" s="15">
        <f t="shared" si="23"/>
        <v>3.9496673024E+20</v>
      </c>
      <c r="E263" s="15">
        <f>IF($C263=0,0,FORECAST($C263, OFFSET('De Vaucouleurs Deprojection'!$F$2:$F$127, MATCH($C263, 'De Vaucouleurs Deprojection'!$A$2:$A$127,1)-1,0,2), OFFSET('De Vaucouleurs Deprojection'!$A$2:$A$127, MATCH($C263, 'De Vaucouleurs Deprojection'!$A$2:$A$127,1)-1,0,2))*QESTotalBulgeMass)</f>
        <v>8.8278942631014013E+39</v>
      </c>
      <c r="F263" s="15">
        <f t="shared" si="24"/>
        <v>2.6510798551156417E+40</v>
      </c>
      <c r="H263" s="18">
        <f t="shared" si="25"/>
        <v>3.5338692814257819E+40</v>
      </c>
      <c r="I263" s="16">
        <v>155.73984999999999</v>
      </c>
      <c r="J263" s="45">
        <v>1</v>
      </c>
      <c r="K263" s="19">
        <f t="shared" si="26"/>
        <v>142.73889501341719</v>
      </c>
      <c r="L263" s="16">
        <f t="shared" si="27"/>
        <v>169.02483056315211</v>
      </c>
    </row>
    <row r="264" spans="1:12" x14ac:dyDescent="0.25">
      <c r="A264" s="16">
        <v>12.85</v>
      </c>
      <c r="B264" s="45">
        <f t="shared" ref="B264:B327" si="28">RadiusKpc*1000</f>
        <v>12850</v>
      </c>
      <c r="C264" s="16">
        <f t="shared" ref="C264:C327" si="29">IF(QESBulgeEffectiveRadius=0,0,RadiusPc/QESBulgeEffectiveRadius)</f>
        <v>42.35733193823495</v>
      </c>
      <c r="D264" s="15">
        <f t="shared" ref="D264:D327" si="30">RadiusKpc*kpc</f>
        <v>3.9650956903000002E+20</v>
      </c>
      <c r="E264" s="15">
        <f>IF($C264=0,0,FORECAST($C264, OFFSET('De Vaucouleurs Deprojection'!$F$2:$F$127, MATCH($C264, 'De Vaucouleurs Deprojection'!$A$2:$A$127,1)-1,0,2), OFFSET('De Vaucouleurs Deprojection'!$A$2:$A$127, MATCH($C264, 'De Vaucouleurs Deprojection'!$A$2:$A$127,1)-1,0,2))*QESTotalBulgeMass)</f>
        <v>8.8280895968727023E+39</v>
      </c>
      <c r="F264" s="15">
        <f t="shared" ref="F264:F327" si="31">2*PI()*QESDiskSurfaceDensity*QESDiskScaleLength*(QESDiskScaleLength-EXP(-RadiusPc/QESDiskScaleLength)*(RadiusPc+QESDiskScaleLength))*SolarMass</f>
        <v>2.6510827911935835E+40</v>
      </c>
      <c r="H264" s="18">
        <f t="shared" ref="H264:H327" si="32">BulgeMass+DiskMass+HaloMass</f>
        <v>3.5338917508808537E+40</v>
      </c>
      <c r="I264" s="16">
        <v>155.80549999999999</v>
      </c>
      <c r="J264" s="45">
        <v>1</v>
      </c>
      <c r="K264" s="19">
        <f t="shared" ref="K264:K327" si="33">SQRT(TotalMass*GravitationalConstant/RadiusKm+UniverseAcceleration*RadiusKm)/km</f>
        <v>142.85466768861372</v>
      </c>
      <c r="L264" s="16">
        <f t="shared" ref="L264:L327" si="34">(ObservedVelocity-ModelVelocity)^2/(VelocityError)^2</f>
        <v>167.72405755764686</v>
      </c>
    </row>
    <row r="265" spans="1:12" x14ac:dyDescent="0.25">
      <c r="A265" s="16">
        <v>12.9</v>
      </c>
      <c r="B265" s="45">
        <f t="shared" si="28"/>
        <v>12900</v>
      </c>
      <c r="C265" s="16">
        <f t="shared" si="29"/>
        <v>42.522146459395394</v>
      </c>
      <c r="D265" s="15">
        <f t="shared" si="30"/>
        <v>3.9805240782000003E+20</v>
      </c>
      <c r="E265" s="15">
        <f>IF($C265=0,0,FORECAST($C265, OFFSET('De Vaucouleurs Deprojection'!$F$2:$F$127, MATCH($C265, 'De Vaucouleurs Deprojection'!$A$2:$A$127,1)-1,0,2), OFFSET('De Vaucouleurs Deprojection'!$A$2:$A$127, MATCH($C265, 'De Vaucouleurs Deprojection'!$A$2:$A$127,1)-1,0,2))*QESTotalBulgeMass)</f>
        <v>8.8282849306440032E+39</v>
      </c>
      <c r="F265" s="15">
        <f t="shared" si="31"/>
        <v>2.6510855892404469E+40</v>
      </c>
      <c r="H265" s="18">
        <f t="shared" si="32"/>
        <v>3.5339140823048475E+40</v>
      </c>
      <c r="I265" s="16">
        <v>155.87509</v>
      </c>
      <c r="J265" s="45">
        <v>1</v>
      </c>
      <c r="K265" s="19">
        <f t="shared" si="33"/>
        <v>142.97097469475884</v>
      </c>
      <c r="L265" s="16">
        <f t="shared" si="34"/>
        <v>166.51619181095924</v>
      </c>
    </row>
    <row r="266" spans="1:12" x14ac:dyDescent="0.25">
      <c r="A266" s="16">
        <v>12.95</v>
      </c>
      <c r="B266" s="45">
        <f t="shared" si="28"/>
        <v>12950</v>
      </c>
      <c r="C266" s="16">
        <f t="shared" si="29"/>
        <v>42.686960980555838</v>
      </c>
      <c r="D266" s="15">
        <f t="shared" si="30"/>
        <v>3.9959524660999999E+20</v>
      </c>
      <c r="E266" s="15">
        <f>IF($C266=0,0,FORECAST($C266, OFFSET('De Vaucouleurs Deprojection'!$F$2:$F$127, MATCH($C266, 'De Vaucouleurs Deprojection'!$A$2:$A$127,1)-1,0,2), OFFSET('De Vaucouleurs Deprojection'!$A$2:$A$127, MATCH($C266, 'De Vaucouleurs Deprojection'!$A$2:$A$127,1)-1,0,2))*QESTotalBulgeMass)</f>
        <v>8.8284802644153053E+39</v>
      </c>
      <c r="F266" s="15">
        <f t="shared" si="31"/>
        <v>2.6510882557051417E+40</v>
      </c>
      <c r="H266" s="18">
        <f t="shared" si="32"/>
        <v>3.5339362821466723E+40</v>
      </c>
      <c r="I266" s="16">
        <v>155.94798</v>
      </c>
      <c r="J266" s="45">
        <v>1</v>
      </c>
      <c r="K266" s="19">
        <f t="shared" si="33"/>
        <v>143.0878074974197</v>
      </c>
      <c r="L266" s="16">
        <f t="shared" si="34"/>
        <v>165.38403679612239</v>
      </c>
    </row>
    <row r="267" spans="1:12" x14ac:dyDescent="0.25">
      <c r="A267" s="16">
        <v>13</v>
      </c>
      <c r="B267" s="45">
        <f t="shared" si="28"/>
        <v>13000</v>
      </c>
      <c r="C267" s="16">
        <f t="shared" si="29"/>
        <v>42.85177550171629</v>
      </c>
      <c r="D267" s="15">
        <f t="shared" si="30"/>
        <v>4.011380854E+20</v>
      </c>
      <c r="E267" s="15">
        <f>IF($C267=0,0,FORECAST($C267, OFFSET('De Vaucouleurs Deprojection'!$F$2:$F$127, MATCH($C267, 'De Vaucouleurs Deprojection'!$A$2:$A$127,1)-1,0,2), OFFSET('De Vaucouleurs Deprojection'!$A$2:$A$127, MATCH($C267, 'De Vaucouleurs Deprojection'!$A$2:$A$127,1)-1,0,2))*QESTotalBulgeMass)</f>
        <v>8.8286755981866063E+39</v>
      </c>
      <c r="F267" s="15">
        <f t="shared" si="31"/>
        <v>2.6510907967374789E+40</v>
      </c>
      <c r="H267" s="18">
        <f t="shared" si="32"/>
        <v>3.5339583565561394E+40</v>
      </c>
      <c r="I267" s="16">
        <v>156.02350000000001</v>
      </c>
      <c r="J267" s="45">
        <v>1</v>
      </c>
      <c r="K267" s="19">
        <f t="shared" si="33"/>
        <v>143.2051576935844</v>
      </c>
      <c r="L267" s="16">
        <f t="shared" si="34"/>
        <v>164.3098994844444</v>
      </c>
    </row>
    <row r="268" spans="1:12" x14ac:dyDescent="0.25">
      <c r="A268" s="16">
        <v>13.05</v>
      </c>
      <c r="B268" s="45">
        <f t="shared" si="28"/>
        <v>13050</v>
      </c>
      <c r="C268" s="16">
        <f t="shared" si="29"/>
        <v>43.016590022876734</v>
      </c>
      <c r="D268" s="15">
        <f t="shared" si="30"/>
        <v>4.0268092419000002E+20</v>
      </c>
      <c r="E268" s="15">
        <f>IF($C268=0,0,FORECAST($C268, OFFSET('De Vaucouleurs Deprojection'!$F$2:$F$127, MATCH($C268, 'De Vaucouleurs Deprojection'!$A$2:$A$127,1)-1,0,2), OFFSET('De Vaucouleurs Deprojection'!$A$2:$A$127, MATCH($C268, 'De Vaucouleurs Deprojection'!$A$2:$A$127,1)-1,0,2))*QESTotalBulgeMass)</f>
        <v>8.8288709319579072E+39</v>
      </c>
      <c r="F268" s="15">
        <f t="shared" si="31"/>
        <v>2.6510932182019243E+40</v>
      </c>
      <c r="H268" s="18">
        <f t="shared" si="32"/>
        <v>3.5339803113977153E+40</v>
      </c>
      <c r="I268" s="16">
        <v>156.10095000000001</v>
      </c>
      <c r="J268" s="45">
        <v>1</v>
      </c>
      <c r="K268" s="19">
        <f t="shared" si="33"/>
        <v>143.32301700941696</v>
      </c>
      <c r="L268" s="16">
        <f t="shared" si="34"/>
        <v>163.27557151183078</v>
      </c>
    </row>
    <row r="269" spans="1:12" x14ac:dyDescent="0.25">
      <c r="A269" s="16">
        <v>13.1</v>
      </c>
      <c r="B269" s="45">
        <f t="shared" si="28"/>
        <v>13100</v>
      </c>
      <c r="C269" s="16">
        <f t="shared" si="29"/>
        <v>43.181404544037186</v>
      </c>
      <c r="D269" s="15">
        <f t="shared" si="30"/>
        <v>4.0422376297999997E+20</v>
      </c>
      <c r="E269" s="15">
        <f>IF($C269=0,0,FORECAST($C269, OFFSET('De Vaucouleurs Deprojection'!$F$2:$F$127, MATCH($C269, 'De Vaucouleurs Deprojection'!$A$2:$A$127,1)-1,0,2), OFFSET('De Vaucouleurs Deprojection'!$A$2:$A$127, MATCH($C269, 'De Vaucouleurs Deprojection'!$A$2:$A$127,1)-1,0,2))*QESTotalBulgeMass)</f>
        <v>8.8290662657292081E+39</v>
      </c>
      <c r="F269" s="15">
        <f t="shared" si="31"/>
        <v>2.6510955256907206E+40</v>
      </c>
      <c r="H269" s="18">
        <f t="shared" si="32"/>
        <v>3.5340021522636416E+40</v>
      </c>
      <c r="I269" s="16">
        <v>156.17946000000001</v>
      </c>
      <c r="J269" s="45">
        <v>1</v>
      </c>
      <c r="K269" s="19">
        <f t="shared" si="33"/>
        <v>143.44137729805422</v>
      </c>
      <c r="L269" s="16">
        <f t="shared" si="34"/>
        <v>162.25875092161044</v>
      </c>
    </row>
    <row r="270" spans="1:12" x14ac:dyDescent="0.25">
      <c r="A270" s="16">
        <v>13.15</v>
      </c>
      <c r="B270" s="45">
        <f t="shared" si="28"/>
        <v>13150</v>
      </c>
      <c r="C270" s="16">
        <f t="shared" si="29"/>
        <v>43.34621906519763</v>
      </c>
      <c r="D270" s="15">
        <f t="shared" si="30"/>
        <v>4.0576660176999999E+20</v>
      </c>
      <c r="E270" s="15">
        <f>IF($C270=0,0,FORECAST($C270, OFFSET('De Vaucouleurs Deprojection'!$F$2:$F$127, MATCH($C270, 'De Vaucouleurs Deprojection'!$A$2:$A$127,1)-1,0,2), OFFSET('De Vaucouleurs Deprojection'!$A$2:$A$127, MATCH($C270, 'De Vaucouleurs Deprojection'!$A$2:$A$127,1)-1,0,2))*QESTotalBulgeMass)</f>
        <v>8.8292615995005091E+39</v>
      </c>
      <c r="F270" s="15">
        <f t="shared" si="31"/>
        <v>2.6510977245364203E+40</v>
      </c>
      <c r="H270" s="18">
        <f t="shared" si="32"/>
        <v>3.5340238844864712E+40</v>
      </c>
      <c r="I270" s="16">
        <v>156.2578</v>
      </c>
      <c r="J270" s="45">
        <v>1</v>
      </c>
      <c r="K270" s="19">
        <f t="shared" si="33"/>
        <v>143.56023053744377</v>
      </c>
      <c r="L270" s="16">
        <f t="shared" si="34"/>
        <v>161.22827025644054</v>
      </c>
    </row>
    <row r="271" spans="1:12" x14ac:dyDescent="0.25">
      <c r="A271" s="16">
        <v>13.2</v>
      </c>
      <c r="B271" s="45">
        <f t="shared" si="28"/>
        <v>13200</v>
      </c>
      <c r="C271" s="16">
        <f t="shared" si="29"/>
        <v>43.511033586358074</v>
      </c>
      <c r="D271" s="15">
        <f t="shared" si="30"/>
        <v>4.0730944056000001E+20</v>
      </c>
      <c r="E271" s="15">
        <f>IF($C271=0,0,FORECAST($C271, OFFSET('De Vaucouleurs Deprojection'!$F$2:$F$127, MATCH($C271, 'De Vaucouleurs Deprojection'!$A$2:$A$127,1)-1,0,2), OFFSET('De Vaucouleurs Deprojection'!$A$2:$A$127, MATCH($C271, 'De Vaucouleurs Deprojection'!$A$2:$A$127,1)-1,0,2))*QESTotalBulgeMass)</f>
        <v>8.82945693327181E+39</v>
      </c>
      <c r="F271" s="15">
        <f t="shared" si="31"/>
        <v>2.6510998198238365E+40</v>
      </c>
      <c r="H271" s="18">
        <f t="shared" si="32"/>
        <v>3.5340455131510174E+40</v>
      </c>
      <c r="I271" s="16">
        <v>156.33412000000001</v>
      </c>
      <c r="J271" s="45">
        <v>1</v>
      </c>
      <c r="K271" s="19">
        <f t="shared" si="33"/>
        <v>143.67956882822133</v>
      </c>
      <c r="L271" s="16">
        <f t="shared" si="34"/>
        <v>160.13766535916511</v>
      </c>
    </row>
    <row r="272" spans="1:12" x14ac:dyDescent="0.25">
      <c r="A272" s="16">
        <v>13.25</v>
      </c>
      <c r="B272" s="45">
        <f t="shared" si="28"/>
        <v>13250</v>
      </c>
      <c r="C272" s="16">
        <f t="shared" si="29"/>
        <v>43.675848107518526</v>
      </c>
      <c r="D272" s="15">
        <f t="shared" si="30"/>
        <v>4.0885227935000003E+20</v>
      </c>
      <c r="E272" s="15">
        <f>IF($C272=0,0,FORECAST($C272, OFFSET('De Vaucouleurs Deprojection'!$F$2:$F$127, MATCH($C272, 'De Vaucouleurs Deprojection'!$A$2:$A$127,1)-1,0,2), OFFSET('De Vaucouleurs Deprojection'!$A$2:$A$127, MATCH($C272, 'De Vaucouleurs Deprojection'!$A$2:$A$127,1)-1,0,2))*QESTotalBulgeMass)</f>
        <v>8.8296522670431121E+39</v>
      </c>
      <c r="F272" s="15">
        <f t="shared" si="31"/>
        <v>2.6511018164014629E+40</v>
      </c>
      <c r="H272" s="18">
        <f t="shared" si="32"/>
        <v>3.5340670431057742E+40</v>
      </c>
      <c r="I272" s="16">
        <v>156.40613999999999</v>
      </c>
      <c r="J272" s="45">
        <v>1</v>
      </c>
      <c r="K272" s="19">
        <f t="shared" si="33"/>
        <v>143.79938439162831</v>
      </c>
      <c r="L272" s="16">
        <f t="shared" si="34"/>
        <v>158.93028696921093</v>
      </c>
    </row>
    <row r="273" spans="1:12" x14ac:dyDescent="0.25">
      <c r="A273" s="16">
        <v>13.3</v>
      </c>
      <c r="B273" s="45">
        <f t="shared" si="28"/>
        <v>13300</v>
      </c>
      <c r="C273" s="16">
        <f t="shared" si="29"/>
        <v>43.84066262867897</v>
      </c>
      <c r="D273" s="15">
        <f t="shared" si="30"/>
        <v>4.1039511814000004E+20</v>
      </c>
      <c r="E273" s="15">
        <f>IF($C273=0,0,FORECAST($C273, OFFSET('De Vaucouleurs Deprojection'!$F$2:$F$127, MATCH($C273, 'De Vaucouleurs Deprojection'!$A$2:$A$127,1)-1,0,2), OFFSET('De Vaucouleurs Deprojection'!$A$2:$A$127, MATCH($C273, 'De Vaucouleurs Deprojection'!$A$2:$A$127,1)-1,0,2))*QESTotalBulgeMass)</f>
        <v>8.8298476008144131E+39</v>
      </c>
      <c r="F273" s="15">
        <f t="shared" si="31"/>
        <v>2.6511037188923585E+40</v>
      </c>
      <c r="H273" s="18">
        <f t="shared" si="32"/>
        <v>3.5340884789737998E+40</v>
      </c>
      <c r="I273" s="16">
        <v>156.47157000000001</v>
      </c>
      <c r="J273" s="45">
        <v>1</v>
      </c>
      <c r="K273" s="19">
        <f t="shared" si="33"/>
        <v>143.91966956746748</v>
      </c>
      <c r="L273" s="16">
        <f t="shared" si="34"/>
        <v>157.55020446821041</v>
      </c>
    </row>
    <row r="274" spans="1:12" x14ac:dyDescent="0.25">
      <c r="A274" s="16">
        <v>13.35</v>
      </c>
      <c r="B274" s="45">
        <f t="shared" si="28"/>
        <v>13350</v>
      </c>
      <c r="C274" s="16">
        <f t="shared" si="29"/>
        <v>44.005477149839422</v>
      </c>
      <c r="D274" s="15">
        <f t="shared" si="30"/>
        <v>4.1193795692999999E+20</v>
      </c>
      <c r="E274" s="15">
        <f>IF($C274=0,0,FORECAST($C274, OFFSET('De Vaucouleurs Deprojection'!$F$2:$F$127, MATCH($C274, 'De Vaucouleurs Deprojection'!$A$2:$A$127,1)-1,0,2), OFFSET('De Vaucouleurs Deprojection'!$A$2:$A$127, MATCH($C274, 'De Vaucouleurs Deprojection'!$A$2:$A$127,1)-1,0,2))*QESTotalBulgeMass)</f>
        <v>8.830042934585714E+39</v>
      </c>
      <c r="F274" s="15">
        <f t="shared" si="31"/>
        <v>2.6511055317045498E+40</v>
      </c>
      <c r="H274" s="18">
        <f t="shared" si="32"/>
        <v>3.534109825163121E+40</v>
      </c>
      <c r="I274" s="16">
        <v>156.52876000000001</v>
      </c>
      <c r="J274" s="45">
        <v>1</v>
      </c>
      <c r="K274" s="19">
        <f t="shared" si="33"/>
        <v>144.04041681209645</v>
      </c>
      <c r="L274" s="16">
        <f t="shared" si="34"/>
        <v>155.95871557885707</v>
      </c>
    </row>
    <row r="275" spans="1:12" x14ac:dyDescent="0.25">
      <c r="A275" s="16">
        <v>13.4</v>
      </c>
      <c r="B275" s="45">
        <f t="shared" si="28"/>
        <v>13400</v>
      </c>
      <c r="C275" s="16">
        <f t="shared" si="29"/>
        <v>44.170291670999866</v>
      </c>
      <c r="D275" s="15">
        <f t="shared" si="30"/>
        <v>4.1348079572000001E+20</v>
      </c>
      <c r="E275" s="15">
        <f>IF($C275=0,0,FORECAST($C275, OFFSET('De Vaucouleurs Deprojection'!$F$2:$F$127, MATCH($C275, 'De Vaucouleurs Deprojection'!$A$2:$A$127,1)-1,0,2), OFFSET('De Vaucouleurs Deprojection'!$A$2:$A$127, MATCH($C275, 'De Vaucouleurs Deprojection'!$A$2:$A$127,1)-1,0,2))*QESTotalBulgeMass)</f>
        <v>8.830238268357015E+39</v>
      </c>
      <c r="F275" s="15">
        <f t="shared" si="31"/>
        <v>2.6511072590409456E+40</v>
      </c>
      <c r="H275" s="18">
        <f t="shared" si="32"/>
        <v>3.5341310858766469E+40</v>
      </c>
      <c r="I275" s="16">
        <v>156.57705999999999</v>
      </c>
      <c r="J275" s="45">
        <v>1</v>
      </c>
      <c r="K275" s="19">
        <f t="shared" si="33"/>
        <v>144.16161869645879</v>
      </c>
      <c r="L275" s="16">
        <f t="shared" si="34"/>
        <v>154.14318276167683</v>
      </c>
    </row>
    <row r="276" spans="1:12" x14ac:dyDescent="0.25">
      <c r="A276" s="16">
        <v>13.45</v>
      </c>
      <c r="B276" s="45">
        <f t="shared" si="28"/>
        <v>13450</v>
      </c>
      <c r="C276" s="16">
        <f t="shared" si="29"/>
        <v>44.335106192160318</v>
      </c>
      <c r="D276" s="15">
        <f t="shared" si="30"/>
        <v>4.1502363450999996E+20</v>
      </c>
      <c r="E276" s="15">
        <f>IF($C276=0,0,FORECAST($C276, OFFSET('De Vaucouleurs Deprojection'!$F$2:$F$127, MATCH($C276, 'De Vaucouleurs Deprojection'!$A$2:$A$127,1)-1,0,2), OFFSET('De Vaucouleurs Deprojection'!$A$2:$A$127, MATCH($C276, 'De Vaucouleurs Deprojection'!$A$2:$A$127,1)-1,0,2))*QESTotalBulgeMass)</f>
        <v>8.8304336021283159E+39</v>
      </c>
      <c r="F276" s="15">
        <f t="shared" si="31"/>
        <v>2.6511089049088073E+40</v>
      </c>
      <c r="H276" s="18">
        <f t="shared" si="32"/>
        <v>3.534152265121639E+40</v>
      </c>
      <c r="I276" s="16">
        <v>156.61641</v>
      </c>
      <c r="J276" s="45">
        <v>1</v>
      </c>
      <c r="K276" s="19">
        <f t="shared" si="33"/>
        <v>144.28326790415088</v>
      </c>
      <c r="L276" s="16">
        <f t="shared" si="34"/>
        <v>152.10639395640578</v>
      </c>
    </row>
    <row r="277" spans="1:12" x14ac:dyDescent="0.25">
      <c r="A277" s="16">
        <v>13.5</v>
      </c>
      <c r="B277" s="45">
        <f t="shared" si="28"/>
        <v>13500</v>
      </c>
      <c r="C277" s="16">
        <f t="shared" si="29"/>
        <v>44.499920713320762</v>
      </c>
      <c r="D277" s="15">
        <f t="shared" si="30"/>
        <v>4.1656647329999998E+20</v>
      </c>
      <c r="E277" s="15">
        <f>IF($C277=0,0,FORECAST($C277, OFFSET('De Vaucouleurs Deprojection'!$F$2:$F$127, MATCH($C277, 'De Vaucouleurs Deprojection'!$A$2:$A$127,1)-1,0,2), OFFSET('De Vaucouleurs Deprojection'!$A$2:$A$127, MATCH($C277, 'De Vaucouleurs Deprojection'!$A$2:$A$127,1)-1,0,2))*QESTotalBulgeMass)</f>
        <v>8.8306289358996168E+39</v>
      </c>
      <c r="F277" s="15">
        <f t="shared" si="31"/>
        <v>2.6511104731287843E+40</v>
      </c>
      <c r="H277" s="18">
        <f t="shared" si="32"/>
        <v>3.534173366718746E+40</v>
      </c>
      <c r="I277" s="16">
        <v>156.64714000000001</v>
      </c>
      <c r="J277" s="45">
        <v>1</v>
      </c>
      <c r="K277" s="19">
        <f t="shared" si="33"/>
        <v>144.40535722952524</v>
      </c>
      <c r="L277" s="16">
        <f t="shared" si="34"/>
        <v>149.86124539949296</v>
      </c>
    </row>
    <row r="278" spans="1:12" x14ac:dyDescent="0.25">
      <c r="A278" s="16">
        <v>13.55</v>
      </c>
      <c r="B278" s="45">
        <f t="shared" si="28"/>
        <v>13550</v>
      </c>
      <c r="C278" s="16">
        <f t="shared" si="29"/>
        <v>44.664735234481206</v>
      </c>
      <c r="D278" s="15">
        <f t="shared" si="30"/>
        <v>4.1810931209E+20</v>
      </c>
      <c r="E278" s="15">
        <f>IF($C278=0,0,FORECAST($C278, OFFSET('De Vaucouleurs Deprojection'!$F$2:$F$127, MATCH($C278, 'De Vaucouleurs Deprojection'!$A$2:$A$127,1)-1,0,2), OFFSET('De Vaucouleurs Deprojection'!$A$2:$A$127, MATCH($C278, 'De Vaucouleurs Deprojection'!$A$2:$A$127,1)-1,0,2))*QESTotalBulgeMass)</f>
        <v>8.830824269670919E+39</v>
      </c>
      <c r="F278" s="15">
        <f t="shared" si="31"/>
        <v>2.6511119673435341E+40</v>
      </c>
      <c r="H278" s="18">
        <f t="shared" si="32"/>
        <v>3.5341943943106257E+40</v>
      </c>
      <c r="I278" s="16">
        <v>156.66981999999999</v>
      </c>
      <c r="J278" s="45">
        <v>1</v>
      </c>
      <c r="K278" s="19">
        <f t="shared" si="33"/>
        <v>144.52787957582817</v>
      </c>
      <c r="L278" s="16">
        <f t="shared" si="34"/>
        <v>147.42671726413778</v>
      </c>
    </row>
    <row r="279" spans="1:12" x14ac:dyDescent="0.25">
      <c r="A279" s="16">
        <v>13.6</v>
      </c>
      <c r="B279" s="45">
        <f t="shared" si="28"/>
        <v>13600</v>
      </c>
      <c r="C279" s="16">
        <f t="shared" si="29"/>
        <v>44.829549755641658</v>
      </c>
      <c r="D279" s="15">
        <f t="shared" si="30"/>
        <v>4.1965215088000002E+20</v>
      </c>
      <c r="E279" s="15">
        <f>IF($C279=0,0,FORECAST($C279, OFFSET('De Vaucouleurs Deprojection'!$F$2:$F$127, MATCH($C279, 'De Vaucouleurs Deprojection'!$A$2:$A$127,1)-1,0,2), OFFSET('De Vaucouleurs Deprojection'!$A$2:$A$127, MATCH($C279, 'De Vaucouleurs Deprojection'!$A$2:$A$127,1)-1,0,2))*QESTotalBulgeMass)</f>
        <v>8.8310196034422199E+39</v>
      </c>
      <c r="F279" s="15">
        <f t="shared" si="31"/>
        <v>2.6511133910259479E+40</v>
      </c>
      <c r="H279" s="18">
        <f t="shared" si="32"/>
        <v>3.5342153513701701E+40</v>
      </c>
      <c r="I279" s="16">
        <v>156.68564000000001</v>
      </c>
      <c r="J279" s="45">
        <v>1</v>
      </c>
      <c r="K279" s="19">
        <f t="shared" si="33"/>
        <v>144.6508279533725</v>
      </c>
      <c r="L279" s="16">
        <f t="shared" si="34"/>
        <v>144.83670099765058</v>
      </c>
    </row>
    <row r="280" spans="1:12" x14ac:dyDescent="0.25">
      <c r="A280" s="16">
        <v>13.65</v>
      </c>
      <c r="B280" s="45">
        <f t="shared" si="28"/>
        <v>13650</v>
      </c>
      <c r="C280" s="16">
        <f t="shared" si="29"/>
        <v>44.994364276802102</v>
      </c>
      <c r="D280" s="15">
        <f t="shared" si="30"/>
        <v>4.2119498967000003E+20</v>
      </c>
      <c r="E280" s="15">
        <f>IF($C280=0,0,FORECAST($C280, OFFSET('De Vaucouleurs Deprojection'!$F$2:$F$127, MATCH($C280, 'De Vaucouleurs Deprojection'!$A$2:$A$127,1)-1,0,2), OFFSET('De Vaucouleurs Deprojection'!$A$2:$A$127, MATCH($C280, 'De Vaucouleurs Deprojection'!$A$2:$A$127,1)-1,0,2))*QESTotalBulgeMass)</f>
        <v>8.8312149372135208E+39</v>
      </c>
      <c r="F280" s="15">
        <f t="shared" si="31"/>
        <v>2.6511147474870054E+40</v>
      </c>
      <c r="H280" s="18">
        <f t="shared" si="32"/>
        <v>3.5342362412083575E+40</v>
      </c>
      <c r="I280" s="16">
        <v>156.69676000000001</v>
      </c>
      <c r="J280" s="45">
        <v>1</v>
      </c>
      <c r="K280" s="19">
        <f t="shared" si="33"/>
        <v>144.77419547774346</v>
      </c>
      <c r="L280" s="16">
        <f t="shared" si="34"/>
        <v>142.14754478737058</v>
      </c>
    </row>
    <row r="281" spans="1:12" x14ac:dyDescent="0.25">
      <c r="A281" s="16">
        <v>13.7</v>
      </c>
      <c r="B281" s="45">
        <f t="shared" si="28"/>
        <v>13700</v>
      </c>
      <c r="C281" s="16">
        <f t="shared" si="29"/>
        <v>45.159178797962554</v>
      </c>
      <c r="D281" s="15">
        <f t="shared" si="30"/>
        <v>4.2273782845999999E+20</v>
      </c>
      <c r="E281" s="15">
        <f>IF($C281=0,0,FORECAST($C281, OFFSET('De Vaucouleurs Deprojection'!$F$2:$F$127, MATCH($C281, 'De Vaucouleurs Deprojection'!$A$2:$A$127,1)-1,0,2), OFFSET('De Vaucouleurs Deprojection'!$A$2:$A$127, MATCH($C281, 'De Vaucouleurs Deprojection'!$A$2:$A$127,1)-1,0,2))*QESTotalBulgeMass)</f>
        <v>8.8313455090051259E+39</v>
      </c>
      <c r="F281" s="15">
        <f t="shared" si="31"/>
        <v>2.6511160398832596E+40</v>
      </c>
      <c r="H281" s="18">
        <f t="shared" si="32"/>
        <v>3.5342505907837724E+40</v>
      </c>
      <c r="I281" s="16">
        <v>156.70599000000001</v>
      </c>
      <c r="J281" s="45">
        <v>1</v>
      </c>
      <c r="K281" s="19">
        <f t="shared" si="33"/>
        <v>144.89794008644765</v>
      </c>
      <c r="L281" s="16">
        <f t="shared" si="34"/>
        <v>139.43004276094405</v>
      </c>
    </row>
    <row r="282" spans="1:12" x14ac:dyDescent="0.25">
      <c r="A282" s="16">
        <v>13.75</v>
      </c>
      <c r="B282" s="45">
        <f t="shared" si="28"/>
        <v>13750</v>
      </c>
      <c r="C282" s="16">
        <f t="shared" si="29"/>
        <v>45.323993319122998</v>
      </c>
      <c r="D282" s="15">
        <f t="shared" si="30"/>
        <v>4.2428066725E+20</v>
      </c>
      <c r="E282" s="15">
        <f>IF($C282=0,0,FORECAST($C282, OFFSET('De Vaucouleurs Deprojection'!$F$2:$F$127, MATCH($C282, 'De Vaucouleurs Deprojection'!$A$2:$A$127,1)-1,0,2), OFFSET('De Vaucouleurs Deprojection'!$A$2:$A$127, MATCH($C282, 'De Vaucouleurs Deprojection'!$A$2:$A$127,1)-1,0,2))*QESTotalBulgeMass)</f>
        <v>8.8314737878997115E+39</v>
      </c>
      <c r="F282" s="15">
        <f t="shared" si="31"/>
        <v>2.6511172712239894E+40</v>
      </c>
      <c r="H282" s="18">
        <f t="shared" si="32"/>
        <v>3.5342646500139607E+40</v>
      </c>
      <c r="I282" s="16">
        <v>156.71619000000001</v>
      </c>
      <c r="J282" s="45">
        <v>1</v>
      </c>
      <c r="K282" s="19">
        <f t="shared" si="33"/>
        <v>145.02208945520889</v>
      </c>
      <c r="L282" s="16">
        <f t="shared" si="34"/>
        <v>136.75198755168412</v>
      </c>
    </row>
    <row r="283" spans="1:12" x14ac:dyDescent="0.25">
      <c r="A283" s="16">
        <v>13.8</v>
      </c>
      <c r="B283" s="45">
        <f t="shared" si="28"/>
        <v>13800</v>
      </c>
      <c r="C283" s="16">
        <f t="shared" si="29"/>
        <v>45.488807840283442</v>
      </c>
      <c r="D283" s="15">
        <f t="shared" si="30"/>
        <v>4.2582350604000002E+20</v>
      </c>
      <c r="E283" s="15">
        <f>IF($C283=0,0,FORECAST($C283, OFFSET('De Vaucouleurs Deprojection'!$F$2:$F$127, MATCH($C283, 'De Vaucouleurs Deprojection'!$A$2:$A$127,1)-1,0,2), OFFSET('De Vaucouleurs Deprojection'!$A$2:$A$127, MATCH($C283, 'De Vaucouleurs Deprojection'!$A$2:$A$127,1)-1,0,2))*QESTotalBulgeMass)</f>
        <v>8.8316020667942972E+39</v>
      </c>
      <c r="F283" s="15">
        <f t="shared" si="31"/>
        <v>2.6511184443780166E+40</v>
      </c>
      <c r="H283" s="18">
        <f t="shared" si="32"/>
        <v>3.5342786510574463E+40</v>
      </c>
      <c r="I283" s="16">
        <v>156.72953999999999</v>
      </c>
      <c r="J283" s="45">
        <v>1</v>
      </c>
      <c r="K283" s="19">
        <f t="shared" si="33"/>
        <v>145.14663825635938</v>
      </c>
      <c r="L283" s="16">
        <f t="shared" si="34"/>
        <v>134.16361280283257</v>
      </c>
    </row>
    <row r="284" spans="1:12" x14ac:dyDescent="0.25">
      <c r="A284" s="16">
        <v>13.85</v>
      </c>
      <c r="B284" s="45">
        <f t="shared" si="28"/>
        <v>13850</v>
      </c>
      <c r="C284" s="16">
        <f t="shared" si="29"/>
        <v>45.653622361443894</v>
      </c>
      <c r="D284" s="15">
        <f t="shared" si="30"/>
        <v>4.2736634482999997E+20</v>
      </c>
      <c r="E284" s="15">
        <f>IF($C284=0,0,FORECAST($C284, OFFSET('De Vaucouleurs Deprojection'!$F$2:$F$127, MATCH($C284, 'De Vaucouleurs Deprojection'!$A$2:$A$127,1)-1,0,2), OFFSET('De Vaucouleurs Deprojection'!$A$2:$A$127, MATCH($C284, 'De Vaucouleurs Deprojection'!$A$2:$A$127,1)-1,0,2))*QESTotalBulgeMass)</f>
        <v>8.8317303456888829E+39</v>
      </c>
      <c r="F284" s="15">
        <f t="shared" si="31"/>
        <v>2.6511195620802132E+40</v>
      </c>
      <c r="H284" s="18">
        <f t="shared" si="32"/>
        <v>3.5342925966491013E+40</v>
      </c>
      <c r="I284" s="16">
        <v>156.74746999999999</v>
      </c>
      <c r="J284" s="45">
        <v>1</v>
      </c>
      <c r="K284" s="19">
        <f t="shared" si="33"/>
        <v>145.27158000590248</v>
      </c>
      <c r="L284" s="16">
        <f t="shared" si="34"/>
        <v>131.69605115662745</v>
      </c>
    </row>
    <row r="285" spans="1:12" x14ac:dyDescent="0.25">
      <c r="A285" s="16">
        <v>13.9</v>
      </c>
      <c r="B285" s="45">
        <f t="shared" si="28"/>
        <v>13900</v>
      </c>
      <c r="C285" s="16">
        <f t="shared" si="29"/>
        <v>45.818436882604338</v>
      </c>
      <c r="D285" s="15">
        <f t="shared" si="30"/>
        <v>4.2890918361999999E+20</v>
      </c>
      <c r="E285" s="15">
        <f>IF($C285=0,0,FORECAST($C285, OFFSET('De Vaucouleurs Deprojection'!$F$2:$F$127, MATCH($C285, 'De Vaucouleurs Deprojection'!$A$2:$A$127,1)-1,0,2), OFFSET('De Vaucouleurs Deprojection'!$A$2:$A$127, MATCH($C285, 'De Vaucouleurs Deprojection'!$A$2:$A$127,1)-1,0,2))*QESTotalBulgeMass)</f>
        <v>8.8318586245834685E+39</v>
      </c>
      <c r="F285" s="15">
        <f t="shared" si="31"/>
        <v>2.6511206269377079E+40</v>
      </c>
      <c r="H285" s="18">
        <f t="shared" si="32"/>
        <v>3.534306489396055E+40</v>
      </c>
      <c r="I285" s="16">
        <v>156.77086</v>
      </c>
      <c r="J285" s="45">
        <v>1</v>
      </c>
      <c r="K285" s="19">
        <f t="shared" si="33"/>
        <v>145.396908316669</v>
      </c>
      <c r="L285" s="16">
        <f t="shared" si="34"/>
        <v>129.36677689474811</v>
      </c>
    </row>
    <row r="286" spans="1:12" x14ac:dyDescent="0.25">
      <c r="A286" s="16">
        <v>13.95</v>
      </c>
      <c r="B286" s="45">
        <f t="shared" si="28"/>
        <v>13950</v>
      </c>
      <c r="C286" s="16">
        <f t="shared" si="29"/>
        <v>45.98325140376479</v>
      </c>
      <c r="D286" s="15">
        <f t="shared" si="30"/>
        <v>4.3045202241000001E+20</v>
      </c>
      <c r="E286" s="15">
        <f>IF($C286=0,0,FORECAST($C286, OFFSET('De Vaucouleurs Deprojection'!$F$2:$F$127, MATCH($C286, 'De Vaucouleurs Deprojection'!$A$2:$A$127,1)-1,0,2), OFFSET('De Vaucouleurs Deprojection'!$A$2:$A$127, MATCH($C286, 'De Vaucouleurs Deprojection'!$A$2:$A$127,1)-1,0,2))*QESTotalBulgeMass)</f>
        <v>8.8319869034780554E+39</v>
      </c>
      <c r="F286" s="15">
        <f t="shared" si="31"/>
        <v>2.6511216414358125E+40</v>
      </c>
      <c r="H286" s="18">
        <f t="shared" si="32"/>
        <v>3.5343203317836181E+40</v>
      </c>
      <c r="I286" s="16">
        <v>156.80028999999999</v>
      </c>
      <c r="J286" s="45">
        <v>1</v>
      </c>
      <c r="K286" s="19">
        <f t="shared" si="33"/>
        <v>145.52261689671178</v>
      </c>
      <c r="L286" s="16">
        <f t="shared" si="34"/>
        <v>127.18591062463028</v>
      </c>
    </row>
    <row r="287" spans="1:12" x14ac:dyDescent="0.25">
      <c r="A287" s="16">
        <v>14</v>
      </c>
      <c r="B287" s="45">
        <f t="shared" si="28"/>
        <v>14000</v>
      </c>
      <c r="C287" s="16">
        <f t="shared" si="29"/>
        <v>46.148065924925234</v>
      </c>
      <c r="D287" s="15">
        <f t="shared" si="30"/>
        <v>4.3199486120000002E+20</v>
      </c>
      <c r="E287" s="15">
        <f>IF($C287=0,0,FORECAST($C287, OFFSET('De Vaucouleurs Deprojection'!$F$2:$F$127, MATCH($C287, 'De Vaucouleurs Deprojection'!$A$2:$A$127,1)-1,0,2), OFFSET('De Vaucouleurs Deprojection'!$A$2:$A$127, MATCH($C287, 'De Vaucouleurs Deprojection'!$A$2:$A$127,1)-1,0,2))*QESTotalBulgeMass)</f>
        <v>8.8321151823726399E+39</v>
      </c>
      <c r="F287" s="15">
        <f t="shared" si="31"/>
        <v>2.6511226079436671E+40</v>
      </c>
      <c r="H287" s="18">
        <f t="shared" si="32"/>
        <v>3.5343341261809311E+40</v>
      </c>
      <c r="I287" s="16">
        <v>156.83606</v>
      </c>
      <c r="J287" s="45">
        <v>1</v>
      </c>
      <c r="K287" s="19">
        <f t="shared" si="33"/>
        <v>145.64869954772959</v>
      </c>
      <c r="L287" s="16">
        <f t="shared" si="34"/>
        <v>125.15703388902402</v>
      </c>
    </row>
    <row r="288" spans="1:12" x14ac:dyDescent="0.25">
      <c r="A288" s="16">
        <v>14.05</v>
      </c>
      <c r="B288" s="45">
        <f t="shared" si="28"/>
        <v>14050</v>
      </c>
      <c r="C288" s="16">
        <f t="shared" si="29"/>
        <v>46.312880446085678</v>
      </c>
      <c r="D288" s="15">
        <f t="shared" si="30"/>
        <v>4.3353769999000004E+20</v>
      </c>
      <c r="E288" s="15">
        <f>IF($C288=0,0,FORECAST($C288, OFFSET('De Vaucouleurs Deprojection'!$F$2:$F$127, MATCH($C288, 'De Vaucouleurs Deprojection'!$A$2:$A$127,1)-1,0,2), OFFSET('De Vaucouleurs Deprojection'!$A$2:$A$127, MATCH($C288, 'De Vaucouleurs Deprojection'!$A$2:$A$127,1)-1,0,2))*QESTotalBulgeMass)</f>
        <v>8.8322434612672268E+39</v>
      </c>
      <c r="F288" s="15">
        <f t="shared" si="31"/>
        <v>2.6511235287196375E+40</v>
      </c>
      <c r="H288" s="18">
        <f t="shared" si="32"/>
        <v>3.5343478748463604E+40</v>
      </c>
      <c r="I288" s="16">
        <v>156.8777</v>
      </c>
      <c r="J288" s="45">
        <v>1</v>
      </c>
      <c r="K288" s="19">
        <f t="shared" si="33"/>
        <v>145.77515016352024</v>
      </c>
      <c r="L288" s="16">
        <f t="shared" si="34"/>
        <v>123.2666128715169</v>
      </c>
    </row>
    <row r="289" spans="1:12" x14ac:dyDescent="0.25">
      <c r="A289" s="16">
        <v>14.1</v>
      </c>
      <c r="B289" s="45">
        <f t="shared" si="28"/>
        <v>14100</v>
      </c>
      <c r="C289" s="16">
        <f t="shared" si="29"/>
        <v>46.47769496724613</v>
      </c>
      <c r="D289" s="15">
        <f t="shared" si="30"/>
        <v>4.3508053877999999E+20</v>
      </c>
      <c r="E289" s="15">
        <f>IF($C289=0,0,FORECAST($C289, OFFSET('De Vaucouleurs Deprojection'!$F$2:$F$127, MATCH($C289, 'De Vaucouleurs Deprojection'!$A$2:$A$127,1)-1,0,2), OFFSET('De Vaucouleurs Deprojection'!$A$2:$A$127, MATCH($C289, 'De Vaucouleurs Deprojection'!$A$2:$A$127,1)-1,0,2))*QESTotalBulgeMass)</f>
        <v>8.8323717401618124E+39</v>
      </c>
      <c r="F289" s="15">
        <f t="shared" si="31"/>
        <v>2.6511244059164511E+40</v>
      </c>
      <c r="H289" s="18">
        <f t="shared" si="32"/>
        <v>3.5343615799326325E+40</v>
      </c>
      <c r="I289" s="16">
        <v>156.92392000000001</v>
      </c>
      <c r="J289" s="45">
        <v>1</v>
      </c>
      <c r="K289" s="19">
        <f t="shared" si="33"/>
        <v>145.90196272846146</v>
      </c>
      <c r="L289" s="16">
        <f t="shared" si="34"/>
        <v>121.4835420956216</v>
      </c>
    </row>
    <row r="290" spans="1:12" x14ac:dyDescent="0.25">
      <c r="A290" s="16">
        <v>14.15</v>
      </c>
      <c r="B290" s="45">
        <f t="shared" si="28"/>
        <v>14150</v>
      </c>
      <c r="C290" s="16">
        <f t="shared" si="29"/>
        <v>46.642509488406574</v>
      </c>
      <c r="D290" s="15">
        <f t="shared" si="30"/>
        <v>4.3662337757000001E+20</v>
      </c>
      <c r="E290" s="15">
        <f>IF($C290=0,0,FORECAST($C290, OFFSET('De Vaucouleurs Deprojection'!$F$2:$F$127, MATCH($C290, 'De Vaucouleurs Deprojection'!$A$2:$A$127,1)-1,0,2), OFFSET('De Vaucouleurs Deprojection'!$A$2:$A$127, MATCH($C290, 'De Vaucouleurs Deprojection'!$A$2:$A$127,1)-1,0,2))*QESTotalBulgeMass)</f>
        <v>8.8325000190563981E+39</v>
      </c>
      <c r="F290" s="15">
        <f t="shared" si="31"/>
        <v>2.6511252415861086E+40</v>
      </c>
      <c r="H290" s="18">
        <f t="shared" si="32"/>
        <v>3.5343752434917484E+40</v>
      </c>
      <c r="I290" s="16">
        <v>156.97272000000001</v>
      </c>
      <c r="J290" s="45">
        <v>1</v>
      </c>
      <c r="K290" s="19">
        <f t="shared" si="33"/>
        <v>146.02913131602</v>
      </c>
      <c r="L290" s="16">
        <f t="shared" si="34"/>
        <v>119.76213328413534</v>
      </c>
    </row>
    <row r="291" spans="1:12" x14ac:dyDescent="0.25">
      <c r="A291" s="16">
        <v>14.2</v>
      </c>
      <c r="B291" s="45">
        <f t="shared" si="28"/>
        <v>14200</v>
      </c>
      <c r="C291" s="16">
        <f t="shared" si="29"/>
        <v>46.807324009567026</v>
      </c>
      <c r="D291" s="15">
        <f t="shared" si="30"/>
        <v>4.3816621635999996E+20</v>
      </c>
      <c r="E291" s="15">
        <f>IF($C291=0,0,FORECAST($C291, OFFSET('De Vaucouleurs Deprojection'!$F$2:$F$127, MATCH($C291, 'De Vaucouleurs Deprojection'!$A$2:$A$127,1)-1,0,2), OFFSET('De Vaucouleurs Deprojection'!$A$2:$A$127, MATCH($C291, 'De Vaucouleurs Deprojection'!$A$2:$A$127,1)-1,0,2))*QESTotalBulgeMass)</f>
        <v>8.8326282979509838E+39</v>
      </c>
      <c r="F291" s="15">
        <f t="shared" si="31"/>
        <v>2.6511260376845611E+40</v>
      </c>
      <c r="H291" s="18">
        <f t="shared" si="32"/>
        <v>3.5343888674796594E+40</v>
      </c>
      <c r="I291" s="16">
        <v>157.02197000000001</v>
      </c>
      <c r="J291" s="45">
        <v>1</v>
      </c>
      <c r="K291" s="19">
        <f t="shared" si="33"/>
        <v>146.15665008728757</v>
      </c>
      <c r="L291" s="16">
        <f t="shared" si="34"/>
        <v>118.05517680558539</v>
      </c>
    </row>
    <row r="292" spans="1:12" x14ac:dyDescent="0.25">
      <c r="A292" s="16">
        <v>14.25</v>
      </c>
      <c r="B292" s="45">
        <f t="shared" si="28"/>
        <v>14250</v>
      </c>
      <c r="C292" s="16">
        <f t="shared" si="29"/>
        <v>46.97213853072747</v>
      </c>
      <c r="D292" s="15">
        <f t="shared" si="30"/>
        <v>4.3970905514999998E+20</v>
      </c>
      <c r="E292" s="15">
        <f>IF($C292=0,0,FORECAST($C292, OFFSET('De Vaucouleurs Deprojection'!$F$2:$F$127, MATCH($C292, 'De Vaucouleurs Deprojection'!$A$2:$A$127,1)-1,0,2), OFFSET('De Vaucouleurs Deprojection'!$A$2:$A$127, MATCH($C292, 'De Vaucouleurs Deprojection'!$A$2:$A$127,1)-1,0,2))*QESTotalBulgeMass)</f>
        <v>8.8327565768455707E+39</v>
      </c>
      <c r="F292" s="15">
        <f t="shared" si="31"/>
        <v>2.6511267960761739E+40</v>
      </c>
      <c r="H292" s="18">
        <f t="shared" si="32"/>
        <v>3.5344024537607311E+40</v>
      </c>
      <c r="I292" s="16">
        <v>157.06992</v>
      </c>
      <c r="J292" s="45">
        <v>1</v>
      </c>
      <c r="K292" s="19">
        <f t="shared" si="33"/>
        <v>146.28451328954367</v>
      </c>
      <c r="L292" s="16">
        <f t="shared" si="34"/>
        <v>116.32499790995639</v>
      </c>
    </row>
    <row r="293" spans="1:12" x14ac:dyDescent="0.25">
      <c r="A293" s="16">
        <v>14.3</v>
      </c>
      <c r="B293" s="45">
        <f t="shared" si="28"/>
        <v>14300</v>
      </c>
      <c r="C293" s="16">
        <f t="shared" si="29"/>
        <v>47.136953051887915</v>
      </c>
      <c r="D293" s="15">
        <f t="shared" si="30"/>
        <v>4.4125189394E+20</v>
      </c>
      <c r="E293" s="15">
        <f>IF($C293=0,0,FORECAST($C293, OFFSET('De Vaucouleurs Deprojection'!$F$2:$F$127, MATCH($C293, 'De Vaucouleurs Deprojection'!$A$2:$A$127,1)-1,0,2), OFFSET('De Vaucouleurs Deprojection'!$A$2:$A$127, MATCH($C293, 'De Vaucouleurs Deprojection'!$A$2:$A$127,1)-1,0,2))*QESTotalBulgeMass)</f>
        <v>8.8328848557401563E+39</v>
      </c>
      <c r="F293" s="15">
        <f t="shared" si="31"/>
        <v>2.6511275185379895E+40</v>
      </c>
      <c r="H293" s="18">
        <f t="shared" si="32"/>
        <v>3.5344160041120051E+40</v>
      </c>
      <c r="I293" s="16">
        <v>157.11512999999999</v>
      </c>
      <c r="J293" s="45">
        <v>1</v>
      </c>
      <c r="K293" s="19">
        <f t="shared" si="33"/>
        <v>146.41271525484436</v>
      </c>
      <c r="L293" s="16">
        <f t="shared" si="34"/>
        <v>114.54168137732478</v>
      </c>
    </row>
    <row r="294" spans="1:12" x14ac:dyDescent="0.25">
      <c r="A294" s="16">
        <v>14.35</v>
      </c>
      <c r="B294" s="45">
        <f t="shared" si="28"/>
        <v>14350</v>
      </c>
      <c r="C294" s="16">
        <f t="shared" si="29"/>
        <v>47.301767573048366</v>
      </c>
      <c r="D294" s="15">
        <f t="shared" si="30"/>
        <v>4.4279473273000002E+20</v>
      </c>
      <c r="E294" s="15">
        <f>IF($C294=0,0,FORECAST($C294, OFFSET('De Vaucouleurs Deprojection'!$F$2:$F$127, MATCH($C294, 'De Vaucouleurs Deprojection'!$A$2:$A$127,1)-1,0,2), OFFSET('De Vaucouleurs Deprojection'!$A$2:$A$127, MATCH($C294, 'De Vaucouleurs Deprojection'!$A$2:$A$127,1)-1,0,2))*QESTotalBulgeMass)</f>
        <v>8.833013134634742E+39</v>
      </c>
      <c r="F294" s="15">
        <f t="shared" si="31"/>
        <v>2.6511282067637847E+40</v>
      </c>
      <c r="H294" s="18">
        <f t="shared" si="32"/>
        <v>3.5344295202272587E+40</v>
      </c>
      <c r="I294" s="16">
        <v>157.15639999999999</v>
      </c>
      <c r="J294" s="45">
        <v>1</v>
      </c>
      <c r="K294" s="19">
        <f t="shared" si="33"/>
        <v>146.541250398637</v>
      </c>
      <c r="L294" s="16">
        <f t="shared" si="34"/>
        <v>112.68140105931677</v>
      </c>
    </row>
    <row r="295" spans="1:12" x14ac:dyDescent="0.25">
      <c r="A295" s="16">
        <v>14.4</v>
      </c>
      <c r="B295" s="45">
        <f t="shared" si="28"/>
        <v>14400</v>
      </c>
      <c r="C295" s="16">
        <f t="shared" si="29"/>
        <v>47.46658209420881</v>
      </c>
      <c r="D295" s="15">
        <f t="shared" si="30"/>
        <v>4.4433757152000003E+20</v>
      </c>
      <c r="E295" s="15">
        <f>IF($C295=0,0,FORECAST($C295, OFFSET('De Vaucouleurs Deprojection'!$F$2:$F$127, MATCH($C295, 'De Vaucouleurs Deprojection'!$A$2:$A$127,1)-1,0,2), OFFSET('De Vaucouleurs Deprojection'!$A$2:$A$127, MATCH($C295, 'De Vaucouleurs Deprojection'!$A$2:$A$127,1)-1,0,2))*QESTotalBulgeMass)</f>
        <v>8.8331414135293277E+39</v>
      </c>
      <c r="F295" s="15">
        <f t="shared" si="31"/>
        <v>2.6511288623679482E+40</v>
      </c>
      <c r="H295" s="18">
        <f t="shared" si="32"/>
        <v>3.5344430037208812E+40</v>
      </c>
      <c r="I295" s="16">
        <v>157.19256999999999</v>
      </c>
      <c r="J295" s="45">
        <v>1</v>
      </c>
      <c r="K295" s="19">
        <f t="shared" si="33"/>
        <v>146.67011321839973</v>
      </c>
      <c r="L295" s="16">
        <f t="shared" si="34"/>
        <v>110.7220967206452</v>
      </c>
    </row>
    <row r="296" spans="1:12" x14ac:dyDescent="0.25">
      <c r="A296" s="16">
        <v>14.45</v>
      </c>
      <c r="B296" s="45">
        <f t="shared" si="28"/>
        <v>14450</v>
      </c>
      <c r="C296" s="16">
        <f t="shared" si="29"/>
        <v>47.631396615369262</v>
      </c>
      <c r="D296" s="15">
        <f t="shared" si="30"/>
        <v>4.4588041030999998E+20</v>
      </c>
      <c r="E296" s="15">
        <f>IF($C296=0,0,FORECAST($C296, OFFSET('De Vaucouleurs Deprojection'!$F$2:$F$127, MATCH($C296, 'De Vaucouleurs Deprojection'!$A$2:$A$127,1)-1,0,2), OFFSET('De Vaucouleurs Deprojection'!$A$2:$A$127, MATCH($C296, 'De Vaucouleurs Deprojection'!$A$2:$A$127,1)-1,0,2))*QESTotalBulgeMass)</f>
        <v>8.8332696924239133E+39</v>
      </c>
      <c r="F296" s="15">
        <f t="shared" si="31"/>
        <v>2.6511294868891768E+40</v>
      </c>
      <c r="H296" s="18">
        <f t="shared" si="32"/>
        <v>3.5344564561315682E+40</v>
      </c>
      <c r="I296" s="16">
        <v>157.22272000000001</v>
      </c>
      <c r="J296" s="45">
        <v>1</v>
      </c>
      <c r="K296" s="19">
        <f t="shared" si="33"/>
        <v>146.79929829230582</v>
      </c>
      <c r="L296" s="16">
        <f t="shared" si="34"/>
        <v>108.64772009643045</v>
      </c>
    </row>
    <row r="297" spans="1:12" x14ac:dyDescent="0.25">
      <c r="A297" s="16">
        <v>14.5</v>
      </c>
      <c r="B297" s="45">
        <f t="shared" si="28"/>
        <v>14500</v>
      </c>
      <c r="C297" s="16">
        <f t="shared" si="29"/>
        <v>47.796211136529706</v>
      </c>
      <c r="D297" s="15">
        <f t="shared" si="30"/>
        <v>4.474232491E+20</v>
      </c>
      <c r="E297" s="15">
        <f>IF($C297=0,0,FORECAST($C297, OFFSET('De Vaucouleurs Deprojection'!$F$2:$F$127, MATCH($C297, 'De Vaucouleurs Deprojection'!$A$2:$A$127,1)-1,0,2), OFFSET('De Vaucouleurs Deprojection'!$A$2:$A$127, MATCH($C297, 'De Vaucouleurs Deprojection'!$A$2:$A$127,1)-1,0,2))*QESTotalBulgeMass)</f>
        <v>8.833397971318499E+39</v>
      </c>
      <c r="F297" s="15">
        <f t="shared" si="31"/>
        <v>2.6511300817940004E+40</v>
      </c>
      <c r="H297" s="18">
        <f t="shared" si="32"/>
        <v>3.5344698789258503E+40</v>
      </c>
      <c r="I297" s="16">
        <v>157.24655000000001</v>
      </c>
      <c r="J297" s="45">
        <v>1</v>
      </c>
      <c r="K297" s="19">
        <f t="shared" si="33"/>
        <v>146.92880027791227</v>
      </c>
      <c r="L297" s="16">
        <f t="shared" si="34"/>
        <v>106.45595932764164</v>
      </c>
    </row>
    <row r="298" spans="1:12" x14ac:dyDescent="0.25">
      <c r="A298" s="16">
        <v>14.55</v>
      </c>
      <c r="B298" s="45">
        <f t="shared" si="28"/>
        <v>14550</v>
      </c>
      <c r="C298" s="16">
        <f t="shared" si="29"/>
        <v>47.961025657690151</v>
      </c>
      <c r="D298" s="15">
        <f t="shared" si="30"/>
        <v>4.4896608789000002E+20</v>
      </c>
      <c r="E298" s="15">
        <f>IF($C298=0,0,FORECAST($C298, OFFSET('De Vaucouleurs Deprojection'!$F$2:$F$127, MATCH($C298, 'De Vaucouleurs Deprojection'!$A$2:$A$127,1)-1,0,2), OFFSET('De Vaucouleurs Deprojection'!$A$2:$A$127, MATCH($C298, 'De Vaucouleurs Deprojection'!$A$2:$A$127,1)-1,0,2))*QESTotalBulgeMass)</f>
        <v>8.8335262502130847E+39</v>
      </c>
      <c r="F298" s="15">
        <f t="shared" si="31"/>
        <v>2.6511306484801428E+40</v>
      </c>
      <c r="H298" s="18">
        <f t="shared" si="32"/>
        <v>3.5344832735014511E+40</v>
      </c>
      <c r="I298" s="16">
        <v>157.26447999999999</v>
      </c>
      <c r="J298" s="45">
        <v>1</v>
      </c>
      <c r="K298" s="19">
        <f t="shared" si="33"/>
        <v>147.05861391087183</v>
      </c>
      <c r="L298" s="16">
        <f t="shared" si="34"/>
        <v>104.15970262921623</v>
      </c>
    </row>
    <row r="299" spans="1:12" x14ac:dyDescent="0.25">
      <c r="A299" s="16">
        <v>14.6</v>
      </c>
      <c r="B299" s="45">
        <f t="shared" si="28"/>
        <v>14600</v>
      </c>
      <c r="C299" s="16">
        <f t="shared" si="29"/>
        <v>48.125840178850602</v>
      </c>
      <c r="D299" s="15">
        <f t="shared" si="30"/>
        <v>4.5050892667999997E+20</v>
      </c>
      <c r="E299" s="15">
        <f>IF($C299=0,0,FORECAST($C299, OFFSET('De Vaucouleurs Deprojection'!$F$2:$F$127, MATCH($C299, 'De Vaucouleurs Deprojection'!$A$2:$A$127,1)-1,0,2), OFFSET('De Vaucouleurs Deprojection'!$A$2:$A$127, MATCH($C299, 'De Vaucouleurs Deprojection'!$A$2:$A$127,1)-1,0,2))*QESTotalBulgeMass)</f>
        <v>8.8336545291076716E+39</v>
      </c>
      <c r="F299" s="15">
        <f t="shared" si="31"/>
        <v>2.6511311882797295E+40</v>
      </c>
      <c r="H299" s="18">
        <f t="shared" si="32"/>
        <v>3.5344966411904968E+40</v>
      </c>
      <c r="I299" s="16">
        <v>157.27746999999999</v>
      </c>
      <c r="J299" s="45">
        <v>1</v>
      </c>
      <c r="K299" s="19">
        <f t="shared" si="33"/>
        <v>147.1887340036686</v>
      </c>
      <c r="L299" s="16">
        <f t="shared" si="34"/>
        <v>101.78259400367281</v>
      </c>
    </row>
    <row r="300" spans="1:12" x14ac:dyDescent="0.25">
      <c r="A300" s="16">
        <v>14.65</v>
      </c>
      <c r="B300" s="45">
        <f t="shared" si="28"/>
        <v>14650</v>
      </c>
      <c r="C300" s="16">
        <f t="shared" si="29"/>
        <v>48.290654700011046</v>
      </c>
      <c r="D300" s="15">
        <f t="shared" si="30"/>
        <v>4.5205176546999999E+20</v>
      </c>
      <c r="E300" s="15">
        <f>IF($C300=0,0,FORECAST($C300, OFFSET('De Vaucouleurs Deprojection'!$F$2:$F$127, MATCH($C300, 'De Vaucouleurs Deprojection'!$A$2:$A$127,1)-1,0,2), OFFSET('De Vaucouleurs Deprojection'!$A$2:$A$127, MATCH($C300, 'De Vaucouleurs Deprojection'!$A$2:$A$127,1)-1,0,2))*QESTotalBulgeMass)</f>
        <v>8.833782808002256E+39</v>
      </c>
      <c r="F300" s="15">
        <f t="shared" si="31"/>
        <v>2.6511317024623503E+40</v>
      </c>
      <c r="H300" s="18">
        <f t="shared" si="32"/>
        <v>3.534509983262576E+40</v>
      </c>
      <c r="I300" s="16">
        <v>157.28650999999999</v>
      </c>
      <c r="J300" s="45">
        <v>1</v>
      </c>
      <c r="K300" s="19">
        <f t="shared" si="33"/>
        <v>147.31915544437609</v>
      </c>
      <c r="L300" s="16">
        <f t="shared" si="34"/>
        <v>99.348156837516498</v>
      </c>
    </row>
    <row r="301" spans="1:12" x14ac:dyDescent="0.25">
      <c r="A301" s="16">
        <v>14.7</v>
      </c>
      <c r="B301" s="45">
        <f t="shared" si="28"/>
        <v>14700</v>
      </c>
      <c r="C301" s="16">
        <f t="shared" si="29"/>
        <v>48.455469221171498</v>
      </c>
      <c r="D301" s="15">
        <f t="shared" si="30"/>
        <v>4.5359460426000001E+20</v>
      </c>
      <c r="E301" s="15">
        <f>IF($C301=0,0,FORECAST($C301, OFFSET('De Vaucouleurs Deprojection'!$F$2:$F$127, MATCH($C301, 'De Vaucouleurs Deprojection'!$A$2:$A$127,1)-1,0,2), OFFSET('De Vaucouleurs Deprojection'!$A$2:$A$127, MATCH($C301, 'De Vaucouleurs Deprojection'!$A$2:$A$127,1)-1,0,2))*QESTotalBulgeMass)</f>
        <v>8.8339110868968429E+39</v>
      </c>
      <c r="F301" s="15">
        <f t="shared" si="31"/>
        <v>2.6511321922379681E+40</v>
      </c>
      <c r="H301" s="18">
        <f t="shared" si="32"/>
        <v>3.5345233009276523E+40</v>
      </c>
      <c r="I301" s="16">
        <v>157.29257000000001</v>
      </c>
      <c r="J301" s="45">
        <v>1</v>
      </c>
      <c r="K301" s="19">
        <f t="shared" si="33"/>
        <v>147.4498731954379</v>
      </c>
      <c r="L301" s="16">
        <f t="shared" si="34"/>
        <v>96.878680386537155</v>
      </c>
    </row>
    <row r="302" spans="1:12" x14ac:dyDescent="0.25">
      <c r="A302" s="16">
        <v>14.75</v>
      </c>
      <c r="B302" s="45">
        <f t="shared" si="28"/>
        <v>14750</v>
      </c>
      <c r="C302" s="16">
        <f t="shared" si="29"/>
        <v>48.620283742331942</v>
      </c>
      <c r="D302" s="15">
        <f t="shared" si="30"/>
        <v>4.5513744305000002E+20</v>
      </c>
      <c r="E302" s="15">
        <f>IF($C302=0,0,FORECAST($C302, OFFSET('De Vaucouleurs Deprojection'!$F$2:$F$127, MATCH($C302, 'De Vaucouleurs Deprojection'!$A$2:$A$127,1)-1,0,2), OFFSET('De Vaucouleurs Deprojection'!$A$2:$A$127, MATCH($C302, 'De Vaucouleurs Deprojection'!$A$2:$A$127,1)-1,0,2))*QESTotalBulgeMass)</f>
        <v>8.8340393657914286E+39</v>
      </c>
      <c r="F302" s="15">
        <f t="shared" si="31"/>
        <v>2.6511326587597102E+40</v>
      </c>
      <c r="H302" s="18">
        <f t="shared" si="32"/>
        <v>3.5345365953388533E+40</v>
      </c>
      <c r="I302" s="16">
        <v>157.29633000000001</v>
      </c>
      <c r="J302" s="45">
        <v>1</v>
      </c>
      <c r="K302" s="19">
        <f t="shared" si="33"/>
        <v>147.58088229247011</v>
      </c>
      <c r="L302" s="16">
        <f t="shared" si="34"/>
        <v>94.389924157748069</v>
      </c>
    </row>
    <row r="303" spans="1:12" x14ac:dyDescent="0.25">
      <c r="A303" s="16">
        <v>14.8</v>
      </c>
      <c r="B303" s="45">
        <f t="shared" si="28"/>
        <v>14800</v>
      </c>
      <c r="C303" s="16">
        <f t="shared" si="29"/>
        <v>48.785098263492394</v>
      </c>
      <c r="D303" s="15">
        <f t="shared" si="30"/>
        <v>4.5668028184000004E+20</v>
      </c>
      <c r="E303" s="15">
        <f>IF($C303=0,0,FORECAST($C303, OFFSET('De Vaucouleurs Deprojection'!$F$2:$F$127, MATCH($C303, 'De Vaucouleurs Deprojection'!$A$2:$A$127,1)-1,0,2), OFFSET('De Vaucouleurs Deprojection'!$A$2:$A$127, MATCH($C303, 'De Vaucouleurs Deprojection'!$A$2:$A$127,1)-1,0,2))*QESTotalBulgeMass)</f>
        <v>8.8341676446860142E+39</v>
      </c>
      <c r="F303" s="15">
        <f t="shared" si="31"/>
        <v>2.6511331031265133E+40</v>
      </c>
      <c r="H303" s="18">
        <f t="shared" si="32"/>
        <v>3.5345498675951149E+40</v>
      </c>
      <c r="I303" s="16">
        <v>157.29843</v>
      </c>
      <c r="J303" s="45">
        <v>1</v>
      </c>
      <c r="K303" s="19">
        <f t="shared" si="33"/>
        <v>147.71217784308519</v>
      </c>
      <c r="L303" s="16">
        <f t="shared" si="34"/>
        <v>91.896230415953852</v>
      </c>
    </row>
    <row r="304" spans="1:12" x14ac:dyDescent="0.25">
      <c r="A304" s="16">
        <v>14.85</v>
      </c>
      <c r="B304" s="45">
        <f t="shared" si="28"/>
        <v>14850</v>
      </c>
      <c r="C304" s="16">
        <f t="shared" si="29"/>
        <v>48.949912784652838</v>
      </c>
      <c r="D304" s="15">
        <f t="shared" si="30"/>
        <v>4.5822312062999999E+20</v>
      </c>
      <c r="E304" s="15">
        <f>IF($C304=0,0,FORECAST($C304, OFFSET('De Vaucouleurs Deprojection'!$F$2:$F$127, MATCH($C304, 'De Vaucouleurs Deprojection'!$A$2:$A$127,1)-1,0,2), OFFSET('De Vaucouleurs Deprojection'!$A$2:$A$127, MATCH($C304, 'De Vaucouleurs Deprojection'!$A$2:$A$127,1)-1,0,2))*QESTotalBulgeMass)</f>
        <v>8.8342959235805999E+39</v>
      </c>
      <c r="F304" s="15">
        <f t="shared" si="31"/>
        <v>2.6511335263856607E+40</v>
      </c>
      <c r="H304" s="18">
        <f t="shared" si="32"/>
        <v>3.5345631187437207E+40</v>
      </c>
      <c r="I304" s="16">
        <v>157.29955000000001</v>
      </c>
      <c r="J304" s="45">
        <v>1</v>
      </c>
      <c r="K304" s="19">
        <f t="shared" si="33"/>
        <v>147.84375502573715</v>
      </c>
      <c r="L304" s="16">
        <f t="shared" si="34"/>
        <v>89.412058595294724</v>
      </c>
    </row>
    <row r="305" spans="1:12" x14ac:dyDescent="0.25">
      <c r="A305" s="16">
        <v>14.9</v>
      </c>
      <c r="B305" s="45">
        <f t="shared" si="28"/>
        <v>14900</v>
      </c>
      <c r="C305" s="16">
        <f t="shared" si="29"/>
        <v>49.114727305813282</v>
      </c>
      <c r="D305" s="15">
        <f t="shared" si="30"/>
        <v>4.5976595942000001E+20</v>
      </c>
      <c r="E305" s="15">
        <f>IF($C305=0,0,FORECAST($C305, OFFSET('De Vaucouleurs Deprojection'!$F$2:$F$127, MATCH($C305, 'De Vaucouleurs Deprojection'!$A$2:$A$127,1)-1,0,2), OFFSET('De Vaucouleurs Deprojection'!$A$2:$A$127, MATCH($C305, 'De Vaucouleurs Deprojection'!$A$2:$A$127,1)-1,0,2))*QESTotalBulgeMass)</f>
        <v>8.8344242024751868E+39</v>
      </c>
      <c r="F305" s="15">
        <f t="shared" si="31"/>
        <v>2.6511339295351903E+40</v>
      </c>
      <c r="H305" s="18">
        <f t="shared" si="32"/>
        <v>3.5345763497827087E+40</v>
      </c>
      <c r="I305" s="16">
        <v>157.30037999999999</v>
      </c>
      <c r="J305" s="45">
        <v>1</v>
      </c>
      <c r="K305" s="19">
        <f t="shared" si="33"/>
        <v>147.97560908858708</v>
      </c>
      <c r="L305" s="16">
        <f t="shared" si="34"/>
        <v>86.951352550332388</v>
      </c>
    </row>
    <row r="306" spans="1:12" x14ac:dyDescent="0.25">
      <c r="A306" s="16">
        <v>14.95</v>
      </c>
      <c r="B306" s="45">
        <f t="shared" si="28"/>
        <v>14950</v>
      </c>
      <c r="C306" s="16">
        <f t="shared" si="29"/>
        <v>49.279541826973734</v>
      </c>
      <c r="D306" s="15">
        <f t="shared" si="30"/>
        <v>4.6130879820999996E+20</v>
      </c>
      <c r="E306" s="15">
        <f>IF($C306=0,0,FORECAST($C306, OFFSET('De Vaucouleurs Deprojection'!$F$2:$F$127, MATCH($C306, 'De Vaucouleurs Deprojection'!$A$2:$A$127,1)-1,0,2), OFFSET('De Vaucouleurs Deprojection'!$A$2:$A$127, MATCH($C306, 'De Vaucouleurs Deprojection'!$A$2:$A$127,1)-1,0,2))*QESTotalBulgeMass)</f>
        <v>8.8345524813697713E+39</v>
      </c>
      <c r="F306" s="15">
        <f t="shared" si="31"/>
        <v>2.6511343135261997E+40</v>
      </c>
      <c r="H306" s="18">
        <f t="shared" si="32"/>
        <v>3.5345895616631766E+40</v>
      </c>
      <c r="I306" s="16">
        <v>157.30179999999999</v>
      </c>
      <c r="J306" s="45">
        <v>1</v>
      </c>
      <c r="K306" s="19">
        <f t="shared" si="33"/>
        <v>148.10773534838904</v>
      </c>
      <c r="L306" s="16">
        <f t="shared" si="34"/>
        <v>84.530824818001861</v>
      </c>
    </row>
    <row r="307" spans="1:12" x14ac:dyDescent="0.25">
      <c r="A307" s="16">
        <v>15</v>
      </c>
      <c r="B307" s="45">
        <f t="shared" si="28"/>
        <v>15000</v>
      </c>
      <c r="C307" s="16">
        <f t="shared" si="29"/>
        <v>49.444356348134178</v>
      </c>
      <c r="D307" s="15">
        <f t="shared" si="30"/>
        <v>4.6285163699999998E+20</v>
      </c>
      <c r="E307" s="15">
        <f>IF($C307=0,0,FORECAST($C307, OFFSET('De Vaucouleurs Deprojection'!$F$2:$F$127, MATCH($C307, 'De Vaucouleurs Deprojection'!$A$2:$A$127,1)-1,0,2), OFFSET('De Vaucouleurs Deprojection'!$A$2:$A$127, MATCH($C307, 'De Vaucouleurs Deprojection'!$A$2:$A$127,1)-1,0,2))*QESTotalBulgeMass)</f>
        <v>8.8346807602643581E+39</v>
      </c>
      <c r="F307" s="15">
        <f t="shared" si="31"/>
        <v>2.6511346792650357E+40</v>
      </c>
      <c r="H307" s="18">
        <f t="shared" si="32"/>
        <v>3.5346027552914715E+40</v>
      </c>
      <c r="I307" s="16">
        <v>157.30492000000001</v>
      </c>
      <c r="J307" s="45">
        <v>1</v>
      </c>
      <c r="K307" s="19">
        <f t="shared" si="33"/>
        <v>148.24012918939601</v>
      </c>
      <c r="L307" s="16">
        <f t="shared" si="34"/>
        <v>82.170432440010629</v>
      </c>
    </row>
    <row r="308" spans="1:12" x14ac:dyDescent="0.25">
      <c r="A308" s="16">
        <v>15.05</v>
      </c>
      <c r="B308" s="45">
        <f t="shared" si="28"/>
        <v>15050</v>
      </c>
      <c r="C308" s="16">
        <f t="shared" si="29"/>
        <v>49.60917086929463</v>
      </c>
      <c r="D308" s="15">
        <f t="shared" si="30"/>
        <v>4.6439447579E+20</v>
      </c>
      <c r="E308" s="15">
        <f>IF($C308=0,0,FORECAST($C308, OFFSET('De Vaucouleurs Deprojection'!$F$2:$F$127, MATCH($C308, 'De Vaucouleurs Deprojection'!$A$2:$A$127,1)-1,0,2), OFFSET('De Vaucouleurs Deprojection'!$A$2:$A$127, MATCH($C308, 'De Vaucouleurs Deprojection'!$A$2:$A$127,1)-1,0,2))*QESTotalBulgeMass)</f>
        <v>8.8348090391589438E+39</v>
      </c>
      <c r="F308" s="15">
        <f t="shared" si="31"/>
        <v>2.6511350276153941E+40</v>
      </c>
      <c r="H308" s="18">
        <f t="shared" si="32"/>
        <v>3.5346159315312883E+40</v>
      </c>
      <c r="I308" s="16">
        <v>157.31120000000001</v>
      </c>
      <c r="J308" s="45">
        <v>1</v>
      </c>
      <c r="K308" s="19">
        <f t="shared" si="33"/>
        <v>148.372786062285</v>
      </c>
      <c r="L308" s="16">
        <f t="shared" si="34"/>
        <v>79.895243721937987</v>
      </c>
    </row>
    <row r="309" spans="1:12" x14ac:dyDescent="0.25">
      <c r="A309" s="16">
        <v>15.1</v>
      </c>
      <c r="B309" s="45">
        <f t="shared" si="28"/>
        <v>15100</v>
      </c>
      <c r="C309" s="16">
        <f t="shared" si="29"/>
        <v>49.773985390455074</v>
      </c>
      <c r="D309" s="15">
        <f t="shared" si="30"/>
        <v>4.6593731458000001E+20</v>
      </c>
      <c r="E309" s="15">
        <f>IF($C309=0,0,FORECAST($C309, OFFSET('De Vaucouleurs Deprojection'!$F$2:$F$127, MATCH($C309, 'De Vaucouleurs Deprojection'!$A$2:$A$127,1)-1,0,2), OFFSET('De Vaucouleurs Deprojection'!$A$2:$A$127, MATCH($C309, 'De Vaucouleurs Deprojection'!$A$2:$A$127,1)-1,0,2))*QESTotalBulgeMass)</f>
        <v>8.8349373180535295E+39</v>
      </c>
      <c r="F309" s="15">
        <f t="shared" si="31"/>
        <v>2.6511353594003066E+40</v>
      </c>
      <c r="H309" s="18">
        <f t="shared" si="32"/>
        <v>3.5346290912056593E+40</v>
      </c>
      <c r="I309" s="16">
        <v>157.32223999999999</v>
      </c>
      <c r="J309" s="45">
        <v>1</v>
      </c>
      <c r="K309" s="19">
        <f t="shared" si="33"/>
        <v>148.50570148310146</v>
      </c>
      <c r="L309" s="16">
        <f t="shared" si="34"/>
        <v>77.731351419955374</v>
      </c>
    </row>
    <row r="310" spans="1:12" x14ac:dyDescent="0.25">
      <c r="A310" s="16">
        <v>15.15</v>
      </c>
      <c r="B310" s="45">
        <f t="shared" si="28"/>
        <v>15150</v>
      </c>
      <c r="C310" s="16">
        <f t="shared" si="29"/>
        <v>49.938799911615519</v>
      </c>
      <c r="D310" s="15">
        <f t="shared" si="30"/>
        <v>4.6748015337000003E+20</v>
      </c>
      <c r="E310" s="15">
        <f>IF($C310=0,0,FORECAST($C310, OFFSET('De Vaucouleurs Deprojection'!$F$2:$F$127, MATCH($C310, 'De Vaucouleurs Deprojection'!$A$2:$A$127,1)-1,0,2), OFFSET('De Vaucouleurs Deprojection'!$A$2:$A$127, MATCH($C310, 'De Vaucouleurs Deprojection'!$A$2:$A$127,1)-1,0,2))*QESTotalBulgeMass)</f>
        <v>8.8350655969481151E+39</v>
      </c>
      <c r="F310" s="15">
        <f t="shared" si="31"/>
        <v>2.6511356754040509E+40</v>
      </c>
      <c r="H310" s="18">
        <f t="shared" si="32"/>
        <v>3.5346422350988626E+40</v>
      </c>
      <c r="I310" s="16">
        <v>157.33926</v>
      </c>
      <c r="J310" s="45">
        <v>1</v>
      </c>
      <c r="K310" s="19">
        <f t="shared" si="33"/>
        <v>148.63887103222234</v>
      </c>
      <c r="L310" s="16">
        <f t="shared" si="34"/>
        <v>75.696768190627139</v>
      </c>
    </row>
    <row r="311" spans="1:12" x14ac:dyDescent="0.25">
      <c r="A311" s="16">
        <v>15.2</v>
      </c>
      <c r="B311" s="45">
        <f t="shared" si="28"/>
        <v>15200</v>
      </c>
      <c r="C311" s="16">
        <f t="shared" si="29"/>
        <v>50.10361443277597</v>
      </c>
      <c r="D311" s="15">
        <f t="shared" si="30"/>
        <v>4.6902299215999998E+20</v>
      </c>
      <c r="E311" s="15">
        <f>IF($C311=0,0,FORECAST($C311, OFFSET('De Vaucouleurs Deprojection'!$F$2:$F$127, MATCH($C311, 'De Vaucouleurs Deprojection'!$A$2:$A$127,1)-1,0,2), OFFSET('De Vaucouleurs Deprojection'!$A$2:$A$127, MATCH($C311, 'De Vaucouleurs Deprojection'!$A$2:$A$127,1)-1,0,2))*QESTotalBulgeMass)</f>
        <v>8.8351682159196986E+39</v>
      </c>
      <c r="F311" s="15">
        <f t="shared" si="31"/>
        <v>2.6511359763739589E+40</v>
      </c>
      <c r="H311" s="18">
        <f t="shared" si="32"/>
        <v>3.5346527979659286E+40</v>
      </c>
      <c r="I311" s="16">
        <v>157.36306999999999</v>
      </c>
      <c r="J311" s="45">
        <v>1</v>
      </c>
      <c r="K311" s="19">
        <f t="shared" si="33"/>
        <v>148.77227808175437</v>
      </c>
      <c r="L311" s="16">
        <f t="shared" si="34"/>
        <v>73.801705782594397</v>
      </c>
    </row>
    <row r="312" spans="1:12" x14ac:dyDescent="0.25">
      <c r="A312" s="16">
        <v>15.25</v>
      </c>
      <c r="B312" s="45">
        <f t="shared" si="28"/>
        <v>15250</v>
      </c>
      <c r="C312" s="16">
        <f t="shared" si="29"/>
        <v>50.268428953936414</v>
      </c>
      <c r="D312" s="15">
        <f t="shared" si="30"/>
        <v>4.7056583095E+20</v>
      </c>
      <c r="E312" s="15">
        <f>IF($C312=0,0,FORECAST($C312, OFFSET('De Vaucouleurs Deprojection'!$F$2:$F$127, MATCH($C312, 'De Vaucouleurs Deprojection'!$A$2:$A$127,1)-1,0,2), OFFSET('De Vaucouleurs Deprojection'!$A$2:$A$127, MATCH($C312, 'De Vaucouleurs Deprojection'!$A$2:$A$127,1)-1,0,2))*QESTotalBulgeMass)</f>
        <v>8.8352556788023715E+39</v>
      </c>
      <c r="F312" s="15">
        <f t="shared" si="31"/>
        <v>2.651136263022153E+40</v>
      </c>
      <c r="H312" s="18">
        <f t="shared" si="32"/>
        <v>3.5346618309023904E+40</v>
      </c>
      <c r="I312" s="16">
        <v>157.39385999999999</v>
      </c>
      <c r="J312" s="45">
        <v>1</v>
      </c>
      <c r="K312" s="19">
        <f t="shared" si="33"/>
        <v>148.90592349372196</v>
      </c>
      <c r="L312" s="16">
        <f t="shared" si="34"/>
        <v>72.045066134607325</v>
      </c>
    </row>
    <row r="313" spans="1:12" x14ac:dyDescent="0.25">
      <c r="A313" s="16">
        <v>15.3</v>
      </c>
      <c r="B313" s="45">
        <f t="shared" si="28"/>
        <v>15300</v>
      </c>
      <c r="C313" s="16">
        <f t="shared" si="29"/>
        <v>50.433243475096866</v>
      </c>
      <c r="D313" s="15">
        <f t="shared" si="30"/>
        <v>4.7210866974000002E+20</v>
      </c>
      <c r="E313" s="15">
        <f>IF($C313=0,0,FORECAST($C313, OFFSET('De Vaucouleurs Deprojection'!$F$2:$F$127, MATCH($C313, 'De Vaucouleurs Deprojection'!$A$2:$A$127,1)-1,0,2), OFFSET('De Vaucouleurs Deprojection'!$A$2:$A$127, MATCH($C313, 'De Vaucouleurs Deprojection'!$A$2:$A$127,1)-1,0,2))*QESTotalBulgeMass)</f>
        <v>8.8353431416850432E+39</v>
      </c>
      <c r="F313" s="15">
        <f t="shared" si="31"/>
        <v>2.6511365360271889E+40</v>
      </c>
      <c r="H313" s="18">
        <f t="shared" si="32"/>
        <v>3.5346708501956934E+40</v>
      </c>
      <c r="I313" s="16">
        <v>157.43169</v>
      </c>
      <c r="J313" s="45">
        <v>1</v>
      </c>
      <c r="K313" s="19">
        <f t="shared" si="33"/>
        <v>149.03981031254412</v>
      </c>
      <c r="L313" s="16">
        <f t="shared" si="34"/>
        <v>70.423644688734655</v>
      </c>
    </row>
    <row r="314" spans="1:12" x14ac:dyDescent="0.25">
      <c r="A314" s="16">
        <v>15.35</v>
      </c>
      <c r="B314" s="45">
        <f t="shared" si="28"/>
        <v>15350</v>
      </c>
      <c r="C314" s="16">
        <f t="shared" si="29"/>
        <v>50.59805799625731</v>
      </c>
      <c r="D314" s="15">
        <f t="shared" si="30"/>
        <v>4.7365150852999997E+20</v>
      </c>
      <c r="E314" s="15">
        <f>IF($C314=0,0,FORECAST($C314, OFFSET('De Vaucouleurs Deprojection'!$F$2:$F$127, MATCH($C314, 'De Vaucouleurs Deprojection'!$A$2:$A$127,1)-1,0,2), OFFSET('De Vaucouleurs Deprojection'!$A$2:$A$127, MATCH($C314, 'De Vaucouleurs Deprojection'!$A$2:$A$127,1)-1,0,2))*QESTotalBulgeMass)</f>
        <v>8.835430604567716E+39</v>
      </c>
      <c r="F314" s="15">
        <f t="shared" si="31"/>
        <v>2.6511367960356343E+40</v>
      </c>
      <c r="H314" s="18">
        <f t="shared" si="32"/>
        <v>3.5346798564924061E+40</v>
      </c>
      <c r="I314" s="16">
        <v>157.47626</v>
      </c>
      <c r="J314" s="45">
        <v>1</v>
      </c>
      <c r="K314" s="19">
        <f t="shared" si="33"/>
        <v>149.17393436433653</v>
      </c>
      <c r="L314" s="16">
        <f t="shared" si="34"/>
        <v>68.928610960594753</v>
      </c>
    </row>
    <row r="315" spans="1:12" x14ac:dyDescent="0.25">
      <c r="A315" s="16">
        <v>15.4</v>
      </c>
      <c r="B315" s="45">
        <f t="shared" si="28"/>
        <v>15400</v>
      </c>
      <c r="C315" s="16">
        <f t="shared" si="29"/>
        <v>50.762872517417755</v>
      </c>
      <c r="D315" s="15">
        <f t="shared" si="30"/>
        <v>4.7519434731999999E+20</v>
      </c>
      <c r="E315" s="15">
        <f>IF($C315=0,0,FORECAST($C315, OFFSET('De Vaucouleurs Deprojection'!$F$2:$F$127, MATCH($C315, 'De Vaucouleurs Deprojection'!$A$2:$A$127,1)-1,0,2), OFFSET('De Vaucouleurs Deprojection'!$A$2:$A$127, MATCH($C315, 'De Vaucouleurs Deprojection'!$A$2:$A$127,1)-1,0,2))*QESTotalBulgeMass)</f>
        <v>8.8355180674503877E+39</v>
      </c>
      <c r="F315" s="15">
        <f t="shared" si="31"/>
        <v>2.6511370436635643E+40</v>
      </c>
      <c r="H315" s="18">
        <f t="shared" si="32"/>
        <v>3.5346888504086032E+40</v>
      </c>
      <c r="I315" s="16">
        <v>157.52656999999999</v>
      </c>
      <c r="J315" s="45">
        <v>1</v>
      </c>
      <c r="K315" s="19">
        <f t="shared" si="33"/>
        <v>149.30829153464848</v>
      </c>
      <c r="L315" s="16">
        <f t="shared" si="34"/>
        <v>67.54010093406049</v>
      </c>
    </row>
    <row r="316" spans="1:12" x14ac:dyDescent="0.25">
      <c r="A316" s="16">
        <v>15.45</v>
      </c>
      <c r="B316" s="45">
        <f t="shared" si="28"/>
        <v>15450</v>
      </c>
      <c r="C316" s="16">
        <f t="shared" si="29"/>
        <v>50.927687038578206</v>
      </c>
      <c r="D316" s="15">
        <f t="shared" si="30"/>
        <v>4.7673718611000001E+20</v>
      </c>
      <c r="E316" s="15">
        <f>IF($C316=0,0,FORECAST($C316, OFFSET('De Vaucouleurs Deprojection'!$F$2:$F$127, MATCH($C316, 'De Vaucouleurs Deprojection'!$A$2:$A$127,1)-1,0,2), OFFSET('De Vaucouleurs Deprojection'!$A$2:$A$127, MATCH($C316, 'De Vaucouleurs Deprojection'!$A$2:$A$127,1)-1,0,2))*QESTotalBulgeMass)</f>
        <v>8.8356055303330594E+39</v>
      </c>
      <c r="F316" s="15">
        <f t="shared" si="31"/>
        <v>2.6511372794979925E+40</v>
      </c>
      <c r="H316" s="18">
        <f t="shared" si="32"/>
        <v>3.5346978325312986E+40</v>
      </c>
      <c r="I316" s="16">
        <v>157.58054000000001</v>
      </c>
      <c r="J316" s="45">
        <v>1</v>
      </c>
      <c r="K316" s="19">
        <f t="shared" si="33"/>
        <v>149.44287776753055</v>
      </c>
      <c r="L316" s="16">
        <f t="shared" si="34"/>
        <v>66.22154660975994</v>
      </c>
    </row>
    <row r="317" spans="1:12" x14ac:dyDescent="0.25">
      <c r="A317" s="16">
        <v>15.5</v>
      </c>
      <c r="B317" s="45">
        <f t="shared" si="28"/>
        <v>15500</v>
      </c>
      <c r="C317" s="16">
        <f t="shared" si="29"/>
        <v>51.09250155973865</v>
      </c>
      <c r="D317" s="15">
        <f t="shared" si="30"/>
        <v>4.7828002490000002E+20</v>
      </c>
      <c r="E317" s="15">
        <f>IF($C317=0,0,FORECAST($C317, OFFSET('De Vaucouleurs Deprojection'!$F$2:$F$127, MATCH($C317, 'De Vaucouleurs Deprojection'!$A$2:$A$127,1)-1,0,2), OFFSET('De Vaucouleurs Deprojection'!$A$2:$A$127, MATCH($C317, 'De Vaucouleurs Deprojection'!$A$2:$A$127,1)-1,0,2))*QESTotalBulgeMass)</f>
        <v>8.8356929932157322E+39</v>
      </c>
      <c r="F317" s="15">
        <f t="shared" si="31"/>
        <v>2.6511375040982363E+40</v>
      </c>
      <c r="H317" s="18">
        <f t="shared" si="32"/>
        <v>3.5347068034198095E+40</v>
      </c>
      <c r="I317" s="16">
        <v>157.63500999999999</v>
      </c>
      <c r="J317" s="45">
        <v>1</v>
      </c>
      <c r="K317" s="19">
        <f t="shared" si="33"/>
        <v>149.57768906461902</v>
      </c>
      <c r="L317" s="16">
        <f t="shared" si="34"/>
        <v>64.920420655728492</v>
      </c>
    </row>
    <row r="318" spans="1:12" x14ac:dyDescent="0.25">
      <c r="A318" s="16">
        <v>15.55</v>
      </c>
      <c r="B318" s="45">
        <f t="shared" si="28"/>
        <v>15550</v>
      </c>
      <c r="C318" s="16">
        <f t="shared" si="29"/>
        <v>51.257316080899102</v>
      </c>
      <c r="D318" s="15">
        <f t="shared" si="30"/>
        <v>4.7982286369000004E+20</v>
      </c>
      <c r="E318" s="15">
        <f>IF($C318=0,0,FORECAST($C318, OFFSET('De Vaucouleurs Deprojection'!$F$2:$F$127, MATCH($C318, 'De Vaucouleurs Deprojection'!$A$2:$A$127,1)-1,0,2), OFFSET('De Vaucouleurs Deprojection'!$A$2:$A$127, MATCH($C318, 'De Vaucouleurs Deprojection'!$A$2:$A$127,1)-1,0,2))*QESTotalBulgeMass)</f>
        <v>8.8357804560984039E+39</v>
      </c>
      <c r="F318" s="15">
        <f t="shared" si="31"/>
        <v>2.6511377179972113E+40</v>
      </c>
      <c r="H318" s="18">
        <f t="shared" si="32"/>
        <v>3.5347157636070517E+40</v>
      </c>
      <c r="I318" s="16">
        <v>157.68652</v>
      </c>
      <c r="J318" s="45">
        <v>1</v>
      </c>
      <c r="K318" s="19">
        <f t="shared" si="33"/>
        <v>149.71272148423606</v>
      </c>
      <c r="L318" s="16">
        <f t="shared" si="34"/>
        <v>63.581462769999305</v>
      </c>
    </row>
    <row r="319" spans="1:12" x14ac:dyDescent="0.25">
      <c r="A319" s="16">
        <v>15.6</v>
      </c>
      <c r="B319" s="45">
        <f t="shared" si="28"/>
        <v>15600</v>
      </c>
      <c r="C319" s="16">
        <f t="shared" si="29"/>
        <v>51.422130602059546</v>
      </c>
      <c r="D319" s="15">
        <f t="shared" si="30"/>
        <v>4.8136570247999999E+20</v>
      </c>
      <c r="E319" s="15">
        <f>IF($C319=0,0,FORECAST($C319, OFFSET('De Vaucouleurs Deprojection'!$F$2:$F$127, MATCH($C319, 'De Vaucouleurs Deprojection'!$A$2:$A$127,1)-1,0,2), OFFSET('De Vaucouleurs Deprojection'!$A$2:$A$127, MATCH($C319, 'De Vaucouleurs Deprojection'!$A$2:$A$127,1)-1,0,2))*QESTotalBulgeMass)</f>
        <v>8.8358679189810768E+39</v>
      </c>
      <c r="F319" s="15">
        <f t="shared" si="31"/>
        <v>2.6511379217026771E+40</v>
      </c>
      <c r="H319" s="18">
        <f t="shared" si="32"/>
        <v>3.5347247136007847E+40</v>
      </c>
      <c r="I319" s="16">
        <v>157.73204000000001</v>
      </c>
      <c r="J319" s="45">
        <v>1</v>
      </c>
      <c r="K319" s="19">
        <f t="shared" si="33"/>
        <v>149.84797114050571</v>
      </c>
      <c r="L319" s="16">
        <f t="shared" si="34"/>
        <v>62.158541781247848</v>
      </c>
    </row>
    <row r="320" spans="1:12" x14ac:dyDescent="0.25">
      <c r="A320" s="16">
        <v>15.65</v>
      </c>
      <c r="B320" s="45">
        <f t="shared" si="28"/>
        <v>15650</v>
      </c>
      <c r="C320" s="16">
        <f t="shared" si="29"/>
        <v>51.586945123219991</v>
      </c>
      <c r="D320" s="15">
        <f t="shared" si="30"/>
        <v>4.8290854127000001E+20</v>
      </c>
      <c r="E320" s="15">
        <f>IF($C320=0,0,FORECAST($C320, OFFSET('De Vaucouleurs Deprojection'!$F$2:$F$127, MATCH($C320, 'De Vaucouleurs Deprojection'!$A$2:$A$127,1)-1,0,2), OFFSET('De Vaucouleurs Deprojection'!$A$2:$A$127, MATCH($C320, 'De Vaucouleurs Deprojection'!$A$2:$A$127,1)-1,0,2))*QESTotalBulgeMass)</f>
        <v>8.8359553818637484E+39</v>
      </c>
      <c r="F320" s="15">
        <f t="shared" si="31"/>
        <v>2.6511381156984125E+40</v>
      </c>
      <c r="H320" s="18">
        <f t="shared" si="32"/>
        <v>3.5347336538847872E+40</v>
      </c>
      <c r="I320" s="16">
        <v>157.76929000000001</v>
      </c>
      <c r="J320" s="45">
        <v>1</v>
      </c>
      <c r="K320" s="19">
        <f t="shared" si="33"/>
        <v>149.98343420248526</v>
      </c>
      <c r="L320" s="16">
        <f t="shared" si="34"/>
        <v>60.619550499694142</v>
      </c>
    </row>
    <row r="321" spans="1:12" x14ac:dyDescent="0.25">
      <c r="A321" s="16">
        <v>15.7</v>
      </c>
      <c r="B321" s="45">
        <f t="shared" si="28"/>
        <v>15700</v>
      </c>
      <c r="C321" s="16">
        <f t="shared" si="29"/>
        <v>51.751759644380442</v>
      </c>
      <c r="D321" s="15">
        <f t="shared" si="30"/>
        <v>4.8445138005999996E+20</v>
      </c>
      <c r="E321" s="15">
        <f>IF($C321=0,0,FORECAST($C321, OFFSET('De Vaucouleurs Deprojection'!$F$2:$F$127, MATCH($C321, 'De Vaucouleurs Deprojection'!$A$2:$A$127,1)-1,0,2), OFFSET('De Vaucouleurs Deprojection'!$A$2:$A$127, MATCH($C321, 'De Vaucouleurs Deprojection'!$A$2:$A$127,1)-1,0,2))*QESTotalBulgeMass)</f>
        <v>8.8360428447464213E+39</v>
      </c>
      <c r="F321" s="15">
        <f t="shared" si="31"/>
        <v>2.6511383004453455E+40</v>
      </c>
      <c r="H321" s="18">
        <f t="shared" si="32"/>
        <v>3.5347425849199879E+40</v>
      </c>
      <c r="I321" s="16">
        <v>157.79660000000001</v>
      </c>
      <c r="J321" s="45">
        <v>1</v>
      </c>
      <c r="K321" s="19">
        <f t="shared" si="33"/>
        <v>150.11910689331168</v>
      </c>
      <c r="L321" s="16">
        <f t="shared" si="34"/>
        <v>58.943900403246843</v>
      </c>
    </row>
    <row r="322" spans="1:12" x14ac:dyDescent="0.25">
      <c r="A322" s="16">
        <v>15.75</v>
      </c>
      <c r="B322" s="45">
        <f t="shared" si="28"/>
        <v>15750</v>
      </c>
      <c r="C322" s="16">
        <f t="shared" si="29"/>
        <v>51.916574165540887</v>
      </c>
      <c r="D322" s="15">
        <f t="shared" si="30"/>
        <v>4.8599421884999998E+20</v>
      </c>
      <c r="E322" s="15">
        <f>IF($C322=0,0,FORECAST($C322, OFFSET('De Vaucouleurs Deprojection'!$F$2:$F$127, MATCH($C322, 'De Vaucouleurs Deprojection'!$A$2:$A$127,1)-1,0,2), OFFSET('De Vaucouleurs Deprojection'!$A$2:$A$127, MATCH($C322, 'De Vaucouleurs Deprojection'!$A$2:$A$127,1)-1,0,2))*QESTotalBulgeMass)</f>
        <v>8.836130307629093E+39</v>
      </c>
      <c r="F322" s="15">
        <f t="shared" si="31"/>
        <v>2.6511384763826252E+40</v>
      </c>
      <c r="H322" s="18">
        <f t="shared" si="32"/>
        <v>3.5347515071455342E+40</v>
      </c>
      <c r="I322" s="16">
        <v>157.81245000000001</v>
      </c>
      <c r="J322" s="45">
        <v>1</v>
      </c>
      <c r="K322" s="19">
        <f t="shared" si="33"/>
        <v>150.25498548936315</v>
      </c>
      <c r="L322" s="16">
        <f t="shared" si="34"/>
        <v>57.115269829535663</v>
      </c>
    </row>
    <row r="323" spans="1:12" x14ac:dyDescent="0.25">
      <c r="A323" s="16">
        <v>15.8</v>
      </c>
      <c r="B323" s="45">
        <f t="shared" si="28"/>
        <v>15800</v>
      </c>
      <c r="C323" s="16">
        <f t="shared" si="29"/>
        <v>52.081388686701338</v>
      </c>
      <c r="D323" s="15">
        <f t="shared" si="30"/>
        <v>4.8753705764E+20</v>
      </c>
      <c r="E323" s="15">
        <f>IF($C323=0,0,FORECAST($C323, OFFSET('De Vaucouleurs Deprojection'!$F$2:$F$127, MATCH($C323, 'De Vaucouleurs Deprojection'!$A$2:$A$127,1)-1,0,2), OFFSET('De Vaucouleurs Deprojection'!$A$2:$A$127, MATCH($C323, 'De Vaucouleurs Deprojection'!$A$2:$A$127,1)-1,0,2))*QESTotalBulgeMass)</f>
        <v>8.8362177705117646E+39</v>
      </c>
      <c r="F323" s="15">
        <f t="shared" si="31"/>
        <v>2.6511386439286459E+40</v>
      </c>
      <c r="H323" s="18">
        <f t="shared" si="32"/>
        <v>3.5347604209798221E+40</v>
      </c>
      <c r="I323" s="16">
        <v>157.81564</v>
      </c>
      <c r="J323" s="45">
        <v>1</v>
      </c>
      <c r="K323" s="19">
        <f t="shared" si="33"/>
        <v>150.3910663194348</v>
      </c>
      <c r="L323" s="16">
        <f t="shared" si="34"/>
        <v>55.124294338141524</v>
      </c>
    </row>
    <row r="324" spans="1:12" x14ac:dyDescent="0.25">
      <c r="A324" s="16">
        <v>15.85</v>
      </c>
      <c r="B324" s="45">
        <f t="shared" si="28"/>
        <v>15850</v>
      </c>
      <c r="C324" s="16">
        <f t="shared" si="29"/>
        <v>52.246203207861782</v>
      </c>
      <c r="D324" s="15">
        <f t="shared" si="30"/>
        <v>4.8907989643000001E+20</v>
      </c>
      <c r="E324" s="15">
        <f>IF($C324=0,0,FORECAST($C324, OFFSET('De Vaucouleurs Deprojection'!$F$2:$F$127, MATCH($C324, 'De Vaucouleurs Deprojection'!$A$2:$A$127,1)-1,0,2), OFFSET('De Vaucouleurs Deprojection'!$A$2:$A$127, MATCH($C324, 'De Vaucouleurs Deprojection'!$A$2:$A$127,1)-1,0,2))*QESTotalBulgeMass)</f>
        <v>8.8363052333944375E+39</v>
      </c>
      <c r="F324" s="15">
        <f t="shared" si="31"/>
        <v>2.6511388034820213E+40</v>
      </c>
      <c r="H324" s="18">
        <f t="shared" si="32"/>
        <v>3.5347693268214651E+40</v>
      </c>
      <c r="I324" s="16">
        <v>157.80575999999999</v>
      </c>
      <c r="J324" s="45">
        <v>1</v>
      </c>
      <c r="K324" s="19">
        <f t="shared" si="33"/>
        <v>150.52734576392888</v>
      </c>
      <c r="L324" s="16">
        <f t="shared" si="34"/>
        <v>52.975313791842666</v>
      </c>
    </row>
    <row r="325" spans="1:12" x14ac:dyDescent="0.25">
      <c r="A325" s="16">
        <v>15.9</v>
      </c>
      <c r="B325" s="45">
        <f t="shared" si="28"/>
        <v>15900</v>
      </c>
      <c r="C325" s="16">
        <f t="shared" si="29"/>
        <v>52.411017729022227</v>
      </c>
      <c r="D325" s="15">
        <f t="shared" si="30"/>
        <v>4.9062273522000003E+20</v>
      </c>
      <c r="E325" s="15">
        <f>IF($C325=0,0,FORECAST($C325, OFFSET('De Vaucouleurs Deprojection'!$F$2:$F$127, MATCH($C325, 'De Vaucouleurs Deprojection'!$A$2:$A$127,1)-1,0,2), OFFSET('De Vaucouleurs Deprojection'!$A$2:$A$127, MATCH($C325, 'De Vaucouleurs Deprojection'!$A$2:$A$127,1)-1,0,2))*QESTotalBulgeMass)</f>
        <v>8.8363926962771092E+39</v>
      </c>
      <c r="F325" s="15">
        <f t="shared" si="31"/>
        <v>2.6511389554225185E+40</v>
      </c>
      <c r="H325" s="18">
        <f t="shared" si="32"/>
        <v>3.5347782250502296E+40</v>
      </c>
      <c r="I325" s="16">
        <v>157.78364999999999</v>
      </c>
      <c r="J325" s="45">
        <v>1</v>
      </c>
      <c r="K325" s="19">
        <f t="shared" si="33"/>
        <v>150.66382025405915</v>
      </c>
      <c r="L325" s="16">
        <f t="shared" si="34"/>
        <v>50.69197561118412</v>
      </c>
    </row>
    <row r="326" spans="1:12" x14ac:dyDescent="0.25">
      <c r="A326" s="16">
        <v>15.95</v>
      </c>
      <c r="B326" s="45">
        <f t="shared" si="28"/>
        <v>15950</v>
      </c>
      <c r="C326" s="16">
        <f t="shared" si="29"/>
        <v>52.575832250182678</v>
      </c>
      <c r="D326" s="15">
        <f t="shared" si="30"/>
        <v>4.9216557400999998E+20</v>
      </c>
      <c r="E326" s="15">
        <f>IF($C326=0,0,FORECAST($C326, OFFSET('De Vaucouleurs Deprojection'!$F$2:$F$127, MATCH($C326, 'De Vaucouleurs Deprojection'!$A$2:$A$127,1)-1,0,2), OFFSET('De Vaucouleurs Deprojection'!$A$2:$A$127, MATCH($C326, 'De Vaucouleurs Deprojection'!$A$2:$A$127,1)-1,0,2))*QESTotalBulgeMass)</f>
        <v>8.8364801591597821E+39</v>
      </c>
      <c r="F326" s="15">
        <f t="shared" si="31"/>
        <v>2.6511391001119396E+40</v>
      </c>
      <c r="H326" s="18">
        <f t="shared" si="32"/>
        <v>3.5347871160279179E+40</v>
      </c>
      <c r="I326" s="16">
        <v>157.75112999999999</v>
      </c>
      <c r="J326" s="45">
        <v>1</v>
      </c>
      <c r="K326" s="19">
        <f t="shared" si="33"/>
        <v>150.80048627106859</v>
      </c>
      <c r="L326" s="16">
        <f t="shared" si="34"/>
        <v>48.311448246533345</v>
      </c>
    </row>
    <row r="327" spans="1:12" x14ac:dyDescent="0.25">
      <c r="A327" s="16">
        <v>16</v>
      </c>
      <c r="B327" s="45">
        <f t="shared" si="28"/>
        <v>16000</v>
      </c>
      <c r="C327" s="16">
        <f t="shared" si="29"/>
        <v>52.740646771343123</v>
      </c>
      <c r="D327" s="15">
        <f t="shared" si="30"/>
        <v>4.937084128E+20</v>
      </c>
      <c r="E327" s="15">
        <f>IF($C327=0,0,FORECAST($C327, OFFSET('De Vaucouleurs Deprojection'!$F$2:$F$127, MATCH($C327, 'De Vaucouleurs Deprojection'!$A$2:$A$127,1)-1,0,2), OFFSET('De Vaucouleurs Deprojection'!$A$2:$A$127, MATCH($C327, 'De Vaucouleurs Deprojection'!$A$2:$A$127,1)-1,0,2))*QESTotalBulgeMass)</f>
        <v>8.8365676220424537E+39</v>
      </c>
      <c r="F327" s="15">
        <f t="shared" si="31"/>
        <v>2.6511392378949712E+40</v>
      </c>
      <c r="H327" s="18">
        <f t="shared" si="32"/>
        <v>3.5347960000992165E+40</v>
      </c>
      <c r="I327" s="16">
        <v>157.71036000000001</v>
      </c>
      <c r="J327" s="45">
        <v>1</v>
      </c>
      <c r="K327" s="19">
        <f t="shared" si="33"/>
        <v>150.93734034546085</v>
      </c>
      <c r="L327" s="16">
        <f t="shared" si="34"/>
        <v>45.873795240773696</v>
      </c>
    </row>
    <row r="328" spans="1:12" x14ac:dyDescent="0.25">
      <c r="A328" s="16">
        <v>16.05</v>
      </c>
      <c r="B328" s="45">
        <f t="shared" ref="B328:B391" si="35">RadiusKpc*1000</f>
        <v>16050</v>
      </c>
      <c r="C328" s="16">
        <f t="shared" ref="C328:C391" si="36">IF(QESBulgeEffectiveRadius=0,0,RadiusPc/QESBulgeEffectiveRadius)</f>
        <v>52.905461292503574</v>
      </c>
      <c r="D328" s="15">
        <f t="shared" ref="D328:D391" si="37">RadiusKpc*kpc</f>
        <v>4.9525125159000002E+20</v>
      </c>
      <c r="E328" s="15">
        <f>IF($C328=0,0,FORECAST($C328, OFFSET('De Vaucouleurs Deprojection'!$F$2:$F$127, MATCH($C328, 'De Vaucouleurs Deprojection'!$A$2:$A$127,1)-1,0,2), OFFSET('De Vaucouleurs Deprojection'!$A$2:$A$127, MATCH($C328, 'De Vaucouleurs Deprojection'!$A$2:$A$127,1)-1,0,2))*QESTotalBulgeMass)</f>
        <v>8.8366550849251254E+39</v>
      </c>
      <c r="F328" s="15">
        <f t="shared" ref="F328:F391" si="38">2*PI()*QESDiskSurfaceDensity*QESDiskScaleLength*(QESDiskScaleLength-EXP(-RadiusPc/QESDiskScaleLength)*(RadiusPc+QESDiskScaleLength))*SolarMass</f>
        <v>2.6511393690999863E+40</v>
      </c>
      <c r="H328" s="18">
        <f t="shared" ref="H328:H391" si="39">BulgeMass+DiskMass+HaloMass</f>
        <v>3.5348048775924988E+40</v>
      </c>
      <c r="I328" s="16">
        <v>157.66316</v>
      </c>
      <c r="J328" s="45">
        <v>1</v>
      </c>
      <c r="K328" s="19">
        <f t="shared" ref="K328:K391" si="40">SQRT(TotalMass*GravitationalConstant/RadiusKm+UniverseAcceleration*RadiusKm)/km</f>
        <v>151.07437905624485</v>
      </c>
      <c r="L328" s="16">
        <f t="shared" ref="L328:L391" si="41">(ObservedVelocity-ModelVelocity)^2/(VelocityError)^2</f>
        <v>43.412034324791058</v>
      </c>
    </row>
    <row r="329" spans="1:12" x14ac:dyDescent="0.25">
      <c r="A329" s="16">
        <v>16.100000000000001</v>
      </c>
      <c r="B329" s="45">
        <f t="shared" si="35"/>
        <v>16100.000000000002</v>
      </c>
      <c r="C329" s="16">
        <f t="shared" si="36"/>
        <v>53.070275813664026</v>
      </c>
      <c r="D329" s="15">
        <f t="shared" si="37"/>
        <v>4.9679409038000003E+20</v>
      </c>
      <c r="E329" s="15">
        <f>IF($C329=0,0,FORECAST($C329, OFFSET('De Vaucouleurs Deprojection'!$F$2:$F$127, MATCH($C329, 'De Vaucouleurs Deprojection'!$A$2:$A$127,1)-1,0,2), OFFSET('De Vaucouleurs Deprojection'!$A$2:$A$127, MATCH($C329, 'De Vaucouleurs Deprojection'!$A$2:$A$127,1)-1,0,2))*QESTotalBulgeMass)</f>
        <v>8.8367425478077983E+39</v>
      </c>
      <c r="F329" s="15">
        <f t="shared" si="38"/>
        <v>2.6511394940398159E+40</v>
      </c>
      <c r="H329" s="18">
        <f t="shared" si="39"/>
        <v>3.5348137488205956E+40</v>
      </c>
      <c r="I329" s="16">
        <v>157.61102</v>
      </c>
      <c r="J329" s="45">
        <v>1</v>
      </c>
      <c r="K329" s="19">
        <f t="shared" si="40"/>
        <v>151.21159903019242</v>
      </c>
      <c r="L329" s="16">
        <f t="shared" si="41"/>
        <v>40.952588748812978</v>
      </c>
    </row>
    <row r="330" spans="1:12" x14ac:dyDescent="0.25">
      <c r="A330" s="16">
        <v>16.149999999999999</v>
      </c>
      <c r="B330" s="45">
        <f t="shared" si="35"/>
        <v>16149.999999999998</v>
      </c>
      <c r="C330" s="16">
        <f t="shared" si="36"/>
        <v>53.235090334824463</v>
      </c>
      <c r="D330" s="15">
        <f t="shared" si="37"/>
        <v>4.9833692916999999E+20</v>
      </c>
      <c r="E330" s="15">
        <f>IF($C330=0,0,FORECAST($C330, OFFSET('De Vaucouleurs Deprojection'!$F$2:$F$127, MATCH($C330, 'De Vaucouleurs Deprojection'!$A$2:$A$127,1)-1,0,2), OFFSET('De Vaucouleurs Deprojection'!$A$2:$A$127, MATCH($C330, 'De Vaucouleurs Deprojection'!$A$2:$A$127,1)-1,0,2))*QESTotalBulgeMass)</f>
        <v>8.8368300106904699E+39</v>
      </c>
      <c r="F330" s="15">
        <f t="shared" si="38"/>
        <v>2.6511396130124786E+40</v>
      </c>
      <c r="H330" s="18">
        <f t="shared" si="39"/>
        <v>3.5348226140815255E+40</v>
      </c>
      <c r="I330" s="16">
        <v>157.55524</v>
      </c>
      <c r="J330" s="45">
        <v>1</v>
      </c>
      <c r="K330" s="19">
        <f t="shared" si="40"/>
        <v>151.34899694110851</v>
      </c>
      <c r="L330" s="16">
        <f t="shared" si="41"/>
        <v>38.51745290603877</v>
      </c>
    </row>
    <row r="331" spans="1:12" x14ac:dyDescent="0.25">
      <c r="A331" s="16">
        <v>16.2</v>
      </c>
      <c r="B331" s="45">
        <f t="shared" si="35"/>
        <v>16200</v>
      </c>
      <c r="C331" s="16">
        <f t="shared" si="36"/>
        <v>53.399904855984914</v>
      </c>
      <c r="D331" s="15">
        <f t="shared" si="37"/>
        <v>4.9987976796E+20</v>
      </c>
      <c r="E331" s="15">
        <f>IF($C331=0,0,FORECAST($C331, OFFSET('De Vaucouleurs Deprojection'!$F$2:$F$127, MATCH($C331, 'De Vaucouleurs Deprojection'!$A$2:$A$127,1)-1,0,2), OFFSET('De Vaucouleurs Deprojection'!$A$2:$A$127, MATCH($C331, 'De Vaucouleurs Deprojection'!$A$2:$A$127,1)-1,0,2))*QESTotalBulgeMass)</f>
        <v>8.8369174735731428E+39</v>
      </c>
      <c r="F331" s="15">
        <f t="shared" si="38"/>
        <v>2.6511397263018785E+40</v>
      </c>
      <c r="H331" s="18">
        <f t="shared" si="39"/>
        <v>3.534831473659193E+40</v>
      </c>
      <c r="I331" s="16">
        <v>157.49700999999999</v>
      </c>
      <c r="J331" s="45">
        <v>1</v>
      </c>
      <c r="K331" s="19">
        <f t="shared" si="40"/>
        <v>151.48656950911405</v>
      </c>
      <c r="L331" s="16">
        <f t="shared" si="41"/>
        <v>36.125394894481232</v>
      </c>
    </row>
    <row r="332" spans="1:12" x14ac:dyDescent="0.25">
      <c r="A332" s="16">
        <v>16.25</v>
      </c>
      <c r="B332" s="45">
        <f t="shared" si="35"/>
        <v>16250</v>
      </c>
      <c r="C332" s="16">
        <f t="shared" si="36"/>
        <v>53.564719377145359</v>
      </c>
      <c r="D332" s="15">
        <f t="shared" si="37"/>
        <v>5.0142260675000002E+20</v>
      </c>
      <c r="E332" s="15">
        <f>IF($C332=0,0,FORECAST($C332, OFFSET('De Vaucouleurs Deprojection'!$F$2:$F$127, MATCH($C332, 'De Vaucouleurs Deprojection'!$A$2:$A$127,1)-1,0,2), OFFSET('De Vaucouleurs Deprojection'!$A$2:$A$127, MATCH($C332, 'De Vaucouleurs Deprojection'!$A$2:$A$127,1)-1,0,2))*QESTotalBulgeMass)</f>
        <v>8.8370049364558144E+39</v>
      </c>
      <c r="F332" s="15">
        <f t="shared" si="38"/>
        <v>2.6511398341784712E+40</v>
      </c>
      <c r="H332" s="18">
        <f t="shared" si="39"/>
        <v>3.5348403278240524E+40</v>
      </c>
      <c r="I332" s="16">
        <v>157.43736000000001</v>
      </c>
      <c r="J332" s="45">
        <v>1</v>
      </c>
      <c r="K332" s="19">
        <f t="shared" si="40"/>
        <v>151.62431349994094</v>
      </c>
      <c r="L332" s="16">
        <f t="shared" si="41"/>
        <v>33.791509611849044</v>
      </c>
    </row>
    <row r="333" spans="1:12" x14ac:dyDescent="0.25">
      <c r="A333" s="16">
        <v>16.3</v>
      </c>
      <c r="B333" s="45">
        <f t="shared" si="35"/>
        <v>16300</v>
      </c>
      <c r="C333" s="16">
        <f t="shared" si="36"/>
        <v>53.72953389830581</v>
      </c>
      <c r="D333" s="15">
        <f t="shared" si="37"/>
        <v>5.0296544554000004E+20</v>
      </c>
      <c r="E333" s="15">
        <f>IF($C333=0,0,FORECAST($C333, OFFSET('De Vaucouleurs Deprojection'!$F$2:$F$127, MATCH($C333, 'De Vaucouleurs Deprojection'!$A$2:$A$127,1)-1,0,2), OFFSET('De Vaucouleurs Deprojection'!$A$2:$A$127, MATCH($C333, 'De Vaucouleurs Deprojection'!$A$2:$A$127,1)-1,0,2))*QESTotalBulgeMass)</f>
        <v>8.8370923993384861E+39</v>
      </c>
      <c r="F333" s="15">
        <f t="shared" si="38"/>
        <v>2.651139936899898E+40</v>
      </c>
      <c r="H333" s="18">
        <f t="shared" si="39"/>
        <v>3.5348491768337464E+40</v>
      </c>
      <c r="I333" s="16">
        <v>157.37694999999999</v>
      </c>
      <c r="J333" s="45">
        <v>1</v>
      </c>
      <c r="K333" s="19">
        <f t="shared" si="40"/>
        <v>151.76222572423904</v>
      </c>
      <c r="L333" s="16">
        <f t="shared" si="41"/>
        <v>31.525128692819312</v>
      </c>
    </row>
    <row r="334" spans="1:12" x14ac:dyDescent="0.25">
      <c r="A334" s="16">
        <v>16.350000000000001</v>
      </c>
      <c r="B334" s="45">
        <f t="shared" si="35"/>
        <v>16350.000000000002</v>
      </c>
      <c r="C334" s="16">
        <f t="shared" si="36"/>
        <v>53.894348419466262</v>
      </c>
      <c r="D334" s="15">
        <f t="shared" si="37"/>
        <v>5.0450828433000006E+20</v>
      </c>
      <c r="E334" s="15">
        <f>IF($C334=0,0,FORECAST($C334, OFFSET('De Vaucouleurs Deprojection'!$F$2:$F$127, MATCH($C334, 'De Vaucouleurs Deprojection'!$A$2:$A$127,1)-1,0,2), OFFSET('De Vaucouleurs Deprojection'!$A$2:$A$127, MATCH($C334, 'De Vaucouleurs Deprojection'!$A$2:$A$127,1)-1,0,2))*QESTotalBulgeMass)</f>
        <v>8.837179862221159E+39</v>
      </c>
      <c r="F334" s="15">
        <f t="shared" si="38"/>
        <v>2.6511400347115885E+40</v>
      </c>
      <c r="H334" s="18">
        <f t="shared" si="39"/>
        <v>3.5348580209337045E+40</v>
      </c>
      <c r="I334" s="16">
        <v>157.31603999999999</v>
      </c>
      <c r="J334" s="45">
        <v>1</v>
      </c>
      <c r="K334" s="19">
        <f t="shared" si="40"/>
        <v>151.90030303689517</v>
      </c>
      <c r="L334" s="16">
        <f t="shared" si="41"/>
        <v>29.330206853539817</v>
      </c>
    </row>
    <row r="335" spans="1:12" x14ac:dyDescent="0.25">
      <c r="A335" s="16">
        <v>16.399999999999999</v>
      </c>
      <c r="B335" s="45">
        <f t="shared" si="35"/>
        <v>16400</v>
      </c>
      <c r="C335" s="16">
        <f t="shared" si="36"/>
        <v>54.059162940626706</v>
      </c>
      <c r="D335" s="15">
        <f t="shared" si="37"/>
        <v>5.0605112311999994E+20</v>
      </c>
      <c r="E335" s="15">
        <f>IF($C335=0,0,FORECAST($C335, OFFSET('De Vaucouleurs Deprojection'!$F$2:$F$127, MATCH($C335, 'De Vaucouleurs Deprojection'!$A$2:$A$127,1)-1,0,2), OFFSET('De Vaucouleurs Deprojection'!$A$2:$A$127, MATCH($C335, 'De Vaucouleurs Deprojection'!$A$2:$A$127,1)-1,0,2))*QESTotalBulgeMass)</f>
        <v>8.8372673251038306E+39</v>
      </c>
      <c r="F335" s="15">
        <f t="shared" si="38"/>
        <v>2.6511401278473376E+40</v>
      </c>
      <c r="H335" s="18">
        <f t="shared" si="39"/>
        <v>3.5348668603577208E+40</v>
      </c>
      <c r="I335" s="16">
        <v>157.25459000000001</v>
      </c>
      <c r="J335" s="45">
        <v>1</v>
      </c>
      <c r="K335" s="19">
        <f t="shared" si="40"/>
        <v>152.03854233636332</v>
      </c>
      <c r="L335" s="16">
        <f t="shared" si="41"/>
        <v>27.207153229329737</v>
      </c>
    </row>
    <row r="336" spans="1:12" x14ac:dyDescent="0.25">
      <c r="A336" s="16">
        <v>16.45</v>
      </c>
      <c r="B336" s="45">
        <f t="shared" si="35"/>
        <v>16450</v>
      </c>
      <c r="C336" s="16">
        <f t="shared" si="36"/>
        <v>54.22397746178715</v>
      </c>
      <c r="D336" s="15">
        <f t="shared" si="37"/>
        <v>5.0759396190999996E+20</v>
      </c>
      <c r="E336" s="15">
        <f>IF($C336=0,0,FORECAST($C336, OFFSET('De Vaucouleurs Deprojection'!$F$2:$F$127, MATCH($C336, 'De Vaucouleurs Deprojection'!$A$2:$A$127,1)-1,0,2), OFFSET('De Vaucouleurs Deprojection'!$A$2:$A$127, MATCH($C336, 'De Vaucouleurs Deprojection'!$A$2:$A$127,1)-1,0,2))*QESTotalBulgeMass)</f>
        <v>8.8373547879865035E+39</v>
      </c>
      <c r="F336" s="15">
        <f t="shared" si="38"/>
        <v>2.6511402165298542E+40</v>
      </c>
      <c r="H336" s="18">
        <f t="shared" si="39"/>
        <v>3.5348756953285045E+40</v>
      </c>
      <c r="I336" s="16">
        <v>157.19255000000001</v>
      </c>
      <c r="J336" s="45">
        <v>1</v>
      </c>
      <c r="K336" s="19">
        <f t="shared" si="40"/>
        <v>152.17694056400643</v>
      </c>
      <c r="L336" s="16">
        <f t="shared" si="41"/>
        <v>25.15633801442786</v>
      </c>
    </row>
    <row r="337" spans="1:12" x14ac:dyDescent="0.25">
      <c r="A337" s="16">
        <v>16.5</v>
      </c>
      <c r="B337" s="45">
        <f t="shared" si="35"/>
        <v>16500</v>
      </c>
      <c r="C337" s="16">
        <f t="shared" si="36"/>
        <v>54.388791982947595</v>
      </c>
      <c r="D337" s="15">
        <f t="shared" si="37"/>
        <v>5.0913680069999998E+20</v>
      </c>
      <c r="E337" s="15">
        <f>IF($C337=0,0,FORECAST($C337, OFFSET('De Vaucouleurs Deprojection'!$F$2:$F$127, MATCH($C337, 'De Vaucouleurs Deprojection'!$A$2:$A$127,1)-1,0,2), OFFSET('De Vaucouleurs Deprojection'!$A$2:$A$127, MATCH($C337, 'De Vaucouleurs Deprojection'!$A$2:$A$127,1)-1,0,2))*QESTotalBulgeMass)</f>
        <v>8.8374422508691752E+39</v>
      </c>
      <c r="F337" s="15">
        <f t="shared" si="38"/>
        <v>2.6511403009712849E+40</v>
      </c>
      <c r="H337" s="18">
        <f t="shared" si="39"/>
        <v>3.5348845260582024E+40</v>
      </c>
      <c r="I337" s="16">
        <v>157.12996999999999</v>
      </c>
      <c r="J337" s="45">
        <v>1</v>
      </c>
      <c r="K337" s="19">
        <f t="shared" si="40"/>
        <v>152.31549470344945</v>
      </c>
      <c r="L337" s="16">
        <f t="shared" si="41"/>
        <v>23.179172381095412</v>
      </c>
    </row>
    <row r="338" spans="1:12" x14ac:dyDescent="0.25">
      <c r="A338" s="16">
        <v>16.55</v>
      </c>
      <c r="B338" s="45">
        <f t="shared" si="35"/>
        <v>16550</v>
      </c>
      <c r="C338" s="16">
        <f t="shared" si="36"/>
        <v>54.553606504108046</v>
      </c>
      <c r="D338" s="15">
        <f t="shared" si="37"/>
        <v>5.1067963948999999E+20</v>
      </c>
      <c r="E338" s="15">
        <f>IF($C338=0,0,FORECAST($C338, OFFSET('De Vaucouleurs Deprojection'!$F$2:$F$127, MATCH($C338, 'De Vaucouleurs Deprojection'!$A$2:$A$127,1)-1,0,2), OFFSET('De Vaucouleurs Deprojection'!$A$2:$A$127, MATCH($C338, 'De Vaucouleurs Deprojection'!$A$2:$A$127,1)-1,0,2))*QESTotalBulgeMass)</f>
        <v>8.8375297137518468E+39</v>
      </c>
      <c r="F338" s="15">
        <f t="shared" si="38"/>
        <v>2.6511403813737119E+40</v>
      </c>
      <c r="H338" s="18">
        <f t="shared" si="39"/>
        <v>3.5348933527488966E+40</v>
      </c>
      <c r="I338" s="16">
        <v>157.06746999999999</v>
      </c>
      <c r="J338" s="45">
        <v>1</v>
      </c>
      <c r="K338" s="19">
        <f t="shared" si="40"/>
        <v>152.45420177994288</v>
      </c>
      <c r="L338" s="16">
        <f t="shared" si="41"/>
        <v>21.28224367018888</v>
      </c>
    </row>
    <row r="339" spans="1:12" x14ac:dyDescent="0.25">
      <c r="A339" s="16">
        <v>16.600000000000001</v>
      </c>
      <c r="B339" s="45">
        <f t="shared" si="35"/>
        <v>16600</v>
      </c>
      <c r="C339" s="16">
        <f t="shared" si="36"/>
        <v>54.718421025268491</v>
      </c>
      <c r="D339" s="15">
        <f t="shared" si="37"/>
        <v>5.1222247828000001E+20</v>
      </c>
      <c r="E339" s="15">
        <f>IF($C339=0,0,FORECAST($C339, OFFSET('De Vaucouleurs Deprojection'!$F$2:$F$127, MATCH($C339, 'De Vaucouleurs Deprojection'!$A$2:$A$127,1)-1,0,2), OFFSET('De Vaucouleurs Deprojection'!$A$2:$A$127, MATCH($C339, 'De Vaucouleurs Deprojection'!$A$2:$A$127,1)-1,0,2))*QESTotalBulgeMass)</f>
        <v>8.8376171766345197E+39</v>
      </c>
      <c r="F339" s="15">
        <f t="shared" si="38"/>
        <v>2.6511404579296275E+40</v>
      </c>
      <c r="H339" s="18">
        <f t="shared" si="39"/>
        <v>3.5349021755930794E+40</v>
      </c>
      <c r="I339" s="16">
        <v>157.00623999999999</v>
      </c>
      <c r="J339" s="45">
        <v>1</v>
      </c>
      <c r="K339" s="19">
        <f t="shared" si="40"/>
        <v>152.59305885973754</v>
      </c>
      <c r="L339" s="16">
        <f t="shared" si="41"/>
        <v>19.476167776768197</v>
      </c>
    </row>
    <row r="340" spans="1:12" x14ac:dyDescent="0.25">
      <c r="A340" s="16">
        <v>16.649999999999999</v>
      </c>
      <c r="B340" s="45">
        <f t="shared" si="35"/>
        <v>16650</v>
      </c>
      <c r="C340" s="16">
        <f t="shared" si="36"/>
        <v>54.883235546428942</v>
      </c>
      <c r="D340" s="15">
        <f t="shared" si="37"/>
        <v>5.1376531706999996E+20</v>
      </c>
      <c r="E340" s="15">
        <f>IF($C340=0,0,FORECAST($C340, OFFSET('De Vaucouleurs Deprojection'!$F$2:$F$127, MATCH($C340, 'De Vaucouleurs Deprojection'!$A$2:$A$127,1)-1,0,2), OFFSET('De Vaucouleurs Deprojection'!$A$2:$A$127, MATCH($C340, 'De Vaucouleurs Deprojection'!$A$2:$A$127,1)-1,0,2))*QESTotalBulgeMass)</f>
        <v>8.8377046395171914E+39</v>
      </c>
      <c r="F340" s="15">
        <f t="shared" si="38"/>
        <v>2.6511405308223887E+40</v>
      </c>
      <c r="H340" s="18">
        <f t="shared" si="39"/>
        <v>3.5349109947741077E+40</v>
      </c>
      <c r="I340" s="16">
        <v>156.94798</v>
      </c>
      <c r="J340" s="45">
        <v>1</v>
      </c>
      <c r="K340" s="19">
        <f t="shared" si="40"/>
        <v>152.73206304946945</v>
      </c>
      <c r="L340" s="16">
        <f t="shared" si="41"/>
        <v>17.773955733770858</v>
      </c>
    </row>
    <row r="341" spans="1:12" x14ac:dyDescent="0.25">
      <c r="A341" s="16">
        <v>16.7</v>
      </c>
      <c r="B341" s="45">
        <f t="shared" si="35"/>
        <v>16700</v>
      </c>
      <c r="C341" s="16">
        <f t="shared" si="36"/>
        <v>55.048050067589386</v>
      </c>
      <c r="D341" s="15">
        <f t="shared" si="37"/>
        <v>5.1530815585999998E+20</v>
      </c>
      <c r="E341" s="15">
        <f>IF($C341=0,0,FORECAST($C341, OFFSET('De Vaucouleurs Deprojection'!$F$2:$F$127, MATCH($C341, 'De Vaucouleurs Deprojection'!$A$2:$A$127,1)-1,0,2), OFFSET('De Vaucouleurs Deprojection'!$A$2:$A$127, MATCH($C341, 'De Vaucouleurs Deprojection'!$A$2:$A$127,1)-1,0,2))*QESTotalBulgeMass)</f>
        <v>8.8377836027494804E+39</v>
      </c>
      <c r="F341" s="15">
        <f t="shared" si="38"/>
        <v>2.6511406002266468E+40</v>
      </c>
      <c r="H341" s="18">
        <f t="shared" si="39"/>
        <v>3.534918960501595E+40</v>
      </c>
      <c r="I341" s="16">
        <v>156.89452</v>
      </c>
      <c r="J341" s="45">
        <v>1</v>
      </c>
      <c r="K341" s="19">
        <f t="shared" si="40"/>
        <v>152.87120789499784</v>
      </c>
      <c r="L341" s="16">
        <f t="shared" si="41"/>
        <v>16.187040294256931</v>
      </c>
    </row>
    <row r="342" spans="1:12" x14ac:dyDescent="0.25">
      <c r="A342" s="16">
        <v>16.75</v>
      </c>
      <c r="B342" s="45">
        <f t="shared" si="35"/>
        <v>16750</v>
      </c>
      <c r="C342" s="16">
        <f t="shared" si="36"/>
        <v>55.212864588749831</v>
      </c>
      <c r="D342" s="15">
        <f t="shared" si="37"/>
        <v>5.1685099465E+20</v>
      </c>
      <c r="E342" s="15">
        <f>IF($C342=0,0,FORECAST($C342, OFFSET('De Vaucouleurs Deprojection'!$F$2:$F$127, MATCH($C342, 'De Vaucouleurs Deprojection'!$A$2:$A$127,1)-1,0,2), OFFSET('De Vaucouleurs Deprojection'!$A$2:$A$127, MATCH($C342, 'De Vaucouleurs Deprojection'!$A$2:$A$127,1)-1,0,2))*QESTotalBulgeMass)</f>
        <v>8.837841911337929E+39</v>
      </c>
      <c r="F342" s="15">
        <f t="shared" si="38"/>
        <v>2.6511406663087614E+40</v>
      </c>
      <c r="H342" s="18">
        <f t="shared" si="39"/>
        <v>3.5349248574425542E+40</v>
      </c>
      <c r="I342" s="16">
        <v>156.84715</v>
      </c>
      <c r="J342" s="45">
        <v>1</v>
      </c>
      <c r="K342" s="19">
        <f t="shared" si="40"/>
        <v>153.01048549500968</v>
      </c>
      <c r="L342" s="16">
        <f t="shared" si="41"/>
        <v>14.719994523852648</v>
      </c>
    </row>
    <row r="343" spans="1:12" x14ac:dyDescent="0.25">
      <c r="A343" s="16">
        <v>16.8</v>
      </c>
      <c r="B343" s="45">
        <f t="shared" si="35"/>
        <v>16800</v>
      </c>
      <c r="C343" s="16">
        <f t="shared" si="36"/>
        <v>55.377679109910282</v>
      </c>
      <c r="D343" s="15">
        <f t="shared" si="37"/>
        <v>5.1839383344000002E+20</v>
      </c>
      <c r="E343" s="15">
        <f>IF($C343=0,0,FORECAST($C343, OFFSET('De Vaucouleurs Deprojection'!$F$2:$F$127, MATCH($C343, 'De Vaucouleurs Deprojection'!$A$2:$A$127,1)-1,0,2), OFFSET('De Vaucouleurs Deprojection'!$A$2:$A$127, MATCH($C343, 'De Vaucouleurs Deprojection'!$A$2:$A$127,1)-1,0,2))*QESTotalBulgeMass)</f>
        <v>8.8379002199263764E+39</v>
      </c>
      <c r="F343" s="15">
        <f t="shared" si="38"/>
        <v>2.6511407292271887E+40</v>
      </c>
      <c r="H343" s="18">
        <f t="shared" si="39"/>
        <v>3.5349307512198265E+40</v>
      </c>
      <c r="I343" s="16">
        <v>156.80659</v>
      </c>
      <c r="J343" s="45">
        <v>1</v>
      </c>
      <c r="K343" s="19">
        <f t="shared" si="40"/>
        <v>153.14990185665542</v>
      </c>
      <c r="L343" s="16">
        <f t="shared" si="41"/>
        <v>13.371368177676842</v>
      </c>
    </row>
    <row r="344" spans="1:12" x14ac:dyDescent="0.25">
      <c r="A344" s="16">
        <v>16.850000000000001</v>
      </c>
      <c r="B344" s="45">
        <f t="shared" si="35"/>
        <v>16850</v>
      </c>
      <c r="C344" s="16">
        <f t="shared" si="36"/>
        <v>55.542493631070727</v>
      </c>
      <c r="D344" s="15">
        <f t="shared" si="37"/>
        <v>5.1993667223000003E+20</v>
      </c>
      <c r="E344" s="15">
        <f>IF($C344=0,0,FORECAST($C344, OFFSET('De Vaucouleurs Deprojection'!$F$2:$F$127, MATCH($C344, 'De Vaucouleurs Deprojection'!$A$2:$A$127,1)-1,0,2), OFFSET('De Vaucouleurs Deprojection'!$A$2:$A$127, MATCH($C344, 'De Vaucouleurs Deprojection'!$A$2:$A$127,1)-1,0,2))*QESTotalBulgeMass)</f>
        <v>8.8379585285148237E+39</v>
      </c>
      <c r="F344" s="15">
        <f t="shared" si="38"/>
        <v>2.6511407891328591E+40</v>
      </c>
      <c r="H344" s="18">
        <f t="shared" si="39"/>
        <v>3.5349366419843416E+40</v>
      </c>
      <c r="I344" s="16">
        <v>156.7731</v>
      </c>
      <c r="J344" s="45">
        <v>1</v>
      </c>
      <c r="K344" s="19">
        <f t="shared" si="40"/>
        <v>153.28945424128833</v>
      </c>
      <c r="L344" s="16">
        <f t="shared" si="41"/>
        <v>12.135787772189834</v>
      </c>
    </row>
    <row r="345" spans="1:12" x14ac:dyDescent="0.25">
      <c r="A345" s="16">
        <v>16.899999999999999</v>
      </c>
      <c r="B345" s="45">
        <f t="shared" si="35"/>
        <v>16900</v>
      </c>
      <c r="C345" s="16">
        <f t="shared" si="36"/>
        <v>55.707308152231178</v>
      </c>
      <c r="D345" s="15">
        <f t="shared" si="37"/>
        <v>5.2147951101999999E+20</v>
      </c>
      <c r="E345" s="15">
        <f>IF($C345=0,0,FORECAST($C345, OFFSET('De Vaucouleurs Deprojection'!$F$2:$F$127, MATCH($C345, 'De Vaucouleurs Deprojection'!$A$2:$A$127,1)-1,0,2), OFFSET('De Vaucouleurs Deprojection'!$A$2:$A$127, MATCH($C345, 'De Vaucouleurs Deprojection'!$A$2:$A$127,1)-1,0,2))*QESTotalBulgeMass)</f>
        <v>8.8380168371032723E+39</v>
      </c>
      <c r="F345" s="15">
        <f t="shared" si="38"/>
        <v>2.6511408461695301E+40</v>
      </c>
      <c r="H345" s="18">
        <f t="shared" si="39"/>
        <v>3.5349425298798572E+40</v>
      </c>
      <c r="I345" s="16">
        <v>156.74666999999999</v>
      </c>
      <c r="J345" s="45">
        <v>1</v>
      </c>
      <c r="K345" s="19">
        <f t="shared" si="40"/>
        <v>153.42913994773284</v>
      </c>
      <c r="L345" s="16">
        <f t="shared" si="41"/>
        <v>11.006005647695739</v>
      </c>
    </row>
    <row r="346" spans="1:12" x14ac:dyDescent="0.25">
      <c r="A346" s="16">
        <v>16.95</v>
      </c>
      <c r="B346" s="45">
        <f t="shared" si="35"/>
        <v>16950</v>
      </c>
      <c r="C346" s="16">
        <f t="shared" si="36"/>
        <v>55.872122673391623</v>
      </c>
      <c r="D346" s="15">
        <f t="shared" si="37"/>
        <v>5.2302234981E+20</v>
      </c>
      <c r="E346" s="15">
        <f>IF($C346=0,0,FORECAST($C346, OFFSET('De Vaucouleurs Deprojection'!$F$2:$F$127, MATCH($C346, 'De Vaucouleurs Deprojection'!$A$2:$A$127,1)-1,0,2), OFFSET('De Vaucouleurs Deprojection'!$A$2:$A$127, MATCH($C346, 'De Vaucouleurs Deprojection'!$A$2:$A$127,1)-1,0,2))*QESTotalBulgeMass)</f>
        <v>8.8380751456917209E+39</v>
      </c>
      <c r="F346" s="15">
        <f t="shared" si="38"/>
        <v>2.6511409004741263E+40</v>
      </c>
      <c r="H346" s="18">
        <f t="shared" si="39"/>
        <v>3.5349484150432985E+40</v>
      </c>
      <c r="I346" s="16">
        <v>156.72720000000001</v>
      </c>
      <c r="J346" s="45">
        <v>1</v>
      </c>
      <c r="K346" s="19">
        <f t="shared" si="40"/>
        <v>153.56895631172867</v>
      </c>
      <c r="L346" s="16">
        <f t="shared" si="41"/>
        <v>9.9745031945057629</v>
      </c>
    </row>
    <row r="347" spans="1:12" x14ac:dyDescent="0.25">
      <c r="A347" s="16">
        <v>17</v>
      </c>
      <c r="B347" s="45">
        <f t="shared" si="35"/>
        <v>17000</v>
      </c>
      <c r="C347" s="16">
        <f t="shared" si="36"/>
        <v>56.036937194552067</v>
      </c>
      <c r="D347" s="15">
        <f t="shared" si="37"/>
        <v>5.2456518860000002E+20</v>
      </c>
      <c r="E347" s="15">
        <f>IF($C347=0,0,FORECAST($C347, OFFSET('De Vaucouleurs Deprojection'!$F$2:$F$127, MATCH($C347, 'De Vaucouleurs Deprojection'!$A$2:$A$127,1)-1,0,2), OFFSET('De Vaucouleurs Deprojection'!$A$2:$A$127, MATCH($C347, 'De Vaucouleurs Deprojection'!$A$2:$A$127,1)-1,0,2))*QESTotalBulgeMass)</f>
        <v>8.8381334542801683E+39</v>
      </c>
      <c r="F347" s="15">
        <f t="shared" si="38"/>
        <v>2.6511409521770649E+40</v>
      </c>
      <c r="H347" s="18">
        <f t="shared" si="39"/>
        <v>3.5349542976050817E+40</v>
      </c>
      <c r="I347" s="16">
        <v>156.71417</v>
      </c>
      <c r="J347" s="45">
        <v>1</v>
      </c>
      <c r="K347" s="19">
        <f t="shared" si="40"/>
        <v>153.70890070538425</v>
      </c>
      <c r="L347" s="16">
        <f t="shared" si="41"/>
        <v>9.0316435331602083</v>
      </c>
    </row>
    <row r="348" spans="1:12" x14ac:dyDescent="0.25">
      <c r="A348" s="16">
        <v>17.05</v>
      </c>
      <c r="B348" s="45">
        <f t="shared" si="35"/>
        <v>17050</v>
      </c>
      <c r="C348" s="16">
        <f t="shared" si="36"/>
        <v>56.201751715712518</v>
      </c>
      <c r="D348" s="15">
        <f t="shared" si="37"/>
        <v>5.2610802739000004E+20</v>
      </c>
      <c r="E348" s="15">
        <f>IF($C348=0,0,FORECAST($C348, OFFSET('De Vaucouleurs Deprojection'!$F$2:$F$127, MATCH($C348, 'De Vaucouleurs Deprojection'!$A$2:$A$127,1)-1,0,2), OFFSET('De Vaucouleurs Deprojection'!$A$2:$A$127, MATCH($C348, 'De Vaucouleurs Deprojection'!$A$2:$A$127,1)-1,0,2))*QESTotalBulgeMass)</f>
        <v>8.8381917628686168E+39</v>
      </c>
      <c r="F348" s="15">
        <f t="shared" si="38"/>
        <v>2.6511410014025595E+40</v>
      </c>
      <c r="H348" s="18">
        <f t="shared" si="39"/>
        <v>3.5349601776894215E+40</v>
      </c>
      <c r="I348" s="16">
        <v>156.70644999999999</v>
      </c>
      <c r="J348" s="45">
        <v>1</v>
      </c>
      <c r="K348" s="19">
        <f t="shared" si="40"/>
        <v>153.84897053663909</v>
      </c>
      <c r="L348" s="16">
        <f t="shared" si="41"/>
        <v>8.1651888835293143</v>
      </c>
    </row>
    <row r="349" spans="1:12" x14ac:dyDescent="0.25">
      <c r="A349" s="16">
        <v>17.100000000000001</v>
      </c>
      <c r="B349" s="45">
        <f t="shared" si="35"/>
        <v>17100</v>
      </c>
      <c r="C349" s="16">
        <f t="shared" si="36"/>
        <v>56.366566236872963</v>
      </c>
      <c r="D349" s="15">
        <f t="shared" si="37"/>
        <v>5.2765086618000006E+20</v>
      </c>
      <c r="E349" s="15">
        <f>IF($C349=0,0,FORECAST($C349, OFFSET('De Vaucouleurs Deprojection'!$F$2:$F$127, MATCH($C349, 'De Vaucouleurs Deprojection'!$A$2:$A$127,1)-1,0,2), OFFSET('De Vaucouleurs Deprojection'!$A$2:$A$127, MATCH($C349, 'De Vaucouleurs Deprojection'!$A$2:$A$127,1)-1,0,2))*QESTotalBulgeMass)</f>
        <v>8.8382500714570654E+39</v>
      </c>
      <c r="F349" s="15">
        <f t="shared" si="38"/>
        <v>2.6511410482689181E+40</v>
      </c>
      <c r="H349" s="18">
        <f t="shared" si="39"/>
        <v>3.5349660554146247E+40</v>
      </c>
      <c r="I349" s="16">
        <v>156.70248000000001</v>
      </c>
      <c r="J349" s="45">
        <v>1</v>
      </c>
      <c r="K349" s="19">
        <f t="shared" si="40"/>
        <v>153.98916324873491</v>
      </c>
      <c r="L349" s="16">
        <f t="shared" si="41"/>
        <v>7.3620877926957808</v>
      </c>
    </row>
    <row r="350" spans="1:12" x14ac:dyDescent="0.25">
      <c r="A350" s="16">
        <v>17.149999999999999</v>
      </c>
      <c r="B350" s="45">
        <f t="shared" si="35"/>
        <v>17150</v>
      </c>
      <c r="C350" s="16">
        <f t="shared" si="36"/>
        <v>56.531380758033414</v>
      </c>
      <c r="D350" s="15">
        <f t="shared" si="37"/>
        <v>5.2919370496999994E+20</v>
      </c>
      <c r="E350" s="15">
        <f>IF($C350=0,0,FORECAST($C350, OFFSET('De Vaucouleurs Deprojection'!$F$2:$F$127, MATCH($C350, 'De Vaucouleurs Deprojection'!$A$2:$A$127,1)-1,0,2), OFFSET('De Vaucouleurs Deprojection'!$A$2:$A$127, MATCH($C350, 'De Vaucouleurs Deprojection'!$A$2:$A$127,1)-1,0,2))*QESTotalBulgeMass)</f>
        <v>8.838308380045514E+39</v>
      </c>
      <c r="F350" s="15">
        <f t="shared" si="38"/>
        <v>2.6511410928888193E+40</v>
      </c>
      <c r="H350" s="18">
        <f t="shared" si="39"/>
        <v>3.534971930893371E+40</v>
      </c>
      <c r="I350" s="16">
        <v>156.70072999999999</v>
      </c>
      <c r="J350" s="45">
        <v>1</v>
      </c>
      <c r="K350" s="19">
        <f t="shared" si="40"/>
        <v>154.12947631969578</v>
      </c>
      <c r="L350" s="16">
        <f t="shared" si="41"/>
        <v>6.6113454884779435</v>
      </c>
    </row>
    <row r="351" spans="1:12" x14ac:dyDescent="0.25">
      <c r="A351" s="16">
        <v>17.2</v>
      </c>
      <c r="B351" s="45">
        <f t="shared" si="35"/>
        <v>17200</v>
      </c>
      <c r="C351" s="16">
        <f t="shared" si="36"/>
        <v>56.696195279193859</v>
      </c>
      <c r="D351" s="15">
        <f t="shared" si="37"/>
        <v>5.3073654375999996E+20</v>
      </c>
      <c r="E351" s="15">
        <f>IF($C351=0,0,FORECAST($C351, OFFSET('De Vaucouleurs Deprojection'!$F$2:$F$127, MATCH($C351, 'De Vaucouleurs Deprojection'!$A$2:$A$127,1)-1,0,2), OFFSET('De Vaucouleurs Deprojection'!$A$2:$A$127, MATCH($C351, 'De Vaucouleurs Deprojection'!$A$2:$A$127,1)-1,0,2))*QESTotalBulgeMass)</f>
        <v>8.8383666886339614E+39</v>
      </c>
      <c r="F351" s="15">
        <f t="shared" si="38"/>
        <v>2.6511411353695814E+40</v>
      </c>
      <c r="H351" s="18">
        <f t="shared" si="39"/>
        <v>3.5349778042329777E+40</v>
      </c>
      <c r="I351" s="16">
        <v>156.69989000000001</v>
      </c>
      <c r="J351" s="45">
        <v>1</v>
      </c>
      <c r="K351" s="19">
        <f t="shared" si="40"/>
        <v>154.26990726181683</v>
      </c>
      <c r="L351" s="16">
        <f t="shared" si="41"/>
        <v>5.904816107868248</v>
      </c>
    </row>
    <row r="352" spans="1:12" x14ac:dyDescent="0.25">
      <c r="A352" s="16">
        <v>17.25</v>
      </c>
      <c r="B352" s="45">
        <f t="shared" si="35"/>
        <v>17250</v>
      </c>
      <c r="C352" s="16">
        <f t="shared" si="36"/>
        <v>56.861009800354303</v>
      </c>
      <c r="D352" s="15">
        <f t="shared" si="37"/>
        <v>5.3227938254999998E+20</v>
      </c>
      <c r="E352" s="15">
        <f>IF($C352=0,0,FORECAST($C352, OFFSET('De Vaucouleurs Deprojection'!$F$2:$F$127, MATCH($C352, 'De Vaucouleurs Deprojection'!$A$2:$A$127,1)-1,0,2), OFFSET('De Vaucouleurs Deprojection'!$A$2:$A$127, MATCH($C352, 'De Vaucouleurs Deprojection'!$A$2:$A$127,1)-1,0,2))*QESTotalBulgeMass)</f>
        <v>8.83842499722241E+39</v>
      </c>
      <c r="F352" s="15">
        <f t="shared" si="38"/>
        <v>2.6511411758134147E+40</v>
      </c>
      <c r="H352" s="18">
        <f t="shared" si="39"/>
        <v>3.5349836755356556E+40</v>
      </c>
      <c r="I352" s="16">
        <v>156.69899000000001</v>
      </c>
      <c r="J352" s="45">
        <v>1</v>
      </c>
      <c r="K352" s="19">
        <f t="shared" si="40"/>
        <v>154.41045362116091</v>
      </c>
      <c r="L352" s="16">
        <f t="shared" si="41"/>
        <v>5.2373987572699692</v>
      </c>
    </row>
    <row r="353" spans="1:12" x14ac:dyDescent="0.25">
      <c r="A353" s="16">
        <v>17.3</v>
      </c>
      <c r="B353" s="45">
        <f t="shared" si="35"/>
        <v>17300</v>
      </c>
      <c r="C353" s="16">
        <f t="shared" si="36"/>
        <v>57.025824321514754</v>
      </c>
      <c r="D353" s="15">
        <f t="shared" si="37"/>
        <v>5.3382222133999999E+20</v>
      </c>
      <c r="E353" s="15">
        <f>IF($C353=0,0,FORECAST($C353, OFFSET('De Vaucouleurs Deprojection'!$F$2:$F$127, MATCH($C353, 'De Vaucouleurs Deprojection'!$A$2:$A$127,1)-1,0,2), OFFSET('De Vaucouleurs Deprojection'!$A$2:$A$127, MATCH($C353, 'De Vaucouleurs Deprojection'!$A$2:$A$127,1)-1,0,2))*QESTotalBulgeMass)</f>
        <v>8.8384833058108585E+39</v>
      </c>
      <c r="F353" s="15">
        <f t="shared" si="38"/>
        <v>2.6511412143176643E+40</v>
      </c>
      <c r="H353" s="18">
        <f t="shared" si="39"/>
        <v>3.5349895448987503E+40</v>
      </c>
      <c r="I353" s="16">
        <v>156.69711000000001</v>
      </c>
      <c r="J353" s="45">
        <v>1</v>
      </c>
      <c r="K353" s="19">
        <f t="shared" si="40"/>
        <v>154.55111297706426</v>
      </c>
      <c r="L353" s="16">
        <f t="shared" si="41"/>
        <v>4.6053032224490815</v>
      </c>
    </row>
    <row r="354" spans="1:12" x14ac:dyDescent="0.25">
      <c r="A354" s="16">
        <v>17.350000000000001</v>
      </c>
      <c r="B354" s="45">
        <f t="shared" si="35"/>
        <v>17350</v>
      </c>
      <c r="C354" s="16">
        <f t="shared" si="36"/>
        <v>57.190638842675199</v>
      </c>
      <c r="D354" s="15">
        <f t="shared" si="37"/>
        <v>5.3536506013000001E+20</v>
      </c>
      <c r="E354" s="15">
        <f>IF($C354=0,0,FORECAST($C354, OFFSET('De Vaucouleurs Deprojection'!$F$2:$F$127, MATCH($C354, 'De Vaucouleurs Deprojection'!$A$2:$A$127,1)-1,0,2), OFFSET('De Vaucouleurs Deprojection'!$A$2:$A$127, MATCH($C354, 'De Vaucouleurs Deprojection'!$A$2:$A$127,1)-1,0,2))*QESTotalBulgeMass)</f>
        <v>8.8385416143993059E+39</v>
      </c>
      <c r="F354" s="15">
        <f t="shared" si="38"/>
        <v>2.6511412509750409E+40</v>
      </c>
      <c r="H354" s="18">
        <f t="shared" si="39"/>
        <v>3.5349954124149715E+40</v>
      </c>
      <c r="I354" s="16">
        <v>156.69325000000001</v>
      </c>
      <c r="J354" s="45">
        <v>1</v>
      </c>
      <c r="K354" s="19">
        <f t="shared" si="40"/>
        <v>154.69188294164965</v>
      </c>
      <c r="L354" s="16">
        <f t="shared" si="41"/>
        <v>4.0054701022499497</v>
      </c>
    </row>
    <row r="355" spans="1:12" x14ac:dyDescent="0.25">
      <c r="A355" s="16">
        <v>17.399999999999999</v>
      </c>
      <c r="B355" s="45">
        <f t="shared" si="35"/>
        <v>17400</v>
      </c>
      <c r="C355" s="16">
        <f t="shared" si="36"/>
        <v>57.35545336383565</v>
      </c>
      <c r="D355" s="15">
        <f t="shared" si="37"/>
        <v>5.3690789891999996E+20</v>
      </c>
      <c r="E355" s="15">
        <f>IF($C355=0,0,FORECAST($C355, OFFSET('De Vaucouleurs Deprojection'!$F$2:$F$127, MATCH($C355, 'De Vaucouleurs Deprojection'!$A$2:$A$127,1)-1,0,2), OFFSET('De Vaucouleurs Deprojection'!$A$2:$A$127, MATCH($C355, 'De Vaucouleurs Deprojection'!$A$2:$A$127,1)-1,0,2))*QESTotalBulgeMass)</f>
        <v>8.8385999229877545E+39</v>
      </c>
      <c r="F355" s="15">
        <f t="shared" si="38"/>
        <v>2.651141285873839E+40</v>
      </c>
      <c r="H355" s="18">
        <f t="shared" si="39"/>
        <v>3.5350012781726147E+40</v>
      </c>
      <c r="I355" s="16">
        <v>156.68633</v>
      </c>
      <c r="J355" s="45">
        <v>1</v>
      </c>
      <c r="K355" s="19">
        <f t="shared" si="40"/>
        <v>154.83276115934763</v>
      </c>
      <c r="L355" s="16">
        <f t="shared" si="41"/>
        <v>3.4357174470373777</v>
      </c>
    </row>
    <row r="356" spans="1:12" x14ac:dyDescent="0.25">
      <c r="A356" s="16">
        <v>17.45</v>
      </c>
      <c r="B356" s="45">
        <f t="shared" si="35"/>
        <v>17450</v>
      </c>
      <c r="C356" s="16">
        <f t="shared" si="36"/>
        <v>57.520267884996095</v>
      </c>
      <c r="D356" s="15">
        <f t="shared" si="37"/>
        <v>5.3845073770999998E+20</v>
      </c>
      <c r="E356" s="15">
        <f>IF($C356=0,0,FORECAST($C356, OFFSET('De Vaucouleurs Deprojection'!$F$2:$F$127, MATCH($C356, 'De Vaucouleurs Deprojection'!$A$2:$A$127,1)-1,0,2), OFFSET('De Vaucouleurs Deprojection'!$A$2:$A$127, MATCH($C356, 'De Vaucouleurs Deprojection'!$A$2:$A$127,1)-1,0,2))*QESTotalBulgeMass)</f>
        <v>8.8386582315762031E+39</v>
      </c>
      <c r="F356" s="15">
        <f t="shared" si="38"/>
        <v>2.6511413190981496E+40</v>
      </c>
      <c r="H356" s="18">
        <f t="shared" si="39"/>
        <v>3.5350071422557699E+40</v>
      </c>
      <c r="I356" s="16">
        <v>156.67523</v>
      </c>
      <c r="J356" s="45">
        <v>1</v>
      </c>
      <c r="K356" s="19">
        <f t="shared" si="40"/>
        <v>154.97374530642597</v>
      </c>
      <c r="L356" s="16">
        <f t="shared" si="41"/>
        <v>2.8950501624667138</v>
      </c>
    </row>
    <row r="357" spans="1:12" x14ac:dyDescent="0.25">
      <c r="A357" s="16">
        <v>17.5</v>
      </c>
      <c r="B357" s="45">
        <f t="shared" si="35"/>
        <v>17500</v>
      </c>
      <c r="C357" s="16">
        <f t="shared" si="36"/>
        <v>57.685082406156539</v>
      </c>
      <c r="D357" s="15">
        <f t="shared" si="37"/>
        <v>5.399935765E+20</v>
      </c>
      <c r="E357" s="15">
        <f>IF($C357=0,0,FORECAST($C357, OFFSET('De Vaucouleurs Deprojection'!$F$2:$F$127, MATCH($C357, 'De Vaucouleurs Deprojection'!$A$2:$A$127,1)-1,0,2), OFFSET('De Vaucouleurs Deprojection'!$A$2:$A$127, MATCH($C357, 'De Vaucouleurs Deprojection'!$A$2:$A$127,1)-1,0,2))*QESTotalBulgeMass)</f>
        <v>8.8387165401646505E+39</v>
      </c>
      <c r="F357" s="15">
        <f t="shared" si="38"/>
        <v>2.6511413507280553E+40</v>
      </c>
      <c r="H357" s="18">
        <f t="shared" si="39"/>
        <v>3.5350130047445203E+40</v>
      </c>
      <c r="I357" s="16">
        <v>156.65912</v>
      </c>
      <c r="J357" s="45">
        <v>1</v>
      </c>
      <c r="K357" s="19">
        <f t="shared" si="40"/>
        <v>155.11483309052619</v>
      </c>
      <c r="L357" s="16">
        <f t="shared" si="41"/>
        <v>2.3848220587721758</v>
      </c>
    </row>
    <row r="358" spans="1:12" x14ac:dyDescent="0.25">
      <c r="A358" s="16">
        <v>17.55</v>
      </c>
      <c r="B358" s="45">
        <f t="shared" si="35"/>
        <v>17550</v>
      </c>
      <c r="C358" s="16">
        <f t="shared" si="36"/>
        <v>57.849896927316991</v>
      </c>
      <c r="D358" s="15">
        <f t="shared" si="37"/>
        <v>5.4153641529000002E+20</v>
      </c>
      <c r="E358" s="15">
        <f>IF($C358=0,0,FORECAST($C358, OFFSET('De Vaucouleurs Deprojection'!$F$2:$F$127, MATCH($C358, 'De Vaucouleurs Deprojection'!$A$2:$A$127,1)-1,0,2), OFFSET('De Vaucouleurs Deprojection'!$A$2:$A$127, MATCH($C358, 'De Vaucouleurs Deprojection'!$A$2:$A$127,1)-1,0,2))*QESTotalBulgeMass)</f>
        <v>8.838774848753099E+39</v>
      </c>
      <c r="F358" s="15">
        <f t="shared" si="38"/>
        <v>2.6511413808398239E+40</v>
      </c>
      <c r="H358" s="18">
        <f t="shared" si="39"/>
        <v>3.535018865715134E+40</v>
      </c>
      <c r="I358" s="16">
        <v>156.63721000000001</v>
      </c>
      <c r="J358" s="45">
        <v>1</v>
      </c>
      <c r="K358" s="19">
        <f t="shared" si="40"/>
        <v>155.25602225020825</v>
      </c>
      <c r="L358" s="16">
        <f t="shared" si="41"/>
        <v>1.9076796001748351</v>
      </c>
    </row>
    <row r="359" spans="1:12" x14ac:dyDescent="0.25">
      <c r="A359" s="16">
        <v>17.600000000000001</v>
      </c>
      <c r="B359" s="45">
        <f t="shared" si="35"/>
        <v>17600</v>
      </c>
      <c r="C359" s="16">
        <f t="shared" si="36"/>
        <v>58.014711448477435</v>
      </c>
      <c r="D359" s="15">
        <f t="shared" si="37"/>
        <v>5.4307925408000003E+20</v>
      </c>
      <c r="E359" s="15">
        <f>IF($C359=0,0,FORECAST($C359, OFFSET('De Vaucouleurs Deprojection'!$F$2:$F$127, MATCH($C359, 'De Vaucouleurs Deprojection'!$A$2:$A$127,1)-1,0,2), OFFSET('De Vaucouleurs Deprojection'!$A$2:$A$127, MATCH($C359, 'De Vaucouleurs Deprojection'!$A$2:$A$127,1)-1,0,2))*QESTotalBulgeMass)</f>
        <v>8.8388331573415464E+39</v>
      </c>
      <c r="F359" s="15">
        <f t="shared" si="38"/>
        <v>2.6511414095060882E+40</v>
      </c>
      <c r="H359" s="18">
        <f t="shared" si="39"/>
        <v>3.5350247252402428E+40</v>
      </c>
      <c r="I359" s="16">
        <v>156.60873000000001</v>
      </c>
      <c r="J359" s="45">
        <v>1</v>
      </c>
      <c r="K359" s="19">
        <f t="shared" si="40"/>
        <v>155.3973105545019</v>
      </c>
      <c r="L359" s="16">
        <f t="shared" si="41"/>
        <v>1.4675370729309456</v>
      </c>
    </row>
    <row r="360" spans="1:12" x14ac:dyDescent="0.25">
      <c r="A360" s="16">
        <v>17.649999999999999</v>
      </c>
      <c r="B360" s="45">
        <f t="shared" si="35"/>
        <v>17650</v>
      </c>
      <c r="C360" s="16">
        <f t="shared" si="36"/>
        <v>58.179525969637886</v>
      </c>
      <c r="D360" s="15">
        <f t="shared" si="37"/>
        <v>5.4462209286999998E+20</v>
      </c>
      <c r="E360" s="15">
        <f>IF($C360=0,0,FORECAST($C360, OFFSET('De Vaucouleurs Deprojection'!$F$2:$F$127, MATCH($C360, 'De Vaucouleurs Deprojection'!$A$2:$A$127,1)-1,0,2), OFFSET('De Vaucouleurs Deprojection'!$A$2:$A$127, MATCH($C360, 'De Vaucouleurs Deprojection'!$A$2:$A$127,1)-1,0,2))*QESTotalBulgeMass)</f>
        <v>8.838891465929995E+39</v>
      </c>
      <c r="F360" s="15">
        <f t="shared" si="38"/>
        <v>2.6511414367960179E+40</v>
      </c>
      <c r="H360" s="18">
        <f t="shared" si="39"/>
        <v>3.5350305833890177E+40</v>
      </c>
      <c r="I360" s="16">
        <v>156.57307</v>
      </c>
      <c r="J360" s="45">
        <v>1</v>
      </c>
      <c r="K360" s="19">
        <f t="shared" si="40"/>
        <v>155.53869580246604</v>
      </c>
      <c r="L360" s="16">
        <f t="shared" si="41"/>
        <v>1.0699299805240319</v>
      </c>
    </row>
    <row r="361" spans="1:12" x14ac:dyDescent="0.25">
      <c r="A361" s="16">
        <v>17.7</v>
      </c>
      <c r="B361" s="45">
        <f t="shared" si="35"/>
        <v>17700</v>
      </c>
      <c r="C361" s="16">
        <f t="shared" si="36"/>
        <v>58.344340490798331</v>
      </c>
      <c r="D361" s="15">
        <f t="shared" si="37"/>
        <v>5.4616493166E+20</v>
      </c>
      <c r="E361" s="15">
        <f>IF($C361=0,0,FORECAST($C361, OFFSET('De Vaucouleurs Deprojection'!$F$2:$F$127, MATCH($C361, 'De Vaucouleurs Deprojection'!$A$2:$A$127,1)-1,0,2), OFFSET('De Vaucouleurs Deprojection'!$A$2:$A$127, MATCH($C361, 'De Vaucouleurs Deprojection'!$A$2:$A$127,1)-1,0,2))*QESTotalBulgeMass)</f>
        <v>8.8389497745184424E+39</v>
      </c>
      <c r="F361" s="15">
        <f t="shared" si="38"/>
        <v>2.6511414627754856E+40</v>
      </c>
      <c r="H361" s="18">
        <f t="shared" si="39"/>
        <v>3.53503644022733E+40</v>
      </c>
      <c r="I361" s="16">
        <v>156.53020000000001</v>
      </c>
      <c r="J361" s="45">
        <v>1</v>
      </c>
      <c r="K361" s="19">
        <f t="shared" si="40"/>
        <v>155.68017582275479</v>
      </c>
      <c r="L361" s="16">
        <f t="shared" si="41"/>
        <v>0.72254110190140819</v>
      </c>
    </row>
    <row r="362" spans="1:12" x14ac:dyDescent="0.25">
      <c r="A362" s="16">
        <v>17.75</v>
      </c>
      <c r="B362" s="45">
        <f t="shared" si="35"/>
        <v>17750</v>
      </c>
      <c r="C362" s="16">
        <f t="shared" si="36"/>
        <v>58.509155011958782</v>
      </c>
      <c r="D362" s="15">
        <f t="shared" si="37"/>
        <v>5.4770777045000002E+20</v>
      </c>
      <c r="E362" s="15">
        <f>IF($C362=0,0,FORECAST($C362, OFFSET('De Vaucouleurs Deprojection'!$F$2:$F$127, MATCH($C362, 'De Vaucouleurs Deprojection'!$A$2:$A$127,1)-1,0,2), OFFSET('De Vaucouleurs Deprojection'!$A$2:$A$127, MATCH($C362, 'De Vaucouleurs Deprojection'!$A$2:$A$127,1)-1,0,2))*QESTotalBulgeMass)</f>
        <v>8.8390080831068909E+39</v>
      </c>
      <c r="F362" s="15">
        <f t="shared" si="38"/>
        <v>2.651141487507221E+40</v>
      </c>
      <c r="H362" s="18">
        <f t="shared" si="39"/>
        <v>3.5350422958179099E+40</v>
      </c>
      <c r="I362" s="16">
        <v>156.48105000000001</v>
      </c>
      <c r="J362" s="45">
        <v>1</v>
      </c>
      <c r="K362" s="19">
        <f t="shared" si="40"/>
        <v>155.82174847319069</v>
      </c>
      <c r="L362" s="16">
        <f t="shared" si="41"/>
        <v>0.43467850325309448</v>
      </c>
    </row>
    <row r="363" spans="1:12" x14ac:dyDescent="0.25">
      <c r="A363" s="16">
        <v>17.8</v>
      </c>
      <c r="B363" s="45">
        <f t="shared" si="35"/>
        <v>17800</v>
      </c>
      <c r="C363" s="16">
        <f t="shared" si="36"/>
        <v>58.673969533119227</v>
      </c>
      <c r="D363" s="15">
        <f t="shared" si="37"/>
        <v>5.4925060924000004E+20</v>
      </c>
      <c r="E363" s="15">
        <f>IF($C363=0,0,FORECAST($C363, OFFSET('De Vaucouleurs Deprojection'!$F$2:$F$127, MATCH($C363, 'De Vaucouleurs Deprojection'!$A$2:$A$127,1)-1,0,2), OFFSET('De Vaucouleurs Deprojection'!$A$2:$A$127, MATCH($C363, 'De Vaucouleurs Deprojection'!$A$2:$A$127,1)-1,0,2))*QESTotalBulgeMass)</f>
        <v>8.8390663916953395E+39</v>
      </c>
      <c r="F363" s="15">
        <f t="shared" si="38"/>
        <v>2.6511415110509623E+40</v>
      </c>
      <c r="H363" s="18">
        <f t="shared" si="39"/>
        <v>3.5350481502204964E+40</v>
      </c>
      <c r="I363" s="16">
        <v>156.42738</v>
      </c>
      <c r="J363" s="45">
        <v>1</v>
      </c>
      <c r="K363" s="19">
        <f t="shared" si="40"/>
        <v>155.96341164034465</v>
      </c>
      <c r="L363" s="16">
        <f t="shared" si="41"/>
        <v>0.2152666387612798</v>
      </c>
    </row>
    <row r="364" spans="1:12" x14ac:dyDescent="0.25">
      <c r="A364" s="16">
        <v>17.850000000000001</v>
      </c>
      <c r="B364" s="45">
        <f t="shared" si="35"/>
        <v>17850</v>
      </c>
      <c r="C364" s="16">
        <f t="shared" si="36"/>
        <v>58.838784054279671</v>
      </c>
      <c r="D364" s="15">
        <f t="shared" si="37"/>
        <v>5.5079344803000005E+20</v>
      </c>
      <c r="E364" s="15">
        <f>IF($C364=0,0,FORECAST($C364, OFFSET('De Vaucouleurs Deprojection'!$F$2:$F$127, MATCH($C364, 'De Vaucouleurs Deprojection'!$A$2:$A$127,1)-1,0,2), OFFSET('De Vaucouleurs Deprojection'!$A$2:$A$127, MATCH($C364, 'De Vaucouleurs Deprojection'!$A$2:$A$127,1)-1,0,2))*QESTotalBulgeMass)</f>
        <v>8.8391247002837869E+39</v>
      </c>
      <c r="F364" s="15">
        <f t="shared" si="38"/>
        <v>2.6511415334635988E+40</v>
      </c>
      <c r="H364" s="18">
        <f t="shared" si="39"/>
        <v>3.5350540034919775E+40</v>
      </c>
      <c r="I364" s="16">
        <v>156.37137999999999</v>
      </c>
      <c r="J364" s="45">
        <v>1</v>
      </c>
      <c r="K364" s="19">
        <f t="shared" si="40"/>
        <v>156.10516323912285</v>
      </c>
      <c r="L364" s="16">
        <f t="shared" si="41"/>
        <v>7.0871363771917745E-2</v>
      </c>
    </row>
    <row r="365" spans="1:12" x14ac:dyDescent="0.25">
      <c r="A365" s="16">
        <v>17.899999999999999</v>
      </c>
      <c r="B365" s="45">
        <f t="shared" si="35"/>
        <v>17900</v>
      </c>
      <c r="C365" s="16">
        <f t="shared" si="36"/>
        <v>59.003598575440122</v>
      </c>
      <c r="D365" s="15">
        <f t="shared" si="37"/>
        <v>5.5233628681999994E+20</v>
      </c>
      <c r="E365" s="15">
        <f>IF($C365=0,0,FORECAST($C365, OFFSET('De Vaucouleurs Deprojection'!$F$2:$F$127, MATCH($C365, 'De Vaucouleurs Deprojection'!$A$2:$A$127,1)-1,0,2), OFFSET('De Vaucouleurs Deprojection'!$A$2:$A$127, MATCH($C365, 'De Vaucouleurs Deprojection'!$A$2:$A$127,1)-1,0,2))*QESTotalBulgeMass)</f>
        <v>8.8391830088722355E+39</v>
      </c>
      <c r="F365" s="15">
        <f t="shared" si="38"/>
        <v>2.6511415547993029E+40</v>
      </c>
      <c r="H365" s="18">
        <f t="shared" si="39"/>
        <v>3.5350598556865263E+40</v>
      </c>
      <c r="I365" s="16">
        <v>156.31503000000001</v>
      </c>
      <c r="J365" s="45">
        <v>1</v>
      </c>
      <c r="K365" s="19">
        <f t="shared" si="40"/>
        <v>156.24700121236009</v>
      </c>
      <c r="L365" s="16">
        <f t="shared" si="41"/>
        <v>4.6279159477570202E-3</v>
      </c>
    </row>
    <row r="366" spans="1:12" x14ac:dyDescent="0.25">
      <c r="A366" s="16">
        <v>17.95</v>
      </c>
      <c r="B366" s="45">
        <f t="shared" si="35"/>
        <v>17950</v>
      </c>
      <c r="C366" s="16">
        <f t="shared" si="36"/>
        <v>59.168413096600567</v>
      </c>
      <c r="D366" s="15">
        <f t="shared" si="37"/>
        <v>5.5387912560999996E+20</v>
      </c>
      <c r="E366" s="15">
        <f>IF($C366=0,0,FORECAST($C366, OFFSET('De Vaucouleurs Deprojection'!$F$2:$F$127, MATCH($C366, 'De Vaucouleurs Deprojection'!$A$2:$A$127,1)-1,0,2), OFFSET('De Vaucouleurs Deprojection'!$A$2:$A$127, MATCH($C366, 'De Vaucouleurs Deprojection'!$A$2:$A$127,1)-1,0,2))*QESTotalBulgeMass)</f>
        <v>8.8392413174606841E+39</v>
      </c>
      <c r="F366" s="15">
        <f t="shared" si="38"/>
        <v>2.6511415751096624E+40</v>
      </c>
      <c r="H366" s="18">
        <f t="shared" si="39"/>
        <v>3.5350657068557308E+40</v>
      </c>
      <c r="I366" s="16">
        <v>156.26008999999999</v>
      </c>
      <c r="J366" s="45">
        <v>1</v>
      </c>
      <c r="K366" s="19">
        <f t="shared" si="40"/>
        <v>156.3889235304199</v>
      </c>
      <c r="L366" s="16">
        <f t="shared" si="41"/>
        <v>1.6598078560458095E-2</v>
      </c>
    </row>
    <row r="367" spans="1:12" x14ac:dyDescent="0.25">
      <c r="A367" s="16">
        <v>18</v>
      </c>
      <c r="B367" s="45">
        <f t="shared" si="35"/>
        <v>18000</v>
      </c>
      <c r="C367" s="16">
        <f t="shared" si="36"/>
        <v>59.333227617761018</v>
      </c>
      <c r="D367" s="15">
        <f t="shared" si="37"/>
        <v>5.5542196439999998E+20</v>
      </c>
      <c r="E367" s="15">
        <f>IF($C367=0,0,FORECAST($C367, OFFSET('De Vaucouleurs Deprojection'!$F$2:$F$127, MATCH($C367, 'De Vaucouleurs Deprojection'!$A$2:$A$127,1)-1,0,2), OFFSET('De Vaucouleurs Deprojection'!$A$2:$A$127, MATCH($C367, 'De Vaucouleurs Deprojection'!$A$2:$A$127,1)-1,0,2))*QESTotalBulgeMass)</f>
        <v>8.8392996260491314E+39</v>
      </c>
      <c r="F367" s="15">
        <f t="shared" si="38"/>
        <v>2.6511415944438032E+40</v>
      </c>
      <c r="H367" s="18">
        <f t="shared" si="39"/>
        <v>3.5350715570487162E+40</v>
      </c>
      <c r="I367" s="16">
        <v>156.20818</v>
      </c>
      <c r="J367" s="45">
        <v>1</v>
      </c>
      <c r="K367" s="19">
        <f t="shared" si="40"/>
        <v>156.53092819080089</v>
      </c>
      <c r="L367" s="16">
        <f t="shared" si="41"/>
        <v>0.10416639466525028</v>
      </c>
    </row>
    <row r="368" spans="1:12" x14ac:dyDescent="0.25">
      <c r="A368" s="16">
        <v>18.05</v>
      </c>
      <c r="B368" s="45">
        <f t="shared" si="35"/>
        <v>18050</v>
      </c>
      <c r="C368" s="16">
        <f t="shared" si="36"/>
        <v>59.498042138921463</v>
      </c>
      <c r="D368" s="15">
        <f t="shared" si="37"/>
        <v>5.5696480318999999E+20</v>
      </c>
      <c r="E368" s="15">
        <f>IF($C368=0,0,FORECAST($C368, OFFSET('De Vaucouleurs Deprojection'!$F$2:$F$127, MATCH($C368, 'De Vaucouleurs Deprojection'!$A$2:$A$127,1)-1,0,2), OFFSET('De Vaucouleurs Deprojection'!$A$2:$A$127, MATCH($C368, 'De Vaucouleurs Deprojection'!$A$2:$A$127,1)-1,0,2))*QESTotalBulgeMass)</f>
        <v>8.83935793463758E+39</v>
      </c>
      <c r="F368" s="15">
        <f t="shared" si="38"/>
        <v>2.6511416128485044E+40</v>
      </c>
      <c r="H368" s="18">
        <f t="shared" si="39"/>
        <v>3.5350774063122625E+40</v>
      </c>
      <c r="I368" s="16">
        <v>156.16095999999999</v>
      </c>
      <c r="J368" s="45">
        <v>1</v>
      </c>
      <c r="K368" s="19">
        <f t="shared" si="40"/>
        <v>156.67301321774914</v>
      </c>
      <c r="L368" s="16">
        <f t="shared" si="41"/>
        <v>0.26219849780726401</v>
      </c>
    </row>
    <row r="369" spans="1:12" x14ac:dyDescent="0.25">
      <c r="A369" s="16">
        <v>18.100000000000001</v>
      </c>
      <c r="B369" s="45">
        <f t="shared" si="35"/>
        <v>18100</v>
      </c>
      <c r="C369" s="16">
        <f t="shared" si="36"/>
        <v>59.662856660081907</v>
      </c>
      <c r="D369" s="15">
        <f t="shared" si="37"/>
        <v>5.5850764198000008E+20</v>
      </c>
      <c r="E369" s="15">
        <f>IF($C369=0,0,FORECAST($C369, OFFSET('De Vaucouleurs Deprojection'!$F$2:$F$127, MATCH($C369, 'De Vaucouleurs Deprojection'!$A$2:$A$127,1)-1,0,2), OFFSET('De Vaucouleurs Deprojection'!$A$2:$A$127, MATCH($C369, 'De Vaucouleurs Deprojection'!$A$2:$A$127,1)-1,0,2))*QESTotalBulgeMass)</f>
        <v>8.8394162432260286E+39</v>
      </c>
      <c r="F369" s="15">
        <f t="shared" si="38"/>
        <v>2.6511416303683125E+40</v>
      </c>
      <c r="H369" s="18">
        <f t="shared" si="39"/>
        <v>3.5350832546909152E+40</v>
      </c>
      <c r="I369" s="16">
        <v>156.11994999999999</v>
      </c>
      <c r="J369" s="45">
        <v>1</v>
      </c>
      <c r="K369" s="19">
        <f t="shared" si="40"/>
        <v>156.81517666187744</v>
      </c>
      <c r="L369" s="16">
        <f t="shared" si="41"/>
        <v>0.48334011138527033</v>
      </c>
    </row>
    <row r="370" spans="1:12" x14ac:dyDescent="0.25">
      <c r="A370" s="16">
        <v>18.149999999999999</v>
      </c>
      <c r="B370" s="45">
        <f t="shared" si="35"/>
        <v>18150</v>
      </c>
      <c r="C370" s="16">
        <f t="shared" si="36"/>
        <v>59.827671181242359</v>
      </c>
      <c r="D370" s="15">
        <f t="shared" si="37"/>
        <v>5.6005048076999996E+20</v>
      </c>
      <c r="E370" s="15">
        <f>IF($C370=0,0,FORECAST($C370, OFFSET('De Vaucouleurs Deprojection'!$F$2:$F$127, MATCH($C370, 'De Vaucouleurs Deprojection'!$A$2:$A$127,1)-1,0,2), OFFSET('De Vaucouleurs Deprojection'!$A$2:$A$127, MATCH($C370, 'De Vaucouleurs Deprojection'!$A$2:$A$127,1)-1,0,2))*QESTotalBulgeMass)</f>
        <v>8.8394745518144772E+39</v>
      </c>
      <c r="F370" s="15">
        <f t="shared" si="38"/>
        <v>2.6511416470456439E+40</v>
      </c>
      <c r="H370" s="18">
        <f t="shared" si="39"/>
        <v>3.5350891022270917E+40</v>
      </c>
      <c r="I370" s="16">
        <v>156.08606</v>
      </c>
      <c r="J370" s="45">
        <v>1</v>
      </c>
      <c r="K370" s="19">
        <f t="shared" si="40"/>
        <v>156.95741659978981</v>
      </c>
      <c r="L370" s="16">
        <f t="shared" si="41"/>
        <v>0.75926232399725191</v>
      </c>
    </row>
    <row r="371" spans="1:12" x14ac:dyDescent="0.25">
      <c r="A371" s="16">
        <v>18.2</v>
      </c>
      <c r="B371" s="45">
        <f t="shared" si="35"/>
        <v>18200</v>
      </c>
      <c r="C371" s="16">
        <f t="shared" si="36"/>
        <v>59.992485702402803</v>
      </c>
      <c r="D371" s="15">
        <f t="shared" si="37"/>
        <v>5.6159331955999998E+20</v>
      </c>
      <c r="E371" s="15">
        <f>IF($C371=0,0,FORECAST($C371, OFFSET('De Vaucouleurs Deprojection'!$F$2:$F$127, MATCH($C371, 'De Vaucouleurs Deprojection'!$A$2:$A$127,1)-1,0,2), OFFSET('De Vaucouleurs Deprojection'!$A$2:$A$127, MATCH($C371, 'De Vaucouleurs Deprojection'!$A$2:$A$127,1)-1,0,2))*QESTotalBulgeMass)</f>
        <v>8.8395328604029245E+39</v>
      </c>
      <c r="F371" s="15">
        <f t="shared" si="38"/>
        <v>2.6511416629208912E+40</v>
      </c>
      <c r="H371" s="18">
        <f t="shared" si="39"/>
        <v>3.5350949489611837E+40</v>
      </c>
      <c r="I371" s="16">
        <v>156.05930000000001</v>
      </c>
      <c r="J371" s="45">
        <v>1</v>
      </c>
      <c r="K371" s="19">
        <f t="shared" si="40"/>
        <v>157.09973113371262</v>
      </c>
      <c r="L371" s="16">
        <f t="shared" si="41"/>
        <v>1.0824969439985195</v>
      </c>
    </row>
    <row r="372" spans="1:12" x14ac:dyDescent="0.25">
      <c r="A372" s="16">
        <v>18.25</v>
      </c>
      <c r="B372" s="45">
        <f t="shared" si="35"/>
        <v>18250</v>
      </c>
      <c r="C372" s="16">
        <f t="shared" si="36"/>
        <v>60.157300223563254</v>
      </c>
      <c r="D372" s="15">
        <f t="shared" si="37"/>
        <v>5.6313615835E+20</v>
      </c>
      <c r="E372" s="15">
        <f>IF($C372=0,0,FORECAST($C372, OFFSET('De Vaucouleurs Deprojection'!$F$2:$F$127, MATCH($C372, 'De Vaucouleurs Deprojection'!$A$2:$A$127,1)-1,0,2), OFFSET('De Vaucouleurs Deprojection'!$A$2:$A$127, MATCH($C372, 'De Vaucouleurs Deprojection'!$A$2:$A$127,1)-1,0,2))*QESTotalBulgeMass)</f>
        <v>8.8395619526588827E+39</v>
      </c>
      <c r="F372" s="15">
        <f t="shared" si="38"/>
        <v>2.6511416780325157E+40</v>
      </c>
      <c r="H372" s="18">
        <f t="shared" si="39"/>
        <v>3.535097873298404E+40</v>
      </c>
      <c r="I372" s="16">
        <v>156.03899000000001</v>
      </c>
      <c r="J372" s="45">
        <v>1</v>
      </c>
      <c r="K372" s="19">
        <f t="shared" si="40"/>
        <v>157.24210738068729</v>
      </c>
      <c r="L372" s="16">
        <f t="shared" si="41"/>
        <v>1.4474914317118079</v>
      </c>
    </row>
    <row r="373" spans="1:12" x14ac:dyDescent="0.25">
      <c r="A373" s="16">
        <v>18.3</v>
      </c>
      <c r="B373" s="45">
        <f t="shared" si="35"/>
        <v>18300</v>
      </c>
      <c r="C373" s="16">
        <f t="shared" si="36"/>
        <v>60.322114744723699</v>
      </c>
      <c r="D373" s="15">
        <f t="shared" si="37"/>
        <v>5.6467899714000001E+20</v>
      </c>
      <c r="E373" s="15">
        <f>IF($C373=0,0,FORECAST($C373, OFFSET('De Vaucouleurs Deprojection'!$F$2:$F$127, MATCH($C373, 'De Vaucouleurs Deprojection'!$A$2:$A$127,1)-1,0,2), OFFSET('De Vaucouleurs Deprojection'!$A$2:$A$127, MATCH($C373, 'De Vaucouleurs Deprojection'!$A$2:$A$127,1)-1,0,2))*QESTotalBulgeMass)</f>
        <v>8.8395896492383955E+39</v>
      </c>
      <c r="F373" s="15">
        <f t="shared" si="38"/>
        <v>2.6511416924171396E+40</v>
      </c>
      <c r="H373" s="18">
        <f t="shared" si="39"/>
        <v>3.5351006573409792E+40</v>
      </c>
      <c r="I373" s="16">
        <v>156.02412000000001</v>
      </c>
      <c r="J373" s="45">
        <v>1</v>
      </c>
      <c r="K373" s="19">
        <f t="shared" si="40"/>
        <v>157.38455405952615</v>
      </c>
      <c r="L373" s="16">
        <f t="shared" si="41"/>
        <v>1.8507808303187783</v>
      </c>
    </row>
    <row r="374" spans="1:12" x14ac:dyDescent="0.25">
      <c r="A374" s="16">
        <v>18.350000000000001</v>
      </c>
      <c r="B374" s="45">
        <f t="shared" si="35"/>
        <v>18350</v>
      </c>
      <c r="C374" s="16">
        <f t="shared" si="36"/>
        <v>60.486929265884143</v>
      </c>
      <c r="D374" s="15">
        <f t="shared" si="37"/>
        <v>5.6622183593000003E+20</v>
      </c>
      <c r="E374" s="15">
        <f>IF($C374=0,0,FORECAST($C374, OFFSET('De Vaucouleurs Deprojection'!$F$2:$F$127, MATCH($C374, 'De Vaucouleurs Deprojection'!$A$2:$A$127,1)-1,0,2), OFFSET('De Vaucouleurs Deprojection'!$A$2:$A$127, MATCH($C374, 'De Vaucouleurs Deprojection'!$A$2:$A$127,1)-1,0,2))*QESTotalBulgeMass)</f>
        <v>8.8396173458179082E+39</v>
      </c>
      <c r="F374" s="15">
        <f t="shared" si="38"/>
        <v>2.651141706109636E+40</v>
      </c>
      <c r="H374" s="18">
        <f t="shared" si="39"/>
        <v>3.5351034406914271E+40</v>
      </c>
      <c r="I374" s="16">
        <v>156.01375999999999</v>
      </c>
      <c r="J374" s="45">
        <v>1</v>
      </c>
      <c r="K374" s="19">
        <f t="shared" si="40"/>
        <v>157.52706987433493</v>
      </c>
      <c r="L374" s="16">
        <f t="shared" si="41"/>
        <v>2.2901067757596212</v>
      </c>
    </row>
    <row r="375" spans="1:12" x14ac:dyDescent="0.25">
      <c r="A375" s="16">
        <v>18.399999999999999</v>
      </c>
      <c r="B375" s="45">
        <f t="shared" si="35"/>
        <v>18400</v>
      </c>
      <c r="C375" s="16">
        <f t="shared" si="36"/>
        <v>60.651743787044595</v>
      </c>
      <c r="D375" s="15">
        <f t="shared" si="37"/>
        <v>5.6776467471999998E+20</v>
      </c>
      <c r="E375" s="15">
        <f>IF($C375=0,0,FORECAST($C375, OFFSET('De Vaucouleurs Deprojection'!$F$2:$F$127, MATCH($C375, 'De Vaucouleurs Deprojection'!$A$2:$A$127,1)-1,0,2), OFFSET('De Vaucouleurs Deprojection'!$A$2:$A$127, MATCH($C375, 'De Vaucouleurs Deprojection'!$A$2:$A$127,1)-1,0,2))*QESTotalBulgeMass)</f>
        <v>8.839645042397421E+39</v>
      </c>
      <c r="F375" s="15">
        <f t="shared" si="38"/>
        <v>2.6511417191432108E+40</v>
      </c>
      <c r="H375" s="18">
        <f t="shared" si="39"/>
        <v>3.5351062233829528E+40</v>
      </c>
      <c r="I375" s="16">
        <v>156.00708</v>
      </c>
      <c r="J375" s="45">
        <v>1</v>
      </c>
      <c r="K375" s="19">
        <f t="shared" si="40"/>
        <v>157.66965302553348</v>
      </c>
      <c r="L375" s="16">
        <f t="shared" si="41"/>
        <v>2.7641490652315359</v>
      </c>
    </row>
    <row r="376" spans="1:12" x14ac:dyDescent="0.25">
      <c r="A376" s="16">
        <v>18.45</v>
      </c>
      <c r="B376" s="45">
        <f t="shared" si="35"/>
        <v>18450</v>
      </c>
      <c r="C376" s="16">
        <f t="shared" si="36"/>
        <v>60.816558308205039</v>
      </c>
      <c r="D376" s="15">
        <f t="shared" si="37"/>
        <v>5.6930751351E+20</v>
      </c>
      <c r="E376" s="15">
        <f>IF($C376=0,0,FORECAST($C376, OFFSET('De Vaucouleurs Deprojection'!$F$2:$F$127, MATCH($C376, 'De Vaucouleurs Deprojection'!$A$2:$A$127,1)-1,0,2), OFFSET('De Vaucouleurs Deprojection'!$A$2:$A$127, MATCH($C376, 'De Vaucouleurs Deprojection'!$A$2:$A$127,1)-1,0,2))*QESTotalBulgeMass)</f>
        <v>8.8396727389769338E+39</v>
      </c>
      <c r="F376" s="15">
        <f t="shared" si="38"/>
        <v>2.6511417315494799E+40</v>
      </c>
      <c r="H376" s="18">
        <f t="shared" si="39"/>
        <v>3.5351090054471732E+40</v>
      </c>
      <c r="I376" s="16">
        <v>156.00318999999999</v>
      </c>
      <c r="J376" s="45">
        <v>1</v>
      </c>
      <c r="K376" s="19">
        <f t="shared" si="40"/>
        <v>157.81230173741133</v>
      </c>
      <c r="L376" s="16">
        <f t="shared" si="41"/>
        <v>3.2728852784394857</v>
      </c>
    </row>
    <row r="377" spans="1:12" x14ac:dyDescent="0.25">
      <c r="A377" s="16">
        <v>18.5</v>
      </c>
      <c r="B377" s="45">
        <f t="shared" si="35"/>
        <v>18500</v>
      </c>
      <c r="C377" s="16">
        <f t="shared" si="36"/>
        <v>60.98137282936549</v>
      </c>
      <c r="D377" s="15">
        <f t="shared" si="37"/>
        <v>5.7085035230000002E+20</v>
      </c>
      <c r="E377" s="15">
        <f>IF($C377=0,0,FORECAST($C377, OFFSET('De Vaucouleurs Deprojection'!$F$2:$F$127, MATCH($C377, 'De Vaucouleurs Deprojection'!$A$2:$A$127,1)-1,0,2), OFFSET('De Vaucouleurs Deprojection'!$A$2:$A$127, MATCH($C377, 'De Vaucouleurs Deprojection'!$A$2:$A$127,1)-1,0,2))*QESTotalBulgeMass)</f>
        <v>8.8397004355564466E+39</v>
      </c>
      <c r="F377" s="15">
        <f t="shared" si="38"/>
        <v>2.6511417433585492E+40</v>
      </c>
      <c r="H377" s="18">
        <f t="shared" si="39"/>
        <v>3.535111786914194E+40</v>
      </c>
      <c r="I377" s="16">
        <v>156.00117</v>
      </c>
      <c r="J377" s="45">
        <v>1</v>
      </c>
      <c r="K377" s="19">
        <f t="shared" si="40"/>
        <v>157.95501425779196</v>
      </c>
      <c r="L377" s="16">
        <f t="shared" si="41"/>
        <v>3.8175073837066025</v>
      </c>
    </row>
    <row r="378" spans="1:12" x14ac:dyDescent="0.25">
      <c r="A378" s="16">
        <v>18.55</v>
      </c>
      <c r="B378" s="45">
        <f t="shared" si="35"/>
        <v>18550</v>
      </c>
      <c r="C378" s="16">
        <f t="shared" si="36"/>
        <v>61.146187350525935</v>
      </c>
      <c r="D378" s="15">
        <f t="shared" si="37"/>
        <v>5.7239319109000004E+20</v>
      </c>
      <c r="E378" s="15">
        <f>IF($C378=0,0,FORECAST($C378, OFFSET('De Vaucouleurs Deprojection'!$F$2:$F$127, MATCH($C378, 'De Vaucouleurs Deprojection'!$A$2:$A$127,1)-1,0,2), OFFSET('De Vaucouleurs Deprojection'!$A$2:$A$127, MATCH($C378, 'De Vaucouleurs Deprojection'!$A$2:$A$127,1)-1,0,2))*QESTotalBulgeMass)</f>
        <v>8.8397281321359605E+39</v>
      </c>
      <c r="F378" s="15">
        <f t="shared" si="38"/>
        <v>2.6511417545990844E+40</v>
      </c>
      <c r="H378" s="18">
        <f t="shared" si="39"/>
        <v>3.5351145678126806E+40</v>
      </c>
      <c r="I378" s="16">
        <v>156.00008</v>
      </c>
      <c r="J378" s="45">
        <v>1</v>
      </c>
      <c r="K378" s="19">
        <f t="shared" si="40"/>
        <v>158.09778885770245</v>
      </c>
      <c r="L378" s="16">
        <f t="shared" si="41"/>
        <v>4.400382451683349</v>
      </c>
    </row>
    <row r="379" spans="1:12" x14ac:dyDescent="0.25">
      <c r="A379" s="16">
        <v>18.600000000000001</v>
      </c>
      <c r="B379" s="45">
        <f t="shared" si="35"/>
        <v>18600</v>
      </c>
      <c r="C379" s="16">
        <f t="shared" si="36"/>
        <v>61.311001871686379</v>
      </c>
      <c r="D379" s="15">
        <f t="shared" si="37"/>
        <v>5.7393602988000005E+20</v>
      </c>
      <c r="E379" s="15">
        <f>IF($C379=0,0,FORECAST($C379, OFFSET('De Vaucouleurs Deprojection'!$F$2:$F$127, MATCH($C379, 'De Vaucouleurs Deprojection'!$A$2:$A$127,1)-1,0,2), OFFSET('De Vaucouleurs Deprojection'!$A$2:$A$127, MATCH($C379, 'De Vaucouleurs Deprojection'!$A$2:$A$127,1)-1,0,2))*QESTotalBulgeMass)</f>
        <v>8.8397558287154733E+39</v>
      </c>
      <c r="F379" s="15">
        <f t="shared" si="38"/>
        <v>2.6511417652983782E+40</v>
      </c>
      <c r="H379" s="18">
        <f t="shared" si="39"/>
        <v>3.5351173481699253E+40</v>
      </c>
      <c r="I379" s="16">
        <v>155.99896000000001</v>
      </c>
      <c r="J379" s="45">
        <v>1</v>
      </c>
      <c r="K379" s="19">
        <f t="shared" si="40"/>
        <v>158.24062383104842</v>
      </c>
      <c r="L379" s="16">
        <f t="shared" si="41"/>
        <v>5.0250567314306487</v>
      </c>
    </row>
    <row r="380" spans="1:12" x14ac:dyDescent="0.25">
      <c r="A380" s="16">
        <v>18.649999999999999</v>
      </c>
      <c r="B380" s="45">
        <f t="shared" si="35"/>
        <v>18650</v>
      </c>
      <c r="C380" s="16">
        <f t="shared" si="36"/>
        <v>61.475816392846831</v>
      </c>
      <c r="D380" s="15">
        <f t="shared" si="37"/>
        <v>5.7547886866999994E+20</v>
      </c>
      <c r="E380" s="15">
        <f>IF($C380=0,0,FORECAST($C380, OFFSET('De Vaucouleurs Deprojection'!$F$2:$F$127, MATCH($C380, 'De Vaucouleurs Deprojection'!$A$2:$A$127,1)-1,0,2), OFFSET('De Vaucouleurs Deprojection'!$A$2:$A$127, MATCH($C380, 'De Vaucouleurs Deprojection'!$A$2:$A$127,1)-1,0,2))*QESTotalBulgeMass)</f>
        <v>8.8397835252949861E+39</v>
      </c>
      <c r="F380" s="15">
        <f t="shared" si="38"/>
        <v>2.6511417754824177E+40</v>
      </c>
      <c r="H380" s="18">
        <f t="shared" si="39"/>
        <v>3.5351201280119161E+40</v>
      </c>
      <c r="I380" s="16">
        <v>155.99666999999999</v>
      </c>
      <c r="J380" s="45">
        <v>1</v>
      </c>
      <c r="K380" s="19">
        <f t="shared" si="40"/>
        <v>158.38351749429376</v>
      </c>
      <c r="L380" s="16">
        <f t="shared" si="41"/>
        <v>5.6970409610164054</v>
      </c>
    </row>
    <row r="381" spans="1:12" x14ac:dyDescent="0.25">
      <c r="A381" s="16">
        <v>18.7</v>
      </c>
      <c r="B381" s="45">
        <f t="shared" si="35"/>
        <v>18700</v>
      </c>
      <c r="C381" s="16">
        <f t="shared" si="36"/>
        <v>61.640630914007275</v>
      </c>
      <c r="D381" s="15">
        <f t="shared" si="37"/>
        <v>5.7702170745999996E+20</v>
      </c>
      <c r="E381" s="15">
        <f>IF($C381=0,0,FORECAST($C381, OFFSET('De Vaucouleurs Deprojection'!$F$2:$F$127, MATCH($C381, 'De Vaucouleurs Deprojection'!$A$2:$A$127,1)-1,0,2), OFFSET('De Vaucouleurs Deprojection'!$A$2:$A$127, MATCH($C381, 'De Vaucouleurs Deprojection'!$A$2:$A$127,1)-1,0,2))*QESTotalBulgeMass)</f>
        <v>8.8398112218744977E+39</v>
      </c>
      <c r="F381" s="15">
        <f t="shared" si="38"/>
        <v>2.6511417851759471E+40</v>
      </c>
      <c r="H381" s="18">
        <f t="shared" si="39"/>
        <v>3.535122907363397E+40</v>
      </c>
      <c r="I381" s="16">
        <v>155.99184</v>
      </c>
      <c r="J381" s="45">
        <v>1</v>
      </c>
      <c r="K381" s="19">
        <f t="shared" si="40"/>
        <v>158.52646818614556</v>
      </c>
      <c r="L381" s="16">
        <f t="shared" si="41"/>
        <v>6.4243400420035721</v>
      </c>
    </row>
    <row r="382" spans="1:12" x14ac:dyDescent="0.25">
      <c r="A382" s="16">
        <v>18.75</v>
      </c>
      <c r="B382" s="45">
        <f t="shared" si="35"/>
        <v>18750</v>
      </c>
      <c r="C382" s="16">
        <f t="shared" si="36"/>
        <v>61.805445435167726</v>
      </c>
      <c r="D382" s="15">
        <f t="shared" si="37"/>
        <v>5.7856454624999997E+20</v>
      </c>
      <c r="E382" s="15">
        <f>IF($C382=0,0,FORECAST($C382, OFFSET('De Vaucouleurs Deprojection'!$F$2:$F$127, MATCH($C382, 'De Vaucouleurs Deprojection'!$A$2:$A$127,1)-1,0,2), OFFSET('De Vaucouleurs Deprojection'!$A$2:$A$127, MATCH($C382, 'De Vaucouleurs Deprojection'!$A$2:$A$127,1)-1,0,2))*QESTotalBulgeMass)</f>
        <v>8.8398389184540104E+39</v>
      </c>
      <c r="F382" s="15">
        <f t="shared" si="38"/>
        <v>2.651141794402526E+40</v>
      </c>
      <c r="H382" s="18">
        <f t="shared" si="39"/>
        <v>3.5351256862479268E+40</v>
      </c>
      <c r="I382" s="16">
        <v>155.98276999999999</v>
      </c>
      <c r="J382" s="45">
        <v>1</v>
      </c>
      <c r="K382" s="19">
        <f t="shared" si="40"/>
        <v>158.66947426724397</v>
      </c>
      <c r="L382" s="16">
        <f t="shared" si="41"/>
        <v>7.2183798196270237</v>
      </c>
    </row>
    <row r="383" spans="1:12" x14ac:dyDescent="0.25">
      <c r="A383" s="16">
        <v>18.8</v>
      </c>
      <c r="B383" s="45">
        <f t="shared" si="35"/>
        <v>18800</v>
      </c>
      <c r="C383" s="16">
        <f t="shared" si="36"/>
        <v>61.970259956328171</v>
      </c>
      <c r="D383" s="15">
        <f t="shared" si="37"/>
        <v>5.8010738503999999E+20</v>
      </c>
      <c r="E383" s="15">
        <f>IF($C383=0,0,FORECAST($C383, OFFSET('De Vaucouleurs Deprojection'!$F$2:$F$127, MATCH($C383, 'De Vaucouleurs Deprojection'!$A$2:$A$127,1)-1,0,2), OFFSET('De Vaucouleurs Deprojection'!$A$2:$A$127, MATCH($C383, 'De Vaucouleurs Deprojection'!$A$2:$A$127,1)-1,0,2))*QESTotalBulgeMass)</f>
        <v>8.8398666150335232E+39</v>
      </c>
      <c r="F383" s="15">
        <f t="shared" si="38"/>
        <v>2.6511418031845843E+40</v>
      </c>
      <c r="H383" s="18">
        <f t="shared" si="39"/>
        <v>3.5351284646879365E+40</v>
      </c>
      <c r="I383" s="16">
        <v>155.96802</v>
      </c>
      <c r="J383" s="45">
        <v>1</v>
      </c>
      <c r="K383" s="19">
        <f t="shared" si="40"/>
        <v>158.81253411985659</v>
      </c>
      <c r="L383" s="16">
        <f t="shared" si="41"/>
        <v>8.0912605780635545</v>
      </c>
    </row>
    <row r="384" spans="1:12" x14ac:dyDescent="0.25">
      <c r="A384" s="16">
        <v>18.850000000000001</v>
      </c>
      <c r="B384" s="45">
        <f t="shared" si="35"/>
        <v>18850</v>
      </c>
      <c r="C384" s="16">
        <f t="shared" si="36"/>
        <v>62.135074477488615</v>
      </c>
      <c r="D384" s="15">
        <f t="shared" si="37"/>
        <v>5.8165022383000007E+20</v>
      </c>
      <c r="E384" s="15">
        <f>IF($C384=0,0,FORECAST($C384, OFFSET('De Vaucouleurs Deprojection'!$F$2:$F$127, MATCH($C384, 'De Vaucouleurs Deprojection'!$A$2:$A$127,1)-1,0,2), OFFSET('De Vaucouleurs Deprojection'!$A$2:$A$127, MATCH($C384, 'De Vaucouleurs Deprojection'!$A$2:$A$127,1)-1,0,2))*QESTotalBulgeMass)</f>
        <v>8.8398943116130372E+39</v>
      </c>
      <c r="F384" s="15">
        <f t="shared" si="38"/>
        <v>2.6511418115434799E+40</v>
      </c>
      <c r="H384" s="18">
        <f t="shared" si="39"/>
        <v>3.5351312427047835E+40</v>
      </c>
      <c r="I384" s="16">
        <v>155.94658000000001</v>
      </c>
      <c r="J384" s="45">
        <v>1</v>
      </c>
      <c r="K384" s="19">
        <f t="shared" si="40"/>
        <v>158.95564614757814</v>
      </c>
      <c r="L384" s="16">
        <f t="shared" si="41"/>
        <v>9.0544790805006556</v>
      </c>
    </row>
    <row r="385" spans="1:12" x14ac:dyDescent="0.25">
      <c r="A385" s="16">
        <v>18.899999999999999</v>
      </c>
      <c r="B385" s="45">
        <f t="shared" si="35"/>
        <v>18900</v>
      </c>
      <c r="C385" s="16">
        <f t="shared" si="36"/>
        <v>62.299888998649067</v>
      </c>
      <c r="D385" s="15">
        <f t="shared" si="37"/>
        <v>5.8319306261999996E+20</v>
      </c>
      <c r="E385" s="15">
        <f>IF($C385=0,0,FORECAST($C385, OFFSET('De Vaucouleurs Deprojection'!$F$2:$F$127, MATCH($C385, 'De Vaucouleurs Deprojection'!$A$2:$A$127,1)-1,0,2), OFFSET('De Vaucouleurs Deprojection'!$A$2:$A$127, MATCH($C385, 'De Vaucouleurs Deprojection'!$A$2:$A$127,1)-1,0,2))*QESTotalBulgeMass)</f>
        <v>8.83992200819255E+39</v>
      </c>
      <c r="F385" s="15">
        <f t="shared" si="38"/>
        <v>2.6511418194995465E+40</v>
      </c>
      <c r="H385" s="18">
        <f t="shared" si="39"/>
        <v>3.5351340203188015E+40</v>
      </c>
      <c r="I385" s="16">
        <v>155.91808</v>
      </c>
      <c r="J385" s="45">
        <v>1</v>
      </c>
      <c r="K385" s="19">
        <f t="shared" si="40"/>
        <v>159.09880877503412</v>
      </c>
      <c r="L385" s="16">
        <f t="shared" si="41"/>
        <v>10.117035540330001</v>
      </c>
    </row>
    <row r="386" spans="1:12" x14ac:dyDescent="0.25">
      <c r="A386" s="16">
        <v>18.95</v>
      </c>
      <c r="B386" s="45">
        <f t="shared" si="35"/>
        <v>18950</v>
      </c>
      <c r="C386" s="16">
        <f t="shared" si="36"/>
        <v>62.464703519809511</v>
      </c>
      <c r="D386" s="15">
        <f t="shared" si="37"/>
        <v>5.8473590140999998E+20</v>
      </c>
      <c r="E386" s="15">
        <f>IF($C386=0,0,FORECAST($C386, OFFSET('De Vaucouleurs Deprojection'!$F$2:$F$127, MATCH($C386, 'De Vaucouleurs Deprojection'!$A$2:$A$127,1)-1,0,2), OFFSET('De Vaucouleurs Deprojection'!$A$2:$A$127, MATCH($C386, 'De Vaucouleurs Deprojection'!$A$2:$A$127,1)-1,0,2))*QESTotalBulgeMass)</f>
        <v>8.8399497047720627E+39</v>
      </c>
      <c r="F386" s="15">
        <f t="shared" si="38"/>
        <v>2.6511418270721427E+40</v>
      </c>
      <c r="H386" s="18">
        <f t="shared" si="39"/>
        <v>3.5351367975493491E+40</v>
      </c>
      <c r="I386" s="16">
        <v>155.88246000000001</v>
      </c>
      <c r="J386" s="45">
        <v>1</v>
      </c>
      <c r="K386" s="19">
        <f t="shared" si="40"/>
        <v>159.24202044758962</v>
      </c>
      <c r="L386" s="16">
        <f t="shared" si="41"/>
        <v>11.286646401008536</v>
      </c>
    </row>
    <row r="387" spans="1:12" x14ac:dyDescent="0.25">
      <c r="A387" s="16">
        <v>19</v>
      </c>
      <c r="B387" s="45">
        <f t="shared" si="35"/>
        <v>19000</v>
      </c>
      <c r="C387" s="16">
        <f t="shared" si="36"/>
        <v>62.629518040969963</v>
      </c>
      <c r="D387" s="15">
        <f t="shared" si="37"/>
        <v>5.862787402E+20</v>
      </c>
      <c r="E387" s="15">
        <f>IF($C387=0,0,FORECAST($C387, OFFSET('De Vaucouleurs Deprojection'!$F$2:$F$127, MATCH($C387, 'De Vaucouleurs Deprojection'!$A$2:$A$127,1)-1,0,2), OFFSET('De Vaucouleurs Deprojection'!$A$2:$A$127, MATCH($C387, 'De Vaucouleurs Deprojection'!$A$2:$A$127,1)-1,0,2))*QESTotalBulgeMass)</f>
        <v>8.8399774013515755E+39</v>
      </c>
      <c r="F387" s="15">
        <f t="shared" si="38"/>
        <v>2.6511418342797029E+40</v>
      </c>
      <c r="H387" s="18">
        <f t="shared" si="39"/>
        <v>3.5351395744148602E+40</v>
      </c>
      <c r="I387" s="16">
        <v>155.8398</v>
      </c>
      <c r="J387" s="45">
        <v>1</v>
      </c>
      <c r="K387" s="19">
        <f t="shared" si="40"/>
        <v>159.38527963106228</v>
      </c>
      <c r="L387" s="16">
        <f t="shared" si="41"/>
        <v>12.57042581427751</v>
      </c>
    </row>
    <row r="388" spans="1:12" x14ac:dyDescent="0.25">
      <c r="A388" s="16">
        <v>19.05</v>
      </c>
      <c r="B388" s="45">
        <f t="shared" si="35"/>
        <v>19050</v>
      </c>
      <c r="C388" s="16">
        <f t="shared" si="36"/>
        <v>62.794332562130407</v>
      </c>
      <c r="D388" s="15">
        <f t="shared" si="37"/>
        <v>5.8782157899000001E+20</v>
      </c>
      <c r="E388" s="15">
        <f>IF($C388=0,0,FORECAST($C388, OFFSET('De Vaucouleurs Deprojection'!$F$2:$F$127, MATCH($C388, 'De Vaucouleurs Deprojection'!$A$2:$A$127,1)-1,0,2), OFFSET('De Vaucouleurs Deprojection'!$A$2:$A$127, MATCH($C388, 'De Vaucouleurs Deprojection'!$A$2:$A$127,1)-1,0,2))*QESTotalBulgeMass)</f>
        <v>8.8400050979310883E+39</v>
      </c>
      <c r="F388" s="15">
        <f t="shared" si="38"/>
        <v>2.6511418411397752E+40</v>
      </c>
      <c r="H388" s="18">
        <f t="shared" si="39"/>
        <v>3.5351423509328839E+40</v>
      </c>
      <c r="I388" s="16">
        <v>155.79041000000001</v>
      </c>
      <c r="J388" s="45">
        <v>1</v>
      </c>
      <c r="K388" s="19">
        <f t="shared" si="40"/>
        <v>159.5285848114398</v>
      </c>
      <c r="L388" s="16">
        <f t="shared" si="41"/>
        <v>13.973950920882915</v>
      </c>
    </row>
    <row r="389" spans="1:12" x14ac:dyDescent="0.25">
      <c r="A389" s="16">
        <v>19.100000000000001</v>
      </c>
      <c r="B389" s="45">
        <f t="shared" si="35"/>
        <v>19100</v>
      </c>
      <c r="C389" s="16">
        <f t="shared" si="36"/>
        <v>62.959147083290858</v>
      </c>
      <c r="D389" s="15">
        <f t="shared" si="37"/>
        <v>5.8936441778000003E+20</v>
      </c>
      <c r="E389" s="15">
        <f>IF($C389=0,0,FORECAST($C389, OFFSET('De Vaucouleurs Deprojection'!$F$2:$F$127, MATCH($C389, 'De Vaucouleurs Deprojection'!$A$2:$A$127,1)-1,0,2), OFFSET('De Vaucouleurs Deprojection'!$A$2:$A$127, MATCH($C389, 'De Vaucouleurs Deprojection'!$A$2:$A$127,1)-1,0,2))*QESTotalBulgeMass)</f>
        <v>8.8400327945106011E+39</v>
      </c>
      <c r="F389" s="15">
        <f t="shared" si="38"/>
        <v>2.651141847669067E+40</v>
      </c>
      <c r="H389" s="18">
        <f t="shared" si="39"/>
        <v>3.5351451271201271E+40</v>
      </c>
      <c r="I389" s="16">
        <v>155.73501999999999</v>
      </c>
      <c r="J389" s="45">
        <v>1</v>
      </c>
      <c r="K389" s="19">
        <f t="shared" si="40"/>
        <v>159.67193449460177</v>
      </c>
      <c r="L389" s="16">
        <f t="shared" si="41"/>
        <v>15.499295737805587</v>
      </c>
    </row>
    <row r="390" spans="1:12" x14ac:dyDescent="0.25">
      <c r="A390" s="16">
        <v>19.149999999999999</v>
      </c>
      <c r="B390" s="45">
        <f t="shared" si="35"/>
        <v>19150</v>
      </c>
      <c r="C390" s="16">
        <f t="shared" si="36"/>
        <v>63.123961604451303</v>
      </c>
      <c r="D390" s="15">
        <f t="shared" si="37"/>
        <v>5.9090725656999992E+20</v>
      </c>
      <c r="E390" s="15">
        <f>IF($C390=0,0,FORECAST($C390, OFFSET('De Vaucouleurs Deprojection'!$F$2:$F$127, MATCH($C390, 'De Vaucouleurs Deprojection'!$A$2:$A$127,1)-1,0,2), OFFSET('De Vaucouleurs Deprojection'!$A$2:$A$127, MATCH($C390, 'De Vaucouleurs Deprojection'!$A$2:$A$127,1)-1,0,2))*QESTotalBulgeMass)</f>
        <v>8.8400604910901138E+39</v>
      </c>
      <c r="F390" s="15">
        <f t="shared" si="38"/>
        <v>2.6511418538834858E+40</v>
      </c>
      <c r="H390" s="18">
        <f t="shared" si="39"/>
        <v>3.5351479029924973E+40</v>
      </c>
      <c r="I390" s="16">
        <v>155.67496</v>
      </c>
      <c r="J390" s="45">
        <v>1</v>
      </c>
      <c r="K390" s="19">
        <f t="shared" si="40"/>
        <v>159.81532720604574</v>
      </c>
      <c r="L390" s="16">
        <f t="shared" si="41"/>
        <v>17.142640600898993</v>
      </c>
    </row>
    <row r="391" spans="1:12" x14ac:dyDescent="0.25">
      <c r="A391" s="16">
        <v>19.2</v>
      </c>
      <c r="B391" s="45">
        <f t="shared" si="35"/>
        <v>19200</v>
      </c>
      <c r="C391" s="16">
        <f t="shared" si="36"/>
        <v>63.288776125611747</v>
      </c>
      <c r="D391" s="15">
        <f t="shared" si="37"/>
        <v>5.9245009536E+20</v>
      </c>
      <c r="E391" s="15">
        <f>IF($C391=0,0,FORECAST($C391, OFFSET('De Vaucouleurs Deprojection'!$F$2:$F$127, MATCH($C391, 'De Vaucouleurs Deprojection'!$A$2:$A$127,1)-1,0,2), OFFSET('De Vaucouleurs Deprojection'!$A$2:$A$127, MATCH($C391, 'De Vaucouleurs Deprojection'!$A$2:$A$127,1)-1,0,2))*QESTotalBulgeMass)</f>
        <v>8.8400881876696266E+39</v>
      </c>
      <c r="F391" s="15">
        <f t="shared" si="38"/>
        <v>2.6511418597981747E+40</v>
      </c>
      <c r="H391" s="18">
        <f t="shared" si="39"/>
        <v>3.5351506785651372E+40</v>
      </c>
      <c r="I391" s="16">
        <v>155.61166</v>
      </c>
      <c r="J391" s="45">
        <v>1</v>
      </c>
      <c r="K391" s="19">
        <f t="shared" si="40"/>
        <v>159.9587614906176</v>
      </c>
      <c r="L391" s="16">
        <f t="shared" si="41"/>
        <v>18.897291369729793</v>
      </c>
    </row>
    <row r="392" spans="1:12" x14ac:dyDescent="0.25">
      <c r="A392" s="16">
        <v>19.25</v>
      </c>
      <c r="B392" s="45">
        <f t="shared" ref="B392:B455" si="42">RadiusKpc*1000</f>
        <v>19250</v>
      </c>
      <c r="C392" s="16">
        <f t="shared" ref="C392:C455" si="43">IF(QESBulgeEffectiveRadius=0,0,RadiusPc/QESBulgeEffectiveRadius)</f>
        <v>63.453590646772199</v>
      </c>
      <c r="D392" s="15">
        <f t="shared" ref="D392:D455" si="44">RadiusKpc*kpc</f>
        <v>5.9399293414999995E+20</v>
      </c>
      <c r="E392" s="15">
        <f>IF($C392=0,0,FORECAST($C392, OFFSET('De Vaucouleurs Deprojection'!$F$2:$F$127, MATCH($C392, 'De Vaucouleurs Deprojection'!$A$2:$A$127,1)-1,0,2), OFFSET('De Vaucouleurs Deprojection'!$A$2:$A$127, MATCH($C392, 'De Vaucouleurs Deprojection'!$A$2:$A$127,1)-1,0,2))*QESTotalBulgeMass)</f>
        <v>8.8401158842491394E+39</v>
      </c>
      <c r="F392" s="15">
        <f t="shared" ref="F392:F455" si="45">2*PI()*QESDiskSurfaceDensity*QESDiskScaleLength*(QESDiskScaleLength-EXP(-RadiusPc/QESDiskScaleLength)*(RadiusPc+QESDiskScaleLength))*SolarMass</f>
        <v>2.6511418654275533E+40</v>
      </c>
      <c r="H392" s="18">
        <f t="shared" ref="H392:H455" si="46">BulgeMass+DiskMass+HaloMass</f>
        <v>3.5351534538524671E+40</v>
      </c>
      <c r="I392" s="16">
        <v>155.54633000000001</v>
      </c>
      <c r="J392" s="45">
        <v>1</v>
      </c>
      <c r="K392" s="19">
        <f t="shared" ref="K392:K455" si="47">SQRT(TotalMass*GravitationalConstant/RadiusKm+UniverseAcceleration*RadiusKm)/km</f>
        <v>160.10223591224602</v>
      </c>
      <c r="L392" s="16">
        <f t="shared" ref="L392:L455" si="48">(ObservedVelocity-ModelVelocity)^2/(VelocityError)^2</f>
        <v>20.756278681238097</v>
      </c>
    </row>
    <row r="393" spans="1:12" x14ac:dyDescent="0.25">
      <c r="A393" s="16">
        <v>19.3</v>
      </c>
      <c r="B393" s="45">
        <f t="shared" si="42"/>
        <v>19300</v>
      </c>
      <c r="C393" s="16">
        <f t="shared" si="43"/>
        <v>63.618405167932643</v>
      </c>
      <c r="D393" s="15">
        <f t="shared" si="44"/>
        <v>5.9553577294000003E+20</v>
      </c>
      <c r="E393" s="15">
        <f>IF($C393=0,0,FORECAST($C393, OFFSET('De Vaucouleurs Deprojection'!$F$2:$F$127, MATCH($C393, 'De Vaucouleurs Deprojection'!$A$2:$A$127,1)-1,0,2), OFFSET('De Vaucouleurs Deprojection'!$A$2:$A$127, MATCH($C393, 'De Vaucouleurs Deprojection'!$A$2:$A$127,1)-1,0,2))*QESTotalBulgeMass)</f>
        <v>8.8401435808286521E+39</v>
      </c>
      <c r="F393" s="15">
        <f t="shared" si="45"/>
        <v>2.6511418707853471E+40</v>
      </c>
      <c r="H393" s="18">
        <f t="shared" si="46"/>
        <v>3.5351562288682124E+40</v>
      </c>
      <c r="I393" s="16">
        <v>155.47931</v>
      </c>
      <c r="J393" s="45">
        <v>1</v>
      </c>
      <c r="K393" s="19">
        <f t="shared" si="47"/>
        <v>160.24574905368067</v>
      </c>
      <c r="L393" s="16">
        <f t="shared" si="48"/>
        <v>22.718941252452286</v>
      </c>
    </row>
    <row r="394" spans="1:12" x14ac:dyDescent="0.25">
      <c r="A394" s="16">
        <v>19.350000000000001</v>
      </c>
      <c r="B394" s="45">
        <f t="shared" si="42"/>
        <v>19350</v>
      </c>
      <c r="C394" s="16">
        <f t="shared" si="43"/>
        <v>63.783219689093094</v>
      </c>
      <c r="D394" s="15">
        <f t="shared" si="44"/>
        <v>5.9707861172999999E+20</v>
      </c>
      <c r="E394" s="15">
        <f>IF($C394=0,0,FORECAST($C394, OFFSET('De Vaucouleurs Deprojection'!$F$2:$F$127, MATCH($C394, 'De Vaucouleurs Deprojection'!$A$2:$A$127,1)-1,0,2), OFFSET('De Vaucouleurs Deprojection'!$A$2:$A$127, MATCH($C394, 'De Vaucouleurs Deprojection'!$A$2:$A$127,1)-1,0,2))*QESTotalBulgeMass)</f>
        <v>8.8401712774081649E+39</v>
      </c>
      <c r="F394" s="15">
        <f t="shared" si="45"/>
        <v>2.6511418758846248E+40</v>
      </c>
      <c r="H394" s="18">
        <f t="shared" si="46"/>
        <v>3.5351590036254414E+40</v>
      </c>
      <c r="I394" s="16">
        <v>155.41016999999999</v>
      </c>
      <c r="J394" s="45">
        <v>1</v>
      </c>
      <c r="K394" s="19">
        <f t="shared" si="47"/>
        <v>160.38929951623493</v>
      </c>
      <c r="L394" s="16">
        <f t="shared" si="48"/>
        <v>24.791730739441931</v>
      </c>
    </row>
    <row r="395" spans="1:12" x14ac:dyDescent="0.25">
      <c r="A395" s="16">
        <v>19.399999999999999</v>
      </c>
      <c r="B395" s="45">
        <f t="shared" si="42"/>
        <v>19400</v>
      </c>
      <c r="C395" s="16">
        <f t="shared" si="43"/>
        <v>63.948034210253539</v>
      </c>
      <c r="D395" s="15">
        <f t="shared" si="44"/>
        <v>5.9862145051999994E+20</v>
      </c>
      <c r="E395" s="15">
        <f>IF($C395=0,0,FORECAST($C395, OFFSET('De Vaucouleurs Deprojection'!$F$2:$F$127, MATCH($C395, 'De Vaucouleurs Deprojection'!$A$2:$A$127,1)-1,0,2), OFFSET('De Vaucouleurs Deprojection'!$A$2:$A$127, MATCH($C395, 'De Vaucouleurs Deprojection'!$A$2:$A$127,1)-1,0,2))*QESTotalBulgeMass)</f>
        <v>8.8401989739876777E+39</v>
      </c>
      <c r="F395" s="15">
        <f t="shared" si="45"/>
        <v>2.651141880737827E+40</v>
      </c>
      <c r="H395" s="18">
        <f t="shared" si="46"/>
        <v>3.535161778136595E+40</v>
      </c>
      <c r="I395" s="16">
        <v>155.33770999999999</v>
      </c>
      <c r="J395" s="45">
        <v>1</v>
      </c>
      <c r="K395" s="19">
        <f t="shared" si="47"/>
        <v>160.53288591953225</v>
      </c>
      <c r="L395" s="16">
        <f t="shared" si="48"/>
        <v>26.989852834887873</v>
      </c>
    </row>
    <row r="396" spans="1:12" x14ac:dyDescent="0.25">
      <c r="A396" s="16">
        <v>19.45</v>
      </c>
      <c r="B396" s="45">
        <f t="shared" si="42"/>
        <v>19450</v>
      </c>
      <c r="C396" s="16">
        <f t="shared" si="43"/>
        <v>64.11284873141399</v>
      </c>
      <c r="D396" s="15">
        <f t="shared" si="44"/>
        <v>6.0016428931000002E+20</v>
      </c>
      <c r="E396" s="15">
        <f>IF($C396=0,0,FORECAST($C396, OFFSET('De Vaucouleurs Deprojection'!$F$2:$F$127, MATCH($C396, 'De Vaucouleurs Deprojection'!$A$2:$A$127,1)-1,0,2), OFFSET('De Vaucouleurs Deprojection'!$A$2:$A$127, MATCH($C396, 'De Vaucouleurs Deprojection'!$A$2:$A$127,1)-1,0,2))*QESTotalBulgeMass)</f>
        <v>8.8402266705671917E+39</v>
      </c>
      <c r="F396" s="15">
        <f t="shared" si="45"/>
        <v>2.6511418853567984E+40</v>
      </c>
      <c r="H396" s="18">
        <f t="shared" si="46"/>
        <v>3.5351645524135174E+40</v>
      </c>
      <c r="I396" s="16">
        <v>155.26043999999999</v>
      </c>
      <c r="J396" s="45">
        <v>1</v>
      </c>
      <c r="K396" s="19">
        <f t="shared" si="47"/>
        <v>160.67650690125632</v>
      </c>
      <c r="L396" s="16">
        <f t="shared" si="48"/>
        <v>29.333780678884334</v>
      </c>
    </row>
    <row r="397" spans="1:12" x14ac:dyDescent="0.25">
      <c r="A397" s="16">
        <v>19.5</v>
      </c>
      <c r="B397" s="45">
        <f t="shared" si="42"/>
        <v>19500</v>
      </c>
      <c r="C397" s="16">
        <f t="shared" si="43"/>
        <v>64.277663252574428</v>
      </c>
      <c r="D397" s="15">
        <f t="shared" si="44"/>
        <v>6.0170712809999997E+20</v>
      </c>
      <c r="E397" s="15">
        <f>IF($C397=0,0,FORECAST($C397, OFFSET('De Vaucouleurs Deprojection'!$F$2:$F$127, MATCH($C397, 'De Vaucouleurs Deprojection'!$A$2:$A$127,1)-1,0,2), OFFSET('De Vaucouleurs Deprojection'!$A$2:$A$127, MATCH($C397, 'De Vaucouleurs Deprojection'!$A$2:$A$127,1)-1,0,2))*QESTotalBulgeMass)</f>
        <v>8.8402543671467045E+39</v>
      </c>
      <c r="F397" s="15">
        <f t="shared" si="45"/>
        <v>2.6511418897528135E+40</v>
      </c>
      <c r="H397" s="18">
        <f t="shared" si="46"/>
        <v>3.5351673264674838E+40</v>
      </c>
      <c r="I397" s="16">
        <v>155.17712</v>
      </c>
      <c r="J397" s="45">
        <v>1</v>
      </c>
      <c r="K397" s="19">
        <f t="shared" si="47"/>
        <v>160.82016111690498</v>
      </c>
      <c r="L397" s="16">
        <f t="shared" si="48"/>
        <v>31.843913047080225</v>
      </c>
    </row>
    <row r="398" spans="1:12" x14ac:dyDescent="0.25">
      <c r="A398" s="16">
        <v>19.55</v>
      </c>
      <c r="B398" s="45">
        <f t="shared" si="42"/>
        <v>19550</v>
      </c>
      <c r="C398" s="16">
        <f t="shared" si="43"/>
        <v>64.442477773734879</v>
      </c>
      <c r="D398" s="15">
        <f t="shared" si="44"/>
        <v>6.0324996689000006E+20</v>
      </c>
      <c r="E398" s="15">
        <f>IF($C398=0,0,FORECAST($C398, OFFSET('De Vaucouleurs Deprojection'!$F$2:$F$127, MATCH($C398, 'De Vaucouleurs Deprojection'!$A$2:$A$127,1)-1,0,2), OFFSET('De Vaucouleurs Deprojection'!$A$2:$A$127, MATCH($C398, 'De Vaucouleurs Deprojection'!$A$2:$A$127,1)-1,0,2))*QESTotalBulgeMass)</f>
        <v>8.8402820637262172E+39</v>
      </c>
      <c r="F398" s="15">
        <f t="shared" si="45"/>
        <v>2.6511418939366074E+40</v>
      </c>
      <c r="H398" s="18">
        <f t="shared" si="46"/>
        <v>3.5351701003092291E+40</v>
      </c>
      <c r="I398" s="16">
        <v>155.08707000000001</v>
      </c>
      <c r="J398" s="45">
        <v>1</v>
      </c>
      <c r="K398" s="19">
        <f t="shared" si="47"/>
        <v>160.96384723954819</v>
      </c>
      <c r="L398" s="16">
        <f t="shared" si="48"/>
        <v>34.536510723271476</v>
      </c>
    </row>
    <row r="399" spans="1:12" x14ac:dyDescent="0.25">
      <c r="A399" s="16">
        <v>19.600000000000001</v>
      </c>
      <c r="B399" s="45">
        <f t="shared" si="42"/>
        <v>19600</v>
      </c>
      <c r="C399" s="16">
        <f t="shared" si="43"/>
        <v>64.607292294895331</v>
      </c>
      <c r="D399" s="15">
        <f t="shared" si="44"/>
        <v>6.0479280568000001E+20</v>
      </c>
      <c r="E399" s="15">
        <f>IF($C399=0,0,FORECAST($C399, OFFSET('De Vaucouleurs Deprojection'!$F$2:$F$127, MATCH($C399, 'De Vaucouleurs Deprojection'!$A$2:$A$127,1)-1,0,2), OFFSET('De Vaucouleurs Deprojection'!$A$2:$A$127, MATCH($C399, 'De Vaucouleurs Deprojection'!$A$2:$A$127,1)-1,0,2))*QESTotalBulgeMass)</f>
        <v>8.84030976030573E+39</v>
      </c>
      <c r="F399" s="15">
        <f t="shared" si="45"/>
        <v>2.6511418979183989E+40</v>
      </c>
      <c r="H399" s="18">
        <f t="shared" si="46"/>
        <v>3.5351728739489721E+40</v>
      </c>
      <c r="I399" s="16">
        <v>154.98997</v>
      </c>
      <c r="J399" s="45">
        <v>1</v>
      </c>
      <c r="K399" s="19">
        <f t="shared" si="47"/>
        <v>161.10756395958919</v>
      </c>
      <c r="L399" s="16">
        <f t="shared" si="48"/>
        <v>37.4249558544021</v>
      </c>
    </row>
    <row r="400" spans="1:12" x14ac:dyDescent="0.25">
      <c r="A400" s="16">
        <v>19.649999999999999</v>
      </c>
      <c r="B400" s="45">
        <f t="shared" si="42"/>
        <v>19650</v>
      </c>
      <c r="C400" s="16">
        <f t="shared" si="43"/>
        <v>64.772106816055782</v>
      </c>
      <c r="D400" s="15">
        <f t="shared" si="44"/>
        <v>6.0633564446999996E+20</v>
      </c>
      <c r="E400" s="15">
        <f>IF($C400=0,0,FORECAST($C400, OFFSET('De Vaucouleurs Deprojection'!$F$2:$F$127, MATCH($C400, 'De Vaucouleurs Deprojection'!$A$2:$A$127,1)-1,0,2), OFFSET('De Vaucouleurs Deprojection'!$A$2:$A$127, MATCH($C400, 'De Vaucouleurs Deprojection'!$A$2:$A$127,1)-1,0,2))*QESTotalBulgeMass)</f>
        <v>8.8403374568852416E+39</v>
      </c>
      <c r="F400" s="15">
        <f t="shared" si="45"/>
        <v>2.6511419017079172E+40</v>
      </c>
      <c r="H400" s="18">
        <f t="shared" si="46"/>
        <v>3.5351756473964412E+40</v>
      </c>
      <c r="I400" s="16">
        <v>154.88576</v>
      </c>
      <c r="J400" s="45">
        <v>1</v>
      </c>
      <c r="K400" s="19">
        <f t="shared" si="47"/>
        <v>161.25130998452968</v>
      </c>
      <c r="L400" s="16">
        <f t="shared" si="48"/>
        <v>40.520226605545794</v>
      </c>
    </row>
    <row r="401" spans="1:12" x14ac:dyDescent="0.25">
      <c r="A401" s="16">
        <v>19.7</v>
      </c>
      <c r="B401" s="45">
        <f t="shared" si="42"/>
        <v>19700</v>
      </c>
      <c r="C401" s="16">
        <f t="shared" si="43"/>
        <v>64.936921337216219</v>
      </c>
      <c r="D401" s="15">
        <f t="shared" si="44"/>
        <v>6.0787848326000004E+20</v>
      </c>
      <c r="E401" s="15">
        <f>IF($C401=0,0,FORECAST($C401, OFFSET('De Vaucouleurs Deprojection'!$F$2:$F$127, MATCH($C401, 'De Vaucouleurs Deprojection'!$A$2:$A$127,1)-1,0,2), OFFSET('De Vaucouleurs Deprojection'!$A$2:$A$127, MATCH($C401, 'De Vaucouleurs Deprojection'!$A$2:$A$127,1)-1,0,2))*QESTotalBulgeMass)</f>
        <v>8.8403651534647543E+39</v>
      </c>
      <c r="F401" s="15">
        <f t="shared" si="45"/>
        <v>2.6511419053144219E+40</v>
      </c>
      <c r="H401" s="18">
        <f t="shared" si="46"/>
        <v>3.5351784206608973E+40</v>
      </c>
      <c r="I401" s="16">
        <v>154.77448000000001</v>
      </c>
      <c r="J401" s="45">
        <v>1</v>
      </c>
      <c r="K401" s="19">
        <f t="shared" si="47"/>
        <v>161.39508403873819</v>
      </c>
      <c r="L401" s="16">
        <f t="shared" si="48"/>
        <v>43.83239783775629</v>
      </c>
    </row>
    <row r="402" spans="1:12" x14ac:dyDescent="0.25">
      <c r="A402" s="16">
        <v>19.75</v>
      </c>
      <c r="B402" s="45">
        <f t="shared" si="42"/>
        <v>19750</v>
      </c>
      <c r="C402" s="16">
        <f t="shared" si="43"/>
        <v>65.101735858376671</v>
      </c>
      <c r="D402" s="15">
        <f t="shared" si="44"/>
        <v>6.0942132204999999E+20</v>
      </c>
      <c r="E402" s="15">
        <f>IF($C402=0,0,FORECAST($C402, OFFSET('De Vaucouleurs Deprojection'!$F$2:$F$127, MATCH($C402, 'De Vaucouleurs Deprojection'!$A$2:$A$127,1)-1,0,2), OFFSET('De Vaucouleurs Deprojection'!$A$2:$A$127, MATCH($C402, 'De Vaucouleurs Deprojection'!$A$2:$A$127,1)-1,0,2))*QESTotalBulgeMass)</f>
        <v>8.8403928500442683E+39</v>
      </c>
      <c r="F402" s="15">
        <f t="shared" si="45"/>
        <v>2.6511419087467306E+40</v>
      </c>
      <c r="H402" s="18">
        <f t="shared" si="46"/>
        <v>3.5351811937511574E+40</v>
      </c>
      <c r="I402" s="16">
        <v>154.65652</v>
      </c>
      <c r="J402" s="45">
        <v>1</v>
      </c>
      <c r="K402" s="19">
        <f t="shared" si="47"/>
        <v>161.53888486322222</v>
      </c>
      <c r="L402" s="16">
        <f t="shared" si="48"/>
        <v>47.366946110515826</v>
      </c>
    </row>
    <row r="403" spans="1:12" x14ac:dyDescent="0.25">
      <c r="A403" s="16">
        <v>19.8</v>
      </c>
      <c r="B403" s="45">
        <f t="shared" si="42"/>
        <v>19800</v>
      </c>
      <c r="C403" s="16">
        <f t="shared" si="43"/>
        <v>65.266550379537122</v>
      </c>
      <c r="D403" s="15">
        <f t="shared" si="44"/>
        <v>6.1096416084000008E+20</v>
      </c>
      <c r="E403" s="15">
        <f>IF($C403=0,0,FORECAST($C403, OFFSET('De Vaucouleurs Deprojection'!$F$2:$F$127, MATCH($C403, 'De Vaucouleurs Deprojection'!$A$2:$A$127,1)-1,0,2), OFFSET('De Vaucouleurs Deprojection'!$A$2:$A$127, MATCH($C403, 'De Vaucouleurs Deprojection'!$A$2:$A$127,1)-1,0,2))*QESTotalBulgeMass)</f>
        <v>8.8404205466237811E+39</v>
      </c>
      <c r="F403" s="15">
        <f t="shared" si="45"/>
        <v>2.6511419120132356E+40</v>
      </c>
      <c r="H403" s="18">
        <f t="shared" si="46"/>
        <v>3.5351839666756138E+40</v>
      </c>
      <c r="I403" s="16">
        <v>154.53294</v>
      </c>
      <c r="J403" s="45">
        <v>1</v>
      </c>
      <c r="K403" s="19">
        <f t="shared" si="47"/>
        <v>161.68271121540354</v>
      </c>
      <c r="L403" s="16">
        <f t="shared" si="48"/>
        <v>51.119228432613113</v>
      </c>
    </row>
    <row r="404" spans="1:12" x14ac:dyDescent="0.25">
      <c r="A404" s="16">
        <v>19.850000000000001</v>
      </c>
      <c r="B404" s="45">
        <f t="shared" si="42"/>
        <v>19850</v>
      </c>
      <c r="C404" s="16">
        <f t="shared" si="43"/>
        <v>65.43136490069756</v>
      </c>
      <c r="D404" s="15">
        <f t="shared" si="44"/>
        <v>6.1250699963000003E+20</v>
      </c>
      <c r="E404" s="15">
        <f>IF($C404=0,0,FORECAST($C404, OFFSET('De Vaucouleurs Deprojection'!$F$2:$F$127, MATCH($C404, 'De Vaucouleurs Deprojection'!$A$2:$A$127,1)-1,0,2), OFFSET('De Vaucouleurs Deprojection'!$A$2:$A$127, MATCH($C404, 'De Vaucouleurs Deprojection'!$A$2:$A$127,1)-1,0,2))*QESTotalBulgeMass)</f>
        <v>8.8404482432032939E+39</v>
      </c>
      <c r="F404" s="15">
        <f t="shared" si="45"/>
        <v>2.6511419151219269E+40</v>
      </c>
      <c r="H404" s="18">
        <f t="shared" si="46"/>
        <v>3.5351867394422565E+40</v>
      </c>
      <c r="I404" s="16">
        <v>154.40522999999999</v>
      </c>
      <c r="J404" s="45">
        <v>1</v>
      </c>
      <c r="K404" s="19">
        <f t="shared" si="47"/>
        <v>161.82656186889707</v>
      </c>
      <c r="L404" s="16">
        <f t="shared" si="48"/>
        <v>55.07616670830749</v>
      </c>
    </row>
    <row r="405" spans="1:12" x14ac:dyDescent="0.25">
      <c r="A405" s="16">
        <v>19.899999999999999</v>
      </c>
      <c r="B405" s="45">
        <f t="shared" si="42"/>
        <v>19900</v>
      </c>
      <c r="C405" s="16">
        <f t="shared" si="43"/>
        <v>65.596179421858011</v>
      </c>
      <c r="D405" s="15">
        <f t="shared" si="44"/>
        <v>6.1404983841999998E+20</v>
      </c>
      <c r="E405" s="15">
        <f>IF($C405=0,0,FORECAST($C405, OFFSET('De Vaucouleurs Deprojection'!$F$2:$F$127, MATCH($C405, 'De Vaucouleurs Deprojection'!$A$2:$A$127,1)-1,0,2), OFFSET('De Vaucouleurs Deprojection'!$A$2:$A$127, MATCH($C405, 'De Vaucouleurs Deprojection'!$A$2:$A$127,1)-1,0,2))*QESTotalBulgeMass)</f>
        <v>8.8404759397828066E+39</v>
      </c>
      <c r="F405" s="15">
        <f t="shared" si="45"/>
        <v>2.6511419180804102E+40</v>
      </c>
      <c r="H405" s="18">
        <f t="shared" si="46"/>
        <v>3.5351895120586907E+40</v>
      </c>
      <c r="I405" s="16">
        <v>154.27494999999999</v>
      </c>
      <c r="J405" s="45">
        <v>1</v>
      </c>
      <c r="K405" s="19">
        <f t="shared" si="47"/>
        <v>161.97043561329306</v>
      </c>
      <c r="L405" s="16">
        <f t="shared" si="48"/>
        <v>59.220498824400664</v>
      </c>
    </row>
    <row r="406" spans="1:12" x14ac:dyDescent="0.25">
      <c r="A406" s="16">
        <v>19.95</v>
      </c>
      <c r="B406" s="45">
        <f t="shared" si="42"/>
        <v>19950</v>
      </c>
      <c r="C406" s="16">
        <f t="shared" si="43"/>
        <v>65.760993943018462</v>
      </c>
      <c r="D406" s="15">
        <f t="shared" si="44"/>
        <v>6.1559267720999993E+20</v>
      </c>
      <c r="E406" s="15">
        <f>IF($C406=0,0,FORECAST($C406, OFFSET('De Vaucouleurs Deprojection'!$F$2:$F$127, MATCH($C406, 'De Vaucouleurs Deprojection'!$A$2:$A$127,1)-1,0,2), OFFSET('De Vaucouleurs Deprojection'!$A$2:$A$127, MATCH($C406, 'De Vaucouleurs Deprojection'!$A$2:$A$127,1)-1,0,2))*QESTotalBulgeMass)</f>
        <v>8.8405036363623194E+39</v>
      </c>
      <c r="F406" s="15">
        <f t="shared" si="45"/>
        <v>2.6511419208959244E+40</v>
      </c>
      <c r="H406" s="18">
        <f t="shared" si="46"/>
        <v>3.5351922845321564E+40</v>
      </c>
      <c r="I406" s="16">
        <v>154.14324999999999</v>
      </c>
      <c r="J406" s="45">
        <v>1</v>
      </c>
      <c r="K406" s="19">
        <f t="shared" si="47"/>
        <v>162.11433125394211</v>
      </c>
      <c r="L406" s="16">
        <f t="shared" si="48"/>
        <v>63.538136356947433</v>
      </c>
    </row>
    <row r="407" spans="1:12" x14ac:dyDescent="0.25">
      <c r="A407" s="16">
        <v>20</v>
      </c>
      <c r="B407" s="45">
        <f t="shared" si="42"/>
        <v>20000</v>
      </c>
      <c r="C407" s="16">
        <f t="shared" si="43"/>
        <v>65.9258084641789</v>
      </c>
      <c r="D407" s="15">
        <f t="shared" si="44"/>
        <v>6.1713551600000002E+20</v>
      </c>
      <c r="E407" s="15">
        <f>IF($C407=0,0,FORECAST($C407, OFFSET('De Vaucouleurs Deprojection'!$F$2:$F$127, MATCH($C407, 'De Vaucouleurs Deprojection'!$A$2:$A$127,1)-1,0,2), OFFSET('De Vaucouleurs Deprojection'!$A$2:$A$127, MATCH($C407, 'De Vaucouleurs Deprojection'!$A$2:$A$127,1)-1,0,2))*QESTotalBulgeMass)</f>
        <v>8.8405313329418322E+39</v>
      </c>
      <c r="F407" s="15">
        <f t="shared" si="45"/>
        <v>2.6511419235753625E+40</v>
      </c>
      <c r="H407" s="18">
        <f t="shared" si="46"/>
        <v>3.5351950568695458E+40</v>
      </c>
      <c r="I407" s="16">
        <v>154.01067</v>
      </c>
      <c r="J407" s="45">
        <v>1</v>
      </c>
      <c r="K407" s="19">
        <f t="shared" si="47"/>
        <v>162.25824761174414</v>
      </c>
      <c r="L407" s="16">
        <f t="shared" si="48"/>
        <v>68.022536461743073</v>
      </c>
    </row>
    <row r="408" spans="1:12" x14ac:dyDescent="0.25">
      <c r="A408" s="16">
        <v>20.05</v>
      </c>
      <c r="B408" s="45">
        <f t="shared" si="42"/>
        <v>20050</v>
      </c>
      <c r="C408" s="16">
        <f t="shared" si="43"/>
        <v>66.090622985339351</v>
      </c>
      <c r="D408" s="15">
        <f t="shared" si="44"/>
        <v>6.1867835478999997E+20</v>
      </c>
      <c r="E408" s="15">
        <f>IF($C408=0,0,FORECAST($C408, OFFSET('De Vaucouleurs Deprojection'!$F$2:$F$127, MATCH($C408, 'De Vaucouleurs Deprojection'!$A$2:$A$127,1)-1,0,2), OFFSET('De Vaucouleurs Deprojection'!$A$2:$A$127, MATCH($C408, 'De Vaucouleurs Deprojection'!$A$2:$A$127,1)-1,0,2))*QESTotalBulgeMass)</f>
        <v>8.8405590295213462E+39</v>
      </c>
      <c r="F408" s="15">
        <f t="shared" si="45"/>
        <v>2.6511419261252849E+40</v>
      </c>
      <c r="H408" s="18">
        <f t="shared" si="46"/>
        <v>3.5351978290774196E+40</v>
      </c>
      <c r="I408" s="16">
        <v>153.87711999999999</v>
      </c>
      <c r="J408" s="45">
        <v>1</v>
      </c>
      <c r="K408" s="19">
        <f t="shared" si="47"/>
        <v>162.40218352293968</v>
      </c>
      <c r="L408" s="16">
        <f t="shared" si="48"/>
        <v>72.676708070156863</v>
      </c>
    </row>
    <row r="409" spans="1:12" x14ac:dyDescent="0.25">
      <c r="A409" s="16">
        <v>20.100000000000001</v>
      </c>
      <c r="B409" s="45">
        <f t="shared" si="42"/>
        <v>20100</v>
      </c>
      <c r="C409" s="16">
        <f t="shared" si="43"/>
        <v>66.255437506499803</v>
      </c>
      <c r="D409" s="15">
        <f t="shared" si="44"/>
        <v>6.2022119358000005E+20</v>
      </c>
      <c r="E409" s="15">
        <f>IF($C409=0,0,FORECAST($C409, OFFSET('De Vaucouleurs Deprojection'!$F$2:$F$127, MATCH($C409, 'De Vaucouleurs Deprojection'!$A$2:$A$127,1)-1,0,2), OFFSET('De Vaucouleurs Deprojection'!$A$2:$A$127, MATCH($C409, 'De Vaucouleurs Deprojection'!$A$2:$A$127,1)-1,0,2))*QESTotalBulgeMass)</f>
        <v>8.8405867261008577E+39</v>
      </c>
      <c r="F409" s="15">
        <f t="shared" si="45"/>
        <v>2.6511419285519375E+40</v>
      </c>
      <c r="H409" s="18">
        <f t="shared" si="46"/>
        <v>3.5352006011620232E+40</v>
      </c>
      <c r="I409" s="16">
        <v>153.74225999999999</v>
      </c>
      <c r="J409" s="45">
        <v>1</v>
      </c>
      <c r="K409" s="19">
        <f t="shared" si="47"/>
        <v>162.546137838905</v>
      </c>
      <c r="L409" s="16">
        <f t="shared" si="48"/>
        <v>77.508265002362734</v>
      </c>
    </row>
    <row r="410" spans="1:12" x14ac:dyDescent="0.25">
      <c r="A410" s="16">
        <v>20.149999999999999</v>
      </c>
      <c r="B410" s="45">
        <f t="shared" si="42"/>
        <v>20150</v>
      </c>
      <c r="C410" s="16">
        <f t="shared" si="43"/>
        <v>66.420252027660254</v>
      </c>
      <c r="D410" s="15">
        <f t="shared" si="44"/>
        <v>6.2176403237E+20</v>
      </c>
      <c r="E410" s="15">
        <f>IF($C410=0,0,FORECAST($C410, OFFSET('De Vaucouleurs Deprojection'!$F$2:$F$127, MATCH($C410, 'De Vaucouleurs Deprojection'!$A$2:$A$127,1)-1,0,2), OFFSET('De Vaucouleurs Deprojection'!$A$2:$A$127, MATCH($C410, 'De Vaucouleurs Deprojection'!$A$2:$A$127,1)-1,0,2))*QESTotalBulgeMass)</f>
        <v>8.8406144226803705E+39</v>
      </c>
      <c r="F410" s="15">
        <f t="shared" si="45"/>
        <v>2.6511419308612644E+40</v>
      </c>
      <c r="H410" s="18">
        <f t="shared" si="46"/>
        <v>3.5352033731293014E+40</v>
      </c>
      <c r="I410" s="16">
        <v>153.60563999999999</v>
      </c>
      <c r="J410" s="45">
        <v>1</v>
      </c>
      <c r="K410" s="19">
        <f t="shared" si="47"/>
        <v>162.69010942594971</v>
      </c>
      <c r="L410" s="16">
        <f t="shared" si="48"/>
        <v>82.52758475101524</v>
      </c>
    </row>
    <row r="411" spans="1:12" x14ac:dyDescent="0.25">
      <c r="A411" s="16">
        <v>20.2</v>
      </c>
      <c r="B411" s="45">
        <f t="shared" si="42"/>
        <v>20200</v>
      </c>
      <c r="C411" s="16">
        <f t="shared" si="43"/>
        <v>66.585066548820691</v>
      </c>
      <c r="D411" s="15">
        <f t="shared" si="44"/>
        <v>6.2330687115999995E+20</v>
      </c>
      <c r="E411" s="15">
        <f>IF($C411=0,0,FORECAST($C411, OFFSET('De Vaucouleurs Deprojection'!$F$2:$F$127, MATCH($C411, 'De Vaucouleurs Deprojection'!$A$2:$A$127,1)-1,0,2), OFFSET('De Vaucouleurs Deprojection'!$A$2:$A$127, MATCH($C411, 'De Vaucouleurs Deprojection'!$A$2:$A$127,1)-1,0,2))*QESTotalBulgeMass)</f>
        <v>8.8406421192598833E+39</v>
      </c>
      <c r="F411" s="15">
        <f t="shared" si="45"/>
        <v>2.6511419330589247E+40</v>
      </c>
      <c r="H411" s="18">
        <f t="shared" si="46"/>
        <v>3.5352061449849131E+40</v>
      </c>
      <c r="I411" s="16">
        <v>153.46696</v>
      </c>
      <c r="J411" s="45">
        <v>1</v>
      </c>
      <c r="K411" s="19">
        <f t="shared" si="47"/>
        <v>162.83409716511764</v>
      </c>
      <c r="L411" s="16">
        <f t="shared" si="48"/>
        <v>87.743258670128142</v>
      </c>
    </row>
    <row r="412" spans="1:12" x14ac:dyDescent="0.25">
      <c r="A412" s="16">
        <v>20.25</v>
      </c>
      <c r="B412" s="45">
        <f t="shared" si="42"/>
        <v>20250</v>
      </c>
      <c r="C412" s="16">
        <f t="shared" si="43"/>
        <v>66.749881069981143</v>
      </c>
      <c r="D412" s="15">
        <f t="shared" si="44"/>
        <v>6.2484970995000004E+20</v>
      </c>
      <c r="E412" s="15">
        <f>IF($C412=0,0,FORECAST($C412, OFFSET('De Vaucouleurs Deprojection'!$F$2:$F$127, MATCH($C412, 'De Vaucouleurs Deprojection'!$A$2:$A$127,1)-1,0,2), OFFSET('De Vaucouleurs Deprojection'!$A$2:$A$127, MATCH($C412, 'De Vaucouleurs Deprojection'!$A$2:$A$127,1)-1,0,2))*QESTotalBulgeMass)</f>
        <v>8.8406698158393961E+39</v>
      </c>
      <c r="F412" s="15">
        <f t="shared" si="45"/>
        <v>2.6511419351503054E+40</v>
      </c>
      <c r="H412" s="18">
        <f t="shared" si="46"/>
        <v>3.5352089167342453E+40</v>
      </c>
      <c r="I412" s="16">
        <v>153.32623000000001</v>
      </c>
      <c r="J412" s="45">
        <v>1</v>
      </c>
      <c r="K412" s="19">
        <f t="shared" si="47"/>
        <v>162.97809995199063</v>
      </c>
      <c r="L412" s="16">
        <f t="shared" si="48"/>
        <v>93.158593570139402</v>
      </c>
    </row>
    <row r="413" spans="1:12" x14ac:dyDescent="0.25">
      <c r="A413" s="16">
        <v>20.3</v>
      </c>
      <c r="B413" s="45">
        <f t="shared" si="42"/>
        <v>20300</v>
      </c>
      <c r="C413" s="16">
        <f t="shared" si="43"/>
        <v>66.914695591141594</v>
      </c>
      <c r="D413" s="15">
        <f t="shared" si="44"/>
        <v>6.2639254873999999E+20</v>
      </c>
      <c r="E413" s="15">
        <f>IF($C413=0,0,FORECAST($C413, OFFSET('De Vaucouleurs Deprojection'!$F$2:$F$127, MATCH($C413, 'De Vaucouleurs Deprojection'!$A$2:$A$127,1)-1,0,2), OFFSET('De Vaucouleurs Deprojection'!$A$2:$A$127, MATCH($C413, 'De Vaucouleurs Deprojection'!$A$2:$A$127,1)-1,0,2))*QESTotalBulgeMass)</f>
        <v>8.8406975124189088E+39</v>
      </c>
      <c r="F413" s="15">
        <f t="shared" si="45"/>
        <v>2.6511419371405339E+40</v>
      </c>
      <c r="H413" s="18">
        <f t="shared" si="46"/>
        <v>3.5352116883824246E+40</v>
      </c>
      <c r="I413" s="16">
        <v>153.18358000000001</v>
      </c>
      <c r="J413" s="45">
        <v>1</v>
      </c>
      <c r="K413" s="19">
        <f t="shared" si="47"/>
        <v>163.12211669649497</v>
      </c>
      <c r="L413" s="16">
        <f t="shared" si="48"/>
        <v>98.77451166757703</v>
      </c>
    </row>
    <row r="414" spans="1:12" x14ac:dyDescent="0.25">
      <c r="A414" s="16">
        <v>20.350000000000001</v>
      </c>
      <c r="B414" s="45">
        <f t="shared" si="42"/>
        <v>20350</v>
      </c>
      <c r="C414" s="16">
        <f t="shared" si="43"/>
        <v>67.079510112302032</v>
      </c>
      <c r="D414" s="15">
        <f t="shared" si="44"/>
        <v>6.2793538753000007E+20</v>
      </c>
      <c r="E414" s="15">
        <f>IF($C414=0,0,FORECAST($C414, OFFSET('De Vaucouleurs Deprojection'!$F$2:$F$127, MATCH($C414, 'De Vaucouleurs Deprojection'!$A$2:$A$127,1)-1,0,2), OFFSET('De Vaucouleurs Deprojection'!$A$2:$A$127, MATCH($C414, 'De Vaucouleurs Deprojection'!$A$2:$A$127,1)-1,0,2))*QESTotalBulgeMass)</f>
        <v>8.8407252089984216E+39</v>
      </c>
      <c r="F414" s="15">
        <f t="shared" si="45"/>
        <v>2.6511419390344912E+40</v>
      </c>
      <c r="H414" s="18">
        <f t="shared" si="46"/>
        <v>3.5352144599343334E+40</v>
      </c>
      <c r="I414" s="16">
        <v>153.03912</v>
      </c>
      <c r="J414" s="45">
        <v>1</v>
      </c>
      <c r="K414" s="19">
        <f t="shared" si="47"/>
        <v>163.26614632271131</v>
      </c>
      <c r="L414" s="16">
        <f t="shared" si="48"/>
        <v>104.59206740543003</v>
      </c>
    </row>
    <row r="415" spans="1:12" x14ac:dyDescent="0.25">
      <c r="A415" s="16">
        <v>20.399999999999999</v>
      </c>
      <c r="B415" s="45">
        <f t="shared" si="42"/>
        <v>20400</v>
      </c>
      <c r="C415" s="16">
        <f t="shared" si="43"/>
        <v>67.244324633462483</v>
      </c>
      <c r="D415" s="15">
        <f t="shared" si="44"/>
        <v>6.2947822631999989E+20</v>
      </c>
      <c r="E415" s="15">
        <f>IF($C415=0,0,FORECAST($C415, OFFSET('De Vaucouleurs Deprojection'!$F$2:$F$127, MATCH($C415, 'De Vaucouleurs Deprojection'!$A$2:$A$127,1)-1,0,2), OFFSET('De Vaucouleurs Deprojection'!$A$2:$A$127, MATCH($C415, 'De Vaucouleurs Deprojection'!$A$2:$A$127,1)-1,0,2))*QESTotalBulgeMass)</f>
        <v>8.8407529055779356E+39</v>
      </c>
      <c r="F415" s="15">
        <f t="shared" si="45"/>
        <v>2.6511419408368231E+40</v>
      </c>
      <c r="H415" s="18">
        <f t="shared" si="46"/>
        <v>3.5352172313946167E+40</v>
      </c>
      <c r="I415" s="16">
        <v>152.89265</v>
      </c>
      <c r="J415" s="45">
        <v>1</v>
      </c>
      <c r="K415" s="19">
        <f t="shared" si="47"/>
        <v>163.41018776868654</v>
      </c>
      <c r="L415" s="16">
        <f t="shared" si="48"/>
        <v>110.61860071574779</v>
      </c>
    </row>
    <row r="416" spans="1:12" x14ac:dyDescent="0.25">
      <c r="A416" s="16">
        <v>20.45</v>
      </c>
      <c r="B416" s="45">
        <f t="shared" si="42"/>
        <v>20450</v>
      </c>
      <c r="C416" s="16">
        <f t="shared" si="43"/>
        <v>67.409139154622935</v>
      </c>
      <c r="D416" s="15">
        <f t="shared" si="44"/>
        <v>6.3102106510999998E+20</v>
      </c>
      <c r="E416" s="15">
        <f>IF($C416=0,0,FORECAST($C416, OFFSET('De Vaucouleurs Deprojection'!$F$2:$F$127, MATCH($C416, 'De Vaucouleurs Deprojection'!$A$2:$A$127,1)-1,0,2), OFFSET('De Vaucouleurs Deprojection'!$A$2:$A$127, MATCH($C416, 'De Vaucouleurs Deprojection'!$A$2:$A$127,1)-1,0,2))*QESTotalBulgeMass)</f>
        <v>8.8407806021574484E+39</v>
      </c>
      <c r="F416" s="15">
        <f t="shared" si="45"/>
        <v>2.6511419425519518E+40</v>
      </c>
      <c r="H416" s="18">
        <f t="shared" si="46"/>
        <v>3.5352200027676968E+40</v>
      </c>
      <c r="I416" s="16">
        <v>152.74341999999999</v>
      </c>
      <c r="J416" s="45">
        <v>1</v>
      </c>
      <c r="K416" s="19">
        <f t="shared" si="47"/>
        <v>163.55423998624903</v>
      </c>
      <c r="L416" s="16">
        <f t="shared" si="48"/>
        <v>116.87382877508178</v>
      </c>
    </row>
    <row r="417" spans="1:12" x14ac:dyDescent="0.25">
      <c r="A417" s="16">
        <v>20.5</v>
      </c>
      <c r="B417" s="45">
        <f t="shared" si="42"/>
        <v>20500</v>
      </c>
      <c r="C417" s="16">
        <f t="shared" si="43"/>
        <v>67.573953675783372</v>
      </c>
      <c r="D417" s="15">
        <f t="shared" si="44"/>
        <v>6.3256390390000006E+20</v>
      </c>
      <c r="E417" s="15">
        <f>IF($C417=0,0,FORECAST($C417, OFFSET('De Vaucouleurs Deprojection'!$F$2:$F$127, MATCH($C417, 'De Vaucouleurs Deprojection'!$A$2:$A$127,1)-1,0,2), OFFSET('De Vaucouleurs Deprojection'!$A$2:$A$127, MATCH($C417, 'De Vaucouleurs Deprojection'!$A$2:$A$127,1)-1,0,2))*QESTotalBulgeMass)</f>
        <v>8.8408082987369611E+39</v>
      </c>
      <c r="F417" s="15">
        <f t="shared" si="45"/>
        <v>2.6511419441840873E+40</v>
      </c>
      <c r="H417" s="18">
        <f t="shared" si="46"/>
        <v>3.5352227740577836E+40</v>
      </c>
      <c r="I417" s="16">
        <v>152.58996999999999</v>
      </c>
      <c r="J417" s="45">
        <v>1</v>
      </c>
      <c r="K417" s="19">
        <f t="shared" si="47"/>
        <v>163.69830194082647</v>
      </c>
      <c r="L417" s="16">
        <f t="shared" si="48"/>
        <v>123.39503850758567</v>
      </c>
    </row>
    <row r="418" spans="1:12" x14ac:dyDescent="0.25">
      <c r="A418" s="16">
        <v>20.55</v>
      </c>
      <c r="B418" s="45">
        <f t="shared" si="42"/>
        <v>20550</v>
      </c>
      <c r="C418" s="16">
        <f t="shared" si="43"/>
        <v>67.738768196943823</v>
      </c>
      <c r="D418" s="15">
        <f t="shared" si="44"/>
        <v>6.3410674269000001E+20</v>
      </c>
      <c r="E418" s="15">
        <f>IF($C418=0,0,FORECAST($C418, OFFSET('De Vaucouleurs Deprojection'!$F$2:$F$127, MATCH($C418, 'De Vaucouleurs Deprojection'!$A$2:$A$127,1)-1,0,2), OFFSET('De Vaucouleurs Deprojection'!$A$2:$A$127, MATCH($C418, 'De Vaucouleurs Deprojection'!$A$2:$A$127,1)-1,0,2))*QESTotalBulgeMass)</f>
        <v>8.8408359953164739E+39</v>
      </c>
      <c r="F418" s="15">
        <f t="shared" si="45"/>
        <v>2.6511419457372354E+40</v>
      </c>
      <c r="H418" s="18">
        <f t="shared" si="46"/>
        <v>3.5352255452688826E+40</v>
      </c>
      <c r="I418" s="16">
        <v>152.43020999999999</v>
      </c>
      <c r="J418" s="45">
        <v>1</v>
      </c>
      <c r="K418" s="19">
        <f t="shared" si="47"/>
        <v>163.84237261126597</v>
      </c>
      <c r="L418" s="16">
        <f t="shared" si="48"/>
        <v>130.23745546597723</v>
      </c>
    </row>
    <row r="419" spans="1:12" x14ac:dyDescent="0.25">
      <c r="A419" s="16">
        <v>20.6</v>
      </c>
      <c r="B419" s="45">
        <f t="shared" si="42"/>
        <v>20600</v>
      </c>
      <c r="C419" s="16">
        <f t="shared" si="43"/>
        <v>67.903582718104275</v>
      </c>
      <c r="D419" s="15">
        <f t="shared" si="44"/>
        <v>6.3564958148000009E+20</v>
      </c>
      <c r="E419" s="15">
        <f>IF($C419=0,0,FORECAST($C419, OFFSET('De Vaucouleurs Deprojection'!$F$2:$F$127, MATCH($C419, 'De Vaucouleurs Deprojection'!$A$2:$A$127,1)-1,0,2), OFFSET('De Vaucouleurs Deprojection'!$A$2:$A$127, MATCH($C419, 'De Vaucouleurs Deprojection'!$A$2:$A$127,1)-1,0,2))*QESTotalBulgeMass)</f>
        <v>8.8408636918959867E+39</v>
      </c>
      <c r="F419" s="15">
        <f t="shared" si="45"/>
        <v>2.65114194721521E+40</v>
      </c>
      <c r="H419" s="18">
        <f t="shared" si="46"/>
        <v>3.5352283164048087E+40</v>
      </c>
      <c r="I419" s="16">
        <v>152.26186000000001</v>
      </c>
      <c r="J419" s="45">
        <v>1</v>
      </c>
      <c r="K419" s="19">
        <f t="shared" si="47"/>
        <v>163.98645098965756</v>
      </c>
      <c r="L419" s="16">
        <f t="shared" si="48"/>
        <v>137.46603387475884</v>
      </c>
    </row>
    <row r="420" spans="1:12" x14ac:dyDescent="0.25">
      <c r="A420" s="16">
        <v>20.65</v>
      </c>
      <c r="B420" s="45">
        <f t="shared" si="42"/>
        <v>20650</v>
      </c>
      <c r="C420" s="16">
        <f t="shared" si="43"/>
        <v>68.068397239264726</v>
      </c>
      <c r="D420" s="15">
        <f t="shared" si="44"/>
        <v>6.3719242026999992E+20</v>
      </c>
      <c r="E420" s="15">
        <f>IF($C420=0,0,FORECAST($C420, OFFSET('De Vaucouleurs Deprojection'!$F$2:$F$127, MATCH($C420, 'De Vaucouleurs Deprojection'!$A$2:$A$127,1)-1,0,2), OFFSET('De Vaucouleurs Deprojection'!$A$2:$A$127, MATCH($C420, 'De Vaucouleurs Deprojection'!$A$2:$A$127,1)-1,0,2))*QESTotalBulgeMass)</f>
        <v>8.8408913884754983E+39</v>
      </c>
      <c r="F420" s="15">
        <f t="shared" si="45"/>
        <v>2.6511419486216424E+40</v>
      </c>
      <c r="H420" s="18">
        <f t="shared" si="46"/>
        <v>3.5352310874691925E+40</v>
      </c>
      <c r="I420" s="16">
        <v>152.08278999999999</v>
      </c>
      <c r="J420" s="45">
        <v>1</v>
      </c>
      <c r="K420" s="19">
        <f t="shared" si="47"/>
        <v>164.13053608115933</v>
      </c>
      <c r="L420" s="16">
        <f t="shared" si="48"/>
        <v>145.14818563609037</v>
      </c>
    </row>
    <row r="421" spans="1:12" x14ac:dyDescent="0.25">
      <c r="A421" s="16">
        <v>20.7</v>
      </c>
      <c r="B421" s="45">
        <f t="shared" si="42"/>
        <v>20700</v>
      </c>
      <c r="C421" s="16">
        <f t="shared" si="43"/>
        <v>68.233211760425164</v>
      </c>
      <c r="D421" s="15">
        <f t="shared" si="44"/>
        <v>6.3873525906E+20</v>
      </c>
      <c r="E421" s="15">
        <f>IF($C421=0,0,FORECAST($C421, OFFSET('De Vaucouleurs Deprojection'!$F$2:$F$127, MATCH($C421, 'De Vaucouleurs Deprojection'!$A$2:$A$127,1)-1,0,2), OFFSET('De Vaucouleurs Deprojection'!$A$2:$A$127, MATCH($C421, 'De Vaucouleurs Deprojection'!$A$2:$A$127,1)-1,0,2))*QESTotalBulgeMass)</f>
        <v>8.8409190850550122E+39</v>
      </c>
      <c r="F421" s="15">
        <f t="shared" si="45"/>
        <v>2.6511419499599862E+40</v>
      </c>
      <c r="H421" s="18">
        <f t="shared" si="46"/>
        <v>3.5352338584654876E+40</v>
      </c>
      <c r="I421" s="16">
        <v>151.89116999999999</v>
      </c>
      <c r="J421" s="45">
        <v>1</v>
      </c>
      <c r="K421" s="19">
        <f t="shared" si="47"/>
        <v>164.274626903826</v>
      </c>
      <c r="L421" s="16">
        <f t="shared" si="48"/>
        <v>153.3500048889162</v>
      </c>
    </row>
    <row r="422" spans="1:12" x14ac:dyDescent="0.25">
      <c r="A422" s="16">
        <v>20.75</v>
      </c>
      <c r="B422" s="45">
        <f t="shared" si="42"/>
        <v>20750</v>
      </c>
      <c r="C422" s="16">
        <f t="shared" si="43"/>
        <v>68.398026281585615</v>
      </c>
      <c r="D422" s="15">
        <f t="shared" si="44"/>
        <v>6.4027809784999995E+20</v>
      </c>
      <c r="E422" s="15">
        <f>IF($C422=0,0,FORECAST($C422, OFFSET('De Vaucouleurs Deprojection'!$F$2:$F$127, MATCH($C422, 'De Vaucouleurs Deprojection'!$A$2:$A$127,1)-1,0,2), OFFSET('De Vaucouleurs Deprojection'!$A$2:$A$127, MATCH($C422, 'De Vaucouleurs Deprojection'!$A$2:$A$127,1)-1,0,2))*QESTotalBulgeMass)</f>
        <v>8.840946781634525E+39</v>
      </c>
      <c r="F422" s="15">
        <f t="shared" si="45"/>
        <v>2.6511419512335315E+40</v>
      </c>
      <c r="H422" s="18">
        <f t="shared" si="46"/>
        <v>3.5352366293969839E+40</v>
      </c>
      <c r="I422" s="16">
        <v>151.68507</v>
      </c>
      <c r="J422" s="45">
        <v>1</v>
      </c>
      <c r="K422" s="19">
        <f t="shared" si="47"/>
        <v>164.41872248843927</v>
      </c>
      <c r="L422" s="16">
        <f t="shared" si="48"/>
        <v>162.14590569633577</v>
      </c>
    </row>
    <row r="423" spans="1:12" x14ac:dyDescent="0.25">
      <c r="A423" s="16">
        <v>20.8</v>
      </c>
      <c r="B423" s="45">
        <f t="shared" si="42"/>
        <v>20800</v>
      </c>
      <c r="C423" s="16">
        <f t="shared" si="43"/>
        <v>68.562840802746067</v>
      </c>
      <c r="D423" s="15">
        <f t="shared" si="44"/>
        <v>6.4182093664000003E+20</v>
      </c>
      <c r="E423" s="15">
        <f>IF($C423=0,0,FORECAST($C423, OFFSET('De Vaucouleurs Deprojection'!$F$2:$F$127, MATCH($C423, 'De Vaucouleurs Deprojection'!$A$2:$A$127,1)-1,0,2), OFFSET('De Vaucouleurs Deprojection'!$A$2:$A$127, MATCH($C423, 'De Vaucouleurs Deprojection'!$A$2:$A$127,1)-1,0,2))*QESTotalBulgeMass)</f>
        <v>8.8409744782140378E+39</v>
      </c>
      <c r="F423" s="15">
        <f t="shared" si="45"/>
        <v>2.6511419524454076E+40</v>
      </c>
      <c r="H423" s="18">
        <f t="shared" si="46"/>
        <v>3.5352394002668113E+40</v>
      </c>
      <c r="I423" s="16">
        <v>151.46259000000001</v>
      </c>
      <c r="J423" s="45">
        <v>1</v>
      </c>
      <c r="K423" s="19">
        <f t="shared" si="47"/>
        <v>164.56282187834111</v>
      </c>
      <c r="L423" s="16">
        <f t="shared" si="48"/>
        <v>171.61607526630453</v>
      </c>
    </row>
    <row r="424" spans="1:12" x14ac:dyDescent="0.25">
      <c r="A424" s="16">
        <v>20.85</v>
      </c>
      <c r="B424" s="45">
        <f t="shared" si="42"/>
        <v>20850</v>
      </c>
      <c r="C424" s="16">
        <f t="shared" si="43"/>
        <v>68.727655323906504</v>
      </c>
      <c r="D424" s="15">
        <f t="shared" si="44"/>
        <v>6.4336377542999998E+20</v>
      </c>
      <c r="E424" s="15">
        <f>IF($C424=0,0,FORECAST($C424, OFFSET('De Vaucouleurs Deprojection'!$F$2:$F$127, MATCH($C424, 'De Vaucouleurs Deprojection'!$A$2:$A$127,1)-1,0,2), OFFSET('De Vaucouleurs Deprojection'!$A$2:$A$127, MATCH($C424, 'De Vaucouleurs Deprojection'!$A$2:$A$127,1)-1,0,2))*QESTotalBulgeMass)</f>
        <v>8.8410021747935506E+39</v>
      </c>
      <c r="F424" s="15">
        <f t="shared" si="45"/>
        <v>2.6511419535985951E+40</v>
      </c>
      <c r="H424" s="18">
        <f t="shared" si="46"/>
        <v>3.5352421710779503E+40</v>
      </c>
      <c r="I424" s="16">
        <v>151.22234</v>
      </c>
      <c r="J424" s="45">
        <v>1</v>
      </c>
      <c r="K424" s="19">
        <f t="shared" si="47"/>
        <v>164.70692412926917</v>
      </c>
      <c r="L424" s="16">
        <f t="shared" si="48"/>
        <v>181.83400913933787</v>
      </c>
    </row>
    <row r="425" spans="1:12" x14ac:dyDescent="0.25">
      <c r="A425" s="16">
        <v>20.9</v>
      </c>
      <c r="B425" s="45">
        <f t="shared" si="42"/>
        <v>20900</v>
      </c>
      <c r="C425" s="16">
        <f t="shared" si="43"/>
        <v>68.892469845066955</v>
      </c>
      <c r="D425" s="15">
        <f t="shared" si="44"/>
        <v>6.4490661421999994E+20</v>
      </c>
      <c r="E425" s="15">
        <f>IF($C425=0,0,FORECAST($C425, OFFSET('De Vaucouleurs Deprojection'!$F$2:$F$127, MATCH($C425, 'De Vaucouleurs Deprojection'!$A$2:$A$127,1)-1,0,2), OFFSET('De Vaucouleurs Deprojection'!$A$2:$A$127, MATCH($C425, 'De Vaucouleurs Deprojection'!$A$2:$A$127,1)-1,0,2))*QESTotalBulgeMass)</f>
        <v>8.8410298713730633E+39</v>
      </c>
      <c r="F425" s="15">
        <f t="shared" si="45"/>
        <v>2.6511419546959294E+40</v>
      </c>
      <c r="H425" s="18">
        <f t="shared" si="46"/>
        <v>3.5352449418332359E+40</v>
      </c>
      <c r="I425" s="16">
        <v>150.96474000000001</v>
      </c>
      <c r="J425" s="45">
        <v>1</v>
      </c>
      <c r="K425" s="19">
        <f t="shared" si="47"/>
        <v>164.85102830919485</v>
      </c>
      <c r="L425" s="16">
        <f t="shared" si="48"/>
        <v>192.82900300608125</v>
      </c>
    </row>
    <row r="426" spans="1:12" x14ac:dyDescent="0.25">
      <c r="A426" s="16">
        <v>20.95</v>
      </c>
      <c r="B426" s="45">
        <f t="shared" si="42"/>
        <v>20950</v>
      </c>
      <c r="C426" s="16">
        <f t="shared" si="43"/>
        <v>69.057284366227407</v>
      </c>
      <c r="D426" s="15">
        <f t="shared" si="44"/>
        <v>6.4644945301000002E+20</v>
      </c>
      <c r="E426" s="15">
        <f>IF($C426=0,0,FORECAST($C426, OFFSET('De Vaucouleurs Deprojection'!$F$2:$F$127, MATCH($C426, 'De Vaucouleurs Deprojection'!$A$2:$A$127,1)-1,0,2), OFFSET('De Vaucouleurs Deprojection'!$A$2:$A$127, MATCH($C426, 'De Vaucouleurs Deprojection'!$A$2:$A$127,1)-1,0,2))*QESTotalBulgeMass)</f>
        <v>8.8410575679525761E+39</v>
      </c>
      <c r="F426" s="15">
        <f t="shared" si="45"/>
        <v>2.6511419557401091E+40</v>
      </c>
      <c r="H426" s="18">
        <f t="shared" si="46"/>
        <v>3.5352477125353666E+40</v>
      </c>
      <c r="I426" s="16">
        <v>150.69211999999999</v>
      </c>
      <c r="J426" s="45">
        <v>1</v>
      </c>
      <c r="K426" s="19">
        <f t="shared" si="47"/>
        <v>164.99513349816323</v>
      </c>
      <c r="L426" s="16">
        <f t="shared" si="48"/>
        <v>204.5761951286398</v>
      </c>
    </row>
    <row r="427" spans="1:12" x14ac:dyDescent="0.25">
      <c r="A427" s="16">
        <v>21</v>
      </c>
      <c r="B427" s="45">
        <f t="shared" si="42"/>
        <v>21000</v>
      </c>
      <c r="C427" s="16">
        <f t="shared" si="43"/>
        <v>69.222098887387844</v>
      </c>
      <c r="D427" s="15">
        <f t="shared" si="44"/>
        <v>6.4799229179999997E+20</v>
      </c>
      <c r="E427" s="15">
        <f>IF($C427=0,0,FORECAST($C427, OFFSET('De Vaucouleurs Deprojection'!$F$2:$F$127, MATCH($C427, 'De Vaucouleurs Deprojection'!$A$2:$A$127,1)-1,0,2), OFFSET('De Vaucouleurs Deprojection'!$A$2:$A$127, MATCH($C427, 'De Vaucouleurs Deprojection'!$A$2:$A$127,1)-1,0,2))*QESTotalBulgeMass)</f>
        <v>8.8410852645320901E+39</v>
      </c>
      <c r="F427" s="15">
        <f t="shared" si="45"/>
        <v>2.6511419567337039E+40</v>
      </c>
      <c r="H427" s="18">
        <f t="shared" si="46"/>
        <v>3.5352504831869128E+40</v>
      </c>
      <c r="I427" s="16">
        <v>150.40822</v>
      </c>
      <c r="J427" s="45">
        <v>1</v>
      </c>
      <c r="K427" s="19">
        <f t="shared" si="47"/>
        <v>165.13923878813594</v>
      </c>
      <c r="L427" s="16">
        <f t="shared" si="48"/>
        <v>217.0029145364141</v>
      </c>
    </row>
    <row r="428" spans="1:12" x14ac:dyDescent="0.25">
      <c r="A428" s="16">
        <v>21.05</v>
      </c>
      <c r="B428" s="45">
        <f t="shared" si="42"/>
        <v>21050</v>
      </c>
      <c r="C428" s="16">
        <f t="shared" si="43"/>
        <v>69.386913408548295</v>
      </c>
      <c r="D428" s="15">
        <f t="shared" si="44"/>
        <v>6.4953513059000005E+20</v>
      </c>
      <c r="E428" s="15">
        <f>IF($C428=0,0,FORECAST($C428, OFFSET('De Vaucouleurs Deprojection'!$F$2:$F$127, MATCH($C428, 'De Vaucouleurs Deprojection'!$A$2:$A$127,1)-1,0,2), OFFSET('De Vaucouleurs Deprojection'!$A$2:$A$127, MATCH($C428, 'De Vaucouleurs Deprojection'!$A$2:$A$127,1)-1,0,2))*QESTotalBulgeMass)</f>
        <v>8.8411129611116029E+39</v>
      </c>
      <c r="F428" s="15">
        <f t="shared" si="45"/>
        <v>2.6511419576791589E+40</v>
      </c>
      <c r="H428" s="18">
        <f t="shared" si="46"/>
        <v>3.5352532537903191E+40</v>
      </c>
      <c r="I428" s="16">
        <v>150.11685</v>
      </c>
      <c r="J428" s="45">
        <v>1</v>
      </c>
      <c r="K428" s="19">
        <f t="shared" si="47"/>
        <v>165.28334328283583</v>
      </c>
      <c r="L428" s="16">
        <f t="shared" si="48"/>
        <v>230.02251849830435</v>
      </c>
    </row>
    <row r="429" spans="1:12" x14ac:dyDescent="0.25">
      <c r="A429" s="16">
        <v>21.1</v>
      </c>
      <c r="B429" s="45">
        <f t="shared" si="42"/>
        <v>21100</v>
      </c>
      <c r="C429" s="16">
        <f t="shared" si="43"/>
        <v>69.551727929708747</v>
      </c>
      <c r="D429" s="15">
        <f t="shared" si="44"/>
        <v>6.5107796938000001E+20</v>
      </c>
      <c r="E429" s="15">
        <f>IF($C429=0,0,FORECAST($C429, OFFSET('De Vaucouleurs Deprojection'!$F$2:$F$127, MATCH($C429, 'De Vaucouleurs Deprojection'!$A$2:$A$127,1)-1,0,2), OFFSET('De Vaucouleurs Deprojection'!$A$2:$A$127, MATCH($C429, 'De Vaucouleurs Deprojection'!$A$2:$A$127,1)-1,0,2))*QESTotalBulgeMass)</f>
        <v>8.8411406576911144E+39</v>
      </c>
      <c r="F429" s="15">
        <f t="shared" si="45"/>
        <v>2.6511419585788018E+40</v>
      </c>
      <c r="H429" s="18">
        <f t="shared" si="46"/>
        <v>3.535256024347913E+40</v>
      </c>
      <c r="I429" s="16">
        <v>149.82121000000001</v>
      </c>
      <c r="J429" s="45">
        <v>1</v>
      </c>
      <c r="K429" s="19">
        <f t="shared" si="47"/>
        <v>165.42744609759387</v>
      </c>
      <c r="L429" s="16">
        <f t="shared" si="48"/>
        <v>243.55460513384176</v>
      </c>
    </row>
    <row r="430" spans="1:12" x14ac:dyDescent="0.25">
      <c r="A430" s="16">
        <v>21.15</v>
      </c>
      <c r="B430" s="45">
        <f t="shared" si="42"/>
        <v>21150</v>
      </c>
      <c r="C430" s="16">
        <f t="shared" si="43"/>
        <v>69.716542450869198</v>
      </c>
      <c r="D430" s="15">
        <f t="shared" si="44"/>
        <v>6.5262080816999996E+20</v>
      </c>
      <c r="E430" s="15">
        <f>IF($C430=0,0,FORECAST($C430, OFFSET('De Vaucouleurs Deprojection'!$F$2:$F$127, MATCH($C430, 'De Vaucouleurs Deprojection'!$A$2:$A$127,1)-1,0,2), OFFSET('De Vaucouleurs Deprojection'!$A$2:$A$127, MATCH($C430, 'De Vaucouleurs Deprojection'!$A$2:$A$127,1)-1,0,2))*QESTotalBulgeMass)</f>
        <v>8.8411683542706272E+39</v>
      </c>
      <c r="F430" s="15">
        <f t="shared" si="45"/>
        <v>2.651141959434847E+40</v>
      </c>
      <c r="H430" s="18">
        <f t="shared" si="46"/>
        <v>3.5352587948619096E+40</v>
      </c>
      <c r="I430" s="16">
        <v>149.52387999999999</v>
      </c>
      <c r="J430" s="45">
        <v>1</v>
      </c>
      <c r="K430" s="19">
        <f t="shared" si="47"/>
        <v>165.57154635919863</v>
      </c>
      <c r="L430" s="16">
        <f t="shared" si="48"/>
        <v>257.52759557615587</v>
      </c>
    </row>
    <row r="431" spans="1:12" x14ac:dyDescent="0.25">
      <c r="A431" s="16">
        <v>21.2</v>
      </c>
      <c r="B431" s="45">
        <f t="shared" si="42"/>
        <v>21200</v>
      </c>
      <c r="C431" s="16">
        <f t="shared" si="43"/>
        <v>69.881356972029636</v>
      </c>
      <c r="D431" s="15">
        <f t="shared" si="44"/>
        <v>6.5416364696000004E+20</v>
      </c>
      <c r="E431" s="15">
        <f>IF($C431=0,0,FORECAST($C431, OFFSET('De Vaucouleurs Deprojection'!$F$2:$F$127, MATCH($C431, 'De Vaucouleurs Deprojection'!$A$2:$A$127,1)-1,0,2), OFFSET('De Vaucouleurs Deprojection'!$A$2:$A$127, MATCH($C431, 'De Vaucouleurs Deprojection'!$A$2:$A$127,1)-1,0,2))*QESTotalBulgeMass)</f>
        <v>8.84119605085014E+39</v>
      </c>
      <c r="F431" s="15">
        <f t="shared" si="45"/>
        <v>2.6511419602494029E+40</v>
      </c>
      <c r="H431" s="18">
        <f t="shared" si="46"/>
        <v>3.5352615653344169E+40</v>
      </c>
      <c r="I431" s="16">
        <v>149.22703999999999</v>
      </c>
      <c r="J431" s="45">
        <v>1</v>
      </c>
      <c r="K431" s="19">
        <f t="shared" si="47"/>
        <v>165.71564320574751</v>
      </c>
      <c r="L431" s="16">
        <f t="shared" si="48"/>
        <v>271.87403567658748</v>
      </c>
    </row>
    <row r="432" spans="1:12" x14ac:dyDescent="0.25">
      <c r="A432" s="16">
        <v>21.25</v>
      </c>
      <c r="B432" s="45">
        <f t="shared" si="42"/>
        <v>21250</v>
      </c>
      <c r="C432" s="16">
        <f t="shared" si="43"/>
        <v>70.046171493190087</v>
      </c>
      <c r="D432" s="15">
        <f t="shared" si="44"/>
        <v>6.5570648574999999E+20</v>
      </c>
      <c r="E432" s="15">
        <f>IF($C432=0,0,FORECAST($C432, OFFSET('De Vaucouleurs Deprojection'!$F$2:$F$127, MATCH($C432, 'De Vaucouleurs Deprojection'!$A$2:$A$127,1)-1,0,2), OFFSET('De Vaucouleurs Deprojection'!$A$2:$A$127, MATCH($C432, 'De Vaucouleurs Deprojection'!$A$2:$A$127,1)-1,0,2))*QESTotalBulgeMass)</f>
        <v>8.8412237474296527E+39</v>
      </c>
      <c r="F432" s="15">
        <f t="shared" si="45"/>
        <v>2.6511419610244761E+40</v>
      </c>
      <c r="H432" s="18">
        <f t="shared" si="46"/>
        <v>3.5352643357674415E+40</v>
      </c>
      <c r="I432" s="16">
        <v>148.93271999999999</v>
      </c>
      <c r="J432" s="45">
        <v>1</v>
      </c>
      <c r="K432" s="19">
        <f t="shared" si="47"/>
        <v>165.85973578650015</v>
      </c>
      <c r="L432" s="16">
        <f t="shared" si="48"/>
        <v>286.52386343642576</v>
      </c>
    </row>
    <row r="433" spans="1:12" x14ac:dyDescent="0.25">
      <c r="A433" s="16">
        <v>21.3</v>
      </c>
      <c r="B433" s="45">
        <f t="shared" si="42"/>
        <v>21300</v>
      </c>
      <c r="C433" s="16">
        <f t="shared" si="43"/>
        <v>70.210986014350539</v>
      </c>
      <c r="D433" s="15">
        <f t="shared" si="44"/>
        <v>6.5724932454000008E+20</v>
      </c>
      <c r="E433" s="15">
        <f>IF($C433=0,0,FORECAST($C433, OFFSET('De Vaucouleurs Deprojection'!$F$2:$F$127, MATCH($C433, 'De Vaucouleurs Deprojection'!$A$2:$A$127,1)-1,0,2), OFFSET('De Vaucouleurs Deprojection'!$A$2:$A$127, MATCH($C433, 'De Vaucouleurs Deprojection'!$A$2:$A$127,1)-1,0,2))*QESTotalBulgeMass)</f>
        <v>8.8412514440091667E+39</v>
      </c>
      <c r="F433" s="15">
        <f t="shared" si="45"/>
        <v>2.6511419617619765E+40</v>
      </c>
      <c r="H433" s="18">
        <f t="shared" si="46"/>
        <v>3.5352671061628933E+40</v>
      </c>
      <c r="I433" s="16">
        <v>148.64246</v>
      </c>
      <c r="J433" s="45">
        <v>1</v>
      </c>
      <c r="K433" s="19">
        <f t="shared" si="47"/>
        <v>166.00382326173431</v>
      </c>
      <c r="L433" s="16">
        <f t="shared" si="48"/>
        <v>301.41693430589783</v>
      </c>
    </row>
    <row r="434" spans="1:12" x14ac:dyDescent="0.25">
      <c r="A434" s="16">
        <v>21.35</v>
      </c>
      <c r="B434" s="45">
        <f t="shared" si="42"/>
        <v>21350</v>
      </c>
      <c r="C434" s="16">
        <f t="shared" si="43"/>
        <v>70.375800535510976</v>
      </c>
      <c r="D434" s="15">
        <f t="shared" si="44"/>
        <v>6.5879216333000003E+20</v>
      </c>
      <c r="E434" s="15">
        <f>IF($C434=0,0,FORECAST($C434, OFFSET('De Vaucouleurs Deprojection'!$F$2:$F$127, MATCH($C434, 'De Vaucouleurs Deprojection'!$A$2:$A$127,1)-1,0,2), OFFSET('De Vaucouleurs Deprojection'!$A$2:$A$127, MATCH($C434, 'De Vaucouleurs Deprojection'!$A$2:$A$127,1)-1,0,2))*QESTotalBulgeMass)</f>
        <v>8.8412791405886795E+39</v>
      </c>
      <c r="F434" s="15">
        <f t="shared" si="45"/>
        <v>2.6511419624637207E+40</v>
      </c>
      <c r="H434" s="18">
        <f t="shared" si="46"/>
        <v>3.5352698765225889E+40</v>
      </c>
      <c r="I434" s="16">
        <v>148.35688999999999</v>
      </c>
      <c r="J434" s="45">
        <v>1</v>
      </c>
      <c r="K434" s="19">
        <f t="shared" si="47"/>
        <v>166.14790480260325</v>
      </c>
      <c r="L434" s="16">
        <f t="shared" si="48"/>
        <v>316.52020770644822</v>
      </c>
    </row>
    <row r="435" spans="1:12" x14ac:dyDescent="0.25">
      <c r="A435" s="16">
        <v>21.4</v>
      </c>
      <c r="B435" s="45">
        <f t="shared" si="42"/>
        <v>21400</v>
      </c>
      <c r="C435" s="16">
        <f t="shared" si="43"/>
        <v>70.540615056671427</v>
      </c>
      <c r="D435" s="15">
        <f t="shared" si="44"/>
        <v>6.6033500211999998E+20</v>
      </c>
      <c r="E435" s="15">
        <f>IF($C435=0,0,FORECAST($C435, OFFSET('De Vaucouleurs Deprojection'!$F$2:$F$127, MATCH($C435, 'De Vaucouleurs Deprojection'!$A$2:$A$127,1)-1,0,2), OFFSET('De Vaucouleurs Deprojection'!$A$2:$A$127, MATCH($C435, 'De Vaucouleurs Deprojection'!$A$2:$A$127,1)-1,0,2))*QESTotalBulgeMass)</f>
        <v>8.8413068371681923E+39</v>
      </c>
      <c r="F435" s="15">
        <f t="shared" si="45"/>
        <v>2.6511419631314399E+40</v>
      </c>
      <c r="H435" s="18">
        <f t="shared" si="46"/>
        <v>3.535272646848259E+40</v>
      </c>
      <c r="I435" s="16">
        <v>148.07578000000001</v>
      </c>
      <c r="J435" s="45">
        <v>1</v>
      </c>
      <c r="K435" s="19">
        <f t="shared" si="47"/>
        <v>166.29197959099551</v>
      </c>
      <c r="L435" s="16">
        <f t="shared" si="48"/>
        <v>331.82992753898463</v>
      </c>
    </row>
    <row r="436" spans="1:12" x14ac:dyDescent="0.25">
      <c r="A436" s="16">
        <v>21.45</v>
      </c>
      <c r="B436" s="45">
        <f t="shared" si="42"/>
        <v>21450</v>
      </c>
      <c r="C436" s="16">
        <f t="shared" si="43"/>
        <v>70.705429577831879</v>
      </c>
      <c r="D436" s="15">
        <f t="shared" si="44"/>
        <v>6.6187784090999993E+20</v>
      </c>
      <c r="E436" s="15">
        <f>IF($C436=0,0,FORECAST($C436, OFFSET('De Vaucouleurs Deprojection'!$F$2:$F$127, MATCH($C436, 'De Vaucouleurs Deprojection'!$A$2:$A$127,1)-1,0,2), OFFSET('De Vaucouleurs Deprojection'!$A$2:$A$127, MATCH($C436, 'De Vaucouleurs Deprojection'!$A$2:$A$127,1)-1,0,2))*QESTotalBulgeMass)</f>
        <v>8.8413345337477051E+39</v>
      </c>
      <c r="F436" s="15">
        <f t="shared" si="45"/>
        <v>2.6511419637667793E+40</v>
      </c>
      <c r="H436" s="18">
        <f t="shared" si="46"/>
        <v>3.5352754171415498E+40</v>
      </c>
      <c r="I436" s="16">
        <v>147.79826</v>
      </c>
      <c r="J436" s="45">
        <v>1</v>
      </c>
      <c r="K436" s="19">
        <f t="shared" si="47"/>
        <v>166.43604681939664</v>
      </c>
      <c r="L436" s="16">
        <f t="shared" si="48"/>
        <v>347.36709752527503</v>
      </c>
    </row>
    <row r="437" spans="1:12" x14ac:dyDescent="0.25">
      <c r="A437" s="16">
        <v>21.5</v>
      </c>
      <c r="B437" s="45">
        <f t="shared" si="42"/>
        <v>21500</v>
      </c>
      <c r="C437" s="16">
        <f t="shared" si="43"/>
        <v>70.87024409899233</v>
      </c>
      <c r="D437" s="15">
        <f t="shared" si="44"/>
        <v>6.6342067970000001E+20</v>
      </c>
      <c r="E437" s="15">
        <f>IF($C437=0,0,FORECAST($C437, OFFSET('De Vaucouleurs Deprojection'!$F$2:$F$127, MATCH($C437, 'De Vaucouleurs Deprojection'!$A$2:$A$127,1)-1,0,2), OFFSET('De Vaucouleurs Deprojection'!$A$2:$A$127, MATCH($C437, 'De Vaucouleurs Deprojection'!$A$2:$A$127,1)-1,0,2))*QESTotalBulgeMass)</f>
        <v>8.8413622303272178E+39</v>
      </c>
      <c r="F437" s="15">
        <f t="shared" si="45"/>
        <v>2.6511419643713065E+40</v>
      </c>
      <c r="H437" s="18">
        <f t="shared" si="46"/>
        <v>3.5352781874040284E+40</v>
      </c>
      <c r="I437" s="16">
        <v>147.52343999999999</v>
      </c>
      <c r="J437" s="45">
        <v>1</v>
      </c>
      <c r="K437" s="19">
        <f t="shared" si="47"/>
        <v>166.5801056907527</v>
      </c>
      <c r="L437" s="16">
        <f t="shared" si="48"/>
        <v>363.15650724911143</v>
      </c>
    </row>
    <row r="438" spans="1:12" x14ac:dyDescent="0.25">
      <c r="A438" s="16">
        <v>21.55</v>
      </c>
      <c r="B438" s="45">
        <f t="shared" si="42"/>
        <v>21550</v>
      </c>
      <c r="C438" s="16">
        <f t="shared" si="43"/>
        <v>71.035058620152768</v>
      </c>
      <c r="D438" s="15">
        <f t="shared" si="44"/>
        <v>6.6496351848999997E+20</v>
      </c>
      <c r="E438" s="15">
        <f>IF($C438=0,0,FORECAST($C438, OFFSET('De Vaucouleurs Deprojection'!$F$2:$F$127, MATCH($C438, 'De Vaucouleurs Deprojection'!$A$2:$A$127,1)-1,0,2), OFFSET('De Vaucouleurs Deprojection'!$A$2:$A$127, MATCH($C438, 'De Vaucouleurs Deprojection'!$A$2:$A$127,1)-1,0,2))*QESTotalBulgeMass)</f>
        <v>8.8413899269067306E+39</v>
      </c>
      <c r="F438" s="15">
        <f t="shared" si="45"/>
        <v>2.6511419649465125E+40</v>
      </c>
      <c r="H438" s="18">
        <f t="shared" si="46"/>
        <v>3.5352809576371858E+40</v>
      </c>
      <c r="I438" s="16">
        <v>147.25055</v>
      </c>
      <c r="J438" s="45">
        <v>1</v>
      </c>
      <c r="K438" s="19">
        <f t="shared" si="47"/>
        <v>166.72415541833593</v>
      </c>
      <c r="L438" s="16">
        <f t="shared" si="48"/>
        <v>379.22130798904215</v>
      </c>
    </row>
    <row r="439" spans="1:12" x14ac:dyDescent="0.25">
      <c r="A439" s="16">
        <v>21.6</v>
      </c>
      <c r="B439" s="45">
        <f t="shared" si="42"/>
        <v>21600</v>
      </c>
      <c r="C439" s="16">
        <f t="shared" si="43"/>
        <v>71.199873141313219</v>
      </c>
      <c r="D439" s="15">
        <f t="shared" si="44"/>
        <v>6.6650635728000005E+20</v>
      </c>
      <c r="E439" s="15">
        <f>IF($C439=0,0,FORECAST($C439, OFFSET('De Vaucouleurs Deprojection'!$F$2:$F$127, MATCH($C439, 'De Vaucouleurs Deprojection'!$A$2:$A$127,1)-1,0,2), OFFSET('De Vaucouleurs Deprojection'!$A$2:$A$127, MATCH($C439, 'De Vaucouleurs Deprojection'!$A$2:$A$127,1)-1,0,2))*QESTotalBulgeMass)</f>
        <v>8.8414176234862434E+39</v>
      </c>
      <c r="F439" s="15">
        <f t="shared" si="45"/>
        <v>2.6511419654938164E+40</v>
      </c>
      <c r="H439" s="18">
        <f t="shared" si="46"/>
        <v>3.5352837278424406E+40</v>
      </c>
      <c r="I439" s="16">
        <v>146.97914</v>
      </c>
      <c r="J439" s="45">
        <v>1</v>
      </c>
      <c r="K439" s="19">
        <f t="shared" si="47"/>
        <v>166.86819522561208</v>
      </c>
      <c r="L439" s="16">
        <f t="shared" si="48"/>
        <v>395.57451776744728</v>
      </c>
    </row>
    <row r="440" spans="1:12" x14ac:dyDescent="0.25">
      <c r="A440" s="16">
        <v>21.65</v>
      </c>
      <c r="B440" s="45">
        <f t="shared" si="42"/>
        <v>21650</v>
      </c>
      <c r="C440" s="16">
        <f t="shared" si="43"/>
        <v>71.364687662473671</v>
      </c>
      <c r="D440" s="15">
        <f t="shared" si="44"/>
        <v>6.6804919607E+20</v>
      </c>
      <c r="E440" s="15">
        <f>IF($C440=0,0,FORECAST($C440, OFFSET('De Vaucouleurs Deprojection'!$F$2:$F$127, MATCH($C440, 'De Vaucouleurs Deprojection'!$A$2:$A$127,1)-1,0,2), OFFSET('De Vaucouleurs Deprojection'!$A$2:$A$127, MATCH($C440, 'De Vaucouleurs Deprojection'!$A$2:$A$127,1)-1,0,2))*QESTotalBulgeMass)</f>
        <v>8.8414453200657561E+39</v>
      </c>
      <c r="F440" s="15">
        <f t="shared" si="45"/>
        <v>2.6511419660145689E+40</v>
      </c>
      <c r="H440" s="18">
        <f t="shared" si="46"/>
        <v>3.5352864980211445E+40</v>
      </c>
      <c r="I440" s="16">
        <v>146.70904999999999</v>
      </c>
      <c r="J440" s="45">
        <v>1</v>
      </c>
      <c r="K440" s="19">
        <f t="shared" si="47"/>
        <v>167.01222434610989</v>
      </c>
      <c r="L440" s="16">
        <f t="shared" si="48"/>
        <v>412.2188885285351</v>
      </c>
    </row>
    <row r="441" spans="1:12" x14ac:dyDescent="0.25">
      <c r="A441" s="16">
        <v>21.7</v>
      </c>
      <c r="B441" s="45">
        <f t="shared" si="42"/>
        <v>21700</v>
      </c>
      <c r="C441" s="16">
        <f t="shared" si="43"/>
        <v>71.529502183634108</v>
      </c>
      <c r="D441" s="15">
        <f t="shared" si="44"/>
        <v>6.6959203485999995E+20</v>
      </c>
      <c r="E441" s="15">
        <f>IF($C441=0,0,FORECAST($C441, OFFSET('De Vaucouleurs Deprojection'!$F$2:$F$127, MATCH($C441, 'De Vaucouleurs Deprojection'!$A$2:$A$127,1)-1,0,2), OFFSET('De Vaucouleurs Deprojection'!$A$2:$A$127, MATCH($C441, 'De Vaucouleurs Deprojection'!$A$2:$A$127,1)-1,0,2))*QESTotalBulgeMass)</f>
        <v>8.8414730166452689E+39</v>
      </c>
      <c r="F441" s="15">
        <f t="shared" si="45"/>
        <v>2.6511419665100549E+40</v>
      </c>
      <c r="H441" s="18">
        <f t="shared" si="46"/>
        <v>3.5352892681745819E+40</v>
      </c>
      <c r="I441" s="16">
        <v>146.44023000000001</v>
      </c>
      <c r="J441" s="45">
        <v>1</v>
      </c>
      <c r="K441" s="19">
        <f t="shared" si="47"/>
        <v>167.15624202329215</v>
      </c>
      <c r="L441" s="16">
        <f t="shared" si="48"/>
        <v>429.15315414918439</v>
      </c>
    </row>
    <row r="442" spans="1:12" x14ac:dyDescent="0.25">
      <c r="A442" s="16">
        <v>21.75</v>
      </c>
      <c r="B442" s="45">
        <f t="shared" si="42"/>
        <v>21750</v>
      </c>
      <c r="C442" s="16">
        <f t="shared" si="43"/>
        <v>71.694316704794559</v>
      </c>
      <c r="D442" s="15">
        <f t="shared" si="44"/>
        <v>6.7113487365000004E+20</v>
      </c>
      <c r="E442" s="15">
        <f>IF($C442=0,0,FORECAST($C442, OFFSET('De Vaucouleurs Deprojection'!$F$2:$F$127, MATCH($C442, 'De Vaucouleurs Deprojection'!$A$2:$A$127,1)-1,0,2), OFFSET('De Vaucouleurs Deprojection'!$A$2:$A$127, MATCH($C442, 'De Vaucouleurs Deprojection'!$A$2:$A$127,1)-1,0,2))*QESTotalBulgeMass)</f>
        <v>8.8415007132247817E+39</v>
      </c>
      <c r="F442" s="15">
        <f t="shared" si="45"/>
        <v>2.6511419669814992E+40</v>
      </c>
      <c r="H442" s="18">
        <f t="shared" si="46"/>
        <v>3.5352920383039772E+40</v>
      </c>
      <c r="I442" s="16">
        <v>146.17287999999999</v>
      </c>
      <c r="J442" s="45">
        <v>1</v>
      </c>
      <c r="K442" s="19">
        <f t="shared" si="47"/>
        <v>167.30024751042868</v>
      </c>
      <c r="L442" s="16">
        <f t="shared" si="48"/>
        <v>446.36565792071752</v>
      </c>
    </row>
    <row r="443" spans="1:12" x14ac:dyDescent="0.25">
      <c r="A443" s="16">
        <v>21.8</v>
      </c>
      <c r="B443" s="45">
        <f t="shared" si="42"/>
        <v>21800</v>
      </c>
      <c r="C443" s="16">
        <f t="shared" si="43"/>
        <v>71.859131225955011</v>
      </c>
      <c r="D443" s="15">
        <f t="shared" si="44"/>
        <v>6.7267771243999999E+20</v>
      </c>
      <c r="E443" s="15">
        <f>IF($C443=0,0,FORECAST($C443, OFFSET('De Vaucouleurs Deprojection'!$F$2:$F$127, MATCH($C443, 'De Vaucouleurs Deprojection'!$A$2:$A$127,1)-1,0,2), OFFSET('De Vaucouleurs Deprojection'!$A$2:$A$127, MATCH($C443, 'De Vaucouleurs Deprojection'!$A$2:$A$127,1)-1,0,2))*QESTotalBulgeMass)</f>
        <v>8.8415284098042945E+39</v>
      </c>
      <c r="F443" s="15">
        <f t="shared" si="45"/>
        <v>2.6511419674300644E+40</v>
      </c>
      <c r="H443" s="18">
        <f t="shared" si="46"/>
        <v>3.5352948084104937E+40</v>
      </c>
      <c r="I443" s="16">
        <v>145.90737999999999</v>
      </c>
      <c r="J443" s="45">
        <v>1</v>
      </c>
      <c r="K443" s="19">
        <f t="shared" si="47"/>
        <v>167.44424007047115</v>
      </c>
      <c r="L443" s="16">
        <f t="shared" si="48"/>
        <v>463.83634169505518</v>
      </c>
    </row>
    <row r="444" spans="1:12" x14ac:dyDescent="0.25">
      <c r="A444" s="16">
        <v>21.85</v>
      </c>
      <c r="B444" s="45">
        <f t="shared" si="42"/>
        <v>21850</v>
      </c>
      <c r="C444" s="16">
        <f t="shared" si="43"/>
        <v>72.023945747115448</v>
      </c>
      <c r="D444" s="15">
        <f t="shared" si="44"/>
        <v>6.7422055123000007E+20</v>
      </c>
      <c r="E444" s="15">
        <f>IF($C444=0,0,FORECAST($C444, OFFSET('De Vaucouleurs Deprojection'!$F$2:$F$127, MATCH($C444, 'De Vaucouleurs Deprojection'!$A$2:$A$127,1)-1,0,2), OFFSET('De Vaucouleurs Deprojection'!$A$2:$A$127, MATCH($C444, 'De Vaucouleurs Deprojection'!$A$2:$A$127,1)-1,0,2))*QESTotalBulgeMass)</f>
        <v>8.8415561063838072E+39</v>
      </c>
      <c r="F444" s="15">
        <f t="shared" si="45"/>
        <v>2.6511419678568597E+40</v>
      </c>
      <c r="H444" s="18">
        <f t="shared" si="46"/>
        <v>3.5352975784952404E+40</v>
      </c>
      <c r="I444" s="16">
        <v>145.64438999999999</v>
      </c>
      <c r="J444" s="45">
        <v>1</v>
      </c>
      <c r="K444" s="19">
        <f t="shared" si="47"/>
        <v>167.58821897592958</v>
      </c>
      <c r="L444" s="16">
        <f t="shared" si="48"/>
        <v>481.53163012484714</v>
      </c>
    </row>
    <row r="445" spans="1:12" x14ac:dyDescent="0.25">
      <c r="A445" s="16">
        <v>21.9</v>
      </c>
      <c r="B445" s="45">
        <f t="shared" si="42"/>
        <v>21900</v>
      </c>
      <c r="C445" s="16">
        <f t="shared" si="43"/>
        <v>72.1887602682759</v>
      </c>
      <c r="D445" s="15">
        <f t="shared" si="44"/>
        <v>6.7576339001999989E+20</v>
      </c>
      <c r="E445" s="15">
        <f>IF($C445=0,0,FORECAST($C445, OFFSET('De Vaucouleurs Deprojection'!$F$2:$F$127, MATCH($C445, 'De Vaucouleurs Deprojection'!$A$2:$A$127,1)-1,0,2), OFFSET('De Vaucouleurs Deprojection'!$A$2:$A$127, MATCH($C445, 'De Vaucouleurs Deprojection'!$A$2:$A$127,1)-1,0,2))*QESTotalBulgeMass)</f>
        <v>8.8415838029633212E+39</v>
      </c>
      <c r="F445" s="15">
        <f t="shared" si="45"/>
        <v>2.6511419682629388E+40</v>
      </c>
      <c r="H445" s="18">
        <f t="shared" si="46"/>
        <v>3.535300348559271E+40</v>
      </c>
      <c r="I445" s="16">
        <v>145.38487000000001</v>
      </c>
      <c r="J445" s="45">
        <v>1</v>
      </c>
      <c r="K445" s="19">
        <f t="shared" si="47"/>
        <v>167.73218350875047</v>
      </c>
      <c r="L445" s="16">
        <f t="shared" si="48"/>
        <v>499.40242105838081</v>
      </c>
    </row>
    <row r="446" spans="1:12" x14ac:dyDescent="0.25">
      <c r="A446" s="16">
        <v>21.95</v>
      </c>
      <c r="B446" s="45">
        <f t="shared" si="42"/>
        <v>21950</v>
      </c>
      <c r="C446" s="16">
        <f t="shared" si="43"/>
        <v>72.353574789436351</v>
      </c>
      <c r="D446" s="15">
        <f t="shared" si="44"/>
        <v>6.7730622880999997E+20</v>
      </c>
      <c r="E446" s="15">
        <f>IF($C446=0,0,FORECAST($C446, OFFSET('De Vaucouleurs Deprojection'!$F$2:$F$127, MATCH($C446, 'De Vaucouleurs Deprojection'!$A$2:$A$127,1)-1,0,2), OFFSET('De Vaucouleurs Deprojection'!$A$2:$A$127, MATCH($C446, 'De Vaucouleurs Deprojection'!$A$2:$A$127,1)-1,0,2))*QESTotalBulgeMass)</f>
        <v>8.841611499542834E+39</v>
      </c>
      <c r="F446" s="15">
        <f t="shared" si="45"/>
        <v>2.6511419686493062E+40</v>
      </c>
      <c r="H446" s="18">
        <f t="shared" si="46"/>
        <v>3.5353031186035897E+40</v>
      </c>
      <c r="I446" s="16">
        <v>145.12984</v>
      </c>
      <c r="J446" s="45">
        <v>1</v>
      </c>
      <c r="K446" s="19">
        <f t="shared" si="47"/>
        <v>167.87613296019694</v>
      </c>
      <c r="L446" s="16">
        <f t="shared" si="48"/>
        <v>517.39384343110487</v>
      </c>
    </row>
    <row r="447" spans="1:12" x14ac:dyDescent="0.25">
      <c r="A447" s="16">
        <v>22</v>
      </c>
      <c r="B447" s="45">
        <f t="shared" si="42"/>
        <v>22000</v>
      </c>
      <c r="C447" s="16">
        <f t="shared" si="43"/>
        <v>72.518389310596802</v>
      </c>
      <c r="D447" s="15">
        <f t="shared" si="44"/>
        <v>6.7884906760000006E+20</v>
      </c>
      <c r="E447" s="15">
        <f>IF($C447=0,0,FORECAST($C447, OFFSET('De Vaucouleurs Deprojection'!$F$2:$F$127, MATCH($C447, 'De Vaucouleurs Deprojection'!$A$2:$A$127,1)-1,0,2), OFFSET('De Vaucouleurs Deprojection'!$A$2:$A$127, MATCH($C447, 'De Vaucouleurs Deprojection'!$A$2:$A$127,1)-1,0,2))*QESTotalBulgeMass)</f>
        <v>8.8416391961223468E+39</v>
      </c>
      <c r="F447" s="15">
        <f t="shared" si="45"/>
        <v>2.6511419690169154E+40</v>
      </c>
      <c r="H447" s="18">
        <f t="shared" si="46"/>
        <v>3.5353058886291503E+40</v>
      </c>
      <c r="I447" s="16">
        <v>144.8801</v>
      </c>
      <c r="J447" s="45">
        <v>1</v>
      </c>
      <c r="K447" s="19">
        <f t="shared" si="47"/>
        <v>168.02006663073021</v>
      </c>
      <c r="L447" s="16">
        <f t="shared" si="48"/>
        <v>535.45805567130776</v>
      </c>
    </row>
    <row r="448" spans="1:12" x14ac:dyDescent="0.25">
      <c r="A448" s="16">
        <v>22.05</v>
      </c>
      <c r="B448" s="45">
        <f t="shared" si="42"/>
        <v>22050</v>
      </c>
      <c r="C448" s="16">
        <f t="shared" si="43"/>
        <v>72.68320383175724</v>
      </c>
      <c r="D448" s="15">
        <f t="shared" si="44"/>
        <v>6.8039190639000001E+20</v>
      </c>
      <c r="E448" s="15">
        <f>IF($C448=0,0,FORECAST($C448, OFFSET('De Vaucouleurs Deprojection'!$F$2:$F$127, MATCH($C448, 'De Vaucouleurs Deprojection'!$A$2:$A$127,1)-1,0,2), OFFSET('De Vaucouleurs Deprojection'!$A$2:$A$127, MATCH($C448, 'De Vaucouleurs Deprojection'!$A$2:$A$127,1)-1,0,2))*QESTotalBulgeMass)</f>
        <v>8.8416668927018583E+39</v>
      </c>
      <c r="F448" s="15">
        <f t="shared" si="45"/>
        <v>2.6511419693666765E+40</v>
      </c>
      <c r="H448" s="18">
        <f t="shared" si="46"/>
        <v>3.5353086586368623E+40</v>
      </c>
      <c r="I448" s="16">
        <v>144.63607999999999</v>
      </c>
      <c r="J448" s="45">
        <v>1</v>
      </c>
      <c r="K448" s="19">
        <f t="shared" si="47"/>
        <v>168.16398382989286</v>
      </c>
      <c r="L448" s="16">
        <f t="shared" si="48"/>
        <v>553.56225862868735</v>
      </c>
    </row>
    <row r="449" spans="1:12" x14ac:dyDescent="0.25">
      <c r="A449" s="16">
        <v>22.1</v>
      </c>
      <c r="B449" s="45">
        <f t="shared" si="42"/>
        <v>22100</v>
      </c>
      <c r="C449" s="16">
        <f t="shared" si="43"/>
        <v>72.848018352917691</v>
      </c>
      <c r="D449" s="15">
        <f t="shared" si="44"/>
        <v>6.8193474518000009E+20</v>
      </c>
      <c r="E449" s="15">
        <f>IF($C449=0,0,FORECAST($C449, OFFSET('De Vaucouleurs Deprojection'!$F$2:$F$127, MATCH($C449, 'De Vaucouleurs Deprojection'!$A$2:$A$127,1)-1,0,2), OFFSET('De Vaucouleurs Deprojection'!$A$2:$A$127, MATCH($C449, 'De Vaucouleurs Deprojection'!$A$2:$A$127,1)-1,0,2))*QESTotalBulgeMass)</f>
        <v>8.8416945892813711E+39</v>
      </c>
      <c r="F449" s="15">
        <f t="shared" si="45"/>
        <v>2.6511419696994536E+40</v>
      </c>
      <c r="H449" s="18">
        <f t="shared" si="46"/>
        <v>3.5353114286275909E+40</v>
      </c>
      <c r="I449" s="16">
        <v>144.39793</v>
      </c>
      <c r="J449" s="45">
        <v>1</v>
      </c>
      <c r="K449" s="19">
        <f t="shared" si="47"/>
        <v>168.30788387619384</v>
      </c>
      <c r="L449" s="16">
        <f t="shared" si="48"/>
        <v>571.68589436171681</v>
      </c>
    </row>
    <row r="450" spans="1:12" x14ac:dyDescent="0.25">
      <c r="A450" s="16">
        <v>22.15</v>
      </c>
      <c r="B450" s="45">
        <f t="shared" si="42"/>
        <v>22150</v>
      </c>
      <c r="C450" s="16">
        <f t="shared" si="43"/>
        <v>73.012832874078143</v>
      </c>
      <c r="D450" s="15">
        <f t="shared" si="44"/>
        <v>6.8347758396999991E+20</v>
      </c>
      <c r="E450" s="15">
        <f>IF($C450=0,0,FORECAST($C450, OFFSET('De Vaucouleurs Deprojection'!$F$2:$F$127, MATCH($C450, 'De Vaucouleurs Deprojection'!$A$2:$A$127,1)-1,0,2), OFFSET('De Vaucouleurs Deprojection'!$A$2:$A$127, MATCH($C450, 'De Vaucouleurs Deprojection'!$A$2:$A$127,1)-1,0,2))*QESTotalBulgeMass)</f>
        <v>8.8417222858608839E+39</v>
      </c>
      <c r="F450" s="15">
        <f t="shared" si="45"/>
        <v>2.6511419700160703E+40</v>
      </c>
      <c r="H450" s="18">
        <f t="shared" si="46"/>
        <v>3.5353141986021585E+40</v>
      </c>
      <c r="I450" s="16">
        <v>144.16565</v>
      </c>
      <c r="J450" s="45">
        <v>1</v>
      </c>
      <c r="K450" s="19">
        <f t="shared" si="47"/>
        <v>168.45176609699485</v>
      </c>
      <c r="L450" s="16">
        <f t="shared" si="48"/>
        <v>589.81543507671211</v>
      </c>
    </row>
    <row r="451" spans="1:12" x14ac:dyDescent="0.25">
      <c r="A451" s="16">
        <v>22.2</v>
      </c>
      <c r="B451" s="45">
        <f t="shared" si="42"/>
        <v>22200</v>
      </c>
      <c r="C451" s="16">
        <f t="shared" si="43"/>
        <v>73.17764739523858</v>
      </c>
      <c r="D451" s="15">
        <f t="shared" si="44"/>
        <v>6.8502042276E+20</v>
      </c>
      <c r="E451" s="15">
        <f>IF($C451=0,0,FORECAST($C451, OFFSET('De Vaucouleurs Deprojection'!$F$2:$F$127, MATCH($C451, 'De Vaucouleurs Deprojection'!$A$2:$A$127,1)-1,0,2), OFFSET('De Vaucouleurs Deprojection'!$A$2:$A$127, MATCH($C451, 'De Vaucouleurs Deprojection'!$A$2:$A$127,1)-1,0,2))*QESTotalBulgeMass)</f>
        <v>8.8417499824403979E+39</v>
      </c>
      <c r="F451" s="15">
        <f t="shared" si="45"/>
        <v>2.6511419703173095E+40</v>
      </c>
      <c r="H451" s="18">
        <f t="shared" si="46"/>
        <v>3.5353169685613491E+40</v>
      </c>
      <c r="I451" s="16">
        <v>143.93896000000001</v>
      </c>
      <c r="J451" s="45">
        <v>1</v>
      </c>
      <c r="K451" s="19">
        <f t="shared" si="47"/>
        <v>168.59562982839847</v>
      </c>
      <c r="L451" s="16">
        <f t="shared" si="48"/>
        <v>607.95136702665513</v>
      </c>
    </row>
    <row r="452" spans="1:12" x14ac:dyDescent="0.25">
      <c r="A452" s="16">
        <v>22.25</v>
      </c>
      <c r="B452" s="45">
        <f t="shared" si="42"/>
        <v>22250</v>
      </c>
      <c r="C452" s="16">
        <f t="shared" si="43"/>
        <v>73.342461916399031</v>
      </c>
      <c r="D452" s="15">
        <f t="shared" si="44"/>
        <v>6.8656326154999995E+20</v>
      </c>
      <c r="E452" s="15">
        <f>IF($C452=0,0,FORECAST($C452, OFFSET('De Vaucouleurs Deprojection'!$F$2:$F$127, MATCH($C452, 'De Vaucouleurs Deprojection'!$A$2:$A$127,1)-1,0,2), OFFSET('De Vaucouleurs Deprojection'!$A$2:$A$127, MATCH($C452, 'De Vaucouleurs Deprojection'!$A$2:$A$127,1)-1,0,2))*QESTotalBulgeMass)</f>
        <v>8.8417776790199106E+39</v>
      </c>
      <c r="F452" s="15">
        <f t="shared" si="45"/>
        <v>2.6511419706039168E+40</v>
      </c>
      <c r="H452" s="18">
        <f t="shared" si="46"/>
        <v>3.5353197385059078E+40</v>
      </c>
      <c r="I452" s="16">
        <v>143.71706</v>
      </c>
      <c r="J452" s="45">
        <v>1</v>
      </c>
      <c r="K452" s="19">
        <f t="shared" si="47"/>
        <v>168.73947441513769</v>
      </c>
      <c r="L452" s="16">
        <f t="shared" si="48"/>
        <v>626.12122316289037</v>
      </c>
    </row>
    <row r="453" spans="1:12" x14ac:dyDescent="0.25">
      <c r="A453" s="16">
        <v>22.3</v>
      </c>
      <c r="B453" s="45">
        <f t="shared" si="42"/>
        <v>22300</v>
      </c>
      <c r="C453" s="16">
        <f t="shared" si="43"/>
        <v>73.507276437559483</v>
      </c>
      <c r="D453" s="15">
        <f t="shared" si="44"/>
        <v>6.8810610034000003E+20</v>
      </c>
      <c r="E453" s="15">
        <f>IF($C453=0,0,FORECAST($C453, OFFSET('De Vaucouleurs Deprojection'!$F$2:$F$127, MATCH($C453, 'De Vaucouleurs Deprojection'!$A$2:$A$127,1)-1,0,2), OFFSET('De Vaucouleurs Deprojection'!$A$2:$A$127, MATCH($C453, 'De Vaucouleurs Deprojection'!$A$2:$A$127,1)-1,0,2))*QESTotalBulgeMass)</f>
        <v>8.8418053755994234E+39</v>
      </c>
      <c r="F453" s="15">
        <f t="shared" si="45"/>
        <v>2.6511419708766016E+40</v>
      </c>
      <c r="H453" s="18">
        <f t="shared" si="46"/>
        <v>3.535322508436544E+40</v>
      </c>
      <c r="I453" s="16">
        <v>143.49821</v>
      </c>
      <c r="J453" s="45">
        <v>1</v>
      </c>
      <c r="K453" s="19">
        <f t="shared" si="47"/>
        <v>168.88329921046713</v>
      </c>
      <c r="L453" s="16">
        <f t="shared" si="48"/>
        <v>644.40275422337459</v>
      </c>
    </row>
    <row r="454" spans="1:12" x14ac:dyDescent="0.25">
      <c r="A454" s="16">
        <v>22.35</v>
      </c>
      <c r="B454" s="45">
        <f t="shared" si="42"/>
        <v>22350</v>
      </c>
      <c r="C454" s="16">
        <f t="shared" si="43"/>
        <v>73.67209095871992</v>
      </c>
      <c r="D454" s="15">
        <f t="shared" si="44"/>
        <v>6.8964893912999998E+20</v>
      </c>
      <c r="E454" s="15">
        <f>IF($C454=0,0,FORECAST($C454, OFFSET('De Vaucouleurs Deprojection'!$F$2:$F$127, MATCH($C454, 'De Vaucouleurs Deprojection'!$A$2:$A$127,1)-1,0,2), OFFSET('De Vaucouleurs Deprojection'!$A$2:$A$127, MATCH($C454, 'De Vaucouleurs Deprojection'!$A$2:$A$127,1)-1,0,2))*QESTotalBulgeMass)</f>
        <v>8.8418330721789362E+39</v>
      </c>
      <c r="F454" s="15">
        <f t="shared" si="45"/>
        <v>2.6511419711360386E+40</v>
      </c>
      <c r="H454" s="18">
        <f t="shared" si="46"/>
        <v>3.5353252783539323E+40</v>
      </c>
      <c r="I454" s="16">
        <v>143.28001</v>
      </c>
      <c r="J454" s="45">
        <v>1</v>
      </c>
      <c r="K454" s="19">
        <f t="shared" si="47"/>
        <v>169.02710357605571</v>
      </c>
      <c r="L454" s="16">
        <f t="shared" si="48"/>
        <v>662.91282761416892</v>
      </c>
    </row>
    <row r="455" spans="1:12" x14ac:dyDescent="0.25">
      <c r="A455" s="16">
        <v>22.4</v>
      </c>
      <c r="B455" s="45">
        <f t="shared" si="42"/>
        <v>22400</v>
      </c>
      <c r="C455" s="16">
        <f t="shared" si="43"/>
        <v>73.836905479880372</v>
      </c>
      <c r="D455" s="15">
        <f t="shared" si="44"/>
        <v>6.9119177791999993E+20</v>
      </c>
      <c r="E455" s="15">
        <f>IF($C455=0,0,FORECAST($C455, OFFSET('De Vaucouleurs Deprojection'!$F$2:$F$127, MATCH($C455, 'De Vaucouleurs Deprojection'!$A$2:$A$127,1)-1,0,2), OFFSET('De Vaucouleurs Deprojection'!$A$2:$A$127, MATCH($C455, 'De Vaucouleurs Deprojection'!$A$2:$A$127,1)-1,0,2))*QESTotalBulgeMass)</f>
        <v>8.841860768758449E+39</v>
      </c>
      <c r="F455" s="15">
        <f t="shared" si="45"/>
        <v>2.6511419713828703E+40</v>
      </c>
      <c r="H455" s="18">
        <f t="shared" si="46"/>
        <v>3.5353280482587154E+40</v>
      </c>
      <c r="I455" s="16">
        <v>143.05998</v>
      </c>
      <c r="J455" s="45">
        <v>1</v>
      </c>
      <c r="K455" s="19">
        <f t="shared" si="47"/>
        <v>169.17088688188059</v>
      </c>
      <c r="L455" s="16">
        <f t="shared" si="48"/>
        <v>681.7794581942394</v>
      </c>
    </row>
    <row r="456" spans="1:12" x14ac:dyDescent="0.25">
      <c r="A456" s="16">
        <v>22.45</v>
      </c>
      <c r="B456" s="45">
        <f t="shared" ref="B456:B473" si="49">RadiusKpc*1000</f>
        <v>22450</v>
      </c>
      <c r="C456" s="16">
        <f t="shared" ref="C456:C473" si="50">IF(QESBulgeEffectiveRadius=0,0,RadiusPc/QESBulgeEffectiveRadius)</f>
        <v>74.001720001040823</v>
      </c>
      <c r="D456" s="15">
        <f t="shared" ref="D456:D473" si="51">RadiusKpc*kpc</f>
        <v>6.9273461671000002E+20</v>
      </c>
      <c r="E456" s="15">
        <f>IF($C456=0,0,FORECAST($C456, OFFSET('De Vaucouleurs Deprojection'!$F$2:$F$127, MATCH($C456, 'De Vaucouleurs Deprojection'!$A$2:$A$127,1)-1,0,2), OFFSET('De Vaucouleurs Deprojection'!$A$2:$A$127, MATCH($C456, 'De Vaucouleurs Deprojection'!$A$2:$A$127,1)-1,0,2))*QESTotalBulgeMass)</f>
        <v>8.8418884653379617E+39</v>
      </c>
      <c r="F456" s="15">
        <f t="shared" ref="F456:F473" si="52">2*PI()*QESDiskSurfaceDensity*QESDiskScaleLength*(QESDiskScaleLength-EXP(-RadiusPc/QESDiskScaleLength)*(RadiusPc+QESDiskScaleLength))*SolarMass</f>
        <v>2.651141971617708E+40</v>
      </c>
      <c r="H456" s="18">
        <f t="shared" ref="H456:H473" si="53">BulgeMass+DiskMass+HaloMass</f>
        <v>3.535330818151504E+40</v>
      </c>
      <c r="I456" s="16">
        <v>142.83636000000001</v>
      </c>
      <c r="J456" s="45">
        <v>1</v>
      </c>
      <c r="K456" s="19">
        <f t="shared" ref="K456:K473" si="54">SQRT(TotalMass*GravitationalConstant/RadiusKm+UniverseAcceleration*RadiusKm)/km</f>
        <v>169.31464850612292</v>
      </c>
      <c r="L456" s="16">
        <f t="shared" ref="L456:L473" si="55">(ObservedVelocity-ModelVelocity)^2/(VelocityError)^2</f>
        <v>701.09976221348052</v>
      </c>
    </row>
    <row r="457" spans="1:12" x14ac:dyDescent="0.25">
      <c r="A457" s="16">
        <v>22.5</v>
      </c>
      <c r="B457" s="45">
        <f t="shared" si="49"/>
        <v>22500</v>
      </c>
      <c r="C457" s="16">
        <f t="shared" si="50"/>
        <v>74.166534522201275</v>
      </c>
      <c r="D457" s="15">
        <f t="shared" si="51"/>
        <v>6.9427745549999997E+20</v>
      </c>
      <c r="E457" s="15">
        <f>IF($C457=0,0,FORECAST($C457, OFFSET('De Vaucouleurs Deprojection'!$F$2:$F$127, MATCH($C457, 'De Vaucouleurs Deprojection'!$A$2:$A$127,1)-1,0,2), OFFSET('De Vaucouleurs Deprojection'!$A$2:$A$127, MATCH($C457, 'De Vaucouleurs Deprojection'!$A$2:$A$127,1)-1,0,2))*QESTotalBulgeMass)</f>
        <v>8.8419161619174745E+39</v>
      </c>
      <c r="F457" s="15">
        <f t="shared" si="52"/>
        <v>2.6511419718411334E+40</v>
      </c>
      <c r="H457" s="18">
        <f t="shared" si="53"/>
        <v>3.5353335880328809E+40</v>
      </c>
      <c r="I457" s="16">
        <v>142.60873000000001</v>
      </c>
      <c r="J457" s="45">
        <v>1</v>
      </c>
      <c r="K457" s="19">
        <f t="shared" si="54"/>
        <v>169.45838783506491</v>
      </c>
      <c r="L457" s="16">
        <f t="shared" si="55"/>
        <v>720.90412586006209</v>
      </c>
    </row>
    <row r="458" spans="1:12" x14ac:dyDescent="0.25">
      <c r="A458" s="16">
        <v>22.55</v>
      </c>
      <c r="B458" s="45">
        <f t="shared" si="49"/>
        <v>22550</v>
      </c>
      <c r="C458" s="16">
        <f t="shared" si="50"/>
        <v>74.331349043361712</v>
      </c>
      <c r="D458" s="15">
        <f t="shared" si="51"/>
        <v>6.9582029429000005E+20</v>
      </c>
      <c r="E458" s="15">
        <f>IF($C458=0,0,FORECAST($C458, OFFSET('De Vaucouleurs Deprojection'!$F$2:$F$127, MATCH($C458, 'De Vaucouleurs Deprojection'!$A$2:$A$127,1)-1,0,2), OFFSET('De Vaucouleurs Deprojection'!$A$2:$A$127, MATCH($C458, 'De Vaucouleurs Deprojection'!$A$2:$A$127,1)-1,0,2))*QESTotalBulgeMass)</f>
        <v>8.8419438584969873E+39</v>
      </c>
      <c r="F458" s="15">
        <f t="shared" si="52"/>
        <v>2.6511419720537003E+40</v>
      </c>
      <c r="H458" s="18">
        <f t="shared" si="53"/>
        <v>3.5353363579033992E+40</v>
      </c>
      <c r="I458" s="16">
        <v>142.37781000000001</v>
      </c>
      <c r="J458" s="45">
        <v>1</v>
      </c>
      <c r="K458" s="19">
        <f t="shared" si="54"/>
        <v>169.60210426298798</v>
      </c>
      <c r="L458" s="16">
        <f t="shared" si="55"/>
        <v>741.16219811775954</v>
      </c>
    </row>
    <row r="459" spans="1:12" x14ac:dyDescent="0.25">
      <c r="A459" s="16">
        <v>22.6</v>
      </c>
      <c r="B459" s="45">
        <f t="shared" si="49"/>
        <v>22600</v>
      </c>
      <c r="C459" s="16">
        <f t="shared" si="50"/>
        <v>74.496163564522163</v>
      </c>
      <c r="D459" s="15">
        <f t="shared" si="51"/>
        <v>6.9736313308E+20</v>
      </c>
      <c r="E459" s="15">
        <f>IF($C459=0,0,FORECAST($C459, OFFSET('De Vaucouleurs Deprojection'!$F$2:$F$127, MATCH($C459, 'De Vaucouleurs Deprojection'!$A$2:$A$127,1)-1,0,2), OFFSET('De Vaucouleurs Deprojection'!$A$2:$A$127, MATCH($C459, 'De Vaucouleurs Deprojection'!$A$2:$A$127,1)-1,0,2))*QESTotalBulgeMass)</f>
        <v>8.8419715550765001E+39</v>
      </c>
      <c r="F459" s="15">
        <f t="shared" si="52"/>
        <v>2.6511419722559347E+40</v>
      </c>
      <c r="H459" s="18">
        <f t="shared" si="53"/>
        <v>3.535339127763585E+40</v>
      </c>
      <c r="I459" s="16">
        <v>142.14508000000001</v>
      </c>
      <c r="J459" s="45">
        <v>1</v>
      </c>
      <c r="K459" s="19">
        <f t="shared" si="54"/>
        <v>169.74579719207279</v>
      </c>
      <c r="L459" s="16">
        <f t="shared" si="55"/>
        <v>761.79958951678179</v>
      </c>
    </row>
    <row r="460" spans="1:12" x14ac:dyDescent="0.25">
      <c r="A460" s="16">
        <v>22.65</v>
      </c>
      <c r="B460" s="45">
        <f t="shared" si="49"/>
        <v>22650</v>
      </c>
      <c r="C460" s="16">
        <f t="shared" si="50"/>
        <v>74.660978085682615</v>
      </c>
      <c r="D460" s="15">
        <f t="shared" si="51"/>
        <v>6.9890597186999996E+20</v>
      </c>
      <c r="E460" s="15">
        <f>IF($C460=0,0,FORECAST($C460, OFFSET('De Vaucouleurs Deprojection'!$F$2:$F$127, MATCH($C460, 'De Vaucouleurs Deprojection'!$A$2:$A$127,1)-1,0,2), OFFSET('De Vaucouleurs Deprojection'!$A$2:$A$127, MATCH($C460, 'De Vaucouleurs Deprojection'!$A$2:$A$127,1)-1,0,2))*QESTotalBulgeMass)</f>
        <v>8.8419992516560128E+39</v>
      </c>
      <c r="F460" s="15">
        <f t="shared" si="52"/>
        <v>2.6511419724483392E+40</v>
      </c>
      <c r="H460" s="18">
        <f t="shared" si="53"/>
        <v>3.5353418976139403E+40</v>
      </c>
      <c r="I460" s="16">
        <v>141.91230999999999</v>
      </c>
      <c r="J460" s="45">
        <v>1</v>
      </c>
      <c r="K460" s="19">
        <f t="shared" si="54"/>
        <v>169.88946603230045</v>
      </c>
      <c r="L460" s="16">
        <f t="shared" si="55"/>
        <v>782.7212596556858</v>
      </c>
    </row>
    <row r="461" spans="1:12" x14ac:dyDescent="0.25">
      <c r="A461" s="16">
        <v>22.7</v>
      </c>
      <c r="B461" s="45">
        <f t="shared" si="49"/>
        <v>22700</v>
      </c>
      <c r="C461" s="16">
        <f t="shared" si="50"/>
        <v>74.825792606843052</v>
      </c>
      <c r="D461" s="15">
        <f t="shared" si="51"/>
        <v>7.0044881066000004E+20</v>
      </c>
      <c r="E461" s="15">
        <f>IF($C461=0,0,FORECAST($C461, OFFSET('De Vaucouleurs Deprojection'!$F$2:$F$127, MATCH($C461, 'De Vaucouleurs Deprojection'!$A$2:$A$127,1)-1,0,2), OFFSET('De Vaucouleurs Deprojection'!$A$2:$A$127, MATCH($C461, 'De Vaucouleurs Deprojection'!$A$2:$A$127,1)-1,0,2))*QESTotalBulgeMass)</f>
        <v>8.8420269482355256E+39</v>
      </c>
      <c r="F461" s="15">
        <f t="shared" si="52"/>
        <v>2.6511419726313894E+40</v>
      </c>
      <c r="H461" s="18">
        <f t="shared" si="53"/>
        <v>3.5353446674549419E+40</v>
      </c>
      <c r="I461" s="16">
        <v>141.68143000000001</v>
      </c>
      <c r="J461" s="45">
        <v>1</v>
      </c>
      <c r="K461" s="19">
        <f t="shared" si="54"/>
        <v>170.03311020135484</v>
      </c>
      <c r="L461" s="16">
        <f t="shared" si="55"/>
        <v>803.81777023989594</v>
      </c>
    </row>
    <row r="462" spans="1:12" x14ac:dyDescent="0.25">
      <c r="A462" s="16">
        <v>22.75</v>
      </c>
      <c r="B462" s="45">
        <f t="shared" si="49"/>
        <v>22750</v>
      </c>
      <c r="C462" s="16">
        <f t="shared" si="50"/>
        <v>74.990607128003504</v>
      </c>
      <c r="D462" s="15">
        <f t="shared" si="51"/>
        <v>7.0199164944999999E+20</v>
      </c>
      <c r="E462" s="15">
        <f>IF($C462=0,0,FORECAST($C462, OFFSET('De Vaucouleurs Deprojection'!$F$2:$F$127, MATCH($C462, 'De Vaucouleurs Deprojection'!$A$2:$A$127,1)-1,0,2), OFFSET('De Vaucouleurs Deprojection'!$A$2:$A$127, MATCH($C462, 'De Vaucouleurs Deprojection'!$A$2:$A$127,1)-1,0,2))*QESTotalBulgeMass)</f>
        <v>8.8420546448150384E+39</v>
      </c>
      <c r="F462" s="15">
        <f t="shared" si="52"/>
        <v>2.6511419728055395E+40</v>
      </c>
      <c r="H462" s="18">
        <f t="shared" si="53"/>
        <v>3.5353474372870435E+40</v>
      </c>
      <c r="I462" s="16">
        <v>141.45466999999999</v>
      </c>
      <c r="J462" s="45">
        <v>1</v>
      </c>
      <c r="K462" s="19">
        <f t="shared" si="54"/>
        <v>170.1767291245267</v>
      </c>
      <c r="L462" s="16">
        <f t="shared" si="55"/>
        <v>824.95668035280801</v>
      </c>
    </row>
    <row r="463" spans="1:12" x14ac:dyDescent="0.25">
      <c r="A463" s="16">
        <v>22.8</v>
      </c>
      <c r="B463" s="45">
        <f t="shared" si="49"/>
        <v>22800</v>
      </c>
      <c r="C463" s="16">
        <f t="shared" si="50"/>
        <v>75.155421649163955</v>
      </c>
      <c r="D463" s="15">
        <f t="shared" si="51"/>
        <v>7.0353448824000007E+20</v>
      </c>
      <c r="E463" s="15">
        <f>IF($C463=0,0,FORECAST($C463, OFFSET('De Vaucouleurs Deprojection'!$F$2:$F$127, MATCH($C463, 'De Vaucouleurs Deprojection'!$A$2:$A$127,1)-1,0,2), OFFSET('De Vaucouleurs Deprojection'!$A$2:$A$127, MATCH($C463, 'De Vaucouleurs Deprojection'!$A$2:$A$127,1)-1,0,2))*QESTotalBulgeMass)</f>
        <v>8.8420823413945524E+39</v>
      </c>
      <c r="F463" s="15">
        <f t="shared" si="52"/>
        <v>2.6511419729712223E+40</v>
      </c>
      <c r="H463" s="18">
        <f t="shared" si="53"/>
        <v>3.5353502071106777E+40</v>
      </c>
      <c r="I463" s="16">
        <v>141.23473000000001</v>
      </c>
      <c r="J463" s="45">
        <v>1</v>
      </c>
      <c r="K463" s="19">
        <f t="shared" si="54"/>
        <v>170.32032223461874</v>
      </c>
      <c r="L463" s="16">
        <f t="shared" si="55"/>
        <v>845.97167563851337</v>
      </c>
    </row>
    <row r="464" spans="1:12" x14ac:dyDescent="0.25">
      <c r="A464" s="16">
        <v>22.85</v>
      </c>
      <c r="B464" s="45">
        <f t="shared" si="49"/>
        <v>22850</v>
      </c>
      <c r="C464" s="16">
        <f t="shared" si="50"/>
        <v>75.320236170324407</v>
      </c>
      <c r="D464" s="15">
        <f t="shared" si="51"/>
        <v>7.0507732703000003E+20</v>
      </c>
      <c r="E464" s="15">
        <f>IF($C464=0,0,FORECAST($C464, OFFSET('De Vaucouleurs Deprojection'!$F$2:$F$127, MATCH($C464, 'De Vaucouleurs Deprojection'!$A$2:$A$127,1)-1,0,2), OFFSET('De Vaucouleurs Deprojection'!$A$2:$A$127, MATCH($C464, 'De Vaucouleurs Deprojection'!$A$2:$A$127,1)-1,0,2))*QESTotalBulgeMass)</f>
        <v>8.8421100379740651E+39</v>
      </c>
      <c r="F464" s="15">
        <f t="shared" si="52"/>
        <v>2.6511419731288478E+40</v>
      </c>
      <c r="H464" s="18">
        <f t="shared" si="53"/>
        <v>3.5353529769262541E+40</v>
      </c>
      <c r="I464" s="16">
        <v>141.02440999999999</v>
      </c>
      <c r="J464" s="45">
        <v>1</v>
      </c>
      <c r="K464" s="19">
        <f t="shared" si="54"/>
        <v>170.46388897185199</v>
      </c>
      <c r="L464" s="16">
        <f t="shared" si="55"/>
        <v>866.68292213411598</v>
      </c>
    </row>
    <row r="465" spans="1:13" x14ac:dyDescent="0.25">
      <c r="A465" s="16">
        <v>22.9</v>
      </c>
      <c r="B465" s="45">
        <f t="shared" si="49"/>
        <v>22900</v>
      </c>
      <c r="C465" s="16">
        <f t="shared" si="50"/>
        <v>75.485050691484844</v>
      </c>
      <c r="D465" s="15">
        <f t="shared" si="51"/>
        <v>7.0662016581999998E+20</v>
      </c>
      <c r="E465" s="15">
        <f>IF($C465=0,0,FORECAST($C465, OFFSET('De Vaucouleurs Deprojection'!$F$2:$F$127, MATCH($C465, 'De Vaucouleurs Deprojection'!$A$2:$A$127,1)-1,0,2), OFFSET('De Vaucouleurs Deprojection'!$A$2:$A$127, MATCH($C465, 'De Vaucouleurs Deprojection'!$A$2:$A$127,1)-1,0,2))*QESTotalBulgeMass)</f>
        <v>8.8421377345535779E+39</v>
      </c>
      <c r="F465" s="15">
        <f t="shared" si="52"/>
        <v>2.6511419732788074E+40</v>
      </c>
      <c r="H465" s="18">
        <f t="shared" si="53"/>
        <v>3.535355746734165E+40</v>
      </c>
      <c r="I465" s="16">
        <v>140.82584</v>
      </c>
      <c r="J465" s="45">
        <v>1</v>
      </c>
      <c r="K465" s="19">
        <f t="shared" si="54"/>
        <v>170.60742878377363</v>
      </c>
      <c r="L465" s="16">
        <f t="shared" si="55"/>
        <v>886.94303048579116</v>
      </c>
    </row>
    <row r="466" spans="1:13" x14ac:dyDescent="0.25">
      <c r="A466" s="16">
        <v>22.95</v>
      </c>
      <c r="B466" s="45">
        <f t="shared" si="49"/>
        <v>22950</v>
      </c>
      <c r="C466" s="16">
        <f t="shared" si="50"/>
        <v>75.649865212645295</v>
      </c>
      <c r="D466" s="15">
        <f t="shared" si="51"/>
        <v>7.0816300460999993E+20</v>
      </c>
      <c r="E466" s="15">
        <f>IF($C466=0,0,FORECAST($C466, OFFSET('De Vaucouleurs Deprojection'!$F$2:$F$127, MATCH($C466, 'De Vaucouleurs Deprojection'!$A$2:$A$127,1)-1,0,2), OFFSET('De Vaucouleurs Deprojection'!$A$2:$A$127, MATCH($C466, 'De Vaucouleurs Deprojection'!$A$2:$A$127,1)-1,0,2))*QESTotalBulgeMass)</f>
        <v>8.8421654311330907E+39</v>
      </c>
      <c r="F466" s="15">
        <f t="shared" si="52"/>
        <v>2.6511419734214732E+40</v>
      </c>
      <c r="H466" s="18">
        <f t="shared" si="53"/>
        <v>3.5353585165347822E+40</v>
      </c>
      <c r="I466" s="16">
        <v>140.63964999999999</v>
      </c>
      <c r="J466" s="45">
        <v>1</v>
      </c>
      <c r="K466" s="19">
        <f t="shared" si="54"/>
        <v>170.75094112516598</v>
      </c>
      <c r="L466" s="16">
        <f t="shared" si="55"/>
        <v>906.68985322450021</v>
      </c>
    </row>
    <row r="467" spans="1:13" x14ac:dyDescent="0.25">
      <c r="A467" s="16">
        <v>23</v>
      </c>
      <c r="B467" s="45">
        <f t="shared" si="49"/>
        <v>23000</v>
      </c>
      <c r="C467" s="16">
        <f t="shared" si="50"/>
        <v>75.814679733805747</v>
      </c>
      <c r="D467" s="15">
        <f t="shared" si="51"/>
        <v>7.0970584340000001E+20</v>
      </c>
      <c r="E467" s="15">
        <f>IF($C467=0,0,FORECAST($C467, OFFSET('De Vaucouleurs Deprojection'!$F$2:$F$127, MATCH($C467, 'De Vaucouleurs Deprojection'!$A$2:$A$127,1)-1,0,2), OFFSET('De Vaucouleurs Deprojection'!$A$2:$A$127, MATCH($C467, 'De Vaucouleurs Deprojection'!$A$2:$A$127,1)-1,0,2))*QESTotalBulgeMass)</f>
        <v>8.8421931277126035E+39</v>
      </c>
      <c r="F467" s="15">
        <f t="shared" si="52"/>
        <v>2.6511419735571998E+40</v>
      </c>
      <c r="H467" s="18">
        <f t="shared" si="53"/>
        <v>3.5353612863284602E+40</v>
      </c>
      <c r="I467" s="16">
        <v>140.46526</v>
      </c>
      <c r="J467" s="45">
        <v>1</v>
      </c>
      <c r="K467" s="19">
        <f t="shared" si="54"/>
        <v>170.89442545795666</v>
      </c>
      <c r="L467" s="16">
        <f t="shared" si="55"/>
        <v>925.93411046770257</v>
      </c>
    </row>
    <row r="468" spans="1:13" x14ac:dyDescent="0.25">
      <c r="A468" s="16">
        <v>23.05</v>
      </c>
      <c r="B468" s="45">
        <f t="shared" si="49"/>
        <v>23050</v>
      </c>
      <c r="C468" s="16">
        <f t="shared" si="50"/>
        <v>75.979494254966184</v>
      </c>
      <c r="D468" s="15">
        <f t="shared" si="51"/>
        <v>7.1124868218999996E+20</v>
      </c>
      <c r="E468" s="15">
        <f>IF($C468=0,0,FORECAST($C468, OFFSET('De Vaucouleurs Deprojection'!$F$2:$F$127, MATCH($C468, 'De Vaucouleurs Deprojection'!$A$2:$A$127,1)-1,0,2), OFFSET('De Vaucouleurs Deprojection'!$A$2:$A$127, MATCH($C468, 'De Vaucouleurs Deprojection'!$A$2:$A$127,1)-1,0,2))*QESTotalBulgeMass)</f>
        <v>8.842220824292115E+39</v>
      </c>
      <c r="F468" s="15">
        <f t="shared" si="52"/>
        <v>2.6511419736863227E+40</v>
      </c>
      <c r="H468" s="18">
        <f t="shared" si="53"/>
        <v>3.5353640561155341E+40</v>
      </c>
      <c r="I468" s="16">
        <v>140.30127999999999</v>
      </c>
      <c r="J468" s="45">
        <v>1</v>
      </c>
      <c r="K468" s="19">
        <f t="shared" si="54"/>
        <v>171.03788125113002</v>
      </c>
      <c r="L468" s="16">
        <f t="shared" si="55"/>
        <v>944.73865647096784</v>
      </c>
    </row>
    <row r="469" spans="1:13" x14ac:dyDescent="0.25">
      <c r="A469" s="16">
        <v>23.1</v>
      </c>
      <c r="B469" s="45">
        <f t="shared" si="49"/>
        <v>23100</v>
      </c>
      <c r="C469" s="16">
        <f t="shared" si="50"/>
        <v>76.144308776126636</v>
      </c>
      <c r="D469" s="15">
        <f t="shared" si="51"/>
        <v>7.1279152098000005E+20</v>
      </c>
      <c r="E469" s="15">
        <f>IF($C469=0,0,FORECAST($C469, OFFSET('De Vaucouleurs Deprojection'!$F$2:$F$127, MATCH($C469, 'De Vaucouleurs Deprojection'!$A$2:$A$127,1)-1,0,2), OFFSET('De Vaucouleurs Deprojection'!$A$2:$A$127, MATCH($C469, 'De Vaucouleurs Deprojection'!$A$2:$A$127,1)-1,0,2))*QESTotalBulgeMass)</f>
        <v>8.842248520871629E+39</v>
      </c>
      <c r="F469" s="15">
        <f t="shared" si="52"/>
        <v>2.6511419738091641E+40</v>
      </c>
      <c r="H469" s="18">
        <f t="shared" si="53"/>
        <v>3.5353668258963269E+40</v>
      </c>
      <c r="I469" s="16">
        <v>140.14632</v>
      </c>
      <c r="J469" s="45">
        <v>1</v>
      </c>
      <c r="K469" s="19">
        <f t="shared" si="54"/>
        <v>171.18130798063984</v>
      </c>
      <c r="L469" s="16">
        <f t="shared" si="55"/>
        <v>963.1704789584594</v>
      </c>
    </row>
    <row r="470" spans="1:13" x14ac:dyDescent="0.25">
      <c r="A470" s="16">
        <v>23.15</v>
      </c>
      <c r="B470" s="45">
        <f t="shared" si="49"/>
        <v>23150</v>
      </c>
      <c r="C470" s="16">
        <f t="shared" si="50"/>
        <v>76.309123297287087</v>
      </c>
      <c r="D470" s="15">
        <f t="shared" si="51"/>
        <v>7.1433435977E+20</v>
      </c>
      <c r="E470" s="15">
        <f>IF($C470=0,0,FORECAST($C470, OFFSET('De Vaucouleurs Deprojection'!$F$2:$F$127, MATCH($C470, 'De Vaucouleurs Deprojection'!$A$2:$A$127,1)-1,0,2), OFFSET('De Vaucouleurs Deprojection'!$A$2:$A$127, MATCH($C470, 'De Vaucouleurs Deprojection'!$A$2:$A$127,1)-1,0,2))*QESTotalBulgeMass)</f>
        <v>8.8422762174511418E+39</v>
      </c>
      <c r="F470" s="15">
        <f t="shared" si="52"/>
        <v>2.651141973926029E+40</v>
      </c>
      <c r="H470" s="18">
        <f t="shared" si="53"/>
        <v>3.5353695956711432E+40</v>
      </c>
      <c r="I470" s="16">
        <v>139.99892</v>
      </c>
      <c r="J470" s="45">
        <v>1</v>
      </c>
      <c r="K470" s="19">
        <f t="shared" si="54"/>
        <v>171.32470512932298</v>
      </c>
      <c r="L470" s="16">
        <f t="shared" si="55"/>
        <v>981.3048139685128</v>
      </c>
    </row>
    <row r="471" spans="1:13" x14ac:dyDescent="0.25">
      <c r="A471" s="16">
        <v>23.2</v>
      </c>
      <c r="B471" s="45">
        <f t="shared" si="49"/>
        <v>23200</v>
      </c>
      <c r="C471" s="16">
        <f t="shared" si="50"/>
        <v>76.473937818447524</v>
      </c>
      <c r="D471" s="15">
        <f t="shared" si="51"/>
        <v>7.1587719855999995E+20</v>
      </c>
      <c r="E471" s="15">
        <f>IF($C471=0,0,FORECAST($C471, OFFSET('De Vaucouleurs Deprojection'!$F$2:$F$127, MATCH($C471, 'De Vaucouleurs Deprojection'!$A$2:$A$127,1)-1,0,2), OFFSET('De Vaucouleurs Deprojection'!$A$2:$A$127, MATCH($C471, 'De Vaucouleurs Deprojection'!$A$2:$A$127,1)-1,0,2))*QESTotalBulgeMass)</f>
        <v>8.8423039140306546E+39</v>
      </c>
      <c r="F471" s="15">
        <f t="shared" si="52"/>
        <v>2.6511419740372067E+40</v>
      </c>
      <c r="H471" s="18">
        <f t="shared" si="53"/>
        <v>3.5353723654402722E+40</v>
      </c>
      <c r="I471" s="16">
        <v>139.85748000000001</v>
      </c>
      <c r="J471" s="45">
        <v>1</v>
      </c>
      <c r="K471" s="19">
        <f t="shared" si="54"/>
        <v>171.46807218681448</v>
      </c>
      <c r="L471" s="16">
        <f t="shared" si="55"/>
        <v>999.22953840109619</v>
      </c>
    </row>
    <row r="472" spans="1:13" x14ac:dyDescent="0.25">
      <c r="A472" s="16">
        <v>23.25</v>
      </c>
      <c r="B472" s="45">
        <f t="shared" si="49"/>
        <v>23250</v>
      </c>
      <c r="C472" s="16">
        <f t="shared" si="50"/>
        <v>76.638752339607976</v>
      </c>
      <c r="D472" s="15">
        <f t="shared" si="51"/>
        <v>7.1742003735000003E+20</v>
      </c>
      <c r="E472" s="15">
        <f>IF($C472=0,0,FORECAST($C472, OFFSET('De Vaucouleurs Deprojection'!$F$2:$F$127, MATCH($C472, 'De Vaucouleurs Deprojection'!$A$2:$A$127,1)-1,0,2), OFFSET('De Vaucouleurs Deprojection'!$A$2:$A$127, MATCH($C472, 'De Vaucouleurs Deprojection'!$A$2:$A$127,1)-1,0,2))*QESTotalBulgeMass)</f>
        <v>8.8423316106101673E+39</v>
      </c>
      <c r="F472" s="15">
        <f t="shared" si="52"/>
        <v>2.6511419741429741E+40</v>
      </c>
      <c r="H472" s="18">
        <f t="shared" si="53"/>
        <v>3.5353751352039906E+40</v>
      </c>
      <c r="I472" s="16">
        <v>139.72020000000001</v>
      </c>
      <c r="J472" s="45">
        <v>1</v>
      </c>
      <c r="K472" s="19">
        <f t="shared" si="54"/>
        <v>171.61140864946356</v>
      </c>
      <c r="L472" s="16">
        <f t="shared" si="55"/>
        <v>1017.0491891236188</v>
      </c>
    </row>
    <row r="473" spans="1:13" x14ac:dyDescent="0.25">
      <c r="A473" s="16">
        <v>23.3</v>
      </c>
      <c r="B473" s="45">
        <f t="shared" si="49"/>
        <v>23300</v>
      </c>
      <c r="C473" s="16">
        <f t="shared" si="50"/>
        <v>76.803566860768427</v>
      </c>
      <c r="D473" s="15">
        <f t="shared" si="51"/>
        <v>7.1896287613999999E+20</v>
      </c>
      <c r="E473" s="15">
        <f>IF($C473=0,0,FORECAST($C473, OFFSET('De Vaucouleurs Deprojection'!$F$2:$F$127, MATCH($C473, 'De Vaucouleurs Deprojection'!$A$2:$A$127,1)-1,0,2), OFFSET('De Vaucouleurs Deprojection'!$A$2:$A$127, MATCH($C473, 'De Vaucouleurs Deprojection'!$A$2:$A$127,1)-1,0,2))*QESTotalBulgeMass)</f>
        <v>8.8423593071896801E+39</v>
      </c>
      <c r="F473" s="15">
        <f t="shared" si="52"/>
        <v>2.651141974243594E+40</v>
      </c>
      <c r="H473" s="18">
        <f t="shared" si="53"/>
        <v>3.5353779049625619E+40</v>
      </c>
      <c r="I473" s="16">
        <v>139.58499</v>
      </c>
      <c r="J473" s="45">
        <v>1</v>
      </c>
      <c r="K473" s="19">
        <f t="shared" si="54"/>
        <v>171.75471402025096</v>
      </c>
      <c r="L473" s="16">
        <f t="shared" si="55"/>
        <v>1034.8911435391112</v>
      </c>
    </row>
    <row r="474" spans="1:13" x14ac:dyDescent="0.25">
      <c r="J474" s="45"/>
      <c r="L474" s="16">
        <f>SUM(L8:L473)/(COUNT(L8:L473)-4)</f>
        <v>147.71120109700223</v>
      </c>
    </row>
    <row r="475" spans="1:13" x14ac:dyDescent="0.25">
      <c r="J475" s="45"/>
    </row>
    <row r="476" spans="1:13" ht="21" x14ac:dyDescent="0.35">
      <c r="A476" s="48" t="s">
        <v>564</v>
      </c>
      <c r="J476" s="45"/>
    </row>
    <row r="477" spans="1:13" x14ac:dyDescent="0.25">
      <c r="A477" s="16" t="s">
        <v>30</v>
      </c>
      <c r="D477" s="16">
        <v>0.56999999999999995</v>
      </c>
      <c r="E477" s="17">
        <f>$D$477*1000</f>
        <v>570</v>
      </c>
      <c r="F477" s="17"/>
      <c r="G477" s="17"/>
      <c r="H477" s="15"/>
      <c r="K477" s="15"/>
      <c r="M477" s="45"/>
    </row>
    <row r="478" spans="1:13" x14ac:dyDescent="0.25">
      <c r="A478" s="16" t="s">
        <v>16</v>
      </c>
      <c r="D478" s="16">
        <v>0.94</v>
      </c>
      <c r="E478" s="15">
        <f>D478*10000000000*SolarMass</f>
        <v>1.8697539999999999E+40</v>
      </c>
      <c r="F478" s="43"/>
      <c r="G478" s="43"/>
      <c r="H478" s="15"/>
      <c r="K478" s="15"/>
      <c r="M478" s="45"/>
    </row>
    <row r="479" spans="1:13" x14ac:dyDescent="0.25">
      <c r="A479" s="16" t="s">
        <v>569</v>
      </c>
      <c r="D479" s="16">
        <v>0.6</v>
      </c>
      <c r="E479" s="15">
        <f>D479*1000</f>
        <v>600</v>
      </c>
      <c r="H479" s="15"/>
      <c r="K479" s="15"/>
      <c r="M479" s="45"/>
    </row>
    <row r="480" spans="1:13" x14ac:dyDescent="0.25">
      <c r="A480" s="16" t="s">
        <v>17</v>
      </c>
      <c r="D480" s="45">
        <v>0.2</v>
      </c>
      <c r="G480" s="16"/>
      <c r="H480" s="15"/>
      <c r="K480" s="15"/>
      <c r="M480" s="45"/>
    </row>
    <row r="481" spans="1:27" x14ac:dyDescent="0.25">
      <c r="A481" s="16" t="s">
        <v>570</v>
      </c>
      <c r="D481" s="16">
        <v>9.1999999999999993</v>
      </c>
      <c r="E481" s="17">
        <f>D481*1000</f>
        <v>9200</v>
      </c>
      <c r="H481" s="15"/>
      <c r="K481" s="15"/>
      <c r="M481" s="45"/>
    </row>
    <row r="482" spans="1:27" x14ac:dyDescent="0.25">
      <c r="A482" s="16" t="s">
        <v>571</v>
      </c>
      <c r="D482" s="16">
        <v>3.8</v>
      </c>
      <c r="G482" s="9"/>
      <c r="H482" s="15"/>
      <c r="K482" s="15"/>
      <c r="M482" s="45"/>
    </row>
    <row r="483" spans="1:27" x14ac:dyDescent="0.25">
      <c r="D483" s="12"/>
      <c r="H483" s="15"/>
      <c r="K483" s="15"/>
      <c r="M483" s="45"/>
    </row>
    <row r="484" spans="1:27" x14ac:dyDescent="0.25">
      <c r="A484" s="16" t="s">
        <v>567</v>
      </c>
      <c r="D484" s="17">
        <f>(D480*10000000000)/(2*PI()*DiskScaleLengthPc^2)</f>
        <v>884.19412828830741</v>
      </c>
      <c r="H484" s="15"/>
      <c r="K484" s="15"/>
      <c r="M484" s="45"/>
    </row>
    <row r="485" spans="1:27" x14ac:dyDescent="0.25">
      <c r="A485" s="16" t="s">
        <v>565</v>
      </c>
      <c r="D485" s="9">
        <f>(D482*10000000000)/(4*PI()*(LCDMHaloScaleLengthPc)^3*(LN(2)-1/2))</f>
        <v>2.0105824047537475E-2</v>
      </c>
      <c r="H485" s="15"/>
      <c r="K485" s="15"/>
      <c r="M485" s="45"/>
    </row>
    <row r="486" spans="1:27" x14ac:dyDescent="0.25">
      <c r="H486" s="15"/>
      <c r="K486" s="15"/>
      <c r="M486" s="45"/>
    </row>
    <row r="487" spans="1:27" ht="45" x14ac:dyDescent="0.25">
      <c r="A487" s="7" t="s">
        <v>20</v>
      </c>
      <c r="B487" s="3" t="s">
        <v>19</v>
      </c>
      <c r="C487" s="7" t="s">
        <v>27</v>
      </c>
      <c r="D487" s="4" t="s">
        <v>649</v>
      </c>
      <c r="E487" s="4" t="s">
        <v>21</v>
      </c>
      <c r="F487" s="4" t="s">
        <v>22</v>
      </c>
      <c r="G487" s="4" t="s">
        <v>28</v>
      </c>
      <c r="H487" s="4" t="s">
        <v>23</v>
      </c>
      <c r="I487" s="7" t="s">
        <v>645</v>
      </c>
      <c r="J487" s="7" t="s">
        <v>646</v>
      </c>
      <c r="K487" s="25" t="s">
        <v>647</v>
      </c>
      <c r="L487" s="3" t="s">
        <v>648</v>
      </c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x14ac:dyDescent="0.25">
      <c r="A488" s="16">
        <v>0.05</v>
      </c>
      <c r="B488" s="45">
        <f>A488*1000</f>
        <v>50</v>
      </c>
      <c r="C488" s="16">
        <f>B488/LCDMBulgeEffectiveRadius</f>
        <v>8.771929824561403E-2</v>
      </c>
      <c r="D488" s="15">
        <f>A488*kpc</f>
        <v>1.54283879E+18</v>
      </c>
      <c r="E488" s="15">
        <f>FORECAST($C488, OFFSET('De Vaucouleurs Deprojection'!$F$3:$F$126, MATCH($C488, 'De Vaucouleurs Deprojection'!$A$3:$A$126,1)-1,0,2), OFFSET('De Vaucouleurs Deprojection'!$A$3:$A$126, MATCH($C488, 'De Vaucouleurs Deprojection'!$A$3:$A$126,1)-1,0,2))*LCDMTotalBulgeMass</f>
        <v>6.9840035489052635E+38</v>
      </c>
      <c r="F488" s="15">
        <f t="shared" ref="F488:F551" si="56">2*PI()*LCDMDiskSurfaceDensity*LCDMScaleLength*(LCDMScaleLength-EXP(-RadiusPc/LCDMScaleLength)*(RadiusPc+LCDMScaleLength))*SolarMass</f>
        <v>1.3069252198428606E+37</v>
      </c>
      <c r="G488" s="15">
        <f t="shared" ref="G488:G551" si="57">4*PI()*LCDMHaloRepresentativeDensity*LCDMHaloScaleLengthPc^3*(LN(1+RadiusPc/LCDMHaloScaleLengthPc)-RadiusPc/(RadiusPc+LCDMHaloScaleLengthPc))*SolarMass</f>
        <v>5.7378203961744292E+36</v>
      </c>
      <c r="H488" s="15">
        <f t="shared" ref="H488:H551" si="58">BulgeMass+DiskMass+HaloMass</f>
        <v>7.1720742748512938E+38</v>
      </c>
      <c r="I488" s="16">
        <v>178.68028000000001</v>
      </c>
      <c r="J488" s="45">
        <v>1</v>
      </c>
      <c r="K488" s="19">
        <f t="shared" ref="K488:K551" si="59">SQRT(TotalMass*GravitationalConstant/RadiusKm)/km</f>
        <v>176.13992968322245</v>
      </c>
      <c r="L488" s="16">
        <f t="shared" ref="L488:L551" si="60">(ObservedVelocity-ModelVelocity)^2/(VelocityError)^2</f>
        <v>6.4533797319518618</v>
      </c>
      <c r="M488" s="45"/>
    </row>
    <row r="489" spans="1:27" x14ac:dyDescent="0.25">
      <c r="A489" s="16">
        <v>0.1</v>
      </c>
      <c r="B489" s="45">
        <f t="shared" ref="B489:B552" si="61">A489*1000</f>
        <v>100</v>
      </c>
      <c r="C489" s="16">
        <f t="shared" ref="C489:C552" si="62">B489/LCDMBulgeEffectiveRadius</f>
        <v>0.17543859649122806</v>
      </c>
      <c r="D489" s="15">
        <f t="shared" ref="D489:D552" si="63">A489*kpc</f>
        <v>3.08567758E+18</v>
      </c>
      <c r="E489" s="15">
        <f>FORECAST($C489, OFFSET('De Vaucouleurs Deprojection'!$F$3:$F$126, MATCH($C489, 'De Vaucouleurs Deprojection'!$A$3:$A$126,1)-1,0,2), OFFSET('De Vaucouleurs Deprojection'!$A$3:$A$126, MATCH($C489, 'De Vaucouleurs Deprojection'!$A$3:$A$126,1)-1,0,2))*LCDMTotalBulgeMass</f>
        <v>1.6094101090940347E+39</v>
      </c>
      <c r="F489" s="15">
        <f t="shared" si="56"/>
        <v>4.9480802380185345E+37</v>
      </c>
      <c r="G489" s="15">
        <f t="shared" si="57"/>
        <v>2.2786793070741399E+37</v>
      </c>
      <c r="H489" s="15">
        <f t="shared" si="58"/>
        <v>1.6816777045449615E+39</v>
      </c>
      <c r="I489" s="16">
        <v>180.02099999999999</v>
      </c>
      <c r="J489" s="45">
        <v>1</v>
      </c>
      <c r="K489" s="19">
        <f t="shared" si="59"/>
        <v>190.71805751433209</v>
      </c>
      <c r="L489" s="16">
        <f t="shared" si="60"/>
        <v>114.42703946492888</v>
      </c>
      <c r="M489" s="45"/>
    </row>
    <row r="490" spans="1:27" x14ac:dyDescent="0.25">
      <c r="A490" s="16">
        <v>0.15</v>
      </c>
      <c r="B490" s="45">
        <f t="shared" si="61"/>
        <v>150</v>
      </c>
      <c r="C490" s="16">
        <f t="shared" si="62"/>
        <v>0.26315789473684209</v>
      </c>
      <c r="D490" s="15">
        <f t="shared" si="63"/>
        <v>4.62851637E+18</v>
      </c>
      <c r="E490" s="15">
        <f>FORECAST($C490, OFFSET('De Vaucouleurs Deprojection'!$F$3:$F$126, MATCH($C490, 'De Vaucouleurs Deprojection'!$A$3:$A$126,1)-1,0,2), OFFSET('De Vaucouleurs Deprojection'!$A$3:$A$126, MATCH($C490, 'De Vaucouleurs Deprojection'!$A$3:$A$126,1)-1,0,2))*LCDMTotalBulgeMass</f>
        <v>2.4873573641452624E+39</v>
      </c>
      <c r="F490" s="15">
        <f t="shared" si="56"/>
        <v>1.0541840598167144E+38</v>
      </c>
      <c r="G490" s="15">
        <f t="shared" si="57"/>
        <v>5.0904637724155414E+37</v>
      </c>
      <c r="H490" s="15">
        <f t="shared" si="58"/>
        <v>2.6436804078510892E+39</v>
      </c>
      <c r="I490" s="16">
        <v>182.22864000000001</v>
      </c>
      <c r="J490" s="45">
        <v>1</v>
      </c>
      <c r="K490" s="19">
        <f t="shared" si="59"/>
        <v>195.24471109093076</v>
      </c>
      <c r="L490" s="16">
        <f t="shared" si="60"/>
        <v>169.41810664416323</v>
      </c>
      <c r="M490" s="45"/>
    </row>
    <row r="491" spans="1:27" x14ac:dyDescent="0.25">
      <c r="A491" s="16">
        <v>0.2</v>
      </c>
      <c r="B491" s="45">
        <f t="shared" si="61"/>
        <v>200</v>
      </c>
      <c r="C491" s="16">
        <f t="shared" si="62"/>
        <v>0.35087719298245612</v>
      </c>
      <c r="D491" s="15">
        <f t="shared" si="63"/>
        <v>6.17135516E+18</v>
      </c>
      <c r="E491" s="15">
        <f>FORECAST($C491, OFFSET('De Vaucouleurs Deprojection'!$F$3:$F$126, MATCH($C491, 'De Vaucouleurs Deprojection'!$A$3:$A$126,1)-1,0,2), OFFSET('De Vaucouleurs Deprojection'!$A$3:$A$126, MATCH($C491, 'De Vaucouleurs Deprojection'!$A$3:$A$126,1)-1,0,2))*LCDMTotalBulgeMass</f>
        <v>3.3103830556491223E+39</v>
      </c>
      <c r="F491" s="15">
        <f t="shared" si="56"/>
        <v>1.7752685370046864E+38</v>
      </c>
      <c r="G491" s="15">
        <f t="shared" si="57"/>
        <v>8.9854875966115678E+37</v>
      </c>
      <c r="H491" s="15">
        <f t="shared" si="58"/>
        <v>3.5777647853157069E+39</v>
      </c>
      <c r="I491" s="16">
        <v>184.56180000000001</v>
      </c>
      <c r="J491" s="45">
        <v>1</v>
      </c>
      <c r="K491" s="19">
        <f t="shared" si="59"/>
        <v>196.70315521903862</v>
      </c>
      <c r="L491" s="16">
        <f t="shared" si="60"/>
        <v>147.41250655487622</v>
      </c>
      <c r="M491" s="45"/>
    </row>
    <row r="492" spans="1:27" x14ac:dyDescent="0.25">
      <c r="A492" s="16">
        <v>0.25</v>
      </c>
      <c r="B492" s="45">
        <f t="shared" si="61"/>
        <v>250</v>
      </c>
      <c r="C492" s="16">
        <f t="shared" si="62"/>
        <v>0.43859649122807015</v>
      </c>
      <c r="D492" s="15">
        <f t="shared" si="63"/>
        <v>7.71419395E+18</v>
      </c>
      <c r="E492" s="15">
        <f>FORECAST($C492, OFFSET('De Vaucouleurs Deprojection'!$F$3:$F$126, MATCH($C492, 'De Vaucouleurs Deprojection'!$A$3:$A$126,1)-1,0,2), OFFSET('De Vaucouleurs Deprojection'!$A$3:$A$126, MATCH($C492, 'De Vaucouleurs Deprojection'!$A$3:$A$126,1)-1,0,2))*LCDMTotalBulgeMass</f>
        <v>4.0725735125333325E+39</v>
      </c>
      <c r="F492" s="15">
        <f t="shared" si="56"/>
        <v>2.6286264366017548E+38</v>
      </c>
      <c r="G492" s="15">
        <f t="shared" si="57"/>
        <v>1.3940666755504224E+38</v>
      </c>
      <c r="H492" s="15">
        <f t="shared" si="58"/>
        <v>4.4748428237485498E+39</v>
      </c>
      <c r="I492" s="16">
        <v>186.39711</v>
      </c>
      <c r="J492" s="45">
        <v>1</v>
      </c>
      <c r="K492" s="19">
        <f t="shared" si="59"/>
        <v>196.76113541189429</v>
      </c>
      <c r="L492" s="16">
        <f t="shared" si="60"/>
        <v>107.41302273839059</v>
      </c>
      <c r="M492" s="45"/>
    </row>
    <row r="493" spans="1:27" x14ac:dyDescent="0.25">
      <c r="A493" s="16">
        <v>0.3</v>
      </c>
      <c r="B493" s="45">
        <f t="shared" si="61"/>
        <v>300</v>
      </c>
      <c r="C493" s="16">
        <f t="shared" si="62"/>
        <v>0.52631578947368418</v>
      </c>
      <c r="D493" s="15">
        <f t="shared" si="63"/>
        <v>9.25703274E+18</v>
      </c>
      <c r="E493" s="15">
        <f>FORECAST($C493, OFFSET('De Vaucouleurs Deprojection'!$F$3:$F$126, MATCH($C493, 'De Vaucouleurs Deprojection'!$A$3:$A$126,1)-1,0,2), OFFSET('De Vaucouleurs Deprojection'!$A$3:$A$126, MATCH($C493, 'De Vaucouleurs Deprojection'!$A$3:$A$126,1)-1,0,2))*LCDMTotalBulgeMass</f>
        <v>4.7765522948842095E+39</v>
      </c>
      <c r="F493" s="15">
        <f t="shared" si="56"/>
        <v>3.5884959429680235E+38</v>
      </c>
      <c r="G493" s="15">
        <f t="shared" si="57"/>
        <v>1.9933465202642922E+38</v>
      </c>
      <c r="H493" s="15">
        <f t="shared" si="58"/>
        <v>5.3347365412074413E+39</v>
      </c>
      <c r="I493" s="16">
        <v>187.53702999999999</v>
      </c>
      <c r="J493" s="45">
        <v>1</v>
      </c>
      <c r="K493" s="19">
        <f t="shared" si="59"/>
        <v>196.11747468326726</v>
      </c>
      <c r="L493" s="16">
        <f t="shared" si="60"/>
        <v>73.624030962609623</v>
      </c>
      <c r="M493" s="45"/>
    </row>
    <row r="494" spans="1:27" x14ac:dyDescent="0.25">
      <c r="A494" s="16">
        <v>0.35</v>
      </c>
      <c r="B494" s="45">
        <f t="shared" si="61"/>
        <v>350</v>
      </c>
      <c r="C494" s="16">
        <f t="shared" si="62"/>
        <v>0.61403508771929827</v>
      </c>
      <c r="D494" s="15">
        <f t="shared" si="63"/>
        <v>1.0799871529999999E+19</v>
      </c>
      <c r="E494" s="15">
        <f>FORECAST($C494, OFFSET('De Vaucouleurs Deprojection'!$F$3:$F$126, MATCH($C494, 'De Vaucouleurs Deprojection'!$A$3:$A$126,1)-1,0,2), OFFSET('De Vaucouleurs Deprojection'!$A$3:$A$126, MATCH($C494, 'De Vaucouleurs Deprojection'!$A$3:$A$126,1)-1,0,2))*LCDMTotalBulgeMass</f>
        <v>5.4271873236421065E+39</v>
      </c>
      <c r="F494" s="15">
        <f t="shared" si="56"/>
        <v>4.6323892323786423E+38</v>
      </c>
      <c r="G494" s="15">
        <f t="shared" si="57"/>
        <v>2.6941879550481758E+38</v>
      </c>
      <c r="H494" s="15">
        <f t="shared" si="58"/>
        <v>6.1598450423847884E+39</v>
      </c>
      <c r="I494" s="16">
        <v>188.07404</v>
      </c>
      <c r="J494" s="45">
        <v>1</v>
      </c>
      <c r="K494" s="19">
        <f t="shared" si="59"/>
        <v>195.10630445330557</v>
      </c>
      <c r="L494" s="16">
        <f t="shared" si="60"/>
        <v>49.452743341225116</v>
      </c>
      <c r="M494" s="45"/>
    </row>
    <row r="495" spans="1:27" x14ac:dyDescent="0.25">
      <c r="A495" s="16">
        <v>0.4</v>
      </c>
      <c r="B495" s="45">
        <f t="shared" si="61"/>
        <v>400</v>
      </c>
      <c r="C495" s="16">
        <f t="shared" si="62"/>
        <v>0.70175438596491224</v>
      </c>
      <c r="D495" s="15">
        <f t="shared" si="63"/>
        <v>1.234271032E+19</v>
      </c>
      <c r="E495" s="15">
        <f>FORECAST($C495, OFFSET('De Vaucouleurs Deprojection'!$F$3:$F$126, MATCH($C495, 'De Vaucouleurs Deprojection'!$A$3:$A$126,1)-1,0,2), OFFSET('De Vaucouleurs Deprojection'!$A$3:$A$126, MATCH($C495, 'De Vaucouleurs Deprojection'!$A$3:$A$126,1)-1,0,2))*LCDMTotalBulgeMass</f>
        <v>6.0294318067719295E+39</v>
      </c>
      <c r="F495" s="15">
        <f t="shared" si="56"/>
        <v>5.7407336177423726E+38</v>
      </c>
      <c r="G495" s="15">
        <f t="shared" si="57"/>
        <v>3.4944424250574399E+38</v>
      </c>
      <c r="H495" s="15">
        <f t="shared" si="58"/>
        <v>6.9529494110519101E+39</v>
      </c>
      <c r="I495" s="16">
        <v>188.23921000000001</v>
      </c>
      <c r="J495" s="45">
        <v>1</v>
      </c>
      <c r="K495" s="19">
        <f t="shared" si="59"/>
        <v>193.89873272056499</v>
      </c>
      <c r="L495" s="16">
        <f t="shared" si="60"/>
        <v>32.030197424591222</v>
      </c>
      <c r="M495" s="45"/>
    </row>
    <row r="496" spans="1:27" x14ac:dyDescent="0.25">
      <c r="A496" s="16">
        <v>0.45</v>
      </c>
      <c r="B496" s="45">
        <f t="shared" si="61"/>
        <v>450</v>
      </c>
      <c r="C496" s="16">
        <f t="shared" si="62"/>
        <v>0.78947368421052633</v>
      </c>
      <c r="D496" s="15">
        <f t="shared" si="63"/>
        <v>1.3885549110000001E+19</v>
      </c>
      <c r="E496" s="15">
        <f>FORECAST($C496, OFFSET('De Vaucouleurs Deprojection'!$F$3:$F$126, MATCH($C496, 'De Vaucouleurs Deprojection'!$A$3:$A$126,1)-1,0,2), OFFSET('De Vaucouleurs Deprojection'!$A$3:$A$126, MATCH($C496, 'De Vaucouleurs Deprojection'!$A$3:$A$126,1)-1,0,2))*LCDMTotalBulgeMass</f>
        <v>6.5828133853684206E+39</v>
      </c>
      <c r="F496" s="15">
        <f t="shared" si="56"/>
        <v>6.8965491479996677E+38</v>
      </c>
      <c r="G496" s="15">
        <f t="shared" si="57"/>
        <v>4.3920117254233737E+38</v>
      </c>
      <c r="H496" s="15">
        <f t="shared" si="58"/>
        <v>7.7116694727107257E+39</v>
      </c>
      <c r="I496" s="16">
        <v>188.14259000000001</v>
      </c>
      <c r="J496" s="45">
        <v>1</v>
      </c>
      <c r="K496" s="19">
        <f t="shared" si="59"/>
        <v>192.52555243089324</v>
      </c>
      <c r="L496" s="16">
        <f t="shared" si="60"/>
        <v>19.210359670621489</v>
      </c>
      <c r="M496" s="45"/>
    </row>
    <row r="497" spans="1:13" x14ac:dyDescent="0.25">
      <c r="A497" s="16">
        <v>0.5</v>
      </c>
      <c r="B497" s="45">
        <f t="shared" si="61"/>
        <v>500</v>
      </c>
      <c r="C497" s="16">
        <f t="shared" si="62"/>
        <v>0.8771929824561403</v>
      </c>
      <c r="D497" s="15">
        <f t="shared" si="63"/>
        <v>1.54283879E+19</v>
      </c>
      <c r="E497" s="15">
        <f>FORECAST($C497, OFFSET('De Vaucouleurs Deprojection'!$F$3:$F$126, MATCH($C497, 'De Vaucouleurs Deprojection'!$A$3:$A$126,1)-1,0,2), OFFSET('De Vaucouleurs Deprojection'!$A$3:$A$126, MATCH($C497, 'De Vaucouleurs Deprojection'!$A$3:$A$126,1)-1,0,2))*LCDMTotalBulgeMass</f>
        <v>7.0975140180561393E+39</v>
      </c>
      <c r="F497" s="15">
        <f t="shared" si="56"/>
        <v>8.0851591268142592E+38</v>
      </c>
      <c r="G497" s="15">
        <f t="shared" si="57"/>
        <v>5.38484661355983E+38</v>
      </c>
      <c r="H497" s="15">
        <f t="shared" si="58"/>
        <v>8.4445145920935484E+39</v>
      </c>
      <c r="I497" s="16">
        <v>187.81952999999999</v>
      </c>
      <c r="J497" s="45">
        <v>1</v>
      </c>
      <c r="K497" s="19">
        <f t="shared" si="59"/>
        <v>191.12732197222013</v>
      </c>
      <c r="L497" s="16">
        <f t="shared" si="60"/>
        <v>10.941487731484033</v>
      </c>
      <c r="M497" s="45"/>
    </row>
    <row r="498" spans="1:13" x14ac:dyDescent="0.25">
      <c r="A498" s="16">
        <v>0.55000000000000004</v>
      </c>
      <c r="B498" s="45">
        <f t="shared" si="61"/>
        <v>550</v>
      </c>
      <c r="C498" s="16">
        <f t="shared" si="62"/>
        <v>0.96491228070175439</v>
      </c>
      <c r="D498" s="15">
        <f t="shared" si="63"/>
        <v>1.6971226690000001E+19</v>
      </c>
      <c r="E498" s="15">
        <f>FORECAST($C498, OFFSET('De Vaucouleurs Deprojection'!$F$3:$F$126, MATCH($C498, 'De Vaucouleurs Deprojection'!$A$3:$A$126,1)-1,0,2), OFFSET('De Vaucouleurs Deprojection'!$A$3:$A$126, MATCH($C498, 'De Vaucouleurs Deprojection'!$A$3:$A$126,1)-1,0,2))*LCDMTotalBulgeMass</f>
        <v>7.5780539171368435E+39</v>
      </c>
      <c r="F498" s="15">
        <f t="shared" si="56"/>
        <v>9.2939303474687905E+38</v>
      </c>
      <c r="G498" s="15">
        <f t="shared" si="57"/>
        <v>6.4709454660268001E+38</v>
      </c>
      <c r="H498" s="15">
        <f t="shared" si="58"/>
        <v>9.1545414984864034E+39</v>
      </c>
      <c r="I498" s="16">
        <v>187.33926</v>
      </c>
      <c r="J498" s="45">
        <v>1</v>
      </c>
      <c r="K498" s="19">
        <f t="shared" si="59"/>
        <v>189.73934003524187</v>
      </c>
      <c r="L498" s="16">
        <f t="shared" si="60"/>
        <v>5.7603841755666192</v>
      </c>
      <c r="M498" s="45"/>
    </row>
    <row r="499" spans="1:13" x14ac:dyDescent="0.25">
      <c r="A499" s="16">
        <v>0.6</v>
      </c>
      <c r="B499" s="45">
        <f t="shared" si="61"/>
        <v>600</v>
      </c>
      <c r="C499" s="16">
        <f t="shared" si="62"/>
        <v>1.0526315789473684</v>
      </c>
      <c r="D499" s="15">
        <f t="shared" si="63"/>
        <v>1.851406548E+19</v>
      </c>
      <c r="E499" s="15">
        <f>FORECAST($C499, OFFSET('De Vaucouleurs Deprojection'!$F$3:$F$126, MATCH($C499, 'De Vaucouleurs Deprojection'!$A$3:$A$126,1)-1,0,2), OFFSET('De Vaucouleurs Deprojection'!$A$3:$A$126, MATCH($C499, 'De Vaucouleurs Deprojection'!$A$3:$A$126,1)-1,0,2))*LCDMTotalBulgeMass</f>
        <v>8.0274837338736831E+39</v>
      </c>
      <c r="F499" s="15">
        <f t="shared" si="56"/>
        <v>1.051204014263536E+39</v>
      </c>
      <c r="G499" s="15">
        <f t="shared" si="57"/>
        <v>7.6483529782923111E+38</v>
      </c>
      <c r="H499" s="15">
        <f t="shared" si="58"/>
        <v>9.8435230459664501E+39</v>
      </c>
      <c r="I499" s="16">
        <v>186.72092000000001</v>
      </c>
      <c r="J499" s="45">
        <v>1</v>
      </c>
      <c r="K499" s="19">
        <f t="shared" si="59"/>
        <v>188.37362165059099</v>
      </c>
      <c r="L499" s="16">
        <f t="shared" si="60"/>
        <v>2.7314227458661637</v>
      </c>
      <c r="M499" s="45"/>
    </row>
    <row r="500" spans="1:13" x14ac:dyDescent="0.25">
      <c r="A500" s="16">
        <v>0.65</v>
      </c>
      <c r="B500" s="45">
        <f t="shared" si="61"/>
        <v>650</v>
      </c>
      <c r="C500" s="16">
        <f t="shared" si="62"/>
        <v>1.1403508771929824</v>
      </c>
      <c r="D500" s="15">
        <f t="shared" si="63"/>
        <v>2.0056904270000001E+19</v>
      </c>
      <c r="E500" s="15">
        <f>FORECAST($C500, OFFSET('De Vaucouleurs Deprojection'!$F$3:$F$126, MATCH($C500, 'De Vaucouleurs Deprojection'!$A$3:$A$126,1)-1,0,2), OFFSET('De Vaucouleurs Deprojection'!$A$3:$A$126, MATCH($C500, 'De Vaucouleurs Deprojection'!$A$3:$A$126,1)-1,0,2))*LCDMTotalBulgeMass</f>
        <v>8.4486802652105257E+39</v>
      </c>
      <c r="F500" s="15">
        <f t="shared" si="56"/>
        <v>1.1730267621674127E+39</v>
      </c>
      <c r="G500" s="15">
        <f t="shared" si="57"/>
        <v>8.9151589058304602E+38</v>
      </c>
      <c r="H500" s="15">
        <f t="shared" si="58"/>
        <v>1.0513222917960984E+40</v>
      </c>
      <c r="I500" s="16">
        <v>185.98221000000001</v>
      </c>
      <c r="J500" s="45">
        <v>1</v>
      </c>
      <c r="K500" s="19">
        <f t="shared" si="59"/>
        <v>187.03879237111548</v>
      </c>
      <c r="L500" s="16">
        <f t="shared" si="60"/>
        <v>1.1163663069519842</v>
      </c>
      <c r="M500" s="45"/>
    </row>
    <row r="501" spans="1:13" x14ac:dyDescent="0.25">
      <c r="A501" s="16">
        <v>0.7</v>
      </c>
      <c r="B501" s="45">
        <f t="shared" si="61"/>
        <v>700</v>
      </c>
      <c r="C501" s="16">
        <f t="shared" si="62"/>
        <v>1.2280701754385965</v>
      </c>
      <c r="D501" s="15">
        <f t="shared" si="63"/>
        <v>2.1599743059999998E+19</v>
      </c>
      <c r="E501" s="15">
        <f>FORECAST($C501, OFFSET('De Vaucouleurs Deprojection'!$F$3:$F$126, MATCH($C501, 'De Vaucouleurs Deprojection'!$A$3:$A$126,1)-1,0,2), OFFSET('De Vaucouleurs Deprojection'!$A$3:$A$126, MATCH($C501, 'De Vaucouleurs Deprojection'!$A$3:$A$126,1)-1,0,2))*LCDMTotalBulgeMass</f>
        <v>8.8441627586421044E+39</v>
      </c>
      <c r="F501" s="15">
        <f t="shared" si="56"/>
        <v>1.2940806716830528E+39</v>
      </c>
      <c r="G501" s="15">
        <f t="shared" si="57"/>
        <v>1.0269496845058974E+39</v>
      </c>
      <c r="H501" s="15">
        <f t="shared" si="58"/>
        <v>1.1165193114831054E+40</v>
      </c>
      <c r="I501" s="16">
        <v>185.19346999999999</v>
      </c>
      <c r="J501" s="45">
        <v>1</v>
      </c>
      <c r="K501" s="19">
        <f t="shared" si="59"/>
        <v>185.73961075371477</v>
      </c>
      <c r="L501" s="16">
        <f t="shared" si="60"/>
        <v>0.29826972286814868</v>
      </c>
      <c r="M501" s="45"/>
    </row>
    <row r="502" spans="1:13" x14ac:dyDescent="0.25">
      <c r="A502" s="16">
        <v>0.75</v>
      </c>
      <c r="B502" s="45">
        <f t="shared" si="61"/>
        <v>750</v>
      </c>
      <c r="C502" s="16">
        <f t="shared" si="62"/>
        <v>1.3157894736842106</v>
      </c>
      <c r="D502" s="15">
        <f t="shared" si="63"/>
        <v>2.3142581849999999E+19</v>
      </c>
      <c r="E502" s="15">
        <f>FORECAST($C502, OFFSET('De Vaucouleurs Deprojection'!$F$3:$F$126, MATCH($C502, 'De Vaucouleurs Deprojection'!$A$3:$A$126,1)-1,0,2), OFFSET('De Vaucouleurs Deprojection'!$A$3:$A$126, MATCH($C502, 'De Vaucouleurs Deprojection'!$A$3:$A$126,1)-1,0,2))*LCDMTotalBulgeMass</f>
        <v>9.2160568292421045E+39</v>
      </c>
      <c r="F502" s="15">
        <f t="shared" si="56"/>
        <v>1.4137098885442815E+39</v>
      </c>
      <c r="G502" s="15">
        <f t="shared" si="57"/>
        <v>1.1709543052652396E+39</v>
      </c>
      <c r="H502" s="15">
        <f t="shared" si="58"/>
        <v>1.1800721023051624E+40</v>
      </c>
      <c r="I502" s="16">
        <v>184.40735000000001</v>
      </c>
      <c r="J502" s="45">
        <v>1</v>
      </c>
      <c r="K502" s="19">
        <f t="shared" si="59"/>
        <v>184.47778334996099</v>
      </c>
      <c r="L502" s="16">
        <f t="shared" si="60"/>
        <v>4.9608567867257163E-3</v>
      </c>
      <c r="M502" s="45"/>
    </row>
    <row r="503" spans="1:13" x14ac:dyDescent="0.25">
      <c r="A503" s="16">
        <v>0.8</v>
      </c>
      <c r="B503" s="45">
        <f t="shared" si="61"/>
        <v>800</v>
      </c>
      <c r="C503" s="16">
        <f t="shared" si="62"/>
        <v>1.4035087719298245</v>
      </c>
      <c r="D503" s="15">
        <f t="shared" si="63"/>
        <v>2.468542064E+19</v>
      </c>
      <c r="E503" s="15">
        <f>FORECAST($C503, OFFSET('De Vaucouleurs Deprojection'!$F$3:$F$126, MATCH($C503, 'De Vaucouleurs Deprojection'!$A$3:$A$126,1)-1,0,2), OFFSET('De Vaucouleurs Deprojection'!$A$3:$A$126, MATCH($C503, 'De Vaucouleurs Deprojection'!$A$3:$A$126,1)-1,0,2))*LCDMTotalBulgeMass</f>
        <v>9.5664552893824577E+39</v>
      </c>
      <c r="F503" s="15">
        <f t="shared" si="56"/>
        <v>1.531368352012037E+39</v>
      </c>
      <c r="G503" s="15">
        <f t="shared" si="57"/>
        <v>1.3233515301870652E+39</v>
      </c>
      <c r="H503" s="15">
        <f t="shared" si="58"/>
        <v>1.2421175171581561E+40</v>
      </c>
      <c r="I503" s="16">
        <v>183.61879999999999</v>
      </c>
      <c r="J503" s="45">
        <v>1</v>
      </c>
      <c r="K503" s="19">
        <f t="shared" si="59"/>
        <v>183.25540017854323</v>
      </c>
      <c r="L503" s="16">
        <f t="shared" si="60"/>
        <v>0.13205943023481004</v>
      </c>
      <c r="M503" s="45"/>
    </row>
    <row r="504" spans="1:13" x14ac:dyDescent="0.25">
      <c r="A504" s="16">
        <v>0.85</v>
      </c>
      <c r="B504" s="45">
        <f t="shared" si="61"/>
        <v>850</v>
      </c>
      <c r="C504" s="16">
        <f t="shared" si="62"/>
        <v>1.4912280701754386</v>
      </c>
      <c r="D504" s="15">
        <f t="shared" si="63"/>
        <v>2.6228259430000001E+19</v>
      </c>
      <c r="E504" s="15">
        <f>FORECAST($C504, OFFSET('De Vaucouleurs Deprojection'!$F$3:$F$126, MATCH($C504, 'De Vaucouleurs Deprojection'!$A$3:$A$126,1)-1,0,2), OFFSET('De Vaucouleurs Deprojection'!$A$3:$A$126, MATCH($C504, 'De Vaucouleurs Deprojection'!$A$3:$A$126,1)-1,0,2))*LCDMTotalBulgeMass</f>
        <v>9.8948103339438595E+39</v>
      </c>
      <c r="F504" s="15">
        <f t="shared" si="56"/>
        <v>1.6466064304707843E+39</v>
      </c>
      <c r="G504" s="15">
        <f t="shared" si="57"/>
        <v>1.4839671774555281E+39</v>
      </c>
      <c r="H504" s="15">
        <f t="shared" si="58"/>
        <v>1.3025383941870173E+40</v>
      </c>
      <c r="I504" s="16">
        <v>182.77207999999999</v>
      </c>
      <c r="J504" s="45">
        <v>1</v>
      </c>
      <c r="K504" s="19">
        <f t="shared" si="59"/>
        <v>182.05651938394416</v>
      </c>
      <c r="L504" s="16">
        <f t="shared" si="60"/>
        <v>0.5120269952501918</v>
      </c>
      <c r="M504" s="45"/>
    </row>
    <row r="505" spans="1:13" x14ac:dyDescent="0.25">
      <c r="A505" s="16">
        <v>0.9</v>
      </c>
      <c r="B505" s="45">
        <f t="shared" si="61"/>
        <v>900</v>
      </c>
      <c r="C505" s="16">
        <f t="shared" si="62"/>
        <v>1.5789473684210527</v>
      </c>
      <c r="D505" s="15">
        <f t="shared" si="63"/>
        <v>2.7771098220000002E+19</v>
      </c>
      <c r="E505" s="15">
        <f>FORECAST($C505, OFFSET('De Vaucouleurs Deprojection'!$F$3:$F$126, MATCH($C505, 'De Vaucouleurs Deprojection'!$A$3:$A$126,1)-1,0,2), OFFSET('De Vaucouleurs Deprojection'!$A$3:$A$126, MATCH($C505, 'De Vaucouleurs Deprojection'!$A$3:$A$126,1)-1,0,2))*LCDMTotalBulgeMass</f>
        <v>1.0204713858768423E+40</v>
      </c>
      <c r="F505" s="15">
        <f t="shared" si="56"/>
        <v>1.7590589922437912E+39</v>
      </c>
      <c r="G505" s="15">
        <f t="shared" si="57"/>
        <v>1.6526309987526129E+39</v>
      </c>
      <c r="H505" s="15">
        <f t="shared" si="58"/>
        <v>1.3616403849764827E+40</v>
      </c>
      <c r="I505" s="16">
        <v>181.79254</v>
      </c>
      <c r="J505" s="45">
        <v>1</v>
      </c>
      <c r="K505" s="19">
        <f t="shared" si="59"/>
        <v>180.89659350855123</v>
      </c>
      <c r="L505" s="16">
        <f t="shared" si="60"/>
        <v>0.80272011553935774</v>
      </c>
      <c r="M505" s="45"/>
    </row>
    <row r="506" spans="1:13" x14ac:dyDescent="0.25">
      <c r="A506" s="16">
        <v>0.95</v>
      </c>
      <c r="B506" s="45">
        <f t="shared" si="61"/>
        <v>950</v>
      </c>
      <c r="C506" s="16">
        <f t="shared" si="62"/>
        <v>1.6666666666666667</v>
      </c>
      <c r="D506" s="15">
        <f t="shared" si="63"/>
        <v>2.9313937009999999E+19</v>
      </c>
      <c r="E506" s="15">
        <f>FORECAST($C506, OFFSET('De Vaucouleurs Deprojection'!$F$3:$F$126, MATCH($C506, 'De Vaucouleurs Deprojection'!$A$3:$A$126,1)-1,0,2), OFFSET('De Vaucouleurs Deprojection'!$A$3:$A$126, MATCH($C506, 'De Vaucouleurs Deprojection'!$A$3:$A$126,1)-1,0,2))*LCDMTotalBulgeMass</f>
        <v>1.0498232434066668E+40</v>
      </c>
      <c r="F506" s="15">
        <f t="shared" si="56"/>
        <v>1.8684347675569793E+39</v>
      </c>
      <c r="G506" s="15">
        <f t="shared" si="57"/>
        <v>1.8291765752164217E+39</v>
      </c>
      <c r="H506" s="15">
        <f t="shared" si="58"/>
        <v>1.4195843776840066E+40</v>
      </c>
      <c r="I506" s="16">
        <v>180.59316999999999</v>
      </c>
      <c r="J506" s="45">
        <v>1</v>
      </c>
      <c r="K506" s="19">
        <f t="shared" si="59"/>
        <v>179.77911350252316</v>
      </c>
      <c r="L506" s="16">
        <f t="shared" si="60"/>
        <v>0.66268798108423876</v>
      </c>
      <c r="M506" s="45"/>
    </row>
    <row r="507" spans="1:13" x14ac:dyDescent="0.25">
      <c r="A507" s="16">
        <v>1</v>
      </c>
      <c r="B507" s="45">
        <f t="shared" si="61"/>
        <v>1000</v>
      </c>
      <c r="C507" s="16">
        <f t="shared" si="62"/>
        <v>1.7543859649122806</v>
      </c>
      <c r="D507" s="15">
        <f t="shared" si="63"/>
        <v>3.08567758E+19</v>
      </c>
      <c r="E507" s="15">
        <f>FORECAST($C507, OFFSET('De Vaucouleurs Deprojection'!$F$3:$F$126, MATCH($C507, 'De Vaucouleurs Deprojection'!$A$3:$A$126,1)-1,0,2), OFFSET('De Vaucouleurs Deprojection'!$A$3:$A$126, MATCH($C507, 'De Vaucouleurs Deprojection'!$A$3:$A$126,1)-1,0,2))*LCDMTotalBulgeMass</f>
        <v>1.0776546957101754E+40</v>
      </c>
      <c r="F507" s="15">
        <f t="shared" si="56"/>
        <v>1.9745068714442972E+39</v>
      </c>
      <c r="G507" s="15">
        <f t="shared" si="57"/>
        <v>2.0134412165990933E+39</v>
      </c>
      <c r="H507" s="15">
        <f t="shared" si="58"/>
        <v>1.4764495045145146E+40</v>
      </c>
      <c r="I507" s="16">
        <v>179.02986000000001</v>
      </c>
      <c r="J507" s="45">
        <v>1</v>
      </c>
      <c r="K507" s="19">
        <f t="shared" si="59"/>
        <v>178.70213071465568</v>
      </c>
      <c r="L507" s="16">
        <f t="shared" si="60"/>
        <v>0.10740648447230709</v>
      </c>
      <c r="M507" s="45"/>
    </row>
    <row r="508" spans="1:13" x14ac:dyDescent="0.25">
      <c r="A508" s="16">
        <v>1.05</v>
      </c>
      <c r="B508" s="45">
        <f t="shared" si="61"/>
        <v>1050</v>
      </c>
      <c r="C508" s="16">
        <f t="shared" si="62"/>
        <v>1.8421052631578947</v>
      </c>
      <c r="D508" s="15">
        <f t="shared" si="63"/>
        <v>3.2399614590000001E+19</v>
      </c>
      <c r="E508" s="15">
        <f>FORECAST($C508, OFFSET('De Vaucouleurs Deprojection'!$F$3:$F$126, MATCH($C508, 'De Vaucouleurs Deprojection'!$A$3:$A$126,1)-1,0,2), OFFSET('De Vaucouleurs Deprojection'!$A$3:$A$126, MATCH($C508, 'De Vaucouleurs Deprojection'!$A$3:$A$126,1)-1,0,2))*LCDMTotalBulgeMass</f>
        <v>1.1040759598652632E+40</v>
      </c>
      <c r="F508" s="15">
        <f t="shared" si="56"/>
        <v>2.0771043699549574E+39</v>
      </c>
      <c r="G508" s="15">
        <f t="shared" si="57"/>
        <v>2.2052658635124746E+39</v>
      </c>
      <c r="H508" s="15">
        <f t="shared" si="58"/>
        <v>1.5323129832120063E+40</v>
      </c>
      <c r="I508" s="16">
        <v>177.29918000000001</v>
      </c>
      <c r="J508" s="45">
        <v>1</v>
      </c>
      <c r="K508" s="19">
        <f t="shared" si="59"/>
        <v>177.66403555632689</v>
      </c>
      <c r="L508" s="16">
        <f t="shared" si="60"/>
        <v>0.13311957698260232</v>
      </c>
      <c r="M508" s="45"/>
    </row>
    <row r="509" spans="1:13" x14ac:dyDescent="0.25">
      <c r="A509" s="16">
        <v>1.1000000000000001</v>
      </c>
      <c r="B509" s="45">
        <f t="shared" si="61"/>
        <v>1100</v>
      </c>
      <c r="C509" s="16">
        <f t="shared" si="62"/>
        <v>1.9298245614035088</v>
      </c>
      <c r="D509" s="15">
        <f t="shared" si="63"/>
        <v>3.3942453380000002E+19</v>
      </c>
      <c r="E509" s="15">
        <f>FORECAST($C509, OFFSET('De Vaucouleurs Deprojection'!$F$3:$F$126, MATCH($C509, 'De Vaucouleurs Deprojection'!$A$3:$A$126,1)-1,0,2), OFFSET('De Vaucouleurs Deprojection'!$A$3:$A$126, MATCH($C509, 'De Vaucouleurs Deprojection'!$A$3:$A$126,1)-1,0,2))*LCDMTotalBulgeMass</f>
        <v>1.1291877401663156E+40</v>
      </c>
      <c r="F509" s="15">
        <f t="shared" si="56"/>
        <v>2.1761047834129913E+39</v>
      </c>
      <c r="G509" s="15">
        <f t="shared" si="57"/>
        <v>2.4044949926540586E+39</v>
      </c>
      <c r="H509" s="15">
        <f t="shared" si="58"/>
        <v>1.5872477177730206E+40</v>
      </c>
      <c r="I509" s="16">
        <v>175.88016999999999</v>
      </c>
      <c r="J509" s="45">
        <v>1</v>
      </c>
      <c r="K509" s="19">
        <f t="shared" si="59"/>
        <v>176.66334311311743</v>
      </c>
      <c r="L509" s="16">
        <f t="shared" si="60"/>
        <v>0.61336012511006588</v>
      </c>
      <c r="M509" s="45"/>
    </row>
    <row r="510" spans="1:13" x14ac:dyDescent="0.25">
      <c r="A510" s="16">
        <v>1.1499999999999999</v>
      </c>
      <c r="B510" s="45">
        <f t="shared" si="61"/>
        <v>1150</v>
      </c>
      <c r="C510" s="16">
        <f t="shared" si="62"/>
        <v>2.0175438596491229</v>
      </c>
      <c r="D510" s="15">
        <f t="shared" si="63"/>
        <v>3.5485292169999999E+19</v>
      </c>
      <c r="E510" s="15">
        <f>FORECAST($C510, OFFSET('De Vaucouleurs Deprojection'!$F$3:$F$126, MATCH($C510, 'De Vaucouleurs Deprojection'!$A$3:$A$126,1)-1,0,2), OFFSET('De Vaucouleurs Deprojection'!$A$3:$A$126, MATCH($C510, 'De Vaucouleurs Deprojection'!$A$3:$A$126,1)-1,0,2))*LCDMTotalBulgeMass</f>
        <v>1.1530812281242106E+40</v>
      </c>
      <c r="F510" s="15">
        <f t="shared" si="56"/>
        <v>2.2714274308003411E+39</v>
      </c>
      <c r="G510" s="15">
        <f t="shared" si="57"/>
        <v>2.6109765249072907E+39</v>
      </c>
      <c r="H510" s="15">
        <f t="shared" si="58"/>
        <v>1.6413216236949738E+40</v>
      </c>
      <c r="I510" s="16">
        <v>174.75614999999999</v>
      </c>
      <c r="J510" s="45">
        <v>1</v>
      </c>
      <c r="K510" s="19">
        <f t="shared" si="59"/>
        <v>175.69862264904378</v>
      </c>
      <c r="L510" s="16">
        <f t="shared" si="60"/>
        <v>0.88825469419562531</v>
      </c>
      <c r="M510" s="45"/>
    </row>
    <row r="511" spans="1:13" x14ac:dyDescent="0.25">
      <c r="A511" s="16">
        <v>1.2</v>
      </c>
      <c r="B511" s="45">
        <f t="shared" si="61"/>
        <v>1200</v>
      </c>
      <c r="C511" s="16">
        <f t="shared" si="62"/>
        <v>2.1052631578947367</v>
      </c>
      <c r="D511" s="15">
        <f t="shared" si="63"/>
        <v>3.702813096E+19</v>
      </c>
      <c r="E511" s="15">
        <f>FORECAST($C511, OFFSET('De Vaucouleurs Deprojection'!$F$3:$F$126, MATCH($C511, 'De Vaucouleurs Deprojection'!$A$3:$A$126,1)-1,0,2), OFFSET('De Vaucouleurs Deprojection'!$A$3:$A$126, MATCH($C511, 'De Vaucouleurs Deprojection'!$A$3:$A$126,1)-1,0,2))*LCDMTotalBulgeMass</f>
        <v>1.1758371183852628E+40</v>
      </c>
      <c r="F511" s="15">
        <f t="shared" si="56"/>
        <v>2.3630275286843221E+39</v>
      </c>
      <c r="G511" s="15">
        <f t="shared" si="57"/>
        <v>2.8245617362187083E+39</v>
      </c>
      <c r="H511" s="15">
        <f t="shared" si="58"/>
        <v>1.6945960448755657E+40</v>
      </c>
      <c r="I511" s="16">
        <v>173.67637999999999</v>
      </c>
      <c r="J511" s="45">
        <v>1</v>
      </c>
      <c r="K511" s="19">
        <f t="shared" si="59"/>
        <v>174.76839695799853</v>
      </c>
      <c r="L511" s="16">
        <f t="shared" si="60"/>
        <v>1.1925010365563815</v>
      </c>
      <c r="M511" s="45"/>
    </row>
    <row r="512" spans="1:13" x14ac:dyDescent="0.25">
      <c r="A512" s="16">
        <v>1.25</v>
      </c>
      <c r="B512" s="45">
        <f t="shared" si="61"/>
        <v>1250</v>
      </c>
      <c r="C512" s="16">
        <f t="shared" si="62"/>
        <v>2.192982456140351</v>
      </c>
      <c r="D512" s="15">
        <f t="shared" si="63"/>
        <v>3.8570969750000001E+19</v>
      </c>
      <c r="E512" s="15">
        <f>FORECAST($C512, OFFSET('De Vaucouleurs Deprojection'!$F$3:$F$126, MATCH($C512, 'De Vaucouleurs Deprojection'!$A$3:$A$126,1)-1,0,2), OFFSET('De Vaucouleurs Deprojection'!$A$3:$A$126, MATCH($C512, 'De Vaucouleurs Deprojection'!$A$3:$A$126,1)-1,0,2))*LCDMTotalBulgeMass</f>
        <v>1.197421296139649E+40</v>
      </c>
      <c r="F512" s="15">
        <f t="shared" si="56"/>
        <v>2.4508909665780524E+39</v>
      </c>
      <c r="G512" s="15">
        <f t="shared" si="57"/>
        <v>3.0451051711540442E+39</v>
      </c>
      <c r="H512" s="15">
        <f t="shared" si="58"/>
        <v>1.7470209099128587E+40</v>
      </c>
      <c r="I512" s="16">
        <v>172.60448</v>
      </c>
      <c r="J512" s="45">
        <v>1</v>
      </c>
      <c r="K512" s="19">
        <f t="shared" si="59"/>
        <v>173.8659254548036</v>
      </c>
      <c r="L512" s="16">
        <f t="shared" si="60"/>
        <v>1.5912446354446776</v>
      </c>
      <c r="M512" s="45"/>
    </row>
    <row r="513" spans="1:13" x14ac:dyDescent="0.25">
      <c r="A513" s="16">
        <v>1.3</v>
      </c>
      <c r="B513" s="45">
        <f t="shared" si="61"/>
        <v>1300</v>
      </c>
      <c r="C513" s="16">
        <f t="shared" si="62"/>
        <v>2.2807017543859649</v>
      </c>
      <c r="D513" s="15">
        <f t="shared" si="63"/>
        <v>4.0113808540000002E+19</v>
      </c>
      <c r="E513" s="15">
        <f>FORECAST($C513, OFFSET('De Vaucouleurs Deprojection'!$F$3:$F$126, MATCH($C513, 'De Vaucouleurs Deprojection'!$A$3:$A$126,1)-1,0,2), OFFSET('De Vaucouleurs Deprojection'!$A$3:$A$126, MATCH($C513, 'De Vaucouleurs Deprojection'!$A$3:$A$126,1)-1,0,2))*LCDMTotalBulgeMass</f>
        <v>1.2179794053831579E+40</v>
      </c>
      <c r="F513" s="15">
        <f t="shared" si="56"/>
        <v>2.5350296882895841E+39</v>
      </c>
      <c r="G513" s="15">
        <f t="shared" si="57"/>
        <v>3.2724645590418136E+39</v>
      </c>
      <c r="H513" s="15">
        <f t="shared" si="58"/>
        <v>1.7987288301162977E+40</v>
      </c>
      <c r="I513" s="16">
        <v>171.56795</v>
      </c>
      <c r="J513" s="45">
        <v>1</v>
      </c>
      <c r="K513" s="19">
        <f t="shared" si="59"/>
        <v>172.99422408676659</v>
      </c>
      <c r="L513" s="16">
        <f t="shared" si="60"/>
        <v>2.0342577705818896</v>
      </c>
      <c r="M513" s="45"/>
    </row>
    <row r="514" spans="1:13" x14ac:dyDescent="0.25">
      <c r="A514" s="16">
        <v>1.35</v>
      </c>
      <c r="B514" s="45">
        <f t="shared" si="61"/>
        <v>1350</v>
      </c>
      <c r="C514" s="16">
        <f t="shared" si="62"/>
        <v>2.3684210526315788</v>
      </c>
      <c r="D514" s="15">
        <f t="shared" si="63"/>
        <v>4.1656647330000003E+19</v>
      </c>
      <c r="E514" s="15">
        <f>FORECAST($C514, OFFSET('De Vaucouleurs Deprojection'!$F$3:$F$126, MATCH($C514, 'De Vaucouleurs Deprojection'!$A$3:$A$126,1)-1,0,2), OFFSET('De Vaucouleurs Deprojection'!$A$3:$A$126, MATCH($C514, 'De Vaucouleurs Deprojection'!$A$3:$A$126,1)-1,0,2))*LCDMTotalBulgeMass</f>
        <v>1.237616742788421E+40</v>
      </c>
      <c r="F514" s="15">
        <f t="shared" si="56"/>
        <v>2.615477615755972E+39</v>
      </c>
      <c r="G514" s="15">
        <f t="shared" si="57"/>
        <v>3.5065007326166212E+39</v>
      </c>
      <c r="H514" s="15">
        <f t="shared" si="58"/>
        <v>1.8498145776256803E+40</v>
      </c>
      <c r="I514" s="16">
        <v>170.57864000000001</v>
      </c>
      <c r="J514" s="45">
        <v>1</v>
      </c>
      <c r="K514" s="19">
        <f t="shared" si="59"/>
        <v>172.15420934202825</v>
      </c>
      <c r="L514" s="16">
        <f t="shared" si="60"/>
        <v>2.4824187515393183</v>
      </c>
      <c r="M514" s="45"/>
    </row>
    <row r="515" spans="1:13" x14ac:dyDescent="0.25">
      <c r="A515" s="16">
        <v>1.4</v>
      </c>
      <c r="B515" s="45">
        <f t="shared" si="61"/>
        <v>1400</v>
      </c>
      <c r="C515" s="16">
        <f t="shared" si="62"/>
        <v>2.4561403508771931</v>
      </c>
      <c r="D515" s="15">
        <f t="shared" si="63"/>
        <v>4.3199486119999996E+19</v>
      </c>
      <c r="E515" s="15">
        <f>FORECAST($C515, OFFSET('De Vaucouleurs Deprojection'!$F$3:$F$126, MATCH($C515, 'De Vaucouleurs Deprojection'!$A$3:$A$126,1)-1,0,2), OFFSET('De Vaucouleurs Deprojection'!$A$3:$A$126, MATCH($C515, 'De Vaucouleurs Deprojection'!$A$3:$A$126,1)-1,0,2))*LCDMTotalBulgeMass</f>
        <v>1.256389729002456E+40</v>
      </c>
      <c r="F515" s="15">
        <f t="shared" si="56"/>
        <v>2.6922870581394127E+39</v>
      </c>
      <c r="G515" s="15">
        <f t="shared" si="57"/>
        <v>3.7470775490749098E+39</v>
      </c>
      <c r="H515" s="15">
        <f t="shared" si="58"/>
        <v>1.9003261897238883E+40</v>
      </c>
      <c r="I515" s="16">
        <v>169.60899000000001</v>
      </c>
      <c r="J515" s="45">
        <v>1</v>
      </c>
      <c r="K515" s="19">
        <f t="shared" si="59"/>
        <v>171.34462704782996</v>
      </c>
      <c r="L515" s="16">
        <f t="shared" si="60"/>
        <v>3.0124359617998775</v>
      </c>
      <c r="M515" s="45"/>
    </row>
    <row r="516" spans="1:13" x14ac:dyDescent="0.25">
      <c r="A516" s="16">
        <v>1.45</v>
      </c>
      <c r="B516" s="45">
        <f t="shared" si="61"/>
        <v>1450</v>
      </c>
      <c r="C516" s="16">
        <f t="shared" si="62"/>
        <v>2.5438596491228069</v>
      </c>
      <c r="D516" s="15">
        <f t="shared" si="63"/>
        <v>4.4742324909999997E+19</v>
      </c>
      <c r="E516" s="15">
        <f>FORECAST($C516, OFFSET('De Vaucouleurs Deprojection'!$F$3:$F$126, MATCH($C516, 'De Vaucouleurs Deprojection'!$A$3:$A$126,1)-1,0,2), OFFSET('De Vaucouleurs Deprojection'!$A$3:$A$126, MATCH($C516, 'De Vaucouleurs Deprojection'!$A$3:$A$126,1)-1,0,2))*LCDMTotalBulgeMass</f>
        <v>1.2743574088884212E+40</v>
      </c>
      <c r="F516" s="15">
        <f t="shared" si="56"/>
        <v>2.7655255546451448E+39</v>
      </c>
      <c r="G516" s="15">
        <f t="shared" si="57"/>
        <v>3.9940618134636971E+39</v>
      </c>
      <c r="H516" s="15">
        <f t="shared" si="58"/>
        <v>1.9503161456993054E+40</v>
      </c>
      <c r="I516" s="16">
        <v>168.77646999999999</v>
      </c>
      <c r="J516" s="45">
        <v>1</v>
      </c>
      <c r="K516" s="19">
        <f t="shared" si="59"/>
        <v>170.56461506649114</v>
      </c>
      <c r="L516" s="16">
        <f t="shared" si="60"/>
        <v>3.1974627788166536</v>
      </c>
      <c r="M516" s="45"/>
    </row>
    <row r="517" spans="1:13" x14ac:dyDescent="0.25">
      <c r="A517" s="16">
        <v>1.5</v>
      </c>
      <c r="B517" s="45">
        <f t="shared" si="61"/>
        <v>1500</v>
      </c>
      <c r="C517" s="16">
        <f t="shared" si="62"/>
        <v>2.6315789473684212</v>
      </c>
      <c r="D517" s="15">
        <f t="shared" si="63"/>
        <v>4.6285163699999998E+19</v>
      </c>
      <c r="E517" s="15">
        <f>FORECAST($C517, OFFSET('De Vaucouleurs Deprojection'!$F$3:$F$126, MATCH($C517, 'De Vaucouleurs Deprojection'!$A$3:$A$126,1)-1,0,2), OFFSET('De Vaucouleurs Deprojection'!$A$3:$A$126, MATCH($C517, 'De Vaucouleurs Deprojection'!$A$3:$A$126,1)-1,0,2))*LCDMTotalBulgeMass</f>
        <v>1.2915670183368419E+40</v>
      </c>
      <c r="F517" s="15">
        <f t="shared" si="56"/>
        <v>2.8352731046604203E+39</v>
      </c>
      <c r="G517" s="15">
        <f t="shared" si="57"/>
        <v>4.2473232043214164E+39</v>
      </c>
      <c r="H517" s="15">
        <f t="shared" si="58"/>
        <v>1.9998266492350257E+40</v>
      </c>
      <c r="I517" s="16">
        <v>167.98074</v>
      </c>
      <c r="J517" s="45">
        <v>1</v>
      </c>
      <c r="K517" s="19">
        <f t="shared" si="59"/>
        <v>169.81301689254391</v>
      </c>
      <c r="L517" s="16">
        <f t="shared" si="60"/>
        <v>3.3572386109503904</v>
      </c>
      <c r="M517" s="45"/>
    </row>
    <row r="518" spans="1:13" x14ac:dyDescent="0.25">
      <c r="A518" s="16">
        <v>1.55</v>
      </c>
      <c r="B518" s="45">
        <f t="shared" si="61"/>
        <v>1550</v>
      </c>
      <c r="C518" s="16">
        <f t="shared" si="62"/>
        <v>2.7192982456140351</v>
      </c>
      <c r="D518" s="15">
        <f t="shared" si="63"/>
        <v>4.7828002489999999E+19</v>
      </c>
      <c r="E518" s="15">
        <f>FORECAST($C518, OFFSET('De Vaucouleurs Deprojection'!$F$3:$F$126, MATCH($C518, 'De Vaucouleurs Deprojection'!$A$3:$A$126,1)-1,0,2), OFFSET('De Vaucouleurs Deprojection'!$A$3:$A$126, MATCH($C518, 'De Vaucouleurs Deprojection'!$A$3:$A$126,1)-1,0,2))*LCDMTotalBulgeMass</f>
        <v>1.308057592562807E+40</v>
      </c>
      <c r="F518" s="15">
        <f t="shared" si="56"/>
        <v>2.9016197434611197E+39</v>
      </c>
      <c r="G518" s="15">
        <f t="shared" si="57"/>
        <v>4.5067342014959694E+39</v>
      </c>
      <c r="H518" s="15">
        <f t="shared" si="58"/>
        <v>2.0488929870585159E+40</v>
      </c>
      <c r="I518" s="16">
        <v>167.24827999999999</v>
      </c>
      <c r="J518" s="45">
        <v>1</v>
      </c>
      <c r="K518" s="19">
        <f t="shared" si="59"/>
        <v>169.0885579900571</v>
      </c>
      <c r="L518" s="16">
        <f t="shared" si="60"/>
        <v>3.3866230806886124</v>
      </c>
      <c r="M518" s="45"/>
    </row>
    <row r="519" spans="1:13" x14ac:dyDescent="0.25">
      <c r="A519" s="16">
        <v>1.6</v>
      </c>
      <c r="B519" s="45">
        <f t="shared" si="61"/>
        <v>1600</v>
      </c>
      <c r="C519" s="16">
        <f t="shared" si="62"/>
        <v>2.807017543859649</v>
      </c>
      <c r="D519" s="15">
        <f t="shared" si="63"/>
        <v>4.937084128E+19</v>
      </c>
      <c r="E519" s="15">
        <f>FORECAST($C519, OFFSET('De Vaucouleurs Deprojection'!$F$3:$F$126, MATCH($C519, 'De Vaucouleurs Deprojection'!$A$3:$A$126,1)-1,0,2), OFFSET('De Vaucouleurs Deprojection'!$A$3:$A$126, MATCH($C519, 'De Vaucouleurs Deprojection'!$A$3:$A$126,1)-1,0,2))*LCDMTotalBulgeMass</f>
        <v>1.323875055348772E+40</v>
      </c>
      <c r="F519" s="15">
        <f t="shared" si="56"/>
        <v>2.9646634259333197E+39</v>
      </c>
      <c r="G519" s="15">
        <f t="shared" si="57"/>
        <v>4.772170016067729E+39</v>
      </c>
      <c r="H519" s="15">
        <f t="shared" si="58"/>
        <v>2.0975583995488769E+40</v>
      </c>
      <c r="I519" s="16">
        <v>166.59135000000001</v>
      </c>
      <c r="J519" s="45">
        <v>1</v>
      </c>
      <c r="K519" s="19">
        <f t="shared" si="59"/>
        <v>168.39045514115219</v>
      </c>
      <c r="L519" s="16">
        <f t="shared" si="60"/>
        <v>3.2367793089202141</v>
      </c>
      <c r="M519" s="45"/>
    </row>
    <row r="520" spans="1:13" x14ac:dyDescent="0.25">
      <c r="A520" s="16">
        <v>1.65</v>
      </c>
      <c r="B520" s="45">
        <f t="shared" si="61"/>
        <v>1650</v>
      </c>
      <c r="C520" s="16">
        <f t="shared" si="62"/>
        <v>2.8947368421052633</v>
      </c>
      <c r="D520" s="15">
        <f t="shared" si="63"/>
        <v>5.0913680070000001E+19</v>
      </c>
      <c r="E520" s="15">
        <f>FORECAST($C520, OFFSET('De Vaucouleurs Deprojection'!$F$3:$F$126, MATCH($C520, 'De Vaucouleurs Deprojection'!$A$3:$A$126,1)-1,0,2), OFFSET('De Vaucouleurs Deprojection'!$A$3:$A$126, MATCH($C520, 'De Vaucouleurs Deprojection'!$A$3:$A$126,1)-1,0,2))*LCDMTotalBulgeMass</f>
        <v>1.3390135022084211E+40</v>
      </c>
      <c r="F520" s="15">
        <f t="shared" si="56"/>
        <v>3.0245081845530348E+39</v>
      </c>
      <c r="G520" s="15">
        <f t="shared" si="57"/>
        <v>5.0435085223058138E+39</v>
      </c>
      <c r="H520" s="15">
        <f t="shared" si="58"/>
        <v>2.145815172894306E+40</v>
      </c>
      <c r="I520" s="16">
        <v>166.01147</v>
      </c>
      <c r="J520" s="45">
        <v>1</v>
      </c>
      <c r="K520" s="19">
        <f t="shared" si="59"/>
        <v>167.71604608999306</v>
      </c>
      <c r="L520" s="16">
        <f t="shared" si="60"/>
        <v>2.9055796465760086</v>
      </c>
      <c r="M520" s="45"/>
    </row>
    <row r="521" spans="1:13" x14ac:dyDescent="0.25">
      <c r="A521" s="16">
        <v>1.7</v>
      </c>
      <c r="B521" s="45">
        <f t="shared" si="61"/>
        <v>1700</v>
      </c>
      <c r="C521" s="16">
        <f t="shared" si="62"/>
        <v>2.9824561403508771</v>
      </c>
      <c r="D521" s="15">
        <f t="shared" si="63"/>
        <v>5.2456518860000002E+19</v>
      </c>
      <c r="E521" s="15">
        <f>FORECAST($C521, OFFSET('De Vaucouleurs Deprojection'!$F$3:$F$126, MATCH($C521, 'De Vaucouleurs Deprojection'!$A$3:$A$126,1)-1,0,2), OFFSET('De Vaucouleurs Deprojection'!$A$3:$A$126, MATCH($C521, 'De Vaucouleurs Deprojection'!$A$3:$A$126,1)-1,0,2))*LCDMTotalBulgeMass</f>
        <v>1.3535044237354386E+40</v>
      </c>
      <c r="F521" s="15">
        <f t="shared" si="56"/>
        <v>3.0812625312963278E+39</v>
      </c>
      <c r="G521" s="15">
        <f t="shared" si="57"/>
        <v>5.3206301915911023E+39</v>
      </c>
      <c r="H521" s="15">
        <f t="shared" si="58"/>
        <v>2.1936936960241813E+40</v>
      </c>
      <c r="I521" s="16">
        <v>165.50563</v>
      </c>
      <c r="J521" s="45">
        <v>1</v>
      </c>
      <c r="K521" s="19">
        <f t="shared" si="59"/>
        <v>167.06441891316194</v>
      </c>
      <c r="L521" s="16">
        <f t="shared" si="60"/>
        <v>2.4298228757966061</v>
      </c>
      <c r="M521" s="45"/>
    </row>
    <row r="522" spans="1:13" x14ac:dyDescent="0.25">
      <c r="A522" s="16">
        <v>1.75</v>
      </c>
      <c r="B522" s="45">
        <f t="shared" si="61"/>
        <v>1750</v>
      </c>
      <c r="C522" s="16">
        <f t="shared" si="62"/>
        <v>3.0701754385964914</v>
      </c>
      <c r="D522" s="15">
        <f t="shared" si="63"/>
        <v>5.3999357650000003E+19</v>
      </c>
      <c r="E522" s="15">
        <f>FORECAST($C522, OFFSET('De Vaucouleurs Deprojection'!$F$3:$F$126, MATCH($C522, 'De Vaucouleurs Deprojection'!$A$3:$A$126,1)-1,0,2), OFFSET('De Vaucouleurs Deprojection'!$A$3:$A$126, MATCH($C522, 'De Vaucouleurs Deprojection'!$A$3:$A$126,1)-1,0,2))*LCDMTotalBulgeMass</f>
        <v>1.3674291706301753E+40</v>
      </c>
      <c r="F522" s="15">
        <f t="shared" si="56"/>
        <v>3.1350380762484532E+39</v>
      </c>
      <c r="G522" s="15">
        <f t="shared" si="57"/>
        <v>5.6034180282413459E+39</v>
      </c>
      <c r="H522" s="15">
        <f t="shared" si="58"/>
        <v>2.2412747810791554E+40</v>
      </c>
      <c r="I522" s="16">
        <v>165.07001</v>
      </c>
      <c r="J522" s="45">
        <v>1</v>
      </c>
      <c r="K522" s="19">
        <f t="shared" si="59"/>
        <v>166.43664754745279</v>
      </c>
      <c r="L522" s="16">
        <f t="shared" si="60"/>
        <v>1.8676981861077953</v>
      </c>
      <c r="M522" s="45"/>
    </row>
    <row r="523" spans="1:13" x14ac:dyDescent="0.25">
      <c r="A523" s="16">
        <v>1.8</v>
      </c>
      <c r="B523" s="45">
        <f t="shared" si="61"/>
        <v>1800</v>
      </c>
      <c r="C523" s="16">
        <f t="shared" si="62"/>
        <v>3.1578947368421053</v>
      </c>
      <c r="D523" s="15">
        <f t="shared" si="63"/>
        <v>5.5542196440000004E+19</v>
      </c>
      <c r="E523" s="15">
        <f>FORECAST($C523, OFFSET('De Vaucouleurs Deprojection'!$F$3:$F$126, MATCH($C523, 'De Vaucouleurs Deprojection'!$A$3:$A$126,1)-1,0,2), OFFSET('De Vaucouleurs Deprojection'!$A$3:$A$126, MATCH($C523, 'De Vaucouleurs Deprojection'!$A$3:$A$126,1)-1,0,2))*LCDMTotalBulgeMass</f>
        <v>1.3808221857294737E+40</v>
      </c>
      <c r="F523" s="15">
        <f t="shared" si="56"/>
        <v>3.185948338475855E+39</v>
      </c>
      <c r="G523" s="15">
        <f t="shared" si="57"/>
        <v>5.8917575071743038E+39</v>
      </c>
      <c r="H523" s="15">
        <f t="shared" si="58"/>
        <v>2.2885927702944895E+40</v>
      </c>
      <c r="I523" s="16">
        <v>164.69978</v>
      </c>
      <c r="J523" s="45">
        <v>1</v>
      </c>
      <c r="K523" s="19">
        <f t="shared" si="59"/>
        <v>165.83203867587235</v>
      </c>
      <c r="L523" s="16">
        <f t="shared" si="60"/>
        <v>1.2820097090882081</v>
      </c>
      <c r="M523" s="45"/>
    </row>
    <row r="524" spans="1:13" x14ac:dyDescent="0.25">
      <c r="A524" s="16">
        <v>1.85</v>
      </c>
      <c r="B524" s="45">
        <f t="shared" si="61"/>
        <v>1850</v>
      </c>
      <c r="C524" s="16">
        <f t="shared" si="62"/>
        <v>3.2456140350877192</v>
      </c>
      <c r="D524" s="15">
        <f t="shared" si="63"/>
        <v>5.7085035230000005E+19</v>
      </c>
      <c r="E524" s="15">
        <f>FORECAST($C524, OFFSET('De Vaucouleurs Deprojection'!$F$3:$F$126, MATCH($C524, 'De Vaucouleurs Deprojection'!$A$3:$A$126,1)-1,0,2), OFFSET('De Vaucouleurs Deprojection'!$A$3:$A$126, MATCH($C524, 'De Vaucouleurs Deprojection'!$A$3:$A$126,1)-1,0,2))*LCDMTotalBulgeMass</f>
        <v>1.393710367248772E+40</v>
      </c>
      <c r="F524" s="15">
        <f t="shared" si="56"/>
        <v>3.2341077272471153E+39</v>
      </c>
      <c r="G524" s="15">
        <f t="shared" si="57"/>
        <v>6.1855365133506939E+39</v>
      </c>
      <c r="H524" s="15">
        <f t="shared" si="58"/>
        <v>2.3356747913085526E+40</v>
      </c>
      <c r="I524" s="16">
        <v>164.38835</v>
      </c>
      <c r="J524" s="45">
        <v>1</v>
      </c>
      <c r="K524" s="19">
        <f t="shared" si="59"/>
        <v>165.24972829002803</v>
      </c>
      <c r="L524" s="16">
        <f t="shared" si="60"/>
        <v>0.74197255853161026</v>
      </c>
      <c r="M524" s="45"/>
    </row>
    <row r="525" spans="1:13" x14ac:dyDescent="0.25">
      <c r="A525" s="16">
        <v>1.9</v>
      </c>
      <c r="B525" s="45">
        <f t="shared" si="61"/>
        <v>1900</v>
      </c>
      <c r="C525" s="16">
        <f t="shared" si="62"/>
        <v>3.3333333333333335</v>
      </c>
      <c r="D525" s="15">
        <f t="shared" si="63"/>
        <v>5.8627874019999998E+19</v>
      </c>
      <c r="E525" s="15">
        <f>FORECAST($C525, OFFSET('De Vaucouleurs Deprojection'!$F$3:$F$126, MATCH($C525, 'De Vaucouleurs Deprojection'!$A$3:$A$126,1)-1,0,2), OFFSET('De Vaucouleurs Deprojection'!$A$3:$A$126, MATCH($C525, 'De Vaucouleurs Deprojection'!$A$3:$A$126,1)-1,0,2))*LCDMTotalBulgeMass</f>
        <v>1.4061173331333334E+40</v>
      </c>
      <c r="F525" s="15">
        <f t="shared" si="56"/>
        <v>3.2796306739641529E+39</v>
      </c>
      <c r="G525" s="15">
        <f t="shared" si="57"/>
        <v>6.4846452829366722E+39</v>
      </c>
      <c r="H525" s="15">
        <f t="shared" si="58"/>
        <v>2.3825449288234163E+40</v>
      </c>
      <c r="I525" s="16">
        <v>164.12798000000001</v>
      </c>
      <c r="J525" s="45">
        <v>1</v>
      </c>
      <c r="K525" s="19">
        <f t="shared" si="59"/>
        <v>164.68884380831864</v>
      </c>
      <c r="L525" s="16">
        <f t="shared" si="60"/>
        <v>0.31456821148167607</v>
      </c>
      <c r="M525" s="45"/>
    </row>
    <row r="526" spans="1:13" x14ac:dyDescent="0.25">
      <c r="A526" s="16">
        <v>1.95</v>
      </c>
      <c r="B526" s="45">
        <f t="shared" si="61"/>
        <v>1950</v>
      </c>
      <c r="C526" s="16">
        <f t="shared" si="62"/>
        <v>3.4210526315789473</v>
      </c>
      <c r="D526" s="15">
        <f t="shared" si="63"/>
        <v>6.0170712809999999E+19</v>
      </c>
      <c r="E526" s="15">
        <f>FORECAST($C526, OFFSET('De Vaucouleurs Deprojection'!$F$3:$F$126, MATCH($C526, 'De Vaucouleurs Deprojection'!$A$3:$A$126,1)-1,0,2), OFFSET('De Vaucouleurs Deprojection'!$A$3:$A$126, MATCH($C526, 'De Vaucouleurs Deprojection'!$A$3:$A$126,1)-1,0,2))*LCDMTotalBulgeMass</f>
        <v>1.4180667013284207E+40</v>
      </c>
      <c r="F526" s="15">
        <f t="shared" si="56"/>
        <v>3.3226308972163345E+39</v>
      </c>
      <c r="G526" s="15">
        <f t="shared" si="57"/>
        <v>6.7889763461322038E+39</v>
      </c>
      <c r="H526" s="15">
        <f t="shared" si="58"/>
        <v>2.4292274256632746E+40</v>
      </c>
      <c r="I526" s="16">
        <v>163.91131999999999</v>
      </c>
      <c r="J526" s="45">
        <v>1</v>
      </c>
      <c r="K526" s="19">
        <f t="shared" si="59"/>
        <v>164.14861157256919</v>
      </c>
      <c r="L526" s="16">
        <f t="shared" si="60"/>
        <v>5.6307290412366429E-2</v>
      </c>
      <c r="M526" s="45"/>
    </row>
    <row r="527" spans="1:13" x14ac:dyDescent="0.25">
      <c r="A527" s="16">
        <v>2</v>
      </c>
      <c r="B527" s="45">
        <f t="shared" si="61"/>
        <v>2000</v>
      </c>
      <c r="C527" s="16">
        <f t="shared" si="62"/>
        <v>3.5087719298245612</v>
      </c>
      <c r="D527" s="15">
        <f t="shared" si="63"/>
        <v>6.17135516E+19</v>
      </c>
      <c r="E527" s="15">
        <f>FORECAST($C527, OFFSET('De Vaucouleurs Deprojection'!$F$3:$F$126, MATCH($C527, 'De Vaucouleurs Deprojection'!$A$3:$A$126,1)-1,0,2), OFFSET('De Vaucouleurs Deprojection'!$A$3:$A$126, MATCH($C527, 'De Vaucouleurs Deprojection'!$A$3:$A$126,1)-1,0,2))*LCDMTotalBulgeMass</f>
        <v>1.4295820897792981E+40</v>
      </c>
      <c r="F527" s="15">
        <f t="shared" si="56"/>
        <v>3.3632207852191624E+39</v>
      </c>
      <c r="G527" s="15">
        <f t="shared" si="57"/>
        <v>7.0984244716096596E+39</v>
      </c>
      <c r="H527" s="15">
        <f t="shared" si="58"/>
        <v>2.4757466154621801E+40</v>
      </c>
      <c r="I527" s="16">
        <v>163.73177000000001</v>
      </c>
      <c r="J527" s="45">
        <v>1</v>
      </c>
      <c r="K527" s="19">
        <f t="shared" si="59"/>
        <v>163.62834233466694</v>
      </c>
      <c r="L527" s="16">
        <f t="shared" si="60"/>
        <v>1.0697281956249969E-2</v>
      </c>
      <c r="M527" s="45"/>
    </row>
    <row r="528" spans="1:13" x14ac:dyDescent="0.25">
      <c r="A528" s="16">
        <v>2.0499999999999998</v>
      </c>
      <c r="B528" s="45">
        <f t="shared" si="61"/>
        <v>2050</v>
      </c>
      <c r="C528" s="16">
        <f t="shared" si="62"/>
        <v>3.5964912280701755</v>
      </c>
      <c r="D528" s="15">
        <f t="shared" si="63"/>
        <v>6.3256390389999993E+19</v>
      </c>
      <c r="E528" s="15">
        <f>FORECAST($C528, OFFSET('De Vaucouleurs Deprojection'!$F$3:$F$126, MATCH($C528, 'De Vaucouleurs Deprojection'!$A$3:$A$126,1)-1,0,2), OFFSET('De Vaucouleurs Deprojection'!$A$3:$A$126, MATCH($C528, 'De Vaucouleurs Deprojection'!$A$3:$A$126,1)-1,0,2))*LCDMTotalBulgeMass</f>
        <v>1.4406694029722809E+40</v>
      </c>
      <c r="F528" s="15">
        <f t="shared" si="56"/>
        <v>3.4015108815648357E+39</v>
      </c>
      <c r="G528" s="15">
        <f t="shared" si="57"/>
        <v>7.4128866125114445E+39</v>
      </c>
      <c r="H528" s="15">
        <f t="shared" si="58"/>
        <v>2.5221091523799088E+40</v>
      </c>
      <c r="I528" s="16">
        <v>163.58249000000001</v>
      </c>
      <c r="J528" s="45">
        <v>1</v>
      </c>
      <c r="K528" s="19">
        <f t="shared" si="59"/>
        <v>163.12684627905688</v>
      </c>
      <c r="L528" s="16">
        <f t="shared" si="60"/>
        <v>0.20761120043490042</v>
      </c>
      <c r="M528" s="45"/>
    </row>
    <row r="529" spans="1:13" x14ac:dyDescent="0.25">
      <c r="A529" s="16">
        <v>2.1</v>
      </c>
      <c r="B529" s="45">
        <f t="shared" si="61"/>
        <v>2100</v>
      </c>
      <c r="C529" s="16">
        <f t="shared" si="62"/>
        <v>3.6842105263157894</v>
      </c>
      <c r="D529" s="15">
        <f t="shared" si="63"/>
        <v>6.4799229180000002E+19</v>
      </c>
      <c r="E529" s="15">
        <f>FORECAST($C529, OFFSET('De Vaucouleurs Deprojection'!$F$3:$F$126, MATCH($C529, 'De Vaucouleurs Deprojection'!$A$3:$A$126,1)-1,0,2), OFFSET('De Vaucouleurs Deprojection'!$A$3:$A$126, MATCH($C529, 'De Vaucouleurs Deprojection'!$A$3:$A$126,1)-1,0,2))*LCDMTotalBulgeMass</f>
        <v>1.4513315931505262E+40</v>
      </c>
      <c r="F529" s="15">
        <f t="shared" si="56"/>
        <v>3.4376094617119965E+39</v>
      </c>
      <c r="G529" s="15">
        <f t="shared" si="57"/>
        <v>7.732261853957351E+39</v>
      </c>
      <c r="H529" s="15">
        <f t="shared" si="58"/>
        <v>2.5683187247174612E+40</v>
      </c>
      <c r="I529" s="16">
        <v>163.45569</v>
      </c>
      <c r="J529" s="45">
        <v>1</v>
      </c>
      <c r="K529" s="19">
        <f t="shared" si="59"/>
        <v>162.64295012098808</v>
      </c>
      <c r="L529" s="16">
        <f t="shared" si="60"/>
        <v>0.66054611093632443</v>
      </c>
      <c r="M529" s="45"/>
    </row>
    <row r="530" spans="1:13" x14ac:dyDescent="0.25">
      <c r="A530" s="16">
        <v>2.15</v>
      </c>
      <c r="B530" s="45">
        <f t="shared" si="61"/>
        <v>2150</v>
      </c>
      <c r="C530" s="16">
        <f t="shared" si="62"/>
        <v>3.7719298245614037</v>
      </c>
      <c r="D530" s="15">
        <f t="shared" si="63"/>
        <v>6.6342067969999995E+19</v>
      </c>
      <c r="E530" s="15">
        <f>FORECAST($C530, OFFSET('De Vaucouleurs Deprojection'!$F$3:$F$126, MATCH($C530, 'De Vaucouleurs Deprojection'!$A$3:$A$126,1)-1,0,2), OFFSET('De Vaucouleurs Deprojection'!$A$3:$A$126, MATCH($C530, 'De Vaucouleurs Deprojection'!$A$3:$A$126,1)-1,0,2))*LCDMTotalBulgeMass</f>
        <v>1.4616129439614037E+40</v>
      </c>
      <c r="F530" s="15">
        <f t="shared" si="56"/>
        <v>3.4716221889919717E+39</v>
      </c>
      <c r="G530" s="15">
        <f t="shared" si="57"/>
        <v>8.0564513620121399E+39</v>
      </c>
      <c r="H530" s="15">
        <f t="shared" si="58"/>
        <v>2.6144202990618146E+40</v>
      </c>
      <c r="I530" s="16">
        <v>163.34338</v>
      </c>
      <c r="J530" s="45">
        <v>1</v>
      </c>
      <c r="K530" s="19">
        <f t="shared" si="59"/>
        <v>162.17686652327612</v>
      </c>
      <c r="L530" s="16">
        <f t="shared" si="60"/>
        <v>1.3607536913784302</v>
      </c>
      <c r="M530" s="45"/>
    </row>
    <row r="531" spans="1:13" x14ac:dyDescent="0.25">
      <c r="A531" s="16">
        <v>2.2000000000000002</v>
      </c>
      <c r="B531" s="45">
        <f t="shared" si="61"/>
        <v>2200</v>
      </c>
      <c r="C531" s="16">
        <f t="shared" si="62"/>
        <v>3.8596491228070176</v>
      </c>
      <c r="D531" s="15">
        <f t="shared" si="63"/>
        <v>6.7884906760000004E+19</v>
      </c>
      <c r="E531" s="15">
        <f>FORECAST($C531, OFFSET('De Vaucouleurs Deprojection'!$F$3:$F$126, MATCH($C531, 'De Vaucouleurs Deprojection'!$A$3:$A$126,1)-1,0,2), OFFSET('De Vaucouleurs Deprojection'!$A$3:$A$126, MATCH($C531, 'De Vaucouleurs Deprojection'!$A$3:$A$126,1)-1,0,2))*LCDMTotalBulgeMass</f>
        <v>1.4715469141607019E+40</v>
      </c>
      <c r="F531" s="15">
        <f t="shared" si="56"/>
        <v>3.5036518401234041E+39</v>
      </c>
      <c r="G531" s="15">
        <f t="shared" si="57"/>
        <v>8.3853583340674549E+39</v>
      </c>
      <c r="H531" s="15">
        <f t="shared" si="58"/>
        <v>2.6604479315797879E+40</v>
      </c>
      <c r="I531" s="16">
        <v>163.23898</v>
      </c>
      <c r="J531" s="45">
        <v>1</v>
      </c>
      <c r="K531" s="19">
        <f t="shared" si="59"/>
        <v>161.72846811477768</v>
      </c>
      <c r="L531" s="16">
        <f t="shared" si="60"/>
        <v>2.28164615539787</v>
      </c>
      <c r="M531" s="45"/>
    </row>
    <row r="532" spans="1:13" x14ac:dyDescent="0.25">
      <c r="A532" s="16">
        <v>2.25</v>
      </c>
      <c r="B532" s="45">
        <f t="shared" si="61"/>
        <v>2250</v>
      </c>
      <c r="C532" s="16">
        <f t="shared" si="62"/>
        <v>3.9473684210526314</v>
      </c>
      <c r="D532" s="15">
        <f t="shared" si="63"/>
        <v>6.9427745549999997E+19</v>
      </c>
      <c r="E532" s="15">
        <f>FORECAST($C532, OFFSET('De Vaucouleurs Deprojection'!$F$3:$F$126, MATCH($C532, 'De Vaucouleurs Deprojection'!$A$3:$A$126,1)-1,0,2), OFFSET('De Vaucouleurs Deprojection'!$A$3:$A$126, MATCH($C532, 'De Vaucouleurs Deprojection'!$A$3:$A$126,1)-1,0,2))*LCDMTotalBulgeMass</f>
        <v>1.4811423604778946E+40</v>
      </c>
      <c r="F532" s="15">
        <f t="shared" si="56"/>
        <v>3.5337980913192165E+39</v>
      </c>
      <c r="G532" s="15">
        <f t="shared" si="57"/>
        <v>8.7188879505941414E+39</v>
      </c>
      <c r="H532" s="15">
        <f t="shared" si="58"/>
        <v>2.7064109646692307E+40</v>
      </c>
      <c r="I532" s="16">
        <v>163.13811000000001</v>
      </c>
      <c r="J532" s="45">
        <v>1</v>
      </c>
      <c r="K532" s="19">
        <f t="shared" si="59"/>
        <v>161.29690889554604</v>
      </c>
      <c r="L532" s="16">
        <f t="shared" si="60"/>
        <v>3.3900215070425279</v>
      </c>
      <c r="M532" s="45"/>
    </row>
    <row r="533" spans="1:13" x14ac:dyDescent="0.25">
      <c r="A533" s="16">
        <v>2.2999999999999998</v>
      </c>
      <c r="B533" s="45">
        <f t="shared" si="61"/>
        <v>2300</v>
      </c>
      <c r="C533" s="16">
        <f t="shared" si="62"/>
        <v>4.0350877192982457</v>
      </c>
      <c r="D533" s="15">
        <f t="shared" si="63"/>
        <v>7.0970584339999998E+19</v>
      </c>
      <c r="E533" s="15">
        <f>FORECAST($C533, OFFSET('De Vaucouleurs Deprojection'!$F$3:$F$126, MATCH($C533, 'De Vaucouleurs Deprojection'!$A$3:$A$126,1)-1,0,2), OFFSET('De Vaucouleurs Deprojection'!$A$3:$A$126, MATCH($C533, 'De Vaucouleurs Deprojection'!$A$3:$A$126,1)-1,0,2))*LCDMTotalBulgeMass</f>
        <v>1.4904189645340351E+40</v>
      </c>
      <c r="F533" s="15">
        <f t="shared" si="56"/>
        <v>3.5621573570512783E+39</v>
      </c>
      <c r="G533" s="15">
        <f t="shared" si="57"/>
        <v>9.0569473282198634E+39</v>
      </c>
      <c r="H533" s="15">
        <f t="shared" si="58"/>
        <v>2.7523294330611492E+40</v>
      </c>
      <c r="I533" s="16">
        <v>163.0385</v>
      </c>
      <c r="J533" s="45">
        <v>1</v>
      </c>
      <c r="K533" s="19">
        <f t="shared" si="59"/>
        <v>160.88172743238829</v>
      </c>
      <c r="L533" s="16">
        <f t="shared" si="60"/>
        <v>4.6516679084024108</v>
      </c>
      <c r="M533" s="45"/>
    </row>
    <row r="534" spans="1:13" x14ac:dyDescent="0.25">
      <c r="A534" s="16">
        <v>2.35</v>
      </c>
      <c r="B534" s="45">
        <f t="shared" si="61"/>
        <v>2350</v>
      </c>
      <c r="C534" s="16">
        <f t="shared" si="62"/>
        <v>4.1228070175438596</v>
      </c>
      <c r="D534" s="15">
        <f t="shared" si="63"/>
        <v>7.2513423129999999E+19</v>
      </c>
      <c r="E534" s="15">
        <f>FORECAST($C534, OFFSET('De Vaucouleurs Deprojection'!$F$3:$F$126, MATCH($C534, 'De Vaucouleurs Deprojection'!$A$3:$A$126,1)-1,0,2), OFFSET('De Vaucouleurs Deprojection'!$A$3:$A$126, MATCH($C534, 'De Vaucouleurs Deprojection'!$A$3:$A$126,1)-1,0,2))*LCDMTotalBulgeMass</f>
        <v>1.4993950958421052E+40</v>
      </c>
      <c r="F534" s="15">
        <f t="shared" si="56"/>
        <v>3.5888226744196021E+39</v>
      </c>
      <c r="G534" s="15">
        <f t="shared" si="57"/>
        <v>9.3994454740925922E+39</v>
      </c>
      <c r="H534" s="15">
        <f t="shared" si="58"/>
        <v>2.7982219106933249E+40</v>
      </c>
      <c r="I534" s="16">
        <v>162.93934999999999</v>
      </c>
      <c r="J534" s="45">
        <v>1</v>
      </c>
      <c r="K534" s="19">
        <f t="shared" si="59"/>
        <v>160.48246144818077</v>
      </c>
      <c r="L534" s="16">
        <f t="shared" si="60"/>
        <v>6.0363013560603385</v>
      </c>
      <c r="M534" s="45"/>
    </row>
    <row r="535" spans="1:13" x14ac:dyDescent="0.25">
      <c r="A535" s="16">
        <v>2.4</v>
      </c>
      <c r="B535" s="45">
        <f t="shared" si="61"/>
        <v>2400</v>
      </c>
      <c r="C535" s="16">
        <f t="shared" si="62"/>
        <v>4.2105263157894735</v>
      </c>
      <c r="D535" s="15">
        <f t="shared" si="63"/>
        <v>7.405626192E+19</v>
      </c>
      <c r="E535" s="15">
        <f>FORECAST($C535, OFFSET('De Vaucouleurs Deprojection'!$F$3:$F$126, MATCH($C535, 'De Vaucouleurs Deprojection'!$A$3:$A$126,1)-1,0,2), OFFSET('De Vaucouleurs Deprojection'!$A$3:$A$126, MATCH($C535, 'De Vaucouleurs Deprojection'!$A$3:$A$126,1)-1,0,2))*LCDMTotalBulgeMass</f>
        <v>1.5080668180778944E+40</v>
      </c>
      <c r="F535" s="15">
        <f t="shared" si="56"/>
        <v>3.6138836268641876E+39</v>
      </c>
      <c r="G535" s="15">
        <f t="shared" si="57"/>
        <v>9.7462932414875231E+39</v>
      </c>
      <c r="H535" s="15">
        <f t="shared" si="58"/>
        <v>2.8440845049130655E+40</v>
      </c>
      <c r="I535" s="16">
        <v>162.84062</v>
      </c>
      <c r="J535" s="45">
        <v>1</v>
      </c>
      <c r="K535" s="19">
        <f t="shared" si="59"/>
        <v>160.09805610929163</v>
      </c>
      <c r="L535" s="16">
        <f t="shared" si="60"/>
        <v>7.5216566946174215</v>
      </c>
      <c r="M535" s="45"/>
    </row>
    <row r="536" spans="1:13" x14ac:dyDescent="0.25">
      <c r="A536" s="16">
        <v>2.4500000000000002</v>
      </c>
      <c r="B536" s="45">
        <f t="shared" si="61"/>
        <v>2450</v>
      </c>
      <c r="C536" s="16">
        <f t="shared" si="62"/>
        <v>4.2982456140350873</v>
      </c>
      <c r="D536" s="15">
        <f t="shared" si="63"/>
        <v>7.5599100710000001E+19</v>
      </c>
      <c r="E536" s="15">
        <f>FORECAST($C536, OFFSET('De Vaucouleurs Deprojection'!$F$3:$F$126, MATCH($C536, 'De Vaucouleurs Deprojection'!$A$3:$A$126,1)-1,0,2), OFFSET('De Vaucouleurs Deprojection'!$A$3:$A$126, MATCH($C536, 'De Vaucouleurs Deprojection'!$A$3:$A$126,1)-1,0,2))*LCDMTotalBulgeMass</f>
        <v>1.5164643097270175E+40</v>
      </c>
      <c r="F536" s="15">
        <f t="shared" si="56"/>
        <v>3.6374263016673571E+39</v>
      </c>
      <c r="G536" s="15">
        <f t="shared" si="57"/>
        <v>1.0097403286620894E+40</v>
      </c>
      <c r="H536" s="15">
        <f t="shared" si="58"/>
        <v>2.8899472685558428E+40</v>
      </c>
      <c r="I536" s="16">
        <v>162.74297000000001</v>
      </c>
      <c r="J536" s="45">
        <v>1</v>
      </c>
      <c r="K536" s="19">
        <f t="shared" si="59"/>
        <v>159.72847622119622</v>
      </c>
      <c r="L536" s="16">
        <f t="shared" si="60"/>
        <v>9.0871727424467927</v>
      </c>
      <c r="M536" s="45"/>
    </row>
    <row r="537" spans="1:13" x14ac:dyDescent="0.25">
      <c r="A537" s="16">
        <v>2.5</v>
      </c>
      <c r="B537" s="45">
        <f t="shared" si="61"/>
        <v>2500</v>
      </c>
      <c r="C537" s="16">
        <f t="shared" si="62"/>
        <v>4.3859649122807021</v>
      </c>
      <c r="D537" s="15">
        <f t="shared" si="63"/>
        <v>7.7141939500000002E+19</v>
      </c>
      <c r="E537" s="15">
        <f>FORECAST($C537, OFFSET('De Vaucouleurs Deprojection'!$F$3:$F$126, MATCH($C537, 'De Vaucouleurs Deprojection'!$A$3:$A$126,1)-1,0,2), OFFSET('De Vaucouleurs Deprojection'!$A$3:$A$126, MATCH($C537, 'De Vaucouleurs Deprojection'!$A$3:$A$126,1)-1,0,2))*LCDMTotalBulgeMass</f>
        <v>1.5245403348989473E+40</v>
      </c>
      <c r="F537" s="15">
        <f t="shared" si="56"/>
        <v>3.6595332763308418E+39</v>
      </c>
      <c r="G537" s="15">
        <f t="shared" si="57"/>
        <v>1.0452690026631454E+40</v>
      </c>
      <c r="H537" s="15">
        <f t="shared" si="58"/>
        <v>2.935762665195177E+40</v>
      </c>
      <c r="I537" s="16">
        <v>162.64788999999999</v>
      </c>
      <c r="J537" s="45">
        <v>1</v>
      </c>
      <c r="K537" s="19">
        <f t="shared" si="59"/>
        <v>159.37158754162456</v>
      </c>
      <c r="L537" s="16">
        <f t="shared" si="60"/>
        <v>10.734157798756859</v>
      </c>
      <c r="M537" s="45"/>
    </row>
    <row r="538" spans="1:13" x14ac:dyDescent="0.25">
      <c r="A538" s="16">
        <v>2.5499999999999998</v>
      </c>
      <c r="B538" s="45">
        <f t="shared" si="61"/>
        <v>2550</v>
      </c>
      <c r="C538" s="16">
        <f t="shared" si="62"/>
        <v>4.4736842105263159</v>
      </c>
      <c r="D538" s="15">
        <f t="shared" si="63"/>
        <v>7.8684778289999987E+19</v>
      </c>
      <c r="E538" s="15">
        <f>FORECAST($C538, OFFSET('De Vaucouleurs Deprojection'!$F$3:$F$126, MATCH($C538, 'De Vaucouleurs Deprojection'!$A$3:$A$126,1)-1,0,2), OFFSET('De Vaucouleurs Deprojection'!$A$3:$A$126, MATCH($C538, 'De Vaucouleurs Deprojection'!$A$3:$A$126,1)-1,0,2))*LCDMTotalBulgeMass</f>
        <v>1.5323755882400001E+40</v>
      </c>
      <c r="F538" s="15">
        <f t="shared" si="56"/>
        <v>3.6802836294819006E+39</v>
      </c>
      <c r="G538" s="15">
        <f t="shared" si="57"/>
        <v>1.0812069598694114E+40</v>
      </c>
      <c r="H538" s="15">
        <f t="shared" si="58"/>
        <v>2.9816109110576013E+40</v>
      </c>
      <c r="I538" s="16">
        <v>162.55788999999999</v>
      </c>
      <c r="J538" s="45">
        <v>1</v>
      </c>
      <c r="K538" s="19">
        <f t="shared" si="59"/>
        <v>159.02881610465636</v>
      </c>
      <c r="L538" s="16">
        <f t="shared" si="60"/>
        <v>12.454362558795856</v>
      </c>
      <c r="M538" s="45"/>
    </row>
    <row r="539" spans="1:13" x14ac:dyDescent="0.25">
      <c r="A539" s="16">
        <v>2.6</v>
      </c>
      <c r="B539" s="45">
        <f t="shared" si="61"/>
        <v>2600</v>
      </c>
      <c r="C539" s="16">
        <f t="shared" si="62"/>
        <v>4.5614035087719298</v>
      </c>
      <c r="D539" s="15">
        <f t="shared" si="63"/>
        <v>8.0227617080000004E+19</v>
      </c>
      <c r="E539" s="15">
        <f>FORECAST($C539, OFFSET('De Vaucouleurs Deprojection'!$F$3:$F$126, MATCH($C539, 'De Vaucouleurs Deprojection'!$A$3:$A$126,1)-1,0,2), OFFSET('De Vaucouleurs Deprojection'!$A$3:$A$126, MATCH($C539, 'De Vaucouleurs Deprojection'!$A$3:$A$126,1)-1,0,2))*LCDMTotalBulgeMass</f>
        <v>1.5399710538312278E+40</v>
      </c>
      <c r="F539" s="15">
        <f t="shared" si="56"/>
        <v>3.6997529724730743E+39</v>
      </c>
      <c r="G539" s="15">
        <f t="shared" si="57"/>
        <v>1.1175459820231888E+40</v>
      </c>
      <c r="H539" s="15">
        <f t="shared" si="58"/>
        <v>3.0274923331017243E+40</v>
      </c>
      <c r="I539" s="16">
        <v>162.47601</v>
      </c>
      <c r="J539" s="45">
        <v>1</v>
      </c>
      <c r="K539" s="19">
        <f t="shared" si="59"/>
        <v>158.69939954263876</v>
      </c>
      <c r="L539" s="16">
        <f t="shared" si="60"/>
        <v>14.262786546650304</v>
      </c>
      <c r="M539" s="45"/>
    </row>
    <row r="540" spans="1:13" x14ac:dyDescent="0.25">
      <c r="A540" s="16">
        <v>2.65</v>
      </c>
      <c r="B540" s="45">
        <f t="shared" si="61"/>
        <v>2650</v>
      </c>
      <c r="C540" s="16">
        <f t="shared" si="62"/>
        <v>4.6491228070175437</v>
      </c>
      <c r="D540" s="15">
        <f t="shared" si="63"/>
        <v>8.1770455870000005E+19</v>
      </c>
      <c r="E540" s="15">
        <f>FORECAST($C540, OFFSET('De Vaucouleurs Deprojection'!$F$3:$F$126, MATCH($C540, 'De Vaucouleurs Deprojection'!$A$3:$A$126,1)-1,0,2), OFFSET('De Vaucouleurs Deprojection'!$A$3:$A$126, MATCH($C540, 'De Vaucouleurs Deprojection'!$A$3:$A$126,1)-1,0,2))*LCDMTotalBulgeMass</f>
        <v>1.5473267316726315E+40</v>
      </c>
      <c r="F540" s="15">
        <f t="shared" si="56"/>
        <v>3.7180134982967416E+39</v>
      </c>
      <c r="G540" s="15">
        <f t="shared" si="57"/>
        <v>1.1542780150190775E+40</v>
      </c>
      <c r="H540" s="15">
        <f t="shared" si="58"/>
        <v>3.0734060965213829E+40</v>
      </c>
      <c r="I540" s="16">
        <v>162.40483</v>
      </c>
      <c r="J540" s="45">
        <v>1</v>
      </c>
      <c r="K540" s="19">
        <f t="shared" si="59"/>
        <v>158.38260027009594</v>
      </c>
      <c r="L540" s="16">
        <f t="shared" si="60"/>
        <v>16.178332000124161</v>
      </c>
      <c r="M540" s="45"/>
    </row>
    <row r="541" spans="1:13" x14ac:dyDescent="0.25">
      <c r="A541" s="16">
        <v>2.7</v>
      </c>
      <c r="B541" s="45">
        <f t="shared" si="61"/>
        <v>2700</v>
      </c>
      <c r="C541" s="16">
        <f t="shared" si="62"/>
        <v>4.7368421052631575</v>
      </c>
      <c r="D541" s="15">
        <f t="shared" si="63"/>
        <v>8.3313294660000006E+19</v>
      </c>
      <c r="E541" s="15">
        <f>FORECAST($C541, OFFSET('De Vaucouleurs Deprojection'!$F$3:$F$126, MATCH($C541, 'De Vaucouleurs Deprojection'!$A$3:$A$126,1)-1,0,2), OFFSET('De Vaucouleurs Deprojection'!$A$3:$A$126, MATCH($C541, 'De Vaucouleurs Deprojection'!$A$3:$A$126,1)-1,0,2))*LCDMTotalBulgeMass</f>
        <v>1.5544563988989473E+40</v>
      </c>
      <c r="F541" s="15">
        <f t="shared" si="56"/>
        <v>3.7351340448436042E+39</v>
      </c>
      <c r="G541" s="15">
        <f t="shared" si="57"/>
        <v>1.1913951651346041E+40</v>
      </c>
      <c r="H541" s="15">
        <f t="shared" si="58"/>
        <v>3.1193649685179121E+40</v>
      </c>
      <c r="I541" s="16">
        <v>162.34538000000001</v>
      </c>
      <c r="J541" s="45">
        <v>1</v>
      </c>
      <c r="K541" s="19">
        <f t="shared" si="59"/>
        <v>158.07807722289888</v>
      </c>
      <c r="L541" s="16">
        <f t="shared" si="60"/>
        <v>18.209872991454947</v>
      </c>
      <c r="M541" s="45"/>
    </row>
    <row r="542" spans="1:13" x14ac:dyDescent="0.25">
      <c r="A542" s="16">
        <v>2.75</v>
      </c>
      <c r="B542" s="45">
        <f t="shared" si="61"/>
        <v>2750</v>
      </c>
      <c r="C542" s="16">
        <f t="shared" si="62"/>
        <v>4.8245614035087723</v>
      </c>
      <c r="D542" s="15">
        <f t="shared" si="63"/>
        <v>8.4856133450000007E+19</v>
      </c>
      <c r="E542" s="15">
        <f>FORECAST($C542, OFFSET('De Vaucouleurs Deprojection'!$F$3:$F$126, MATCH($C542, 'De Vaucouleurs Deprojection'!$A$3:$A$126,1)-1,0,2), OFFSET('De Vaucouleurs Deprojection'!$A$3:$A$126, MATCH($C542, 'De Vaucouleurs Deprojection'!$A$3:$A$126,1)-1,0,2))*LCDMTotalBulgeMass</f>
        <v>1.561374488698947E+40</v>
      </c>
      <c r="F542" s="15">
        <f t="shared" si="56"/>
        <v>3.7511801698986618E+39</v>
      </c>
      <c r="G542" s="15">
        <f t="shared" si="57"/>
        <v>1.2288896953609266E+40</v>
      </c>
      <c r="H542" s="15">
        <f t="shared" si="58"/>
        <v>3.1653822010497398E+40</v>
      </c>
      <c r="I542" s="16">
        <v>162.29666</v>
      </c>
      <c r="J542" s="45">
        <v>1</v>
      </c>
      <c r="K542" s="19">
        <f t="shared" si="59"/>
        <v>157.78552624446934</v>
      </c>
      <c r="L542" s="16">
        <f t="shared" si="60"/>
        <v>20.350327760288199</v>
      </c>
      <c r="M542" s="45"/>
    </row>
    <row r="543" spans="1:13" x14ac:dyDescent="0.25">
      <c r="A543" s="16">
        <v>2.8</v>
      </c>
      <c r="B543" s="45">
        <f t="shared" si="61"/>
        <v>2800</v>
      </c>
      <c r="C543" s="16">
        <f t="shared" si="62"/>
        <v>4.9122807017543861</v>
      </c>
      <c r="D543" s="15">
        <f t="shared" si="63"/>
        <v>8.6398972239999992E+19</v>
      </c>
      <c r="E543" s="15">
        <f>FORECAST($C543, OFFSET('De Vaucouleurs Deprojection'!$F$3:$F$126, MATCH($C543, 'De Vaucouleurs Deprojection'!$A$3:$A$126,1)-1,0,2), OFFSET('De Vaucouleurs Deprojection'!$A$3:$A$126, MATCH($C543, 'De Vaucouleurs Deprojection'!$A$3:$A$126,1)-1,0,2))*LCDMTotalBulgeMass</f>
        <v>1.5680832972617542E+40</v>
      </c>
      <c r="F543" s="15">
        <f t="shared" si="56"/>
        <v>3.7662142355933033E+39</v>
      </c>
      <c r="G543" s="15">
        <f t="shared" si="57"/>
        <v>1.2667540218304115E+40</v>
      </c>
      <c r="H543" s="15">
        <f t="shared" si="58"/>
        <v>3.2114587426514963E+40</v>
      </c>
      <c r="I543" s="16">
        <v>162.25615999999999</v>
      </c>
      <c r="J543" s="45">
        <v>1</v>
      </c>
      <c r="K543" s="19">
        <f t="shared" si="59"/>
        <v>157.50436328463968</v>
      </c>
      <c r="L543" s="16">
        <f t="shared" si="60"/>
        <v>22.579572024109066</v>
      </c>
      <c r="M543" s="45"/>
    </row>
    <row r="544" spans="1:13" x14ac:dyDescent="0.25">
      <c r="A544" s="16">
        <v>2.85</v>
      </c>
      <c r="B544" s="45">
        <f t="shared" si="61"/>
        <v>2850</v>
      </c>
      <c r="C544" s="16">
        <f t="shared" si="62"/>
        <v>5</v>
      </c>
      <c r="D544" s="15">
        <f t="shared" si="63"/>
        <v>8.7941811030000009E+19</v>
      </c>
      <c r="E544" s="15">
        <f>FORECAST($C544, OFFSET('De Vaucouleurs Deprojection'!$F$3:$F$126, MATCH($C544, 'De Vaucouleurs Deprojection'!$A$3:$A$126,1)-1,0,2), OFFSET('De Vaucouleurs Deprojection'!$A$3:$A$126, MATCH($C544, 'De Vaucouleurs Deprojection'!$A$3:$A$126,1)-1,0,2))*LCDMTotalBulgeMass</f>
        <v>1.5745946335599998E+40</v>
      </c>
      <c r="F544" s="15">
        <f t="shared" si="56"/>
        <v>3.7802955003219369E+39</v>
      </c>
      <c r="G544" s="15">
        <f t="shared" si="57"/>
        <v>1.3049807103382848E+40</v>
      </c>
      <c r="H544" s="15">
        <f t="shared" si="58"/>
        <v>3.2576048939304781E+40</v>
      </c>
      <c r="I544" s="16">
        <v>162.22092000000001</v>
      </c>
      <c r="J544" s="45">
        <v>1</v>
      </c>
      <c r="K544" s="19">
        <f t="shared" si="59"/>
        <v>157.23426899820259</v>
      </c>
      <c r="L544" s="16">
        <f t="shared" si="60"/>
        <v>24.866688213727134</v>
      </c>
      <c r="M544" s="45"/>
    </row>
    <row r="545" spans="1:13" x14ac:dyDescent="0.25">
      <c r="A545" s="16">
        <v>2.9</v>
      </c>
      <c r="B545" s="45">
        <f t="shared" si="61"/>
        <v>2900</v>
      </c>
      <c r="C545" s="16">
        <f t="shared" si="62"/>
        <v>5.0877192982456139</v>
      </c>
      <c r="D545" s="15">
        <f t="shared" si="63"/>
        <v>8.9484649819999994E+19</v>
      </c>
      <c r="E545" s="15">
        <f>FORECAST($C545, OFFSET('De Vaucouleurs Deprojection'!$F$3:$F$126, MATCH($C545, 'De Vaucouleurs Deprojection'!$A$3:$A$126,1)-1,0,2), OFFSET('De Vaucouleurs Deprojection'!$A$3:$A$126, MATCH($C545, 'De Vaucouleurs Deprojection'!$A$3:$A$126,1)-1,0,2))*LCDMTotalBulgeMass</f>
        <v>1.5800366017810524E+40</v>
      </c>
      <c r="F545" s="15">
        <f t="shared" si="56"/>
        <v>3.7934802163896099E+39</v>
      </c>
      <c r="G545" s="15">
        <f t="shared" si="57"/>
        <v>1.3435624729555479E+40</v>
      </c>
      <c r="H545" s="15">
        <f t="shared" si="58"/>
        <v>3.3029470963755611E+40</v>
      </c>
      <c r="I545" s="16">
        <v>162.18796</v>
      </c>
      <c r="J545" s="45">
        <v>1</v>
      </c>
      <c r="K545" s="19">
        <f t="shared" si="59"/>
        <v>156.95394692823359</v>
      </c>
      <c r="L545" s="16">
        <f t="shared" si="60"/>
        <v>27.394892835421675</v>
      </c>
      <c r="M545" s="45"/>
    </row>
    <row r="546" spans="1:13" x14ac:dyDescent="0.25">
      <c r="A546" s="16">
        <v>2.95</v>
      </c>
      <c r="B546" s="45">
        <f t="shared" si="61"/>
        <v>2950</v>
      </c>
      <c r="C546" s="16">
        <f t="shared" si="62"/>
        <v>5.1754385964912277</v>
      </c>
      <c r="D546" s="15">
        <f t="shared" si="63"/>
        <v>9.1027488610000011E+19</v>
      </c>
      <c r="E546" s="15">
        <f>FORECAST($C546, OFFSET('De Vaucouleurs Deprojection'!$F$3:$F$126, MATCH($C546, 'De Vaucouleurs Deprojection'!$A$3:$A$126,1)-1,0,2), OFFSET('De Vaucouleurs Deprojection'!$A$3:$A$126, MATCH($C546, 'De Vaucouleurs Deprojection'!$A$3:$A$126,1)-1,0,2))*LCDMTotalBulgeMass</f>
        <v>1.5854785700021053E+40</v>
      </c>
      <c r="F546" s="15">
        <f t="shared" si="56"/>
        <v>3.8058217318865481E+39</v>
      </c>
      <c r="G546" s="15">
        <f t="shared" si="57"/>
        <v>1.3824921647302954E+40</v>
      </c>
      <c r="H546" s="15">
        <f t="shared" si="58"/>
        <v>3.3485529079210555E+40</v>
      </c>
      <c r="I546" s="16">
        <v>162.15446</v>
      </c>
      <c r="J546" s="45">
        <v>1</v>
      </c>
      <c r="K546" s="19">
        <f t="shared" si="59"/>
        <v>156.68881863998186</v>
      </c>
      <c r="L546" s="16">
        <f t="shared" si="60"/>
        <v>29.873235476340938</v>
      </c>
      <c r="M546" s="45"/>
    </row>
    <row r="547" spans="1:13" x14ac:dyDescent="0.25">
      <c r="A547" s="16">
        <v>3</v>
      </c>
      <c r="B547" s="45">
        <f t="shared" si="61"/>
        <v>3000</v>
      </c>
      <c r="C547" s="16">
        <f t="shared" si="62"/>
        <v>5.2631578947368425</v>
      </c>
      <c r="D547" s="15">
        <f t="shared" si="63"/>
        <v>9.2570327399999996E+19</v>
      </c>
      <c r="E547" s="15">
        <f>FORECAST($C547, OFFSET('De Vaucouleurs Deprojection'!$F$3:$F$126, MATCH($C547, 'De Vaucouleurs Deprojection'!$A$3:$A$126,1)-1,0,2), OFFSET('De Vaucouleurs Deprojection'!$A$3:$A$126, MATCH($C547, 'De Vaucouleurs Deprojection'!$A$3:$A$126,1)-1,0,2))*LCDMTotalBulgeMass</f>
        <v>1.5909205382231579E+40</v>
      </c>
      <c r="F547" s="15">
        <f t="shared" si="56"/>
        <v>3.8173705954894291E+39</v>
      </c>
      <c r="G547" s="15">
        <f t="shared" si="57"/>
        <v>1.4217627804749754E+40</v>
      </c>
      <c r="H547" s="15">
        <f t="shared" si="58"/>
        <v>3.3944203782470762E+40</v>
      </c>
      <c r="I547" s="16">
        <v>162.11714000000001</v>
      </c>
      <c r="J547" s="45">
        <v>1</v>
      </c>
      <c r="K547" s="19">
        <f t="shared" si="59"/>
        <v>156.43813045850504</v>
      </c>
      <c r="L547" s="16">
        <f t="shared" si="60"/>
        <v>32.251149372390834</v>
      </c>
      <c r="M547" s="45"/>
    </row>
    <row r="548" spans="1:13" x14ac:dyDescent="0.25">
      <c r="A548" s="16">
        <v>3.05</v>
      </c>
      <c r="B548" s="45">
        <f t="shared" si="61"/>
        <v>3050</v>
      </c>
      <c r="C548" s="16">
        <f t="shared" si="62"/>
        <v>5.3508771929824563</v>
      </c>
      <c r="D548" s="15">
        <f t="shared" si="63"/>
        <v>9.4113166189999997E+19</v>
      </c>
      <c r="E548" s="15">
        <f>FORECAST($C548, OFFSET('De Vaucouleurs Deprojection'!$F$3:$F$126, MATCH($C548, 'De Vaucouleurs Deprojection'!$A$3:$A$126,1)-1,0,2), OFFSET('De Vaucouleurs Deprojection'!$A$3:$A$126, MATCH($C548, 'De Vaucouleurs Deprojection'!$A$3:$A$126,1)-1,0,2))*LCDMTotalBulgeMass</f>
        <v>1.5963625064442105E+40</v>
      </c>
      <c r="F548" s="15">
        <f t="shared" si="56"/>
        <v>3.8281746630701095E+39</v>
      </c>
      <c r="G548" s="15">
        <f t="shared" si="57"/>
        <v>1.4613674516368517E+40</v>
      </c>
      <c r="H548" s="15">
        <f t="shared" si="58"/>
        <v>3.4405474243880731E+40</v>
      </c>
      <c r="I548" s="16">
        <v>162.07239999999999</v>
      </c>
      <c r="J548" s="45">
        <v>1</v>
      </c>
      <c r="K548" s="19">
        <f t="shared" si="59"/>
        <v>156.20117128142073</v>
      </c>
      <c r="L548" s="16">
        <f t="shared" si="60"/>
        <v>34.471326665869867</v>
      </c>
      <c r="M548" s="45"/>
    </row>
    <row r="549" spans="1:13" x14ac:dyDescent="0.25">
      <c r="A549" s="16">
        <v>3.1</v>
      </c>
      <c r="B549" s="45">
        <f t="shared" si="61"/>
        <v>3100</v>
      </c>
      <c r="C549" s="16">
        <f t="shared" si="62"/>
        <v>5.4385964912280702</v>
      </c>
      <c r="D549" s="15">
        <f t="shared" si="63"/>
        <v>9.5656004979999998E+19</v>
      </c>
      <c r="E549" s="15">
        <f>FORECAST($C549, OFFSET('De Vaucouleurs Deprojection'!$F$3:$F$126, MATCH($C549, 'De Vaucouleurs Deprojection'!$A$3:$A$126,1)-1,0,2), OFFSET('De Vaucouleurs Deprojection'!$A$3:$A$126, MATCH($C549, 'De Vaucouleurs Deprojection'!$A$3:$A$126,1)-1,0,2))*LCDMTotalBulgeMass</f>
        <v>1.6018044746652631E+40</v>
      </c>
      <c r="F549" s="15">
        <f t="shared" si="56"/>
        <v>3.8382792051527827E+39</v>
      </c>
      <c r="G549" s="15">
        <f t="shared" si="57"/>
        <v>1.5012994432494016E+40</v>
      </c>
      <c r="H549" s="15">
        <f t="shared" si="58"/>
        <v>3.486931838429943E+40</v>
      </c>
      <c r="I549" s="16">
        <v>162.01697999999999</v>
      </c>
      <c r="J549" s="45">
        <v>1</v>
      </c>
      <c r="K549" s="19">
        <f t="shared" si="59"/>
        <v>155.9772695723403</v>
      </c>
      <c r="L549" s="16">
        <f t="shared" si="60"/>
        <v>36.478102049981132</v>
      </c>
      <c r="M549" s="45"/>
    </row>
    <row r="550" spans="1:13" x14ac:dyDescent="0.25">
      <c r="A550" s="16">
        <v>3.15</v>
      </c>
      <c r="B550" s="45">
        <f t="shared" si="61"/>
        <v>3150</v>
      </c>
      <c r="C550" s="16">
        <f t="shared" si="62"/>
        <v>5.5263157894736841</v>
      </c>
      <c r="D550" s="15">
        <f t="shared" si="63"/>
        <v>9.7198843769999999E+19</v>
      </c>
      <c r="E550" s="15">
        <f>FORECAST($C550, OFFSET('De Vaucouleurs Deprojection'!$F$3:$F$126, MATCH($C550, 'De Vaucouleurs Deprojection'!$A$3:$A$126,1)-1,0,2), OFFSET('De Vaucouleurs Deprojection'!$A$3:$A$126, MATCH($C550, 'De Vaucouleurs Deprojection'!$A$3:$A$126,1)-1,0,2))*LCDMTotalBulgeMass</f>
        <v>1.6072464428863157E+40</v>
      </c>
      <c r="F550" s="15">
        <f t="shared" si="56"/>
        <v>3.8477270144023534E+39</v>
      </c>
      <c r="G550" s="15">
        <f t="shared" si="57"/>
        <v>1.541552150962089E+40</v>
      </c>
      <c r="H550" s="15">
        <f t="shared" si="58"/>
        <v>3.5335712952886402E+40</v>
      </c>
      <c r="I550" s="16">
        <v>161.94883999999999</v>
      </c>
      <c r="J550" s="45">
        <v>1</v>
      </c>
      <c r="K550" s="19">
        <f t="shared" si="59"/>
        <v>155.76579062537277</v>
      </c>
      <c r="L550" s="16">
        <f t="shared" si="60"/>
        <v>38.230099569078014</v>
      </c>
      <c r="M550" s="45"/>
    </row>
    <row r="551" spans="1:13" x14ac:dyDescent="0.25">
      <c r="A551" s="16">
        <v>3.2</v>
      </c>
      <c r="B551" s="45">
        <f t="shared" si="61"/>
        <v>3200</v>
      </c>
      <c r="C551" s="16">
        <f t="shared" si="62"/>
        <v>5.6140350877192979</v>
      </c>
      <c r="D551" s="15">
        <f t="shared" si="63"/>
        <v>9.874168256E+19</v>
      </c>
      <c r="E551" s="15">
        <f>FORECAST($C551, OFFSET('De Vaucouleurs Deprojection'!$F$3:$F$126, MATCH($C551, 'De Vaucouleurs Deprojection'!$A$3:$A$126,1)-1,0,2), OFFSET('De Vaucouleurs Deprojection'!$A$3:$A$126, MATCH($C551, 'De Vaucouleurs Deprojection'!$A$3:$A$126,1)-1,0,2))*LCDMTotalBulgeMass</f>
        <v>1.6126884111073683E+40</v>
      </c>
      <c r="F551" s="15">
        <f t="shared" si="56"/>
        <v>3.8565585124520851E+39</v>
      </c>
      <c r="G551" s="15">
        <f t="shared" si="57"/>
        <v>1.5821190981463136E+40</v>
      </c>
      <c r="H551" s="15">
        <f t="shared" si="58"/>
        <v>3.5804633604988903E+40</v>
      </c>
      <c r="I551" s="16">
        <v>161.86749</v>
      </c>
      <c r="J551" s="45">
        <v>1</v>
      </c>
      <c r="K551" s="19">
        <f t="shared" si="59"/>
        <v>155.5661340709014</v>
      </c>
      <c r="L551" s="16">
        <f t="shared" si="60"/>
        <v>39.707086545186144</v>
      </c>
      <c r="M551" s="45"/>
    </row>
    <row r="552" spans="1:13" x14ac:dyDescent="0.25">
      <c r="A552" s="16">
        <v>3.25</v>
      </c>
      <c r="B552" s="45">
        <f t="shared" si="61"/>
        <v>3250</v>
      </c>
      <c r="C552" s="16">
        <f t="shared" si="62"/>
        <v>5.7017543859649127</v>
      </c>
      <c r="D552" s="15">
        <f t="shared" si="63"/>
        <v>1.0028452135E+20</v>
      </c>
      <c r="E552" s="15">
        <f>FORECAST($C552, OFFSET('De Vaucouleurs Deprojection'!$F$3:$F$126, MATCH($C552, 'De Vaucouleurs Deprojection'!$A$3:$A$126,1)-1,0,2), OFFSET('De Vaucouleurs Deprojection'!$A$3:$A$126, MATCH($C552, 'De Vaucouleurs Deprojection'!$A$3:$A$126,1)-1,0,2))*LCDMTotalBulgeMass</f>
        <v>1.6181303793284209E+40</v>
      </c>
      <c r="F552" s="15">
        <f t="shared" ref="F552:F615" si="64">2*PI()*LCDMDiskSurfaceDensity*LCDMScaleLength*(LCDMScaleLength-EXP(-RadiusPc/LCDMScaleLength)*(RadiusPc+LCDMScaleLength))*SolarMass</f>
        <v>3.8648118554890006E+39</v>
      </c>
      <c r="G552" s="15">
        <f t="shared" ref="G552:G615" si="65">4*PI()*LCDMHaloRepresentativeDensity*LCDMHaloScaleLengthPc^3*(LN(1+RadiusPc/LCDMHaloScaleLengthPc)-RadiusPc/(RadiusPc+LCDMHaloScaleLengthPc))*SolarMass</f>
        <v>1.6229939330753043E+40</v>
      </c>
      <c r="H552" s="15">
        <f t="shared" ref="H552:H615" si="66">BulgeMass+DiskMass+HaloMass</f>
        <v>3.6276054979526248E+40</v>
      </c>
      <c r="I552" s="16">
        <v>161.77345</v>
      </c>
      <c r="J552" s="45">
        <v>1</v>
      </c>
      <c r="K552" s="19">
        <f t="shared" ref="K552:K615" si="67">SQRT(TotalMass*GravitationalConstant/RadiusKm)/km</f>
        <v>155.37773159657732</v>
      </c>
      <c r="L552" s="16">
        <f t="shared" ref="L552:L615" si="68">(ObservedVelocity-ModelVelocity)^2/(VelocityError)^2</f>
        <v>40.90521389587952</v>
      </c>
      <c r="M552" s="45"/>
    </row>
    <row r="553" spans="1:13" x14ac:dyDescent="0.25">
      <c r="A553" s="16">
        <v>3.3</v>
      </c>
      <c r="B553" s="45">
        <f t="shared" ref="B553:B616" si="69">A553*1000</f>
        <v>3300</v>
      </c>
      <c r="C553" s="16">
        <f t="shared" ref="C553:C616" si="70">B553/LCDMBulgeEffectiveRadius</f>
        <v>5.7894736842105265</v>
      </c>
      <c r="D553" s="15">
        <f t="shared" ref="D553:D616" si="71">A553*kpc</f>
        <v>1.0182736014E+20</v>
      </c>
      <c r="E553" s="15">
        <f>FORECAST($C553, OFFSET('De Vaucouleurs Deprojection'!$F$3:$F$126, MATCH($C553, 'De Vaucouleurs Deprojection'!$A$3:$A$126,1)-1,0,2), OFFSET('De Vaucouleurs Deprojection'!$A$3:$A$126, MATCH($C553, 'De Vaucouleurs Deprojection'!$A$3:$A$126,1)-1,0,2))*LCDMTotalBulgeMass</f>
        <v>1.6235723475494737E+40</v>
      </c>
      <c r="F553" s="15">
        <f t="shared" si="64"/>
        <v>3.8725230381127642E+39</v>
      </c>
      <c r="G553" s="15">
        <f t="shared" si="65"/>
        <v>1.6641704261757679E+40</v>
      </c>
      <c r="H553" s="15">
        <f t="shared" si="66"/>
        <v>3.674995077536518E+40</v>
      </c>
      <c r="I553" s="16">
        <v>161.66747000000001</v>
      </c>
      <c r="J553" s="45">
        <v>1</v>
      </c>
      <c r="K553" s="19">
        <f t="shared" si="67"/>
        <v>155.20004486070064</v>
      </c>
      <c r="L553" s="16">
        <f t="shared" si="68"/>
        <v>41.827587932441418</v>
      </c>
      <c r="M553" s="45"/>
    </row>
    <row r="554" spans="1:13" x14ac:dyDescent="0.25">
      <c r="A554" s="16">
        <v>3.35</v>
      </c>
      <c r="B554" s="45">
        <f t="shared" si="69"/>
        <v>3350</v>
      </c>
      <c r="C554" s="16">
        <f t="shared" si="70"/>
        <v>5.8771929824561404</v>
      </c>
      <c r="D554" s="15">
        <f t="shared" si="71"/>
        <v>1.0337019893E+20</v>
      </c>
      <c r="E554" s="15">
        <f>FORECAST($C554, OFFSET('De Vaucouleurs Deprojection'!$F$3:$F$126, MATCH($C554, 'De Vaucouleurs Deprojection'!$A$3:$A$126,1)-1,0,2), OFFSET('De Vaucouleurs Deprojection'!$A$3:$A$126, MATCH($C554, 'De Vaucouleurs Deprojection'!$A$3:$A$126,1)-1,0,2))*LCDMTotalBulgeMass</f>
        <v>1.6290143157705263E+40</v>
      </c>
      <c r="F554" s="15">
        <f t="shared" si="64"/>
        <v>3.8797259950691236E+39</v>
      </c>
      <c r="G554" s="15">
        <f t="shared" si="65"/>
        <v>1.7056424673491848E+40</v>
      </c>
      <c r="H554" s="15">
        <f t="shared" si="66"/>
        <v>3.7226293826266234E+40</v>
      </c>
      <c r="I554" s="16">
        <v>161.55016000000001</v>
      </c>
      <c r="J554" s="45">
        <v>1</v>
      </c>
      <c r="K554" s="19">
        <f t="shared" si="67"/>
        <v>155.03256357794908</v>
      </c>
      <c r="L554" s="16">
        <f t="shared" si="68"/>
        <v>42.47906312073107</v>
      </c>
      <c r="M554" s="45"/>
    </row>
    <row r="555" spans="1:13" x14ac:dyDescent="0.25">
      <c r="A555" s="16">
        <v>3.4</v>
      </c>
      <c r="B555" s="45">
        <f t="shared" si="69"/>
        <v>3400</v>
      </c>
      <c r="C555" s="16">
        <f t="shared" si="70"/>
        <v>5.9649122807017543</v>
      </c>
      <c r="D555" s="15">
        <f t="shared" si="71"/>
        <v>1.0491303772E+20</v>
      </c>
      <c r="E555" s="15">
        <f>FORECAST($C555, OFFSET('De Vaucouleurs Deprojection'!$F$3:$F$126, MATCH($C555, 'De Vaucouleurs Deprojection'!$A$3:$A$126,1)-1,0,2), OFFSET('De Vaucouleurs Deprojection'!$A$3:$A$126, MATCH($C555, 'De Vaucouleurs Deprojection'!$A$3:$A$126,1)-1,0,2))*LCDMTotalBulgeMass</f>
        <v>1.6344562839915789E+40</v>
      </c>
      <c r="F555" s="15">
        <f t="shared" si="64"/>
        <v>3.8864527005338389E+39</v>
      </c>
      <c r="G555" s="15">
        <f t="shared" si="65"/>
        <v>1.7474040633608576E+40</v>
      </c>
      <c r="H555" s="15">
        <f t="shared" si="66"/>
        <v>3.7705056174058205E+40</v>
      </c>
      <c r="I555" s="16">
        <v>161.42213000000001</v>
      </c>
      <c r="J555" s="45">
        <v>1</v>
      </c>
      <c r="K555" s="19">
        <f t="shared" si="67"/>
        <v>154.87480375983529</v>
      </c>
      <c r="L555" s="16">
        <f t="shared" si="68"/>
        <v>42.867480895149512</v>
      </c>
      <c r="M555" s="45"/>
    </row>
    <row r="556" spans="1:13" x14ac:dyDescent="0.25">
      <c r="A556" s="16">
        <v>3.45</v>
      </c>
      <c r="B556" s="45">
        <f t="shared" si="69"/>
        <v>3450</v>
      </c>
      <c r="C556" s="16">
        <f t="shared" si="70"/>
        <v>6.0526315789473681</v>
      </c>
      <c r="D556" s="15">
        <f t="shared" si="71"/>
        <v>1.0645587651000001E+20</v>
      </c>
      <c r="E556" s="15">
        <f>FORECAST($C556, OFFSET('De Vaucouleurs Deprojection'!$F$3:$F$126, MATCH($C556, 'De Vaucouleurs Deprojection'!$A$3:$A$126,1)-1,0,2), OFFSET('De Vaucouleurs Deprojection'!$A$3:$A$126, MATCH($C556, 'De Vaucouleurs Deprojection'!$A$3:$A$126,1)-1,0,2))*LCDMTotalBulgeMass</f>
        <v>1.6390243882378945E+40</v>
      </c>
      <c r="F556" s="15">
        <f t="shared" si="64"/>
        <v>3.8927332646884454E+39</v>
      </c>
      <c r="G556" s="15">
        <f t="shared" si="65"/>
        <v>1.7894493352946212E+40</v>
      </c>
      <c r="H556" s="15">
        <f t="shared" si="66"/>
        <v>3.8177470500013603E+40</v>
      </c>
      <c r="I556" s="16">
        <v>161.28399999999999</v>
      </c>
      <c r="J556" s="45">
        <v>1</v>
      </c>
      <c r="K556" s="19">
        <f t="shared" si="67"/>
        <v>154.70860107935488</v>
      </c>
      <c r="L556" s="16">
        <f t="shared" si="68"/>
        <v>43.235870965620926</v>
      </c>
      <c r="M556" s="45"/>
    </row>
    <row r="557" spans="1:13" x14ac:dyDescent="0.25">
      <c r="A557" s="16">
        <v>3.5</v>
      </c>
      <c r="B557" s="45">
        <f t="shared" si="69"/>
        <v>3500</v>
      </c>
      <c r="C557" s="16">
        <f t="shared" si="70"/>
        <v>6.1403508771929829</v>
      </c>
      <c r="D557" s="15">
        <f t="shared" si="71"/>
        <v>1.0799871530000001E+20</v>
      </c>
      <c r="E557" s="15">
        <f>FORECAST($C557, OFFSET('De Vaucouleurs Deprojection'!$F$3:$F$126, MATCH($C557, 'De Vaucouleurs Deprojection'!$A$3:$A$126,1)-1,0,2), OFFSET('De Vaucouleurs Deprojection'!$A$3:$A$126, MATCH($C557, 'De Vaucouleurs Deprojection'!$A$3:$A$126,1)-1,0,2))*LCDMTotalBulgeMass</f>
        <v>1.6430099165010524E+40</v>
      </c>
      <c r="F557" s="15">
        <f t="shared" si="64"/>
        <v>3.8985960273861738E+39</v>
      </c>
      <c r="G557" s="15">
        <f t="shared" si="65"/>
        <v>1.8317725160713991E+40</v>
      </c>
      <c r="H557" s="15">
        <f t="shared" si="66"/>
        <v>3.8646420353110689E+40</v>
      </c>
      <c r="I557" s="16">
        <v>161.13631000000001</v>
      </c>
      <c r="J557" s="45">
        <v>1</v>
      </c>
      <c r="K557" s="19">
        <f t="shared" si="67"/>
        <v>154.54004915164205</v>
      </c>
      <c r="L557" s="16">
        <f t="shared" si="68"/>
        <v>43.510657179580036</v>
      </c>
      <c r="M557" s="45"/>
    </row>
    <row r="558" spans="1:13" x14ac:dyDescent="0.25">
      <c r="A558" s="16">
        <v>3.55</v>
      </c>
      <c r="B558" s="45">
        <f t="shared" si="69"/>
        <v>3550</v>
      </c>
      <c r="C558" s="16">
        <f t="shared" si="70"/>
        <v>6.2280701754385968</v>
      </c>
      <c r="D558" s="15">
        <f t="shared" si="71"/>
        <v>1.0954155408999999E+20</v>
      </c>
      <c r="E558" s="15">
        <f>FORECAST($C558, OFFSET('De Vaucouleurs Deprojection'!$F$3:$F$126, MATCH($C558, 'De Vaucouleurs Deprojection'!$A$3:$A$126,1)-1,0,2), OFFSET('De Vaucouleurs Deprojection'!$A$3:$A$126, MATCH($C558, 'De Vaucouleurs Deprojection'!$A$3:$A$126,1)-1,0,2))*LCDMTotalBulgeMass</f>
        <v>1.6469954447642104E+40</v>
      </c>
      <c r="F558" s="15">
        <f t="shared" si="64"/>
        <v>3.9040676487559824E+39</v>
      </c>
      <c r="G558" s="15">
        <f t="shared" si="65"/>
        <v>1.8743679480297796E+40</v>
      </c>
      <c r="H558" s="15">
        <f t="shared" si="66"/>
        <v>3.9117701576695882E+40</v>
      </c>
      <c r="I558" s="16">
        <v>160.97954999999999</v>
      </c>
      <c r="J558" s="45">
        <v>1</v>
      </c>
      <c r="K558" s="19">
        <f t="shared" si="67"/>
        <v>154.38066936365948</v>
      </c>
      <c r="L558" s="16">
        <f t="shared" si="68"/>
        <v>43.545225652669735</v>
      </c>
      <c r="M558" s="45"/>
    </row>
    <row r="559" spans="1:13" x14ac:dyDescent="0.25">
      <c r="A559" s="16">
        <v>3.6</v>
      </c>
      <c r="B559" s="45">
        <f t="shared" si="69"/>
        <v>3600</v>
      </c>
      <c r="C559" s="16">
        <f t="shared" si="70"/>
        <v>6.3157894736842106</v>
      </c>
      <c r="D559" s="15">
        <f t="shared" si="71"/>
        <v>1.1108439288000001E+20</v>
      </c>
      <c r="E559" s="15">
        <f>FORECAST($C559, OFFSET('De Vaucouleurs Deprojection'!$F$3:$F$126, MATCH($C559, 'De Vaucouleurs Deprojection'!$A$3:$A$126,1)-1,0,2), OFFSET('De Vaucouleurs Deprojection'!$A$3:$A$126, MATCH($C559, 'De Vaucouleurs Deprojection'!$A$3:$A$126,1)-1,0,2))*LCDMTotalBulgeMass</f>
        <v>1.6509809730273681E+40</v>
      </c>
      <c r="F559" s="15">
        <f t="shared" si="64"/>
        <v>3.9091731966355016E+39</v>
      </c>
      <c r="G559" s="15">
        <f t="shared" si="65"/>
        <v>1.9172300805668539E+40</v>
      </c>
      <c r="H559" s="15">
        <f t="shared" si="66"/>
        <v>3.9591283732577722E+40</v>
      </c>
      <c r="I559" s="16">
        <v>160.81422000000001</v>
      </c>
      <c r="J559" s="45">
        <v>1</v>
      </c>
      <c r="K559" s="19">
        <f t="shared" si="67"/>
        <v>154.23004065481462</v>
      </c>
      <c r="L559" s="16">
        <f t="shared" si="68"/>
        <v>43.351417649565917</v>
      </c>
      <c r="M559" s="45"/>
    </row>
    <row r="560" spans="1:13" x14ac:dyDescent="0.25">
      <c r="A560" s="16">
        <v>3.65</v>
      </c>
      <c r="B560" s="45">
        <f t="shared" si="69"/>
        <v>3650</v>
      </c>
      <c r="C560" s="16">
        <f t="shared" si="70"/>
        <v>6.4035087719298245</v>
      </c>
      <c r="D560" s="15">
        <f t="shared" si="71"/>
        <v>1.1262723166999999E+20</v>
      </c>
      <c r="E560" s="15">
        <f>FORECAST($C560, OFFSET('De Vaucouleurs Deprojection'!$F$3:$F$126, MATCH($C560, 'De Vaucouleurs Deprojection'!$A$3:$A$126,1)-1,0,2), OFFSET('De Vaucouleurs Deprojection'!$A$3:$A$126, MATCH($C560, 'De Vaucouleurs Deprojection'!$A$3:$A$126,1)-1,0,2))*LCDMTotalBulgeMass</f>
        <v>1.6549665012905263E+40</v>
      </c>
      <c r="F560" s="15">
        <f t="shared" si="64"/>
        <v>3.9139362307607857E+39</v>
      </c>
      <c r="G560" s="15">
        <f t="shared" si="65"/>
        <v>1.9603534678375664E+40</v>
      </c>
      <c r="H560" s="15">
        <f t="shared" si="66"/>
        <v>4.0067135922041709E+40</v>
      </c>
      <c r="I560" s="16">
        <v>160.64104</v>
      </c>
      <c r="J560" s="45">
        <v>1</v>
      </c>
      <c r="K560" s="19">
        <f t="shared" si="67"/>
        <v>154.08776254526435</v>
      </c>
      <c r="L560" s="16">
        <f t="shared" si="68"/>
        <v>42.945445398746557</v>
      </c>
      <c r="M560" s="45"/>
    </row>
    <row r="561" spans="1:13" x14ac:dyDescent="0.25">
      <c r="A561" s="16">
        <v>3.7</v>
      </c>
      <c r="B561" s="45">
        <f t="shared" si="69"/>
        <v>3700</v>
      </c>
      <c r="C561" s="16">
        <f t="shared" si="70"/>
        <v>6.4912280701754383</v>
      </c>
      <c r="D561" s="15">
        <f t="shared" si="71"/>
        <v>1.1417007046000001E+20</v>
      </c>
      <c r="E561" s="15">
        <f>FORECAST($C561, OFFSET('De Vaucouleurs Deprojection'!$F$3:$F$126, MATCH($C561, 'De Vaucouleurs Deprojection'!$A$3:$A$126,1)-1,0,2), OFFSET('De Vaucouleurs Deprojection'!$A$3:$A$126, MATCH($C561, 'De Vaucouleurs Deprojection'!$A$3:$A$126,1)-1,0,2))*LCDMTotalBulgeMass</f>
        <v>1.658952029553684E+40</v>
      </c>
      <c r="F561" s="15">
        <f t="shared" si="64"/>
        <v>3.9183788836725323E+39</v>
      </c>
      <c r="G561" s="15">
        <f t="shared" si="65"/>
        <v>2.0037327665109137E+40</v>
      </c>
      <c r="H561" s="15">
        <f t="shared" si="66"/>
        <v>4.0545226844318512E+40</v>
      </c>
      <c r="I561" s="16">
        <v>160.46093999999999</v>
      </c>
      <c r="J561" s="45">
        <v>1</v>
      </c>
      <c r="K561" s="19">
        <f t="shared" si="67"/>
        <v>153.95345396301173</v>
      </c>
      <c r="L561" s="16">
        <f t="shared" si="68"/>
        <v>42.347374521597281</v>
      </c>
      <c r="M561" s="45"/>
    </row>
    <row r="562" spans="1:13" x14ac:dyDescent="0.25">
      <c r="A562" s="16">
        <v>3.75</v>
      </c>
      <c r="B562" s="45">
        <f t="shared" si="69"/>
        <v>3750</v>
      </c>
      <c r="C562" s="16">
        <f t="shared" si="70"/>
        <v>6.5789473684210522</v>
      </c>
      <c r="D562" s="15">
        <f t="shared" si="71"/>
        <v>1.1571290924999999E+20</v>
      </c>
      <c r="E562" s="15">
        <f>FORECAST($C562, OFFSET('De Vaucouleurs Deprojection'!$F$3:$F$126, MATCH($C562, 'De Vaucouleurs Deprojection'!$A$3:$A$126,1)-1,0,2), OFFSET('De Vaucouleurs Deprojection'!$A$3:$A$126, MATCH($C562, 'De Vaucouleurs Deprojection'!$A$3:$A$126,1)-1,0,2))*LCDMTotalBulgeMass</f>
        <v>1.662937557816842E+40</v>
      </c>
      <c r="F562" s="15">
        <f t="shared" si="64"/>
        <v>3.9225219383256275E+39</v>
      </c>
      <c r="G562" s="15">
        <f t="shared" si="65"/>
        <v>2.0473627335815216E+40</v>
      </c>
      <c r="H562" s="15">
        <f t="shared" si="66"/>
        <v>4.1025524852309263E+40</v>
      </c>
      <c r="I562" s="16">
        <v>160.27498</v>
      </c>
      <c r="J562" s="45">
        <v>1</v>
      </c>
      <c r="K562" s="19">
        <f t="shared" si="67"/>
        <v>153.82675215318955</v>
      </c>
      <c r="L562" s="16">
        <f t="shared" si="68"/>
        <v>41.579642364381783</v>
      </c>
      <c r="M562" s="45"/>
    </row>
    <row r="563" spans="1:13" x14ac:dyDescent="0.25">
      <c r="A563" s="16">
        <v>3.8</v>
      </c>
      <c r="B563" s="45">
        <f t="shared" si="69"/>
        <v>3800</v>
      </c>
      <c r="C563" s="16">
        <f t="shared" si="70"/>
        <v>6.666666666666667</v>
      </c>
      <c r="D563" s="15">
        <f t="shared" si="71"/>
        <v>1.1725574804E+20</v>
      </c>
      <c r="E563" s="15">
        <f>FORECAST($C563, OFFSET('De Vaucouleurs Deprojection'!$F$3:$F$126, MATCH($C563, 'De Vaucouleurs Deprojection'!$A$3:$A$126,1)-1,0,2), OFFSET('De Vaucouleurs Deprojection'!$A$3:$A$126, MATCH($C563, 'De Vaucouleurs Deprojection'!$A$3:$A$126,1)-1,0,2))*LCDMTotalBulgeMass</f>
        <v>1.6669230860799999E+40</v>
      </c>
      <c r="F563" s="15">
        <f t="shared" si="64"/>
        <v>3.9263849024119698E+39</v>
      </c>
      <c r="G563" s="15">
        <f t="shared" si="65"/>
        <v>2.0912382242348328E+40</v>
      </c>
      <c r="H563" s="15">
        <f t="shared" si="66"/>
        <v>4.1507998005560295E+40</v>
      </c>
      <c r="I563" s="16">
        <v>160.08430000000001</v>
      </c>
      <c r="J563" s="45">
        <v>1</v>
      </c>
      <c r="K563" s="19">
        <f t="shared" si="67"/>
        <v>153.70731166233804</v>
      </c>
      <c r="L563" s="16">
        <f t="shared" si="68"/>
        <v>40.665980258676775</v>
      </c>
      <c r="M563" s="45"/>
    </row>
    <row r="564" spans="1:13" x14ac:dyDescent="0.25">
      <c r="A564" s="16">
        <v>3.85</v>
      </c>
      <c r="B564" s="45">
        <f t="shared" si="69"/>
        <v>3850</v>
      </c>
      <c r="C564" s="16">
        <f t="shared" si="70"/>
        <v>6.7543859649122808</v>
      </c>
      <c r="D564" s="15">
        <f t="shared" si="71"/>
        <v>1.1879858683E+20</v>
      </c>
      <c r="E564" s="15">
        <f>FORECAST($C564, OFFSET('De Vaucouleurs Deprojection'!$F$3:$F$126, MATCH($C564, 'De Vaucouleurs Deprojection'!$A$3:$A$126,1)-1,0,2), OFFSET('De Vaucouleurs Deprojection'!$A$3:$A$126, MATCH($C564, 'De Vaucouleurs Deprojection'!$A$3:$A$126,1)-1,0,2))*LCDMTotalBulgeMass</f>
        <v>1.6709086143431579E+40</v>
      </c>
      <c r="F564" s="15">
        <f t="shared" si="64"/>
        <v>3.929986079426008E+39</v>
      </c>
      <c r="G564" s="15">
        <f t="shared" si="65"/>
        <v>2.1353541897645841E+40</v>
      </c>
      <c r="H564" s="15">
        <f t="shared" si="66"/>
        <v>4.1992614120503427E+40</v>
      </c>
      <c r="I564" s="16">
        <v>159.8905</v>
      </c>
      <c r="J564" s="45">
        <v>1</v>
      </c>
      <c r="K564" s="19">
        <f t="shared" si="67"/>
        <v>153.59480339124951</v>
      </c>
      <c r="L564" s="16">
        <f t="shared" si="68"/>
        <v>39.635795789432414</v>
      </c>
      <c r="M564" s="45"/>
    </row>
    <row r="565" spans="1:13" x14ac:dyDescent="0.25">
      <c r="A565" s="16">
        <v>3.9</v>
      </c>
      <c r="B565" s="45">
        <f t="shared" si="69"/>
        <v>3900</v>
      </c>
      <c r="C565" s="16">
        <f t="shared" si="70"/>
        <v>6.8421052631578947</v>
      </c>
      <c r="D565" s="15">
        <f t="shared" si="71"/>
        <v>1.2034142562E+20</v>
      </c>
      <c r="E565" s="15">
        <f>FORECAST($C565, OFFSET('De Vaucouleurs Deprojection'!$F$3:$F$126, MATCH($C565, 'De Vaucouleurs Deprojection'!$A$3:$A$126,1)-1,0,2), OFFSET('De Vaucouleurs Deprojection'!$A$3:$A$126, MATCH($C565, 'De Vaucouleurs Deprojection'!$A$3:$A$126,1)-1,0,2))*LCDMTotalBulgeMass</f>
        <v>1.6748941426063156E+40</v>
      </c>
      <c r="F565" s="15">
        <f t="shared" si="64"/>
        <v>3.9333426365187252E+39</v>
      </c>
      <c r="G565" s="15">
        <f t="shared" si="65"/>
        <v>2.1797056755410472E+40</v>
      </c>
      <c r="H565" s="15">
        <f t="shared" si="66"/>
        <v>4.247934081799235E+40</v>
      </c>
      <c r="I565" s="16">
        <v>159.69592</v>
      </c>
      <c r="J565" s="45">
        <v>1</v>
      </c>
      <c r="K565" s="19">
        <f t="shared" si="67"/>
        <v>153.48891371061154</v>
      </c>
      <c r="L565" s="16">
        <f t="shared" si="68"/>
        <v>38.526927076507896</v>
      </c>
      <c r="M565" s="45"/>
    </row>
    <row r="566" spans="1:13" x14ac:dyDescent="0.25">
      <c r="A566" s="16">
        <v>3.95</v>
      </c>
      <c r="B566" s="45">
        <f t="shared" si="69"/>
        <v>3950</v>
      </c>
      <c r="C566" s="16">
        <f t="shared" si="70"/>
        <v>6.9298245614035086</v>
      </c>
      <c r="D566" s="15">
        <f t="shared" si="71"/>
        <v>1.2188426441E+20</v>
      </c>
      <c r="E566" s="15">
        <f>FORECAST($C566, OFFSET('De Vaucouleurs Deprojection'!$F$3:$F$126, MATCH($C566, 'De Vaucouleurs Deprojection'!$A$3:$A$126,1)-1,0,2), OFFSET('De Vaucouleurs Deprojection'!$A$3:$A$126, MATCH($C566, 'De Vaucouleurs Deprojection'!$A$3:$A$126,1)-1,0,2))*LCDMTotalBulgeMass</f>
        <v>1.6788796708694735E+40</v>
      </c>
      <c r="F566" s="15">
        <f t="shared" si="64"/>
        <v>3.9364706691993227E+39</v>
      </c>
      <c r="G566" s="15">
        <f t="shared" si="65"/>
        <v>2.2242878190286153E+40</v>
      </c>
      <c r="H566" s="15">
        <f t="shared" si="66"/>
        <v>4.2968145568180211E+40</v>
      </c>
      <c r="I566" s="16">
        <v>159.50349</v>
      </c>
      <c r="J566" s="45">
        <v>1</v>
      </c>
      <c r="K566" s="19">
        <f t="shared" si="67"/>
        <v>153.38934363426964</v>
      </c>
      <c r="L566" s="16">
        <f t="shared" si="68"/>
        <v>37.382785781573808</v>
      </c>
      <c r="M566" s="45"/>
    </row>
    <row r="567" spans="1:13" x14ac:dyDescent="0.25">
      <c r="A567" s="16">
        <v>4</v>
      </c>
      <c r="B567" s="45">
        <f t="shared" si="69"/>
        <v>4000</v>
      </c>
      <c r="C567" s="16">
        <f t="shared" si="70"/>
        <v>7.0175438596491224</v>
      </c>
      <c r="D567" s="15">
        <f t="shared" si="71"/>
        <v>1.234271032E+20</v>
      </c>
      <c r="E567" s="15">
        <f>FORECAST($C567, OFFSET('De Vaucouleurs Deprojection'!$F$3:$F$126, MATCH($C567, 'De Vaucouleurs Deprojection'!$A$3:$A$126,1)-1,0,2), OFFSET('De Vaucouleurs Deprojection'!$A$3:$A$126, MATCH($C567, 'De Vaucouleurs Deprojection'!$A$3:$A$126,1)-1,0,2))*LCDMTotalBulgeMass</f>
        <v>1.6826687109491227E+40</v>
      </c>
      <c r="F567" s="15">
        <f t="shared" si="64"/>
        <v>3.9393852629549101E+39</v>
      </c>
      <c r="G567" s="15">
        <f t="shared" si="65"/>
        <v>2.2690958478513546E+40</v>
      </c>
      <c r="H567" s="15">
        <f t="shared" si="66"/>
        <v>4.3457030850959683E+40</v>
      </c>
      <c r="I567" s="16">
        <v>159.31614999999999</v>
      </c>
      <c r="J567" s="45">
        <v>1</v>
      </c>
      <c r="K567" s="19">
        <f t="shared" si="67"/>
        <v>153.29234257704258</v>
      </c>
      <c r="L567" s="16">
        <f t="shared" si="68"/>
        <v>36.286255868876893</v>
      </c>
      <c r="M567" s="45"/>
    </row>
    <row r="568" spans="1:13" x14ac:dyDescent="0.25">
      <c r="A568" s="16">
        <v>4.05</v>
      </c>
      <c r="B568" s="45">
        <f t="shared" si="69"/>
        <v>4050</v>
      </c>
      <c r="C568" s="16">
        <f t="shared" si="70"/>
        <v>7.1052631578947372</v>
      </c>
      <c r="D568" s="15">
        <f t="shared" si="71"/>
        <v>1.2496994199E+20</v>
      </c>
      <c r="E568" s="15">
        <f>FORECAST($C568, OFFSET('De Vaucouleurs Deprojection'!$F$3:$F$126, MATCH($C568, 'De Vaucouleurs Deprojection'!$A$3:$A$126,1)-1,0,2), OFFSET('De Vaucouleurs Deprojection'!$A$3:$A$126, MATCH($C568, 'De Vaucouleurs Deprojection'!$A$3:$A$126,1)-1,0,2))*LCDMTotalBulgeMass</f>
        <v>1.6856717982947367E+40</v>
      </c>
      <c r="F568" s="15">
        <f t="shared" si="64"/>
        <v>3.9421005518674062E+39</v>
      </c>
      <c r="G568" s="15">
        <f t="shared" si="65"/>
        <v>2.314125077905308E+40</v>
      </c>
      <c r="H568" s="15">
        <f t="shared" si="66"/>
        <v>4.3940069313867852E+40</v>
      </c>
      <c r="I568" s="16">
        <v>159.13624999999999</v>
      </c>
      <c r="J568" s="45">
        <v>1</v>
      </c>
      <c r="K568" s="19">
        <f t="shared" si="67"/>
        <v>153.18748595168631</v>
      </c>
      <c r="L568" s="16">
        <f t="shared" si="68"/>
        <v>35.387793702509327</v>
      </c>
      <c r="M568" s="45"/>
    </row>
    <row r="569" spans="1:13" x14ac:dyDescent="0.25">
      <c r="A569" s="16">
        <v>4.0999999999999996</v>
      </c>
      <c r="B569" s="45">
        <f t="shared" si="69"/>
        <v>4100</v>
      </c>
      <c r="C569" s="16">
        <f t="shared" si="70"/>
        <v>7.192982456140351</v>
      </c>
      <c r="D569" s="15">
        <f t="shared" si="71"/>
        <v>1.2651278077999999E+20</v>
      </c>
      <c r="E569" s="15">
        <f>FORECAST($C569, OFFSET('De Vaucouleurs Deprojection'!$F$3:$F$126, MATCH($C569, 'De Vaucouleurs Deprojection'!$A$3:$A$126,1)-1,0,2), OFFSET('De Vaucouleurs Deprojection'!$A$3:$A$126, MATCH($C569, 'De Vaucouleurs Deprojection'!$A$3:$A$126,1)-1,0,2))*LCDMTotalBulgeMass</f>
        <v>1.6886748856403506E+40</v>
      </c>
      <c r="F569" s="15">
        <f t="shared" si="64"/>
        <v>3.9446297743139162E+39</v>
      </c>
      <c r="G569" s="15">
        <f t="shared" si="65"/>
        <v>2.3593709115160714E+40</v>
      </c>
      <c r="H569" s="15">
        <f t="shared" si="66"/>
        <v>4.4425087745878136E+40</v>
      </c>
      <c r="I569" s="16">
        <v>158.96557999999999</v>
      </c>
      <c r="J569" s="45">
        <v>1</v>
      </c>
      <c r="K569" s="19">
        <f t="shared" si="67"/>
        <v>153.0885291066505</v>
      </c>
      <c r="L569" s="16">
        <f t="shared" si="68"/>
        <v>34.53972720302005</v>
      </c>
      <c r="M569" s="45"/>
    </row>
    <row r="570" spans="1:13" x14ac:dyDescent="0.25">
      <c r="A570" s="16">
        <v>4.1500000000000004</v>
      </c>
      <c r="B570" s="45">
        <f t="shared" si="69"/>
        <v>4150</v>
      </c>
      <c r="C570" s="16">
        <f t="shared" si="70"/>
        <v>7.2807017543859649</v>
      </c>
      <c r="D570" s="15">
        <f t="shared" si="71"/>
        <v>1.2805561957E+20</v>
      </c>
      <c r="E570" s="15">
        <f>FORECAST($C570, OFFSET('De Vaucouleurs Deprojection'!$F$3:$F$126, MATCH($C570, 'De Vaucouleurs Deprojection'!$A$3:$A$126,1)-1,0,2), OFFSET('De Vaucouleurs Deprojection'!$A$3:$A$126, MATCH($C570, 'De Vaucouleurs Deprojection'!$A$3:$A$126,1)-1,0,2))*LCDMTotalBulgeMass</f>
        <v>1.6916779729859648E+40</v>
      </c>
      <c r="F570" s="15">
        <f t="shared" si="64"/>
        <v>3.9469853258422223E+39</v>
      </c>
      <c r="G570" s="15">
        <f t="shared" si="65"/>
        <v>2.4048288356406336E+40</v>
      </c>
      <c r="H570" s="15">
        <f t="shared" si="66"/>
        <v>4.4912053412108213E+40</v>
      </c>
      <c r="I570" s="16">
        <v>158.80553</v>
      </c>
      <c r="J570" s="45">
        <v>1</v>
      </c>
      <c r="K570" s="19">
        <f t="shared" si="67"/>
        <v>152.99521176497487</v>
      </c>
      <c r="L570" s="16">
        <f t="shared" si="68"/>
        <v>33.759797992265611</v>
      </c>
      <c r="M570" s="45"/>
    </row>
    <row r="571" spans="1:13" x14ac:dyDescent="0.25">
      <c r="A571" s="16">
        <v>4.2</v>
      </c>
      <c r="B571" s="45">
        <f t="shared" si="69"/>
        <v>4200</v>
      </c>
      <c r="C571" s="16">
        <f t="shared" si="70"/>
        <v>7.3684210526315788</v>
      </c>
      <c r="D571" s="15">
        <f t="shared" si="71"/>
        <v>1.2959845836E+20</v>
      </c>
      <c r="E571" s="15">
        <f>FORECAST($C571, OFFSET('De Vaucouleurs Deprojection'!$F$3:$F$126, MATCH($C571, 'De Vaucouleurs Deprojection'!$A$3:$A$126,1)-1,0,2), OFFSET('De Vaucouleurs Deprojection'!$A$3:$A$126, MATCH($C571, 'De Vaucouleurs Deprojection'!$A$3:$A$126,1)-1,0,2))*LCDMTotalBulgeMass</f>
        <v>1.6946810603315788E+40</v>
      </c>
      <c r="F571" s="15">
        <f t="shared" si="64"/>
        <v>3.9491788093170477E+39</v>
      </c>
      <c r="G571" s="15">
        <f t="shared" si="65"/>
        <v>2.4504944201120492E+40</v>
      </c>
      <c r="H571" s="15">
        <f t="shared" si="66"/>
        <v>4.540093361375333E+40</v>
      </c>
      <c r="I571" s="16">
        <v>158.65744000000001</v>
      </c>
      <c r="J571" s="45">
        <v>1</v>
      </c>
      <c r="K571" s="19">
        <f t="shared" si="67"/>
        <v>152.90728537817952</v>
      </c>
      <c r="L571" s="16">
        <f t="shared" si="68"/>
        <v>33.064278174843487</v>
      </c>
      <c r="M571" s="45"/>
    </row>
    <row r="572" spans="1:13" x14ac:dyDescent="0.25">
      <c r="A572" s="16">
        <v>4.25</v>
      </c>
      <c r="B572" s="45">
        <f t="shared" si="69"/>
        <v>4250</v>
      </c>
      <c r="C572" s="16">
        <f t="shared" si="70"/>
        <v>7.4561403508771926</v>
      </c>
      <c r="D572" s="15">
        <f t="shared" si="71"/>
        <v>1.3114129715000001E+20</v>
      </c>
      <c r="E572" s="15">
        <f>FORECAST($C572, OFFSET('De Vaucouleurs Deprojection'!$F$3:$F$126, MATCH($C572, 'De Vaucouleurs Deprojection'!$A$3:$A$126,1)-1,0,2), OFFSET('De Vaucouleurs Deprojection'!$A$3:$A$126, MATCH($C572, 'De Vaucouleurs Deprojection'!$A$3:$A$126,1)-1,0,2))*LCDMTotalBulgeMass</f>
        <v>1.697684147677193E+40</v>
      </c>
      <c r="F572" s="15">
        <f t="shared" si="64"/>
        <v>3.9512210824354898E+39</v>
      </c>
      <c r="G572" s="15">
        <f t="shared" si="65"/>
        <v>2.4963633159259753E+40</v>
      </c>
      <c r="H572" s="15">
        <f t="shared" si="66"/>
        <v>4.5891695718467171E+40</v>
      </c>
      <c r="I572" s="16">
        <v>158.52234000000001</v>
      </c>
      <c r="J572" s="45">
        <v>1</v>
      </c>
      <c r="K572" s="19">
        <f t="shared" si="67"/>
        <v>152.8245125368916</v>
      </c>
      <c r="L572" s="16">
        <f t="shared" si="68"/>
        <v>32.465237799352423</v>
      </c>
      <c r="M572" s="45"/>
    </row>
    <row r="573" spans="1:13" x14ac:dyDescent="0.25">
      <c r="A573" s="16">
        <v>4.3</v>
      </c>
      <c r="B573" s="45">
        <f t="shared" si="69"/>
        <v>4300</v>
      </c>
      <c r="C573" s="16">
        <f t="shared" si="70"/>
        <v>7.5438596491228074</v>
      </c>
      <c r="D573" s="15">
        <f t="shared" si="71"/>
        <v>1.3268413593999999E+20</v>
      </c>
      <c r="E573" s="15">
        <f>FORECAST($C573, OFFSET('De Vaucouleurs Deprojection'!$F$3:$F$126, MATCH($C573, 'De Vaucouleurs Deprojection'!$A$3:$A$126,1)-1,0,2), OFFSET('De Vaucouleurs Deprojection'!$A$3:$A$126, MATCH($C573, 'De Vaucouleurs Deprojection'!$A$3:$A$126,1)-1,0,2))*LCDMTotalBulgeMass</f>
        <v>1.700687235022807E+40</v>
      </c>
      <c r="F573" s="15">
        <f t="shared" si="64"/>
        <v>3.9531223027117389E+39</v>
      </c>
      <c r="G573" s="15">
        <f t="shared" si="65"/>
        <v>2.5424312535677888E+40</v>
      </c>
      <c r="H573" s="15">
        <f t="shared" si="66"/>
        <v>4.6384307188617697E+40</v>
      </c>
      <c r="I573" s="16">
        <v>158.40033</v>
      </c>
      <c r="J573" s="45">
        <v>1</v>
      </c>
      <c r="K573" s="19">
        <f t="shared" si="67"/>
        <v>152.74666641600658</v>
      </c>
      <c r="L573" s="16">
        <f t="shared" si="68"/>
        <v>31.963911920973331</v>
      </c>
      <c r="M573" s="45"/>
    </row>
    <row r="574" spans="1:13" x14ac:dyDescent="0.25">
      <c r="A574" s="16">
        <v>4.3499999999999996</v>
      </c>
      <c r="B574" s="45">
        <f t="shared" si="69"/>
        <v>4350</v>
      </c>
      <c r="C574" s="16">
        <f t="shared" si="70"/>
        <v>7.6315789473684212</v>
      </c>
      <c r="D574" s="15">
        <f t="shared" si="71"/>
        <v>1.3422697472999999E+20</v>
      </c>
      <c r="E574" s="15">
        <f>FORECAST($C574, OFFSET('De Vaucouleurs Deprojection'!$F$3:$F$126, MATCH($C574, 'De Vaucouleurs Deprojection'!$A$3:$A$126,1)-1,0,2), OFFSET('De Vaucouleurs Deprojection'!$A$3:$A$126, MATCH($C574, 'De Vaucouleurs Deprojection'!$A$3:$A$126,1)-1,0,2))*LCDMTotalBulgeMass</f>
        <v>1.7036903223684209E+40</v>
      </c>
      <c r="F574" s="15">
        <f t="shared" si="64"/>
        <v>3.9548919700320295E+39</v>
      </c>
      <c r="G574" s="15">
        <f t="shared" si="65"/>
        <v>2.5886940413792568E+40</v>
      </c>
      <c r="H574" s="15">
        <f t="shared" si="66"/>
        <v>4.6878735607508801E+40</v>
      </c>
      <c r="I574" s="16">
        <v>158.29051000000001</v>
      </c>
      <c r="J574" s="45">
        <v>1</v>
      </c>
      <c r="K574" s="19">
        <f t="shared" si="67"/>
        <v>152.67353025193094</v>
      </c>
      <c r="L574" s="16">
        <f t="shared" si="68"/>
        <v>31.550461490218076</v>
      </c>
      <c r="M574" s="45"/>
    </row>
    <row r="575" spans="1:13" x14ac:dyDescent="0.25">
      <c r="A575" s="16">
        <v>4.4000000000000004</v>
      </c>
      <c r="B575" s="45">
        <f t="shared" si="69"/>
        <v>4400</v>
      </c>
      <c r="C575" s="16">
        <f t="shared" si="70"/>
        <v>7.7192982456140351</v>
      </c>
      <c r="D575" s="15">
        <f t="shared" si="71"/>
        <v>1.3576981352000001E+20</v>
      </c>
      <c r="E575" s="15">
        <f>FORECAST($C575, OFFSET('De Vaucouleurs Deprojection'!$F$3:$F$126, MATCH($C575, 'De Vaucouleurs Deprojection'!$A$3:$A$126,1)-1,0,2), OFFSET('De Vaucouleurs Deprojection'!$A$3:$A$126, MATCH($C575, 'De Vaucouleurs Deprojection'!$A$3:$A$126,1)-1,0,2))*LCDMTotalBulgeMass</f>
        <v>1.7066934097140349E+40</v>
      </c>
      <c r="F575" s="15">
        <f t="shared" si="64"/>
        <v>3.9565389668807626E+39</v>
      </c>
      <c r="G575" s="15">
        <f t="shared" si="65"/>
        <v>2.6351475639637251E+40</v>
      </c>
      <c r="H575" s="15">
        <f t="shared" si="66"/>
        <v>4.7374948703658357E+40</v>
      </c>
      <c r="I575" s="16">
        <v>158.19132999999999</v>
      </c>
      <c r="J575" s="45">
        <v>1</v>
      </c>
      <c r="K575" s="19">
        <f t="shared" si="67"/>
        <v>152.60489684966558</v>
      </c>
      <c r="L575" s="16">
        <f t="shared" si="68"/>
        <v>31.208235343155295</v>
      </c>
      <c r="M575" s="45"/>
    </row>
    <row r="576" spans="1:13" x14ac:dyDescent="0.25">
      <c r="A576" s="16">
        <v>4.45</v>
      </c>
      <c r="B576" s="45">
        <f t="shared" si="69"/>
        <v>4450</v>
      </c>
      <c r="C576" s="16">
        <f t="shared" si="70"/>
        <v>7.807017543859649</v>
      </c>
      <c r="D576" s="15">
        <f t="shared" si="71"/>
        <v>1.3731265231000001E+20</v>
      </c>
      <c r="E576" s="15">
        <f>FORECAST($C576, OFFSET('De Vaucouleurs Deprojection'!$F$3:$F$126, MATCH($C576, 'De Vaucouleurs Deprojection'!$A$3:$A$126,1)-1,0,2), OFFSET('De Vaucouleurs Deprojection'!$A$3:$A$126, MATCH($C576, 'De Vaucouleurs Deprojection'!$A$3:$A$126,1)-1,0,2))*LCDMTotalBulgeMass</f>
        <v>1.7096964970596491E+40</v>
      </c>
      <c r="F576" s="15">
        <f t="shared" si="64"/>
        <v>3.9580715963381802E+39</v>
      </c>
      <c r="G576" s="15">
        <f t="shared" si="65"/>
        <v>2.6817877806287321E+40</v>
      </c>
      <c r="H576" s="15">
        <f t="shared" si="66"/>
        <v>4.7872914373221989E+40</v>
      </c>
      <c r="I576" s="16">
        <v>158.10109</v>
      </c>
      <c r="J576" s="45">
        <v>1</v>
      </c>
      <c r="K576" s="19">
        <f t="shared" si="67"/>
        <v>152.54056811768015</v>
      </c>
      <c r="L576" s="16">
        <f t="shared" si="68"/>
        <v>30.919403603757853</v>
      </c>
      <c r="M576" s="45"/>
    </row>
    <row r="577" spans="1:13" x14ac:dyDescent="0.25">
      <c r="A577" s="16">
        <v>4.5</v>
      </c>
      <c r="B577" s="45">
        <f t="shared" si="69"/>
        <v>4500</v>
      </c>
      <c r="C577" s="16">
        <f t="shared" si="70"/>
        <v>7.8947368421052628</v>
      </c>
      <c r="D577" s="15">
        <f t="shared" si="71"/>
        <v>1.3885549109999999E+20</v>
      </c>
      <c r="E577" s="15">
        <f>FORECAST($C577, OFFSET('De Vaucouleurs Deprojection'!$F$3:$F$126, MATCH($C577, 'De Vaucouleurs Deprojection'!$A$3:$A$126,1)-1,0,2), OFFSET('De Vaucouleurs Deprojection'!$A$3:$A$126, MATCH($C577, 'De Vaucouleurs Deprojection'!$A$3:$A$126,1)-1,0,2))*LCDMTotalBulgeMass</f>
        <v>1.712699584405263E+40</v>
      </c>
      <c r="F577" s="15">
        <f t="shared" si="64"/>
        <v>3.9594976179487621E+39</v>
      </c>
      <c r="G577" s="15">
        <f t="shared" si="65"/>
        <v>2.7286107238650225E+40</v>
      </c>
      <c r="H577" s="15">
        <f t="shared" si="66"/>
        <v>4.8372600700651612E+40</v>
      </c>
      <c r="I577" s="16">
        <v>158.01791</v>
      </c>
      <c r="J577" s="45">
        <v>1</v>
      </c>
      <c r="K577" s="19">
        <f t="shared" si="67"/>
        <v>152.48035462870024</v>
      </c>
      <c r="L577" s="16">
        <f t="shared" si="68"/>
        <v>30.664519490210825</v>
      </c>
      <c r="M577" s="45"/>
    </row>
    <row r="578" spans="1:13" x14ac:dyDescent="0.25">
      <c r="A578" s="16">
        <v>4.55</v>
      </c>
      <c r="B578" s="45">
        <f t="shared" si="69"/>
        <v>4550</v>
      </c>
      <c r="C578" s="16">
        <f t="shared" si="70"/>
        <v>7.9824561403508776</v>
      </c>
      <c r="D578" s="15">
        <f t="shared" si="71"/>
        <v>1.4039832988999999E+20</v>
      </c>
      <c r="E578" s="15">
        <f>FORECAST($C578, OFFSET('De Vaucouleurs Deprojection'!$F$3:$F$126, MATCH($C578, 'De Vaucouleurs Deprojection'!$A$3:$A$126,1)-1,0,2), OFFSET('De Vaucouleurs Deprojection'!$A$3:$A$126, MATCH($C578, 'De Vaucouleurs Deprojection'!$A$3:$A$126,1)-1,0,2))*LCDMTotalBulgeMass</f>
        <v>1.7157026717508772E+40</v>
      </c>
      <c r="F578" s="15">
        <f t="shared" si="64"/>
        <v>3.9608242815579405E+39</v>
      </c>
      <c r="G578" s="15">
        <f t="shared" si="65"/>
        <v>2.7756124978611528E+40</v>
      </c>
      <c r="H578" s="15">
        <f t="shared" si="66"/>
        <v>4.8873975977678242E+40</v>
      </c>
      <c r="I578" s="16">
        <v>157.93943999999999</v>
      </c>
      <c r="J578" s="45">
        <v>1</v>
      </c>
      <c r="K578" s="19">
        <f t="shared" si="67"/>
        <v>152.42407520469001</v>
      </c>
      <c r="L578" s="16">
        <f t="shared" si="68"/>
        <v>30.419248825344674</v>
      </c>
      <c r="M578" s="45"/>
    </row>
    <row r="579" spans="1:13" x14ac:dyDescent="0.25">
      <c r="A579" s="16">
        <v>4.5999999999999996</v>
      </c>
      <c r="B579" s="45">
        <f t="shared" si="69"/>
        <v>4600</v>
      </c>
      <c r="C579" s="16">
        <f t="shared" si="70"/>
        <v>8.0701754385964914</v>
      </c>
      <c r="D579" s="15">
        <f t="shared" si="71"/>
        <v>1.4194116868E+20</v>
      </c>
      <c r="E579" s="15">
        <f>FORECAST($C579, OFFSET('De Vaucouleurs Deprojection'!$F$3:$F$126, MATCH($C579, 'De Vaucouleurs Deprojection'!$A$3:$A$126,1)-1,0,2), OFFSET('De Vaucouleurs Deprojection'!$A$3:$A$126, MATCH($C579, 'De Vaucouleurs Deprojection'!$A$3:$A$126,1)-1,0,2))*LCDMTotalBulgeMass</f>
        <v>1.7181520494908773E+40</v>
      </c>
      <c r="F579" s="15">
        <f t="shared" si="64"/>
        <v>3.9620583592127188E+39</v>
      </c>
      <c r="G579" s="15">
        <f t="shared" si="65"/>
        <v>2.8227892770525316E+40</v>
      </c>
      <c r="H579" s="15">
        <f t="shared" si="66"/>
        <v>4.9371471624646804E+40</v>
      </c>
      <c r="I579" s="16">
        <v>157.86272</v>
      </c>
      <c r="J579" s="45">
        <v>1</v>
      </c>
      <c r="K579" s="19">
        <f t="shared" si="67"/>
        <v>152.36301287608566</v>
      </c>
      <c r="L579" s="16">
        <f t="shared" si="68"/>
        <v>30.246778448834075</v>
      </c>
      <c r="M579" s="45"/>
    </row>
    <row r="580" spans="1:13" x14ac:dyDescent="0.25">
      <c r="A580" s="16">
        <v>4.6500000000000004</v>
      </c>
      <c r="B580" s="45">
        <f t="shared" si="69"/>
        <v>4650</v>
      </c>
      <c r="C580" s="16">
        <f t="shared" si="70"/>
        <v>8.1578947368421044</v>
      </c>
      <c r="D580" s="15">
        <f t="shared" si="71"/>
        <v>1.4348400747000001E+20</v>
      </c>
      <c r="E580" s="15">
        <f>FORECAST($C580, OFFSET('De Vaucouleurs Deprojection'!$F$3:$F$126, MATCH($C580, 'De Vaucouleurs Deprojection'!$A$3:$A$126,1)-1,0,2), OFFSET('De Vaucouleurs Deprojection'!$A$3:$A$126, MATCH($C580, 'De Vaucouleurs Deprojection'!$A$3:$A$126,1)-1,0,2))*LCDMTotalBulgeMass</f>
        <v>1.7204629998294735E+40</v>
      </c>
      <c r="F580" s="15">
        <f t="shared" si="64"/>
        <v>3.9632061752194656E+39</v>
      </c>
      <c r="G580" s="15">
        <f t="shared" si="65"/>
        <v>2.8701373047041062E+40</v>
      </c>
      <c r="H580" s="15">
        <f t="shared" si="66"/>
        <v>4.9869209220555265E+40</v>
      </c>
      <c r="I580" s="16">
        <v>157.78451999999999</v>
      </c>
      <c r="J580" s="45">
        <v>1</v>
      </c>
      <c r="K580" s="19">
        <f t="shared" si="67"/>
        <v>152.30360948229395</v>
      </c>
      <c r="L580" s="16">
        <f t="shared" si="68"/>
        <v>30.040380103100649</v>
      </c>
      <c r="M580" s="45"/>
    </row>
    <row r="581" spans="1:13" x14ac:dyDescent="0.25">
      <c r="A581" s="16">
        <v>4.7</v>
      </c>
      <c r="B581" s="45">
        <f t="shared" si="69"/>
        <v>4700</v>
      </c>
      <c r="C581" s="16">
        <f t="shared" si="70"/>
        <v>8.2456140350877192</v>
      </c>
      <c r="D581" s="15">
        <f t="shared" si="71"/>
        <v>1.4502684626E+20</v>
      </c>
      <c r="E581" s="15">
        <f>FORECAST($C581, OFFSET('De Vaucouleurs Deprojection'!$F$3:$F$126, MATCH($C581, 'De Vaucouleurs Deprojection'!$A$3:$A$126,1)-1,0,2), OFFSET('De Vaucouleurs Deprojection'!$A$3:$A$126, MATCH($C581, 'De Vaucouleurs Deprojection'!$A$3:$A$126,1)-1,0,2))*LCDMTotalBulgeMass</f>
        <v>1.7227739501680701E+40</v>
      </c>
      <c r="F581" s="15">
        <f t="shared" si="64"/>
        <v>3.9642736344496599E+39</v>
      </c>
      <c r="G581" s="15">
        <f t="shared" si="65"/>
        <v>2.9176528915258299E+40</v>
      </c>
      <c r="H581" s="15">
        <f t="shared" si="66"/>
        <v>5.0368542051388664E+40</v>
      </c>
      <c r="I581" s="16">
        <v>157.70219</v>
      </c>
      <c r="J581" s="45">
        <v>1</v>
      </c>
      <c r="K581" s="19">
        <f t="shared" si="67"/>
        <v>152.24785850630374</v>
      </c>
      <c r="L581" s="16">
        <f t="shared" si="68"/>
        <v>29.749732043126862</v>
      </c>
      <c r="M581" s="45"/>
    </row>
    <row r="582" spans="1:13" x14ac:dyDescent="0.25">
      <c r="A582" s="16">
        <v>4.75</v>
      </c>
      <c r="B582" s="45">
        <f t="shared" si="69"/>
        <v>4750</v>
      </c>
      <c r="C582" s="16">
        <f t="shared" si="70"/>
        <v>8.3333333333333339</v>
      </c>
      <c r="D582" s="15">
        <f t="shared" si="71"/>
        <v>1.4656968505E+20</v>
      </c>
      <c r="E582" s="15">
        <f>FORECAST($C582, OFFSET('De Vaucouleurs Deprojection'!$F$3:$F$126, MATCH($C582, 'De Vaucouleurs Deprojection'!$A$3:$A$126,1)-1,0,2), OFFSET('De Vaucouleurs Deprojection'!$A$3:$A$126, MATCH($C582, 'De Vaucouleurs Deprojection'!$A$3:$A$126,1)-1,0,2))*LCDMTotalBulgeMass</f>
        <v>1.7250849005066665E+40</v>
      </c>
      <c r="F582" s="15">
        <f t="shared" si="64"/>
        <v>3.9652662489815816E+39</v>
      </c>
      <c r="G582" s="15">
        <f t="shared" si="65"/>
        <v>2.9653324143199675E+40</v>
      </c>
      <c r="H582" s="15">
        <f t="shared" si="66"/>
        <v>5.0869439397247923E+40</v>
      </c>
      <c r="I582" s="16">
        <v>157.61417</v>
      </c>
      <c r="J582" s="45">
        <v>1</v>
      </c>
      <c r="K582" s="19">
        <f t="shared" si="67"/>
        <v>152.19560189682591</v>
      </c>
      <c r="L582" s="16">
        <f t="shared" si="68"/>
        <v>29.360880288735714</v>
      </c>
      <c r="M582" s="45"/>
    </row>
    <row r="583" spans="1:13" x14ac:dyDescent="0.25">
      <c r="A583" s="16">
        <v>4.8</v>
      </c>
      <c r="B583" s="45">
        <f t="shared" si="69"/>
        <v>4800</v>
      </c>
      <c r="C583" s="16">
        <f t="shared" si="70"/>
        <v>8.4210526315789469</v>
      </c>
      <c r="D583" s="15">
        <f t="shared" si="71"/>
        <v>1.4811252384E+20</v>
      </c>
      <c r="E583" s="15">
        <f>FORECAST($C583, OFFSET('De Vaucouleurs Deprojection'!$F$3:$F$126, MATCH($C583, 'De Vaucouleurs Deprojection'!$A$3:$A$126,1)-1,0,2), OFFSET('De Vaucouleurs Deprojection'!$A$3:$A$126, MATCH($C583, 'De Vaucouleurs Deprojection'!$A$3:$A$126,1)-1,0,2))*LCDMTotalBulgeMass</f>
        <v>1.7273958508452629E+40</v>
      </c>
      <c r="F583" s="15">
        <f t="shared" si="64"/>
        <v>3.9661891631631039E+39</v>
      </c>
      <c r="G583" s="15">
        <f t="shared" si="65"/>
        <v>3.0131723146594547E+40</v>
      </c>
      <c r="H583" s="15">
        <f t="shared" si="66"/>
        <v>5.1371870818210277E+40</v>
      </c>
      <c r="I583" s="16">
        <v>157.52001999999999</v>
      </c>
      <c r="J583" s="45">
        <v>1</v>
      </c>
      <c r="K583" s="19">
        <f t="shared" si="67"/>
        <v>152.1466883067267</v>
      </c>
      <c r="L583" s="16">
        <f t="shared" si="68"/>
        <v>28.872693485935162</v>
      </c>
      <c r="M583" s="45"/>
    </row>
    <row r="584" spans="1:13" x14ac:dyDescent="0.25">
      <c r="A584" s="16">
        <v>4.8499999999999996</v>
      </c>
      <c r="B584" s="45">
        <f t="shared" si="69"/>
        <v>4850</v>
      </c>
      <c r="C584" s="16">
        <f t="shared" si="70"/>
        <v>8.5087719298245617</v>
      </c>
      <c r="D584" s="15">
        <f t="shared" si="71"/>
        <v>1.4965536262999998E+20</v>
      </c>
      <c r="E584" s="15">
        <f>FORECAST($C584, OFFSET('De Vaucouleurs Deprojection'!$F$3:$F$126, MATCH($C584, 'De Vaucouleurs Deprojection'!$A$3:$A$126,1)-1,0,2), OFFSET('De Vaucouleurs Deprojection'!$A$3:$A$126, MATCH($C584, 'De Vaucouleurs Deprojection'!$A$3:$A$126,1)-1,0,2))*LCDMTotalBulgeMass</f>
        <v>1.7297068011838596E+40</v>
      </c>
      <c r="F584" s="15">
        <f t="shared" si="64"/>
        <v>3.9670471771777566E+39</v>
      </c>
      <c r="G584" s="15">
        <f t="shared" si="65"/>
        <v>3.0611690975964673E+40</v>
      </c>
      <c r="H584" s="15">
        <f t="shared" si="66"/>
        <v>5.1875806164981028E+40</v>
      </c>
      <c r="I584" s="16">
        <v>157.42000999999999</v>
      </c>
      <c r="J584" s="45">
        <v>1</v>
      </c>
      <c r="K584" s="19">
        <f t="shared" si="67"/>
        <v>152.10097278453873</v>
      </c>
      <c r="L584" s="16">
        <f t="shared" si="68"/>
        <v>28.292156899461922</v>
      </c>
      <c r="M584" s="45"/>
    </row>
    <row r="585" spans="1:13" x14ac:dyDescent="0.25">
      <c r="A585" s="16">
        <v>4.9000000000000004</v>
      </c>
      <c r="B585" s="45">
        <f t="shared" si="69"/>
        <v>4900</v>
      </c>
      <c r="C585" s="16">
        <f t="shared" si="70"/>
        <v>8.5964912280701746</v>
      </c>
      <c r="D585" s="15">
        <f t="shared" si="71"/>
        <v>1.5119820142E+20</v>
      </c>
      <c r="E585" s="15">
        <f>FORECAST($C585, OFFSET('De Vaucouleurs Deprojection'!$F$3:$F$126, MATCH($C585, 'De Vaucouleurs Deprojection'!$A$3:$A$126,1)-1,0,2), OFFSET('De Vaucouleurs Deprojection'!$A$3:$A$126, MATCH($C585, 'De Vaucouleurs Deprojection'!$A$3:$A$126,1)-1,0,2))*LCDMTotalBulgeMass</f>
        <v>1.732017751522456E+40</v>
      </c>
      <c r="F585" s="15">
        <f t="shared" si="64"/>
        <v>3.9678447691931645E+39</v>
      </c>
      <c r="G585" s="15">
        <f t="shared" si="65"/>
        <v>3.1093193304004983E+40</v>
      </c>
      <c r="H585" s="15">
        <f t="shared" si="66"/>
        <v>5.2381215588422706E+40</v>
      </c>
      <c r="I585" s="16">
        <v>157.31474</v>
      </c>
      <c r="J585" s="45">
        <v>1</v>
      </c>
      <c r="K585" s="19">
        <f t="shared" si="67"/>
        <v>152.05831648185264</v>
      </c>
      <c r="L585" s="16">
        <f t="shared" si="68"/>
        <v>27.629988202132648</v>
      </c>
      <c r="M585" s="45"/>
    </row>
    <row r="586" spans="1:13" x14ac:dyDescent="0.25">
      <c r="A586" s="16">
        <v>4.95</v>
      </c>
      <c r="B586" s="45">
        <f t="shared" si="69"/>
        <v>4950</v>
      </c>
      <c r="C586" s="16">
        <f t="shared" si="70"/>
        <v>8.6842105263157894</v>
      </c>
      <c r="D586" s="15">
        <f t="shared" si="71"/>
        <v>1.5274104021000002E+20</v>
      </c>
      <c r="E586" s="15">
        <f>FORECAST($C586, OFFSET('De Vaucouleurs Deprojection'!$F$3:$F$126, MATCH($C586, 'De Vaucouleurs Deprojection'!$A$3:$A$126,1)-1,0,2), OFFSET('De Vaucouleurs Deprojection'!$A$3:$A$126, MATCH($C586, 'De Vaucouleurs Deprojection'!$A$3:$A$126,1)-1,0,2))*LCDMTotalBulgeMass</f>
        <v>1.7343287018610524E+40</v>
      </c>
      <c r="F586" s="15">
        <f t="shared" si="64"/>
        <v>3.9685861161679181E+39</v>
      </c>
      <c r="G586" s="15">
        <f t="shared" si="65"/>
        <v>3.1576196413250616E+40</v>
      </c>
      <c r="H586" s="15">
        <f t="shared" si="66"/>
        <v>5.2888069548029061E+40</v>
      </c>
      <c r="I586" s="16">
        <v>157.20515</v>
      </c>
      <c r="J586" s="45">
        <v>1</v>
      </c>
      <c r="K586" s="19">
        <f t="shared" si="67"/>
        <v>152.01858637564558</v>
      </c>
      <c r="L586" s="16">
        <f t="shared" si="68"/>
        <v>26.900442229476461</v>
      </c>
      <c r="M586" s="45"/>
    </row>
    <row r="587" spans="1:13" x14ac:dyDescent="0.25">
      <c r="A587" s="16">
        <v>5</v>
      </c>
      <c r="B587" s="45">
        <f t="shared" si="69"/>
        <v>5000</v>
      </c>
      <c r="C587" s="16">
        <f t="shared" si="70"/>
        <v>8.7719298245614041</v>
      </c>
      <c r="D587" s="15">
        <f t="shared" si="71"/>
        <v>1.54283879E+20</v>
      </c>
      <c r="E587" s="15">
        <f>FORECAST($C587, OFFSET('De Vaucouleurs Deprojection'!$F$3:$F$126, MATCH($C587, 'De Vaucouleurs Deprojection'!$A$3:$A$126,1)-1,0,2), OFFSET('De Vaucouleurs Deprojection'!$A$3:$A$126, MATCH($C587, 'De Vaucouleurs Deprojection'!$A$3:$A$126,1)-1,0,2))*LCDMTotalBulgeMass</f>
        <v>1.736639652199649E+40</v>
      </c>
      <c r="F587" s="15">
        <f t="shared" si="64"/>
        <v>3.9692751133898065E+39</v>
      </c>
      <c r="G587" s="15">
        <f t="shared" si="65"/>
        <v>3.2060667184023336E+40</v>
      </c>
      <c r="H587" s="15">
        <f t="shared" si="66"/>
        <v>5.3396338819409634E+40</v>
      </c>
      <c r="I587" s="16">
        <v>157.09267</v>
      </c>
      <c r="J587" s="45">
        <v>1</v>
      </c>
      <c r="K587" s="19">
        <f t="shared" si="67"/>
        <v>151.98165500467042</v>
      </c>
      <c r="L587" s="16">
        <f t="shared" si="68"/>
        <v>26.122474282483857</v>
      </c>
      <c r="M587" s="45"/>
    </row>
    <row r="588" spans="1:13" x14ac:dyDescent="0.25">
      <c r="A588" s="16">
        <v>5.05</v>
      </c>
      <c r="B588" s="45">
        <f t="shared" si="69"/>
        <v>5050</v>
      </c>
      <c r="C588" s="16">
        <f t="shared" si="70"/>
        <v>8.8596491228070171</v>
      </c>
      <c r="D588" s="15">
        <f t="shared" si="71"/>
        <v>1.5582671778999999E+20</v>
      </c>
      <c r="E588" s="15">
        <f>FORECAST($C588, OFFSET('De Vaucouleurs Deprojection'!$F$3:$F$126, MATCH($C588, 'De Vaucouleurs Deprojection'!$A$3:$A$126,1)-1,0,2), OFFSET('De Vaucouleurs Deprojection'!$A$3:$A$126, MATCH($C588, 'De Vaucouleurs Deprojection'!$A$3:$A$126,1)-1,0,2))*LCDMTotalBulgeMass</f>
        <v>1.7389506025382454E+40</v>
      </c>
      <c r="F588" s="15">
        <f t="shared" si="64"/>
        <v>3.9699153928152621E+39</v>
      </c>
      <c r="G588" s="15">
        <f t="shared" si="65"/>
        <v>3.2546573082650912E+40</v>
      </c>
      <c r="H588" s="15">
        <f t="shared" si="66"/>
        <v>5.3905994500848631E+40</v>
      </c>
      <c r="I588" s="16">
        <v>156.97935000000001</v>
      </c>
      <c r="J588" s="45">
        <v>1</v>
      </c>
      <c r="K588" s="19">
        <f t="shared" si="67"/>
        <v>151.94740021909226</v>
      </c>
      <c r="L588" s="16">
        <f t="shared" si="68"/>
        <v>25.320518597577571</v>
      </c>
      <c r="M588" s="45"/>
    </row>
    <row r="589" spans="1:13" x14ac:dyDescent="0.25">
      <c r="A589" s="16">
        <v>5.0999999999999996</v>
      </c>
      <c r="B589" s="45">
        <f t="shared" si="69"/>
        <v>5100</v>
      </c>
      <c r="C589" s="16">
        <f t="shared" si="70"/>
        <v>8.9473684210526319</v>
      </c>
      <c r="D589" s="15">
        <f t="shared" si="71"/>
        <v>1.5736955657999997E+20</v>
      </c>
      <c r="E589" s="15">
        <f>FORECAST($C589, OFFSET('De Vaucouleurs Deprojection'!$F$3:$F$126, MATCH($C589, 'De Vaucouleurs Deprojection'!$A$3:$A$126,1)-1,0,2), OFFSET('De Vaucouleurs Deprojection'!$A$3:$A$126, MATCH($C589, 'De Vaucouleurs Deprojection'!$A$3:$A$126,1)-1,0,2))*LCDMTotalBulgeMass</f>
        <v>1.7412615528768418E+40</v>
      </c>
      <c r="F589" s="15">
        <f t="shared" si="64"/>
        <v>3.9705103402768178E+39</v>
      </c>
      <c r="G589" s="15">
        <f t="shared" si="65"/>
        <v>3.3033882149950919E+40</v>
      </c>
      <c r="H589" s="15">
        <f t="shared" si="66"/>
        <v>5.4417008018996152E+40</v>
      </c>
      <c r="I589" s="16">
        <v>156.86752000000001</v>
      </c>
      <c r="J589" s="45">
        <v>1</v>
      </c>
      <c r="K589" s="19">
        <f t="shared" si="67"/>
        <v>151.91570494261154</v>
      </c>
      <c r="L589" s="16">
        <f t="shared" si="68"/>
        <v>24.520472362579202</v>
      </c>
      <c r="M589" s="45"/>
    </row>
    <row r="590" spans="1:13" x14ac:dyDescent="0.25">
      <c r="A590" s="16">
        <v>5.15</v>
      </c>
      <c r="B590" s="45">
        <f t="shared" si="69"/>
        <v>5150</v>
      </c>
      <c r="C590" s="16">
        <f t="shared" si="70"/>
        <v>9.0350877192982448</v>
      </c>
      <c r="D590" s="15">
        <f t="shared" si="71"/>
        <v>1.5891239537000002E+20</v>
      </c>
      <c r="E590" s="15">
        <f>FORECAST($C590, OFFSET('De Vaucouleurs Deprojection'!$F$3:$F$126, MATCH($C590, 'De Vaucouleurs Deprojection'!$A$3:$A$126,1)-1,0,2), OFFSET('De Vaucouleurs Deprojection'!$A$3:$A$126, MATCH($C590, 'De Vaucouleurs Deprojection'!$A$3:$A$126,1)-1,0,2))*LCDMTotalBulgeMass</f>
        <v>1.7433737188428068E+40</v>
      </c>
      <c r="F590" s="15">
        <f t="shared" si="64"/>
        <v>3.9710631116223505E+39</v>
      </c>
      <c r="G590" s="15">
        <f t="shared" si="65"/>
        <v>3.352256298997339E+40</v>
      </c>
      <c r="H590" s="15">
        <f t="shared" si="66"/>
        <v>5.4927363290023804E+40</v>
      </c>
      <c r="I590" s="16">
        <v>156.75916000000001</v>
      </c>
      <c r="J590" s="45">
        <v>1</v>
      </c>
      <c r="K590" s="19">
        <f t="shared" si="67"/>
        <v>151.88370860448771</v>
      </c>
      <c r="L590" s="16">
        <f t="shared" si="68"/>
        <v>23.770026310002837</v>
      </c>
      <c r="M590" s="45"/>
    </row>
    <row r="591" spans="1:13" x14ac:dyDescent="0.25">
      <c r="A591" s="16">
        <v>5.2</v>
      </c>
      <c r="B591" s="45">
        <f t="shared" si="69"/>
        <v>5200</v>
      </c>
      <c r="C591" s="16">
        <f t="shared" si="70"/>
        <v>9.1228070175438596</v>
      </c>
      <c r="D591" s="15">
        <f t="shared" si="71"/>
        <v>1.6045523416000001E+20</v>
      </c>
      <c r="E591" s="15">
        <f>FORECAST($C591, OFFSET('De Vaucouleurs Deprojection'!$F$3:$F$126, MATCH($C591, 'De Vaucouleurs Deprojection'!$A$3:$A$126,1)-1,0,2), OFFSET('De Vaucouleurs Deprojection'!$A$3:$A$126, MATCH($C591, 'De Vaucouleurs Deprojection'!$A$3:$A$126,1)-1,0,2))*LCDMTotalBulgeMass</f>
        <v>1.7451877082498243E+40</v>
      </c>
      <c r="F591" s="15">
        <f t="shared" si="64"/>
        <v>3.9715766478469217E+39</v>
      </c>
      <c r="G591" s="15">
        <f t="shared" si="65"/>
        <v>3.4012584758995211E+40</v>
      </c>
      <c r="H591" s="15">
        <f t="shared" si="66"/>
        <v>5.5436038489340377E+40</v>
      </c>
      <c r="I591" s="16">
        <v>156.65523999999999</v>
      </c>
      <c r="J591" s="45">
        <v>1</v>
      </c>
      <c r="K591" s="19">
        <f t="shared" si="67"/>
        <v>151.85002002886296</v>
      </c>
      <c r="L591" s="16">
        <f t="shared" si="68"/>
        <v>23.090138971014206</v>
      </c>
      <c r="M591" s="45"/>
    </row>
    <row r="592" spans="1:13" x14ac:dyDescent="0.25">
      <c r="A592" s="16">
        <v>5.25</v>
      </c>
      <c r="B592" s="45">
        <f t="shared" si="69"/>
        <v>5250</v>
      </c>
      <c r="C592" s="16">
        <f t="shared" si="70"/>
        <v>9.2105263157894743</v>
      </c>
      <c r="D592" s="15">
        <f t="shared" si="71"/>
        <v>1.6199807294999999E+20</v>
      </c>
      <c r="E592" s="15">
        <f>FORECAST($C592, OFFSET('De Vaucouleurs Deprojection'!$F$3:$F$126, MATCH($C592, 'De Vaucouleurs Deprojection'!$A$3:$A$126,1)-1,0,2), OFFSET('De Vaucouleurs Deprojection'!$A$3:$A$126, MATCH($C592, 'De Vaucouleurs Deprojection'!$A$3:$A$126,1)-1,0,2))*LCDMTotalBulgeMass</f>
        <v>1.747001697656842E+40</v>
      </c>
      <c r="F592" s="15">
        <f t="shared" si="64"/>
        <v>3.9720536892751385E+39</v>
      </c>
      <c r="G592" s="15">
        <f t="shared" si="65"/>
        <v>3.4503917154760507E+40</v>
      </c>
      <c r="H592" s="15">
        <f t="shared" si="66"/>
        <v>5.5945987820604065E+40</v>
      </c>
      <c r="I592" s="16">
        <v>156.55573000000001</v>
      </c>
      <c r="J592" s="45">
        <v>1</v>
      </c>
      <c r="K592" s="19">
        <f t="shared" si="67"/>
        <v>151.81869467081347</v>
      </c>
      <c r="L592" s="16">
        <f t="shared" si="68"/>
        <v>22.439503709961432</v>
      </c>
      <c r="M592" s="45"/>
    </row>
    <row r="593" spans="1:13" x14ac:dyDescent="0.25">
      <c r="A593" s="16">
        <v>5.3</v>
      </c>
      <c r="B593" s="45">
        <f t="shared" si="69"/>
        <v>5300</v>
      </c>
      <c r="C593" s="16">
        <f t="shared" si="70"/>
        <v>9.2982456140350873</v>
      </c>
      <c r="D593" s="15">
        <f t="shared" si="71"/>
        <v>1.6354091174000001E+20</v>
      </c>
      <c r="E593" s="15">
        <f>FORECAST($C593, OFFSET('De Vaucouleurs Deprojection'!$F$3:$F$126, MATCH($C593, 'De Vaucouleurs Deprojection'!$A$3:$A$126,1)-1,0,2), OFFSET('De Vaucouleurs Deprojection'!$A$3:$A$126, MATCH($C593, 'De Vaucouleurs Deprojection'!$A$3:$A$126,1)-1,0,2))*LCDMTotalBulgeMass</f>
        <v>1.7488156870638594E+40</v>
      </c>
      <c r="F593" s="15">
        <f t="shared" si="64"/>
        <v>3.9724967888491266E+39</v>
      </c>
      <c r="G593" s="15">
        <f t="shared" si="65"/>
        <v>3.4996530405959281E+40</v>
      </c>
      <c r="H593" s="15">
        <f t="shared" si="66"/>
        <v>5.6457184065447006E+40</v>
      </c>
      <c r="I593" s="16">
        <v>156.45977999999999</v>
      </c>
      <c r="J593" s="45">
        <v>1</v>
      </c>
      <c r="K593" s="19">
        <f t="shared" si="67"/>
        <v>151.78963029670311</v>
      </c>
      <c r="L593" s="16">
        <f t="shared" si="68"/>
        <v>21.810298251203992</v>
      </c>
      <c r="M593" s="45"/>
    </row>
    <row r="594" spans="1:13" x14ac:dyDescent="0.25">
      <c r="A594" s="16">
        <v>5.35</v>
      </c>
      <c r="B594" s="45">
        <f t="shared" si="69"/>
        <v>5350</v>
      </c>
      <c r="C594" s="16">
        <f t="shared" si="70"/>
        <v>9.3859649122807021</v>
      </c>
      <c r="D594" s="15">
        <f t="shared" si="71"/>
        <v>1.6508375052999999E+20</v>
      </c>
      <c r="E594" s="15">
        <f>FORECAST($C594, OFFSET('De Vaucouleurs Deprojection'!$F$3:$F$126, MATCH($C594, 'De Vaucouleurs Deprojection'!$A$3:$A$126,1)-1,0,2), OFFSET('De Vaucouleurs Deprojection'!$A$3:$A$126, MATCH($C594, 'De Vaucouleurs Deprojection'!$A$3:$A$126,1)-1,0,2))*LCDMTotalBulgeMass</f>
        <v>1.7506296764708769E+40</v>
      </c>
      <c r="F594" s="15">
        <f t="shared" si="64"/>
        <v>3.9729083245744682E+39</v>
      </c>
      <c r="G594" s="15">
        <f t="shared" si="65"/>
        <v>3.5490395261940048E+40</v>
      </c>
      <c r="H594" s="15">
        <f t="shared" si="66"/>
        <v>5.6969600351223283E+40</v>
      </c>
      <c r="I594" s="16">
        <v>156.36618000000001</v>
      </c>
      <c r="J594" s="45">
        <v>1</v>
      </c>
      <c r="K594" s="19">
        <f t="shared" si="67"/>
        <v>151.76272882810261</v>
      </c>
      <c r="L594" s="16">
        <f t="shared" si="68"/>
        <v>21.191762692043586</v>
      </c>
      <c r="M594" s="45"/>
    </row>
    <row r="595" spans="1:13" x14ac:dyDescent="0.25">
      <c r="A595" s="16">
        <v>5.4</v>
      </c>
      <c r="B595" s="45">
        <f t="shared" si="69"/>
        <v>5400</v>
      </c>
      <c r="C595" s="16">
        <f t="shared" si="70"/>
        <v>9.473684210526315</v>
      </c>
      <c r="D595" s="15">
        <f t="shared" si="71"/>
        <v>1.6662658932000001E+20</v>
      </c>
      <c r="E595" s="15">
        <f>FORECAST($C595, OFFSET('De Vaucouleurs Deprojection'!$F$3:$F$126, MATCH($C595, 'De Vaucouleurs Deprojection'!$A$3:$A$126,1)-1,0,2), OFFSET('De Vaucouleurs Deprojection'!$A$3:$A$126, MATCH($C595, 'De Vaucouleurs Deprojection'!$A$3:$A$126,1)-1,0,2))*LCDMTotalBulgeMass</f>
        <v>1.7524436658778946E+40</v>
      </c>
      <c r="F595" s="15">
        <f t="shared" si="64"/>
        <v>3.9732905111738238E+39</v>
      </c>
      <c r="G595" s="15">
        <f t="shared" si="65"/>
        <v>3.5985482982649845E+40</v>
      </c>
      <c r="H595" s="15">
        <f t="shared" si="66"/>
        <v>5.7483210152602612E+40</v>
      </c>
      <c r="I595" s="16">
        <v>156.27347</v>
      </c>
      <c r="J595" s="45">
        <v>1</v>
      </c>
      <c r="K595" s="19">
        <f t="shared" si="67"/>
        <v>151.73789616133135</v>
      </c>
      <c r="L595" s="16">
        <f t="shared" si="68"/>
        <v>20.571430046015507</v>
      </c>
      <c r="M595" s="45"/>
    </row>
    <row r="596" spans="1:13" x14ac:dyDescent="0.25">
      <c r="A596" s="16">
        <v>5.45</v>
      </c>
      <c r="B596" s="45">
        <f t="shared" si="69"/>
        <v>5450</v>
      </c>
      <c r="C596" s="16">
        <f t="shared" si="70"/>
        <v>9.5614035087719298</v>
      </c>
      <c r="D596" s="15">
        <f t="shared" si="71"/>
        <v>1.6816942811E+20</v>
      </c>
      <c r="E596" s="15">
        <f>FORECAST($C596, OFFSET('De Vaucouleurs Deprojection'!$F$3:$F$126, MATCH($C596, 'De Vaucouleurs Deprojection'!$A$3:$A$126,1)-1,0,2), OFFSET('De Vaucouleurs Deprojection'!$A$3:$A$126, MATCH($C596, 'De Vaucouleurs Deprojection'!$A$3:$A$126,1)-1,0,2))*LCDMTotalBulgeMass</f>
        <v>1.754257655284912E+40</v>
      </c>
      <c r="F596" s="15">
        <f t="shared" si="64"/>
        <v>3.9736454109953476E+39</v>
      </c>
      <c r="G596" s="15">
        <f t="shared" si="65"/>
        <v>3.648176532879531E+40</v>
      </c>
      <c r="H596" s="15">
        <f t="shared" si="66"/>
        <v>5.799798729263978E+40</v>
      </c>
      <c r="I596" s="16">
        <v>156.17964000000001</v>
      </c>
      <c r="J596" s="45">
        <v>1</v>
      </c>
      <c r="K596" s="19">
        <f t="shared" si="67"/>
        <v>151.71504199559544</v>
      </c>
      <c r="L596" s="16">
        <f t="shared" si="68"/>
        <v>19.932635340933217</v>
      </c>
      <c r="M596" s="45"/>
    </row>
    <row r="597" spans="1:13" x14ac:dyDescent="0.25">
      <c r="A597" s="16">
        <v>5.5</v>
      </c>
      <c r="B597" s="45">
        <f t="shared" si="69"/>
        <v>5500</v>
      </c>
      <c r="C597" s="16">
        <f t="shared" si="70"/>
        <v>9.6491228070175445</v>
      </c>
      <c r="D597" s="15">
        <f t="shared" si="71"/>
        <v>1.6971226690000001E+20</v>
      </c>
      <c r="E597" s="15">
        <f>FORECAST($C597, OFFSET('De Vaucouleurs Deprojection'!$F$3:$F$126, MATCH($C597, 'De Vaucouleurs Deprojection'!$A$3:$A$126,1)-1,0,2), OFFSET('De Vaucouleurs Deprojection'!$A$3:$A$126, MATCH($C597, 'De Vaucouleurs Deprojection'!$A$3:$A$126,1)-1,0,2))*LCDMTotalBulgeMass</f>
        <v>1.7560716446919297E+40</v>
      </c>
      <c r="F597" s="15">
        <f t="shared" si="64"/>
        <v>3.9739749442205886E+39</v>
      </c>
      <c r="G597" s="15">
        <f t="shared" si="65"/>
        <v>3.6979214552220229E+40</v>
      </c>
      <c r="H597" s="15">
        <f t="shared" si="66"/>
        <v>5.8513905943360112E+40</v>
      </c>
      <c r="I597" s="16">
        <v>156.08192</v>
      </c>
      <c r="J597" s="45">
        <v>1</v>
      </c>
      <c r="K597" s="19">
        <f t="shared" si="67"/>
        <v>151.6940796692669</v>
      </c>
      <c r="L597" s="16">
        <f t="shared" si="68"/>
        <v>19.253142768007947</v>
      </c>
      <c r="M597" s="45"/>
    </row>
    <row r="598" spans="1:13" x14ac:dyDescent="0.25">
      <c r="A598" s="16">
        <v>5.55</v>
      </c>
      <c r="B598" s="45">
        <f t="shared" si="69"/>
        <v>5550</v>
      </c>
      <c r="C598" s="16">
        <f t="shared" si="70"/>
        <v>9.7368421052631575</v>
      </c>
      <c r="D598" s="15">
        <f t="shared" si="71"/>
        <v>1.7125510569E+20</v>
      </c>
      <c r="E598" s="15">
        <f>FORECAST($C598, OFFSET('De Vaucouleurs Deprojection'!$F$3:$F$126, MATCH($C598, 'De Vaucouleurs Deprojection'!$A$3:$A$126,1)-1,0,2), OFFSET('De Vaucouleurs Deprojection'!$A$3:$A$126, MATCH($C598, 'De Vaucouleurs Deprojection'!$A$3:$A$126,1)-1,0,2))*LCDMTotalBulgeMass</f>
        <v>1.7578856340989474E+40</v>
      </c>
      <c r="F598" s="15">
        <f t="shared" si="64"/>
        <v>3.9742808984141364E+39</v>
      </c>
      <c r="G598" s="15">
        <f t="shared" si="65"/>
        <v>3.7477803386494007E+40</v>
      </c>
      <c r="H598" s="15">
        <f t="shared" si="66"/>
        <v>5.903094062589762E+40</v>
      </c>
      <c r="I598" s="16">
        <v>155.97696999999999</v>
      </c>
      <c r="J598" s="45">
        <v>1</v>
      </c>
      <c r="K598" s="19">
        <f t="shared" si="67"/>
        <v>151.67492600387544</v>
      </c>
      <c r="L598" s="16">
        <f t="shared" si="68"/>
        <v>18.507582544591312</v>
      </c>
      <c r="M598" s="45"/>
    </row>
    <row r="599" spans="1:13" x14ac:dyDescent="0.25">
      <c r="A599" s="16">
        <v>5.6</v>
      </c>
      <c r="B599" s="45">
        <f t="shared" si="69"/>
        <v>5600</v>
      </c>
      <c r="C599" s="16">
        <f t="shared" si="70"/>
        <v>9.8245614035087723</v>
      </c>
      <c r="D599" s="15">
        <f t="shared" si="71"/>
        <v>1.7279794447999998E+20</v>
      </c>
      <c r="E599" s="15">
        <f>FORECAST($C599, OFFSET('De Vaucouleurs Deprojection'!$F$3:$F$126, MATCH($C599, 'De Vaucouleurs Deprojection'!$A$3:$A$126,1)-1,0,2), OFFSET('De Vaucouleurs Deprojection'!$A$3:$A$126, MATCH($C599, 'De Vaucouleurs Deprojection'!$A$3:$A$126,1)-1,0,2))*LCDMTotalBulgeMass</f>
        <v>1.7596996235059649E+40</v>
      </c>
      <c r="F599" s="15">
        <f t="shared" si="64"/>
        <v>3.9745649374550368E+39</v>
      </c>
      <c r="G599" s="15">
        <f t="shared" si="65"/>
        <v>3.7977505037705145E+40</v>
      </c>
      <c r="H599" s="15">
        <f t="shared" si="66"/>
        <v>5.9549066210219828E+40</v>
      </c>
      <c r="I599" s="16">
        <v>155.86136999999999</v>
      </c>
      <c r="J599" s="45">
        <v>1</v>
      </c>
      <c r="K599" s="19">
        <f t="shared" si="67"/>
        <v>151.65750115540834</v>
      </c>
      <c r="L599" s="16">
        <f t="shared" si="68"/>
        <v>17.672513262528362</v>
      </c>
      <c r="M599" s="45"/>
    </row>
    <row r="600" spans="1:13" x14ac:dyDescent="0.25">
      <c r="A600" s="16">
        <v>5.65</v>
      </c>
      <c r="B600" s="45">
        <f t="shared" si="69"/>
        <v>5650</v>
      </c>
      <c r="C600" s="16">
        <f t="shared" si="70"/>
        <v>9.9122807017543852</v>
      </c>
      <c r="D600" s="15">
        <f t="shared" si="71"/>
        <v>1.7434078327E+20</v>
      </c>
      <c r="E600" s="15">
        <f>FORECAST($C600, OFFSET('De Vaucouleurs Deprojection'!$F$3:$F$126, MATCH($C600, 'De Vaucouleurs Deprojection'!$A$3:$A$126,1)-1,0,2), OFFSET('De Vaucouleurs Deprojection'!$A$3:$A$126, MATCH($C600, 'De Vaucouleurs Deprojection'!$A$3:$A$126,1)-1,0,2))*LCDMTotalBulgeMass</f>
        <v>1.7615136129129823E+40</v>
      </c>
      <c r="F600" s="15">
        <f t="shared" si="64"/>
        <v>3.9748286098877802E+39</v>
      </c>
      <c r="G600" s="15">
        <f t="shared" si="65"/>
        <v>3.8478293175455214E+40</v>
      </c>
      <c r="H600" s="15">
        <f t="shared" si="66"/>
        <v>6.006825791447282E+40</v>
      </c>
      <c r="I600" s="16">
        <v>155.73222000000001</v>
      </c>
      <c r="J600" s="45">
        <v>1</v>
      </c>
      <c r="K600" s="19">
        <f t="shared" si="67"/>
        <v>151.64172847254065</v>
      </c>
      <c r="L600" s="16">
        <f t="shared" si="68"/>
        <v>16.732120936216837</v>
      </c>
      <c r="M600" s="45"/>
    </row>
    <row r="601" spans="1:13" x14ac:dyDescent="0.25">
      <c r="A601" s="16">
        <v>5.7</v>
      </c>
      <c r="B601" s="45">
        <f t="shared" si="69"/>
        <v>5700</v>
      </c>
      <c r="C601" s="16">
        <f t="shared" si="70"/>
        <v>10</v>
      </c>
      <c r="D601" s="15">
        <f t="shared" si="71"/>
        <v>1.7588362206000002E+20</v>
      </c>
      <c r="E601" s="15">
        <f>FORECAST($C601, OFFSET('De Vaucouleurs Deprojection'!$F$3:$F$126, MATCH($C601, 'De Vaucouleurs Deprojection'!$A$3:$A$126,1)-1,0,2), OFFSET('De Vaucouleurs Deprojection'!$A$3:$A$126, MATCH($C601, 'De Vaucouleurs Deprojection'!$A$3:$A$126,1)-1,0,2))*LCDMTotalBulgeMass</f>
        <v>1.76332760232E+40</v>
      </c>
      <c r="F601" s="15">
        <f t="shared" si="64"/>
        <v>3.9750733567285773E+39</v>
      </c>
      <c r="G601" s="15">
        <f t="shared" si="65"/>
        <v>3.8980141924048615E+40</v>
      </c>
      <c r="H601" s="15">
        <f t="shared" si="66"/>
        <v>6.0588491303977197E+40</v>
      </c>
      <c r="I601" s="16">
        <v>155.58702</v>
      </c>
      <c r="J601" s="45">
        <v>1</v>
      </c>
      <c r="K601" s="19">
        <f t="shared" si="67"/>
        <v>151.62753436143907</v>
      </c>
      <c r="L601" s="16">
        <f t="shared" si="68"/>
        <v>15.677526521970181</v>
      </c>
      <c r="M601" s="45"/>
    </row>
    <row r="602" spans="1:13" x14ac:dyDescent="0.25">
      <c r="A602" s="16">
        <v>5.75</v>
      </c>
      <c r="B602" s="45">
        <f t="shared" si="69"/>
        <v>5750</v>
      </c>
      <c r="C602" s="16">
        <f t="shared" si="70"/>
        <v>10.087719298245615</v>
      </c>
      <c r="D602" s="15">
        <f t="shared" si="71"/>
        <v>1.7742646085E+20</v>
      </c>
      <c r="E602" s="15">
        <f>FORECAST($C602, OFFSET('De Vaucouleurs Deprojection'!$F$3:$F$126, MATCH($C602, 'De Vaucouleurs Deprojection'!$A$3:$A$126,1)-1,0,2), OFFSET('De Vaucouleurs Deprojection'!$A$3:$A$126, MATCH($C602, 'De Vaucouleurs Deprojection'!$A$3:$A$126,1)-1,0,2))*LCDMTotalBulgeMass</f>
        <v>1.764770921197193E+40</v>
      </c>
      <c r="F602" s="15">
        <f t="shared" si="64"/>
        <v>3.9753005187606498E+39</v>
      </c>
      <c r="G602" s="15">
        <f t="shared" si="65"/>
        <v>3.9483025853872724E+40</v>
      </c>
      <c r="H602" s="15">
        <f t="shared" si="66"/>
        <v>6.1106035584605302E+40</v>
      </c>
      <c r="I602" s="16">
        <v>155.42329000000001</v>
      </c>
      <c r="J602" s="45">
        <v>1</v>
      </c>
      <c r="K602" s="19">
        <f t="shared" si="67"/>
        <v>151.61024987130608</v>
      </c>
      <c r="L602" s="16">
        <f t="shared" si="68"/>
        <v>14.539275023030203</v>
      </c>
      <c r="M602" s="45"/>
    </row>
    <row r="603" spans="1:13" x14ac:dyDescent="0.25">
      <c r="A603" s="16">
        <v>5.8</v>
      </c>
      <c r="B603" s="45">
        <f t="shared" si="69"/>
        <v>5800</v>
      </c>
      <c r="C603" s="16">
        <f t="shared" si="70"/>
        <v>10.175438596491228</v>
      </c>
      <c r="D603" s="15">
        <f t="shared" si="71"/>
        <v>1.7896929963999999E+20</v>
      </c>
      <c r="E603" s="15">
        <f>FORECAST($C603, OFFSET('De Vaucouleurs Deprojection'!$F$3:$F$126, MATCH($C603, 'De Vaucouleurs Deprojection'!$A$3:$A$126,1)-1,0,2), OFFSET('De Vaucouleurs Deprojection'!$A$3:$A$126, MATCH($C603, 'De Vaucouleurs Deprojection'!$A$3:$A$126,1)-1,0,2))*LCDMTotalBulgeMass</f>
        <v>1.7662142400743856E+40</v>
      </c>
      <c r="F603" s="15">
        <f t="shared" si="64"/>
        <v>3.9755113433503386E+39</v>
      </c>
      <c r="G603" s="15">
        <f t="shared" si="65"/>
        <v>3.9986919972963654E+40</v>
      </c>
      <c r="H603" s="15">
        <f t="shared" si="66"/>
        <v>6.1624573717057848E+40</v>
      </c>
      <c r="I603" s="16">
        <v>155.23856000000001</v>
      </c>
      <c r="J603" s="45">
        <v>1</v>
      </c>
      <c r="K603" s="19">
        <f t="shared" si="67"/>
        <v>151.59448389634858</v>
      </c>
      <c r="L603" s="16">
        <f t="shared" si="68"/>
        <v>13.279290649203379</v>
      </c>
      <c r="M603" s="45"/>
    </row>
    <row r="604" spans="1:13" x14ac:dyDescent="0.25">
      <c r="A604" s="16">
        <v>5.85</v>
      </c>
      <c r="B604" s="45">
        <f t="shared" si="69"/>
        <v>5850</v>
      </c>
      <c r="C604" s="16">
        <f t="shared" si="70"/>
        <v>10.263157894736842</v>
      </c>
      <c r="D604" s="15">
        <f t="shared" si="71"/>
        <v>1.8051213843000001E+20</v>
      </c>
      <c r="E604" s="15">
        <f>FORECAST($C604, OFFSET('De Vaucouleurs Deprojection'!$F$3:$F$126, MATCH($C604, 'De Vaucouleurs Deprojection'!$A$3:$A$126,1)-1,0,2), OFFSET('De Vaucouleurs Deprojection'!$A$3:$A$126, MATCH($C604, 'De Vaucouleurs Deprojection'!$A$3:$A$126,1)-1,0,2))*LCDMTotalBulgeMass</f>
        <v>1.7676575589515788E+40</v>
      </c>
      <c r="F604" s="15">
        <f t="shared" si="64"/>
        <v>3.9757069908140177E+39</v>
      </c>
      <c r="G604" s="15">
        <f t="shared" si="65"/>
        <v>4.0491799718753928E+40</v>
      </c>
      <c r="H604" s="15">
        <f t="shared" si="66"/>
        <v>6.2144082299083735E+40</v>
      </c>
      <c r="I604" s="16">
        <v>155.03110000000001</v>
      </c>
      <c r="J604" s="45">
        <v>1</v>
      </c>
      <c r="K604" s="19">
        <f t="shared" si="67"/>
        <v>151.58016937903238</v>
      </c>
      <c r="L604" s="16">
        <f t="shared" si="68"/>
        <v>11.908922150732</v>
      </c>
      <c r="M604" s="45"/>
    </row>
    <row r="605" spans="1:13" x14ac:dyDescent="0.25">
      <c r="A605" s="16">
        <v>5.9</v>
      </c>
      <c r="B605" s="45">
        <f t="shared" si="69"/>
        <v>5900</v>
      </c>
      <c r="C605" s="16">
        <f t="shared" si="70"/>
        <v>10.350877192982455</v>
      </c>
      <c r="D605" s="15">
        <f t="shared" si="71"/>
        <v>1.8205497722000002E+20</v>
      </c>
      <c r="E605" s="15">
        <f>FORECAST($C605, OFFSET('De Vaucouleurs Deprojection'!$F$3:$F$126, MATCH($C605, 'De Vaucouleurs Deprojection'!$A$3:$A$126,1)-1,0,2), OFFSET('De Vaucouleurs Deprojection'!$A$3:$A$126, MATCH($C605, 'De Vaucouleurs Deprojection'!$A$3:$A$126,1)-1,0,2))*LCDMTotalBulgeMass</f>
        <v>1.7691008778287718E+40</v>
      </c>
      <c r="F605" s="15">
        <f t="shared" si="64"/>
        <v>3.9758885403640796E+39</v>
      </c>
      <c r="G605" s="15">
        <f t="shared" si="65"/>
        <v>4.0997640949997104E+40</v>
      </c>
      <c r="H605" s="15">
        <f t="shared" si="66"/>
        <v>6.2664538268648898E+40</v>
      </c>
      <c r="I605" s="16">
        <v>154.80074999999999</v>
      </c>
      <c r="J605" s="45">
        <v>1</v>
      </c>
      <c r="K605" s="19">
        <f t="shared" si="67"/>
        <v>151.56724189431526</v>
      </c>
      <c r="L605" s="16">
        <f t="shared" si="68"/>
        <v>10.455574669528879</v>
      </c>
      <c r="M605" s="45"/>
    </row>
    <row r="606" spans="1:13" x14ac:dyDescent="0.25">
      <c r="A606" s="16">
        <v>5.95</v>
      </c>
      <c r="B606" s="45">
        <f t="shared" si="69"/>
        <v>5950</v>
      </c>
      <c r="C606" s="16">
        <f t="shared" si="70"/>
        <v>10.43859649122807</v>
      </c>
      <c r="D606" s="15">
        <f t="shared" si="71"/>
        <v>1.8359781601000001E+20</v>
      </c>
      <c r="E606" s="15">
        <f>FORECAST($C606, OFFSET('De Vaucouleurs Deprojection'!$F$3:$F$126, MATCH($C606, 'De Vaucouleurs Deprojection'!$A$3:$A$126,1)-1,0,2), OFFSET('De Vaucouleurs Deprojection'!$A$3:$A$126, MATCH($C606, 'De Vaucouleurs Deprojection'!$A$3:$A$126,1)-1,0,2))*LCDMTotalBulgeMass</f>
        <v>1.7705441967059649E+40</v>
      </c>
      <c r="F606" s="15">
        <f t="shared" si="64"/>
        <v>3.9760569956605794E+39</v>
      </c>
      <c r="G606" s="15">
        <f t="shared" si="65"/>
        <v>4.1504419938864712E+40</v>
      </c>
      <c r="H606" s="15">
        <f t="shared" si="66"/>
        <v>6.318591890158494E+40</v>
      </c>
      <c r="I606" s="16">
        <v>154.54881</v>
      </c>
      <c r="J606" s="45">
        <v>1</v>
      </c>
      <c r="K606" s="19">
        <f t="shared" si="67"/>
        <v>151.55563954061941</v>
      </c>
      <c r="L606" s="16">
        <f t="shared" si="68"/>
        <v>8.9590693989086319</v>
      </c>
      <c r="M606" s="45"/>
    </row>
    <row r="607" spans="1:13" x14ac:dyDescent="0.25">
      <c r="A607" s="16">
        <v>6</v>
      </c>
      <c r="B607" s="45">
        <f t="shared" si="69"/>
        <v>6000</v>
      </c>
      <c r="C607" s="16">
        <f t="shared" si="70"/>
        <v>10.526315789473685</v>
      </c>
      <c r="D607" s="15">
        <f t="shared" si="71"/>
        <v>1.8514065479999999E+20</v>
      </c>
      <c r="E607" s="15">
        <f>FORECAST($C607, OFFSET('De Vaucouleurs Deprojection'!$F$3:$F$126, MATCH($C607, 'De Vaucouleurs Deprojection'!$A$3:$A$126,1)-1,0,2), OFFSET('De Vaucouleurs Deprojection'!$A$3:$A$126, MATCH($C607, 'De Vaucouleurs Deprojection'!$A$3:$A$126,1)-1,0,2))*LCDMTotalBulgeMass</f>
        <v>1.7719875155831579E+40</v>
      </c>
      <c r="F607" s="15">
        <f t="shared" si="64"/>
        <v>3.9762132899936078E+39</v>
      </c>
      <c r="G607" s="15">
        <f t="shared" si="65"/>
        <v>4.201211336321164E+40</v>
      </c>
      <c r="H607" s="15">
        <f t="shared" si="66"/>
        <v>6.3708201809036831E+40</v>
      </c>
      <c r="I607" s="16">
        <v>154.27727999999999</v>
      </c>
      <c r="J607" s="45">
        <v>1</v>
      </c>
      <c r="K607" s="19">
        <f t="shared" si="67"/>
        <v>151.54530283571205</v>
      </c>
      <c r="L607" s="16">
        <f t="shared" si="68"/>
        <v>7.4636992261907755</v>
      </c>
      <c r="M607" s="45"/>
    </row>
    <row r="608" spans="1:13" x14ac:dyDescent="0.25">
      <c r="A608" s="16">
        <v>6.05</v>
      </c>
      <c r="B608" s="45">
        <f t="shared" si="69"/>
        <v>6050</v>
      </c>
      <c r="C608" s="16">
        <f t="shared" si="70"/>
        <v>10.614035087719298</v>
      </c>
      <c r="D608" s="15">
        <f t="shared" si="71"/>
        <v>1.8668349359000001E+20</v>
      </c>
      <c r="E608" s="15">
        <f>FORECAST($C608, OFFSET('De Vaucouleurs Deprojection'!$F$3:$F$126, MATCH($C608, 'De Vaucouleurs Deprojection'!$A$3:$A$126,1)-1,0,2), OFFSET('De Vaucouleurs Deprojection'!$A$3:$A$126, MATCH($C608, 'De Vaucouleurs Deprojection'!$A$3:$A$126,1)-1,0,2))*LCDMTotalBulgeMass</f>
        <v>1.7734308344603506E+40</v>
      </c>
      <c r="F608" s="15">
        <f t="shared" si="64"/>
        <v>3.976358291119942E+39</v>
      </c>
      <c r="G608" s="15">
        <f t="shared" si="65"/>
        <v>4.2520698299006652E+40</v>
      </c>
      <c r="H608" s="15">
        <f t="shared" si="66"/>
        <v>6.4231364934730097E+40</v>
      </c>
      <c r="I608" s="16">
        <v>153.98841999999999</v>
      </c>
      <c r="J608" s="45">
        <v>1</v>
      </c>
      <c r="K608" s="19">
        <f t="shared" si="67"/>
        <v>151.53617461725273</v>
      </c>
      <c r="L608" s="16">
        <f t="shared" si="68"/>
        <v>6.013507417205278</v>
      </c>
      <c r="M608" s="45"/>
    </row>
    <row r="609" spans="1:13" x14ac:dyDescent="0.25">
      <c r="A609" s="16">
        <v>6.1</v>
      </c>
      <c r="B609" s="45">
        <f t="shared" si="69"/>
        <v>6100</v>
      </c>
      <c r="C609" s="16">
        <f t="shared" si="70"/>
        <v>10.701754385964913</v>
      </c>
      <c r="D609" s="15">
        <f t="shared" si="71"/>
        <v>1.8822633237999999E+20</v>
      </c>
      <c r="E609" s="15">
        <f>FORECAST($C609, OFFSET('De Vaucouleurs Deprojection'!$F$3:$F$126, MATCH($C609, 'De Vaucouleurs Deprojection'!$A$3:$A$126,1)-1,0,2), OFFSET('De Vaucouleurs Deprojection'!$A$3:$A$126, MATCH($C609, 'De Vaucouleurs Deprojection'!$A$3:$A$126,1)-1,0,2))*LCDMTotalBulgeMass</f>
        <v>1.7748741533375437E+40</v>
      </c>
      <c r="F609" s="15">
        <f t="shared" si="64"/>
        <v>3.9764928057761277E+39</v>
      </c>
      <c r="G609" s="15">
        <f t="shared" si="65"/>
        <v>4.3030152212922431E+40</v>
      </c>
      <c r="H609" s="15">
        <f t="shared" si="66"/>
        <v>6.4755386552073993E+40</v>
      </c>
      <c r="I609" s="16">
        <v>153.68512000000001</v>
      </c>
      <c r="J609" s="45">
        <v>1</v>
      </c>
      <c r="K609" s="19">
        <f t="shared" si="67"/>
        <v>151.52819994777715</v>
      </c>
      <c r="L609" s="16">
        <f t="shared" si="68"/>
        <v>4.6523041116810582</v>
      </c>
      <c r="M609" s="45"/>
    </row>
    <row r="610" spans="1:13" x14ac:dyDescent="0.25">
      <c r="A610" s="16">
        <v>6.15</v>
      </c>
      <c r="B610" s="45">
        <f t="shared" si="69"/>
        <v>6150</v>
      </c>
      <c r="C610" s="16">
        <f t="shared" si="70"/>
        <v>10.789473684210526</v>
      </c>
      <c r="D610" s="15">
        <f t="shared" si="71"/>
        <v>1.8976917117000001E+20</v>
      </c>
      <c r="E610" s="15">
        <f>FORECAST($C610, OFFSET('De Vaucouleurs Deprojection'!$F$3:$F$126, MATCH($C610, 'De Vaucouleurs Deprojection'!$A$3:$A$126,1)-1,0,2), OFFSET('De Vaucouleurs Deprojection'!$A$3:$A$126, MATCH($C610, 'De Vaucouleurs Deprojection'!$A$3:$A$126,1)-1,0,2))*LCDMTotalBulgeMass</f>
        <v>1.7763174722147367E+40</v>
      </c>
      <c r="F610" s="15">
        <f t="shared" si="64"/>
        <v>3.9766175838888145E+39</v>
      </c>
      <c r="G610" s="15">
        <f t="shared" si="65"/>
        <v>4.3540452955082826E+40</v>
      </c>
      <c r="H610" s="15">
        <f t="shared" si="66"/>
        <v>6.5280245261119009E+40</v>
      </c>
      <c r="I610" s="16">
        <v>153.37163000000001</v>
      </c>
      <c r="J610" s="45">
        <v>1</v>
      </c>
      <c r="K610" s="19">
        <f t="shared" si="67"/>
        <v>151.5213260239031</v>
      </c>
      <c r="L610" s="16">
        <f t="shared" si="68"/>
        <v>3.4236248039600352</v>
      </c>
      <c r="M610" s="45"/>
    </row>
    <row r="611" spans="1:13" x14ac:dyDescent="0.25">
      <c r="A611" s="16">
        <v>6.2</v>
      </c>
      <c r="B611" s="45">
        <f t="shared" si="69"/>
        <v>6200</v>
      </c>
      <c r="C611" s="16">
        <f t="shared" si="70"/>
        <v>10.87719298245614</v>
      </c>
      <c r="D611" s="15">
        <f t="shared" si="71"/>
        <v>1.9131200996E+20</v>
      </c>
      <c r="E611" s="15">
        <f>FORECAST($C611, OFFSET('De Vaucouleurs Deprojection'!$F$3:$F$126, MATCH($C611, 'De Vaucouleurs Deprojection'!$A$3:$A$126,1)-1,0,2), OFFSET('De Vaucouleurs Deprojection'!$A$3:$A$126, MATCH($C611, 'De Vaucouleurs Deprojection'!$A$3:$A$126,1)-1,0,2))*LCDMTotalBulgeMass</f>
        <v>1.7777607910919296E+40</v>
      </c>
      <c r="F611" s="15">
        <f t="shared" si="64"/>
        <v>3.9767333225019168E+39</v>
      </c>
      <c r="G611" s="15">
        <f t="shared" si="65"/>
        <v>4.4051578751962675E+40</v>
      </c>
      <c r="H611" s="15">
        <f t="shared" si="66"/>
        <v>6.5805919985383885E+40</v>
      </c>
      <c r="I611" s="16">
        <v>153.05341000000001</v>
      </c>
      <c r="J611" s="45">
        <v>1</v>
      </c>
      <c r="K611" s="19">
        <f t="shared" si="67"/>
        <v>151.51550208955254</v>
      </c>
      <c r="L611" s="16">
        <f t="shared" si="68"/>
        <v>2.3651607410169118</v>
      </c>
      <c r="M611" s="45"/>
    </row>
    <row r="612" spans="1:13" x14ac:dyDescent="0.25">
      <c r="A612" s="16">
        <v>6.25</v>
      </c>
      <c r="B612" s="45">
        <f t="shared" si="69"/>
        <v>6250</v>
      </c>
      <c r="C612" s="16">
        <f t="shared" si="70"/>
        <v>10.964912280701755</v>
      </c>
      <c r="D612" s="15">
        <f t="shared" si="71"/>
        <v>1.9285484875000001E+20</v>
      </c>
      <c r="E612" s="15">
        <f>FORECAST($C612, OFFSET('De Vaucouleurs Deprojection'!$F$3:$F$126, MATCH($C612, 'De Vaucouleurs Deprojection'!$A$3:$A$126,1)-1,0,2), OFFSET('De Vaucouleurs Deprojection'!$A$3:$A$126, MATCH($C612, 'De Vaucouleurs Deprojection'!$A$3:$A$126,1)-1,0,2))*LCDMTotalBulgeMass</f>
        <v>1.7792041099691225E+40</v>
      </c>
      <c r="F612" s="15">
        <f t="shared" si="64"/>
        <v>3.9768406694389424E+39</v>
      </c>
      <c r="G612" s="15">
        <f t="shared" si="65"/>
        <v>4.4563508199437028E+40</v>
      </c>
      <c r="H612" s="15">
        <f t="shared" si="66"/>
        <v>6.6332389968567194E+40</v>
      </c>
      <c r="I612" s="16">
        <v>152.73607999999999</v>
      </c>
      <c r="J612" s="45">
        <v>1</v>
      </c>
      <c r="K612" s="19">
        <f t="shared" si="67"/>
        <v>151.51067935299739</v>
      </c>
      <c r="L612" s="16">
        <f t="shared" si="68"/>
        <v>1.501606745674394</v>
      </c>
      <c r="M612" s="45"/>
    </row>
    <row r="613" spans="1:13" x14ac:dyDescent="0.25">
      <c r="A613" s="16">
        <v>6.3</v>
      </c>
      <c r="B613" s="45">
        <f t="shared" si="69"/>
        <v>6300</v>
      </c>
      <c r="C613" s="16">
        <f t="shared" si="70"/>
        <v>11.052631578947368</v>
      </c>
      <c r="D613" s="15">
        <f t="shared" si="71"/>
        <v>1.9439768754E+20</v>
      </c>
      <c r="E613" s="15">
        <f>FORECAST($C613, OFFSET('De Vaucouleurs Deprojection'!$F$3:$F$126, MATCH($C613, 'De Vaucouleurs Deprojection'!$A$3:$A$126,1)-1,0,2), OFFSET('De Vaucouleurs Deprojection'!$A$3:$A$126, MATCH($C613, 'De Vaucouleurs Deprojection'!$A$3:$A$126,1)-1,0,2))*LCDMTotalBulgeMass</f>
        <v>1.7804811191484208E+40</v>
      </c>
      <c r="F613" s="15">
        <f t="shared" si="64"/>
        <v>3.9769402267177637E+39</v>
      </c>
      <c r="G613" s="15">
        <f t="shared" si="65"/>
        <v>4.5076220255975722E+40</v>
      </c>
      <c r="H613" s="15">
        <f t="shared" si="66"/>
        <v>6.6857971674177696E+40</v>
      </c>
      <c r="I613" s="16">
        <v>152.42406</v>
      </c>
      <c r="J613" s="45">
        <v>1</v>
      </c>
      <c r="K613" s="19">
        <f t="shared" si="67"/>
        <v>151.5049265711485</v>
      </c>
      <c r="L613" s="16">
        <f t="shared" si="68"/>
        <v>0.84480626003230652</v>
      </c>
      <c r="M613" s="45"/>
    </row>
    <row r="614" spans="1:13" x14ac:dyDescent="0.25">
      <c r="A614" s="16">
        <v>6.35</v>
      </c>
      <c r="B614" s="45">
        <f t="shared" si="69"/>
        <v>6350</v>
      </c>
      <c r="C614" s="16">
        <f t="shared" si="70"/>
        <v>11.140350877192983</v>
      </c>
      <c r="D614" s="15">
        <f t="shared" si="71"/>
        <v>1.9594052632999998E+20</v>
      </c>
      <c r="E614" s="15">
        <f>FORECAST($C614, OFFSET('De Vaucouleurs Deprojection'!$F$3:$F$126, MATCH($C614, 'De Vaucouleurs Deprojection'!$A$3:$A$126,1)-1,0,2), OFFSET('De Vaucouleurs Deprojection'!$A$3:$A$126, MATCH($C614, 'De Vaucouleurs Deprojection'!$A$3:$A$126,1)-1,0,2))*LCDMTotalBulgeMass</f>
        <v>1.7816472551957893E+40</v>
      </c>
      <c r="F614" s="15">
        <f t="shared" si="64"/>
        <v>3.9770325537339788E+39</v>
      </c>
      <c r="G614" s="15">
        <f t="shared" si="65"/>
        <v>4.5589694235980276E+40</v>
      </c>
      <c r="H614" s="15">
        <f t="shared" si="66"/>
        <v>6.7383199341672145E+40</v>
      </c>
      <c r="I614" s="16">
        <v>152.11993000000001</v>
      </c>
      <c r="J614" s="45">
        <v>1</v>
      </c>
      <c r="K614" s="19">
        <f t="shared" si="67"/>
        <v>151.49886617634783</v>
      </c>
      <c r="L614" s="16">
        <f t="shared" si="68"/>
        <v>0.38572027304946466</v>
      </c>
      <c r="M614" s="45"/>
    </row>
    <row r="615" spans="1:13" x14ac:dyDescent="0.25">
      <c r="A615" s="16">
        <v>6.4</v>
      </c>
      <c r="B615" s="45">
        <f t="shared" si="69"/>
        <v>6400</v>
      </c>
      <c r="C615" s="16">
        <f t="shared" si="70"/>
        <v>11.228070175438596</v>
      </c>
      <c r="D615" s="15">
        <f t="shared" si="71"/>
        <v>1.9748336512E+20</v>
      </c>
      <c r="E615" s="15">
        <f>FORECAST($C615, OFFSET('De Vaucouleurs Deprojection'!$F$3:$F$126, MATCH($C615, 'De Vaucouleurs Deprojection'!$A$3:$A$126,1)-1,0,2), OFFSET('De Vaucouleurs Deprojection'!$A$3:$A$126, MATCH($C615, 'De Vaucouleurs Deprojection'!$A$3:$A$126,1)-1,0,2))*LCDMTotalBulgeMass</f>
        <v>1.7828133912431577E+40</v>
      </c>
      <c r="F615" s="15">
        <f t="shared" si="64"/>
        <v>3.9771181702280536E+39</v>
      </c>
      <c r="G615" s="15">
        <f t="shared" si="65"/>
        <v>4.6103909803260232E+40</v>
      </c>
      <c r="H615" s="15">
        <f t="shared" si="66"/>
        <v>6.7909161885919863E+40</v>
      </c>
      <c r="I615" s="16">
        <v>151.82486</v>
      </c>
      <c r="J615" s="45">
        <v>1</v>
      </c>
      <c r="K615" s="19">
        <f t="shared" si="67"/>
        <v>151.49371993278743</v>
      </c>
      <c r="L615" s="16">
        <f t="shared" si="68"/>
        <v>0.10965374411354725</v>
      </c>
      <c r="M615" s="45"/>
    </row>
    <row r="616" spans="1:13" x14ac:dyDescent="0.25">
      <c r="A616" s="16">
        <v>6.45</v>
      </c>
      <c r="B616" s="45">
        <f t="shared" si="69"/>
        <v>6450</v>
      </c>
      <c r="C616" s="16">
        <f t="shared" si="70"/>
        <v>11.315789473684211</v>
      </c>
      <c r="D616" s="15">
        <f t="shared" si="71"/>
        <v>1.9902620391000002E+20</v>
      </c>
      <c r="E616" s="15">
        <f>FORECAST($C616, OFFSET('De Vaucouleurs Deprojection'!$F$3:$F$126, MATCH($C616, 'De Vaucouleurs Deprojection'!$A$3:$A$126,1)-1,0,2), OFFSET('De Vaucouleurs Deprojection'!$A$3:$A$126, MATCH($C616, 'De Vaucouleurs Deprojection'!$A$3:$A$126,1)-1,0,2))*LCDMTotalBulgeMass</f>
        <v>1.7839795272905262E+40</v>
      </c>
      <c r="F616" s="15">
        <f t="shared" ref="F616:F679" si="72">2*PI()*LCDMDiskSurfaceDensity*LCDMScaleLength*(LCDMScaleLength-EXP(-RadiusPc/LCDMScaleLength)*(RadiusPc+LCDMScaleLength))*SolarMass</f>
        <v>3.9771975590504607E+39</v>
      </c>
      <c r="G616" s="15">
        <f t="shared" ref="G616:G679" si="73">4*PI()*LCDMHaloRepresentativeDensity*LCDMHaloScaleLengthPc^3*(LN(1+RadiusPc/LCDMHaloScaleLengthPc)-RadiusPc/(RadiusPc+LCDMHaloScaleLengthPc))*SolarMass</f>
        <v>4.661884696464345E+40</v>
      </c>
      <c r="H616" s="15">
        <f t="shared" ref="H616:H679" si="74">BulgeMass+DiskMass+HaloMass</f>
        <v>6.8435839796599177E+40</v>
      </c>
      <c r="I616" s="16">
        <v>151.53908999999999</v>
      </c>
      <c r="J616" s="45">
        <v>1</v>
      </c>
      <c r="K616" s="19">
        <f t="shared" ref="K616:K679" si="75">SQRT(TotalMass*GravitationalConstant/RadiusKm)/km</f>
        <v>151.48944507412648</v>
      </c>
      <c r="L616" s="16">
        <f t="shared" ref="L616:L679" si="76">(ObservedVelocity-ModelVelocity)^2/(VelocityError)^2</f>
        <v>2.4646186649861365E-3</v>
      </c>
      <c r="M616" s="45"/>
    </row>
    <row r="617" spans="1:13" x14ac:dyDescent="0.25">
      <c r="A617" s="16">
        <v>6.5</v>
      </c>
      <c r="B617" s="45">
        <f t="shared" ref="B617:B680" si="77">A617*1000</f>
        <v>6500</v>
      </c>
      <c r="C617" s="16">
        <f t="shared" ref="C617:C680" si="78">B617/LCDMBulgeEffectiveRadius</f>
        <v>11.403508771929825</v>
      </c>
      <c r="D617" s="15">
        <f t="shared" ref="D617:D680" si="79">A617*kpc</f>
        <v>2.005690427E+20</v>
      </c>
      <c r="E617" s="15">
        <f>FORECAST($C617, OFFSET('De Vaucouleurs Deprojection'!$F$3:$F$126, MATCH($C617, 'De Vaucouleurs Deprojection'!$A$3:$A$126,1)-1,0,2), OFFSET('De Vaucouleurs Deprojection'!$A$3:$A$126, MATCH($C617, 'De Vaucouleurs Deprojection'!$A$3:$A$126,1)-1,0,2))*LCDMTotalBulgeMass</f>
        <v>1.7851456633378944E+40</v>
      </c>
      <c r="F617" s="15">
        <f t="shared" si="72"/>
        <v>3.9772711687381564E+39</v>
      </c>
      <c r="G617" s="15">
        <f t="shared" si="73"/>
        <v>4.7134486063720639E+40</v>
      </c>
      <c r="H617" s="15">
        <f t="shared" si="74"/>
        <v>6.8963213865837738E+40</v>
      </c>
      <c r="I617" s="16">
        <v>151.26248000000001</v>
      </c>
      <c r="J617" s="45">
        <v>1</v>
      </c>
      <c r="K617" s="19">
        <f t="shared" si="75"/>
        <v>151.48600046462258</v>
      </c>
      <c r="L617" s="16">
        <f t="shared" si="76"/>
        <v>4.9961398105088137E-2</v>
      </c>
      <c r="M617" s="45"/>
    </row>
    <row r="618" spans="1:13" x14ac:dyDescent="0.25">
      <c r="A618" s="16">
        <v>6.55</v>
      </c>
      <c r="B618" s="45">
        <f t="shared" si="77"/>
        <v>6550</v>
      </c>
      <c r="C618" s="16">
        <f t="shared" si="78"/>
        <v>11.491228070175438</v>
      </c>
      <c r="D618" s="15">
        <f t="shared" si="79"/>
        <v>2.0211188148999999E+20</v>
      </c>
      <c r="E618" s="15">
        <f>FORECAST($C618, OFFSET('De Vaucouleurs Deprojection'!$F$3:$F$126, MATCH($C618, 'De Vaucouleurs Deprojection'!$A$3:$A$126,1)-1,0,2), OFFSET('De Vaucouleurs Deprojection'!$A$3:$A$126, MATCH($C618, 'De Vaucouleurs Deprojection'!$A$3:$A$126,1)-1,0,2))*LCDMTotalBulgeMass</f>
        <v>1.7863117993852631E+40</v>
      </c>
      <c r="F618" s="15">
        <f t="shared" si="72"/>
        <v>3.9773394159148827E+39</v>
      </c>
      <c r="G618" s="15">
        <f t="shared" si="73"/>
        <v>4.7650807774717815E+40</v>
      </c>
      <c r="H618" s="15">
        <f t="shared" si="74"/>
        <v>6.9491265184485324E+40</v>
      </c>
      <c r="I618" s="16">
        <v>150.99399</v>
      </c>
      <c r="J618" s="45">
        <v>1</v>
      </c>
      <c r="K618" s="19">
        <f t="shared" si="75"/>
        <v>151.48334653459725</v>
      </c>
      <c r="L618" s="16">
        <f t="shared" si="76"/>
        <v>0.2394698179530286</v>
      </c>
      <c r="M618" s="45"/>
    </row>
    <row r="619" spans="1:13" x14ac:dyDescent="0.25">
      <c r="A619" s="16">
        <v>6.6</v>
      </c>
      <c r="B619" s="45">
        <f t="shared" si="77"/>
        <v>6600</v>
      </c>
      <c r="C619" s="16">
        <f t="shared" si="78"/>
        <v>11.578947368421053</v>
      </c>
      <c r="D619" s="15">
        <f t="shared" si="79"/>
        <v>2.0365472028E+20</v>
      </c>
      <c r="E619" s="15">
        <f>FORECAST($C619, OFFSET('De Vaucouleurs Deprojection'!$F$3:$F$126, MATCH($C619, 'De Vaucouleurs Deprojection'!$A$3:$A$126,1)-1,0,2), OFFSET('De Vaucouleurs Deprojection'!$A$3:$A$126, MATCH($C619, 'De Vaucouleurs Deprojection'!$A$3:$A$126,1)-1,0,2))*LCDMTotalBulgeMass</f>
        <v>1.7874779354326313E+40</v>
      </c>
      <c r="F619" s="15">
        <f t="shared" si="72"/>
        <v>3.9774026875269947E+39</v>
      </c>
      <c r="G619" s="15">
        <f t="shared" si="73"/>
        <v>4.8167793096495716E+40</v>
      </c>
      <c r="H619" s="15">
        <f t="shared" si="74"/>
        <v>7.0019975138349021E+40</v>
      </c>
      <c r="I619" s="16">
        <v>150.73138</v>
      </c>
      <c r="J619" s="45">
        <v>1</v>
      </c>
      <c r="K619" s="19">
        <f t="shared" si="75"/>
        <v>151.4814452186628</v>
      </c>
      <c r="L619" s="16">
        <f t="shared" si="76"/>
        <v>0.56259783224767013</v>
      </c>
      <c r="M619" s="45"/>
    </row>
    <row r="620" spans="1:13" x14ac:dyDescent="0.25">
      <c r="A620" s="16">
        <v>6.65</v>
      </c>
      <c r="B620" s="45">
        <f t="shared" si="77"/>
        <v>6650</v>
      </c>
      <c r="C620" s="16">
        <f t="shared" si="78"/>
        <v>11.666666666666666</v>
      </c>
      <c r="D620" s="15">
        <f t="shared" si="79"/>
        <v>2.0519755907000002E+20</v>
      </c>
      <c r="E620" s="15">
        <f>FORECAST($C620, OFFSET('De Vaucouleurs Deprojection'!$F$3:$F$126, MATCH($C620, 'De Vaucouleurs Deprojection'!$A$3:$A$126,1)-1,0,2), OFFSET('De Vaucouleurs Deprojection'!$A$3:$A$126, MATCH($C620, 'De Vaucouleurs Deprojection'!$A$3:$A$126,1)-1,0,2))*LCDMTotalBulgeMass</f>
        <v>1.78864407148E+40</v>
      </c>
      <c r="F620" s="15">
        <f t="shared" si="72"/>
        <v>3.9774613429257779E+39</v>
      </c>
      <c r="G620" s="15">
        <f t="shared" si="73"/>
        <v>4.8685423346671909E+40</v>
      </c>
      <c r="H620" s="15">
        <f t="shared" si="74"/>
        <v>7.0549325404397692E+40</v>
      </c>
      <c r="I620" s="16">
        <v>150.47134</v>
      </c>
      <c r="J620" s="45">
        <v>1</v>
      </c>
      <c r="K620" s="19">
        <f t="shared" si="75"/>
        <v>151.480259896582</v>
      </c>
      <c r="L620" s="16">
        <f t="shared" si="76"/>
        <v>1.0179193577190342</v>
      </c>
      <c r="M620" s="45"/>
    </row>
    <row r="621" spans="1:13" x14ac:dyDescent="0.25">
      <c r="A621" s="16">
        <v>6.7</v>
      </c>
      <c r="B621" s="45">
        <f t="shared" si="77"/>
        <v>6700</v>
      </c>
      <c r="C621" s="16">
        <f t="shared" si="78"/>
        <v>11.754385964912281</v>
      </c>
      <c r="D621" s="15">
        <f t="shared" si="79"/>
        <v>2.0674039786000001E+20</v>
      </c>
      <c r="E621" s="15">
        <f>FORECAST($C621, OFFSET('De Vaucouleurs Deprojection'!$F$3:$F$126, MATCH($C621, 'De Vaucouleurs Deprojection'!$A$3:$A$126,1)-1,0,2), OFFSET('De Vaucouleurs Deprojection'!$A$3:$A$126, MATCH($C621, 'De Vaucouleurs Deprojection'!$A$3:$A$126,1)-1,0,2))*LCDMTotalBulgeMass</f>
        <v>1.7898102075273682E+40</v>
      </c>
      <c r="F621" s="15">
        <f t="shared" si="72"/>
        <v>3.9775157158064988E+39</v>
      </c>
      <c r="G621" s="15">
        <f t="shared" si="73"/>
        <v>4.9203680155863986E+40</v>
      </c>
      <c r="H621" s="15">
        <f t="shared" si="74"/>
        <v>7.1079297946944169E+40</v>
      </c>
      <c r="I621" s="16">
        <v>150.21030999999999</v>
      </c>
      <c r="J621" s="45">
        <v>1</v>
      </c>
      <c r="K621" s="19">
        <f t="shared" si="75"/>
        <v>151.4797553366395</v>
      </c>
      <c r="L621" s="16">
        <f t="shared" si="76"/>
        <v>1.6114914627157904</v>
      </c>
      <c r="M621" s="45"/>
    </row>
    <row r="622" spans="1:13" x14ac:dyDescent="0.25">
      <c r="A622" s="16">
        <v>6.75</v>
      </c>
      <c r="B622" s="45">
        <f t="shared" si="77"/>
        <v>6750</v>
      </c>
      <c r="C622" s="16">
        <f t="shared" si="78"/>
        <v>11.842105263157896</v>
      </c>
      <c r="D622" s="15">
        <f t="shared" si="79"/>
        <v>2.0828323664999999E+20</v>
      </c>
      <c r="E622" s="15">
        <f>FORECAST($C622, OFFSET('De Vaucouleurs Deprojection'!$F$3:$F$126, MATCH($C622, 'De Vaucouleurs Deprojection'!$A$3:$A$126,1)-1,0,2), OFFSET('De Vaucouleurs Deprojection'!$A$3:$A$126, MATCH($C622, 'De Vaucouleurs Deprojection'!$A$3:$A$126,1)-1,0,2))*LCDMTotalBulgeMass</f>
        <v>1.7909763435747366E+40</v>
      </c>
      <c r="F622" s="15">
        <f t="shared" si="72"/>
        <v>3.9775661160137888E+39</v>
      </c>
      <c r="G622" s="15">
        <f t="shared" si="73"/>
        <v>4.9722545462049926E+40</v>
      </c>
      <c r="H622" s="15">
        <f t="shared" si="74"/>
        <v>7.160987501381108E+40</v>
      </c>
      <c r="I622" s="16">
        <v>149.94562999999999</v>
      </c>
      <c r="J622" s="45">
        <v>1</v>
      </c>
      <c r="K622" s="19">
        <f t="shared" si="75"/>
        <v>151.47989764140843</v>
      </c>
      <c r="L622" s="16">
        <f t="shared" si="76"/>
        <v>2.3539771954729982</v>
      </c>
      <c r="M622" s="45"/>
    </row>
    <row r="623" spans="1:13" x14ac:dyDescent="0.25">
      <c r="A623" s="16">
        <v>6.8</v>
      </c>
      <c r="B623" s="45">
        <f t="shared" si="77"/>
        <v>6800</v>
      </c>
      <c r="C623" s="16">
        <f t="shared" si="78"/>
        <v>11.929824561403509</v>
      </c>
      <c r="D623" s="15">
        <f t="shared" si="79"/>
        <v>2.0982607544000001E+20</v>
      </c>
      <c r="E623" s="15">
        <f>FORECAST($C623, OFFSET('De Vaucouleurs Deprojection'!$F$3:$F$126, MATCH($C623, 'De Vaucouleurs Deprojection'!$A$3:$A$126,1)-1,0,2), OFFSET('De Vaucouleurs Deprojection'!$A$3:$A$126, MATCH($C623, 'De Vaucouleurs Deprojection'!$A$3:$A$126,1)-1,0,2))*LCDMTotalBulgeMass</f>
        <v>1.7921424796221051E+40</v>
      </c>
      <c r="F623" s="15">
        <f t="shared" si="72"/>
        <v>3.9776128312223583E+39</v>
      </c>
      <c r="G623" s="15">
        <f t="shared" si="73"/>
        <v>5.024200150504332E+40</v>
      </c>
      <c r="H623" s="15">
        <f t="shared" si="74"/>
        <v>7.2141039132486728E+40</v>
      </c>
      <c r="I623" s="16">
        <v>149.67625000000001</v>
      </c>
      <c r="J623" s="45">
        <v>1</v>
      </c>
      <c r="K623" s="19">
        <f t="shared" si="75"/>
        <v>151.48065419580257</v>
      </c>
      <c r="L623" s="16">
        <f t="shared" si="76"/>
        <v>3.2558745018298891</v>
      </c>
      <c r="M623" s="45"/>
    </row>
    <row r="624" spans="1:13" x14ac:dyDescent="0.25">
      <c r="A624" s="16">
        <v>6.85</v>
      </c>
      <c r="B624" s="45">
        <f t="shared" si="77"/>
        <v>6850</v>
      </c>
      <c r="C624" s="16">
        <f t="shared" si="78"/>
        <v>12.017543859649123</v>
      </c>
      <c r="D624" s="15">
        <f t="shared" si="79"/>
        <v>2.1136891422999999E+20</v>
      </c>
      <c r="E624" s="15">
        <f>FORECAST($C624, OFFSET('De Vaucouleurs Deprojection'!$F$3:$F$126, MATCH($C624, 'De Vaucouleurs Deprojection'!$A$3:$A$126,1)-1,0,2), OFFSET('De Vaucouleurs Deprojection'!$A$3:$A$126, MATCH($C624, 'De Vaucouleurs Deprojection'!$A$3:$A$126,1)-1,0,2))*LCDMTotalBulgeMass</f>
        <v>1.7932656441301754E+40</v>
      </c>
      <c r="F624" s="15">
        <f t="shared" si="72"/>
        <v>3.9776561285014005E+39</v>
      </c>
      <c r="G624" s="15">
        <f t="shared" si="73"/>
        <v>5.0762030821081266E+40</v>
      </c>
      <c r="H624" s="15">
        <f t="shared" si="74"/>
        <v>7.2672343390884417E+40</v>
      </c>
      <c r="I624" s="16">
        <v>149.40273999999999</v>
      </c>
      <c r="J624" s="45">
        <v>1</v>
      </c>
      <c r="K624" s="19">
        <f t="shared" si="75"/>
        <v>151.48154575879411</v>
      </c>
      <c r="L624" s="16">
        <f t="shared" si="76"/>
        <v>4.3214333827955898</v>
      </c>
      <c r="M624" s="45"/>
    </row>
    <row r="625" spans="1:13" x14ac:dyDescent="0.25">
      <c r="A625" s="16">
        <v>6.9</v>
      </c>
      <c r="B625" s="45">
        <f t="shared" si="77"/>
        <v>6900</v>
      </c>
      <c r="C625" s="16">
        <f t="shared" si="78"/>
        <v>12.105263157894736</v>
      </c>
      <c r="D625" s="15">
        <f t="shared" si="79"/>
        <v>2.1291175302000001E+20</v>
      </c>
      <c r="E625" s="15">
        <f>FORECAST($C625, OFFSET('De Vaucouleurs Deprojection'!$F$3:$F$126, MATCH($C625, 'De Vaucouleurs Deprojection'!$A$3:$A$126,1)-1,0,2), OFFSET('De Vaucouleurs Deprojection'!$A$3:$A$126, MATCH($C625, 'De Vaucouleurs Deprojection'!$A$3:$A$126,1)-1,0,2))*LCDMTotalBulgeMass</f>
        <v>1.7942169224810525E+40</v>
      </c>
      <c r="F625" s="15">
        <f t="shared" si="72"/>
        <v>3.9776962557705739E+39</v>
      </c>
      <c r="G625" s="15">
        <f t="shared" si="73"/>
        <v>5.1282616237521706E+40</v>
      </c>
      <c r="H625" s="15">
        <f t="shared" si="74"/>
        <v>7.3202481718102805E+40</v>
      </c>
      <c r="I625" s="16">
        <v>149.12663000000001</v>
      </c>
      <c r="J625" s="45">
        <v>1</v>
      </c>
      <c r="K625" s="19">
        <f t="shared" si="75"/>
        <v>151.48121804309736</v>
      </c>
      <c r="L625" s="16">
        <f t="shared" si="76"/>
        <v>5.5440848526970132</v>
      </c>
      <c r="M625" s="45"/>
    </row>
    <row r="626" spans="1:13" x14ac:dyDescent="0.25">
      <c r="A626" s="16">
        <v>6.95</v>
      </c>
      <c r="B626" s="45">
        <f t="shared" si="77"/>
        <v>6950</v>
      </c>
      <c r="C626" s="16">
        <f t="shared" si="78"/>
        <v>12.192982456140351</v>
      </c>
      <c r="D626" s="15">
        <f t="shared" si="79"/>
        <v>2.1445459180999999E+20</v>
      </c>
      <c r="E626" s="15">
        <f>FORECAST($C626, OFFSET('De Vaucouleurs Deprojection'!$F$3:$F$126, MATCH($C626, 'De Vaucouleurs Deprojection'!$A$3:$A$126,1)-1,0,2), OFFSET('De Vaucouleurs Deprojection'!$A$3:$A$126, MATCH($C626, 'De Vaucouleurs Deprojection'!$A$3:$A$126,1)-1,0,2))*LCDMTotalBulgeMass</f>
        <v>1.7951682008319297E+40</v>
      </c>
      <c r="F626" s="15">
        <f t="shared" si="72"/>
        <v>3.9777334431548836E+39</v>
      </c>
      <c r="G626" s="15">
        <f t="shared" si="73"/>
        <v>5.1803740867647727E+40</v>
      </c>
      <c r="H626" s="15">
        <f t="shared" si="74"/>
        <v>7.3733156319121914E+40</v>
      </c>
      <c r="I626" s="16">
        <v>148.84993</v>
      </c>
      <c r="J626" s="45">
        <v>1</v>
      </c>
      <c r="K626" s="19">
        <f t="shared" si="75"/>
        <v>151.48144591821699</v>
      </c>
      <c r="L626" s="16">
        <f t="shared" si="76"/>
        <v>6.9248760278294119</v>
      </c>
      <c r="M626" s="45"/>
    </row>
    <row r="627" spans="1:13" x14ac:dyDescent="0.25">
      <c r="A627" s="16">
        <v>7</v>
      </c>
      <c r="B627" s="45">
        <f t="shared" si="77"/>
        <v>7000</v>
      </c>
      <c r="C627" s="16">
        <f t="shared" si="78"/>
        <v>12.280701754385966</v>
      </c>
      <c r="D627" s="15">
        <f t="shared" si="79"/>
        <v>2.1599743060000001E+20</v>
      </c>
      <c r="E627" s="15">
        <f>FORECAST($C627, OFFSET('De Vaucouleurs Deprojection'!$F$3:$F$126, MATCH($C627, 'De Vaucouleurs Deprojection'!$A$3:$A$126,1)-1,0,2), OFFSET('De Vaucouleurs Deprojection'!$A$3:$A$126, MATCH($C627, 'De Vaucouleurs Deprojection'!$A$3:$A$126,1)-1,0,2))*LCDMTotalBulgeMass</f>
        <v>1.7961194791828071E+40</v>
      </c>
      <c r="F627" s="15">
        <f t="shared" si="72"/>
        <v>3.9777679042453159E+39</v>
      </c>
      <c r="G627" s="15">
        <f t="shared" si="73"/>
        <v>5.2325388105576841E+40</v>
      </c>
      <c r="H627" s="15">
        <f t="shared" si="74"/>
        <v>7.4264350801650229E+40</v>
      </c>
      <c r="I627" s="16">
        <v>148.57464999999999</v>
      </c>
      <c r="J627" s="45">
        <v>1</v>
      </c>
      <c r="K627" s="19">
        <f t="shared" si="75"/>
        <v>151.48220075794396</v>
      </c>
      <c r="L627" s="16">
        <f t="shared" si="76"/>
        <v>8.4538514100205298</v>
      </c>
      <c r="M627" s="45"/>
    </row>
    <row r="628" spans="1:13" x14ac:dyDescent="0.25">
      <c r="A628" s="16">
        <v>7.05</v>
      </c>
      <c r="B628" s="45">
        <f t="shared" si="77"/>
        <v>7050</v>
      </c>
      <c r="C628" s="16">
        <f t="shared" si="78"/>
        <v>12.368421052631579</v>
      </c>
      <c r="D628" s="15">
        <f t="shared" si="79"/>
        <v>2.1754026939E+20</v>
      </c>
      <c r="E628" s="15">
        <f>FORECAST($C628, OFFSET('De Vaucouleurs Deprojection'!$F$3:$F$126, MATCH($C628, 'De Vaucouleurs Deprojection'!$A$3:$A$126,1)-1,0,2), OFFSET('De Vaucouleurs Deprojection'!$A$3:$A$126, MATCH($C628, 'De Vaucouleurs Deprojection'!$A$3:$A$126,1)-1,0,2))*LCDMTotalBulgeMass</f>
        <v>1.7970707575336842E+40</v>
      </c>
      <c r="F628" s="15">
        <f t="shared" si="72"/>
        <v>3.9777998372716485E+39</v>
      </c>
      <c r="G628" s="15">
        <f t="shared" si="73"/>
        <v>5.2847541621272776E+40</v>
      </c>
      <c r="H628" s="15">
        <f t="shared" si="74"/>
        <v>7.4796049033881267E+40</v>
      </c>
      <c r="I628" s="16">
        <v>148.30309</v>
      </c>
      <c r="J628" s="45">
        <v>1</v>
      </c>
      <c r="K628" s="19">
        <f t="shared" si="75"/>
        <v>151.48345500672761</v>
      </c>
      <c r="L628" s="16">
        <f t="shared" si="76"/>
        <v>10.114721576017526</v>
      </c>
      <c r="M628" s="45"/>
    </row>
    <row r="629" spans="1:13" x14ac:dyDescent="0.25">
      <c r="A629" s="16">
        <v>7.1</v>
      </c>
      <c r="B629" s="45">
        <f t="shared" si="77"/>
        <v>7100</v>
      </c>
      <c r="C629" s="16">
        <f t="shared" si="78"/>
        <v>12.456140350877194</v>
      </c>
      <c r="D629" s="15">
        <f t="shared" si="79"/>
        <v>2.1908310817999998E+20</v>
      </c>
      <c r="E629" s="15">
        <f>FORECAST($C629, OFFSET('De Vaucouleurs Deprojection'!$F$3:$F$126, MATCH($C629, 'De Vaucouleurs Deprojection'!$A$3:$A$126,1)-1,0,2), OFFSET('De Vaucouleurs Deprojection'!$A$3:$A$126, MATCH($C629, 'De Vaucouleurs Deprojection'!$A$3:$A$126,1)-1,0,2))*LCDMTotalBulgeMass</f>
        <v>1.7980220358845612E+40</v>
      </c>
      <c r="F629" s="15">
        <f t="shared" si="72"/>
        <v>3.9778294261934173E+39</v>
      </c>
      <c r="G629" s="15">
        <f t="shared" si="73"/>
        <v>5.3370185355656845E+40</v>
      </c>
      <c r="H629" s="15">
        <f t="shared" si="74"/>
        <v>7.5328235140695867E+40</v>
      </c>
      <c r="I629" s="16">
        <v>148.03795</v>
      </c>
      <c r="J629" s="45">
        <v>1</v>
      </c>
      <c r="K629" s="19">
        <f t="shared" si="75"/>
        <v>151.48518213888491</v>
      </c>
      <c r="L629" s="16">
        <f t="shared" si="76"/>
        <v>11.883409419361058</v>
      </c>
      <c r="M629" s="45"/>
    </row>
    <row r="630" spans="1:13" x14ac:dyDescent="0.25">
      <c r="A630" s="16">
        <v>7.15</v>
      </c>
      <c r="B630" s="45">
        <f t="shared" si="77"/>
        <v>7150</v>
      </c>
      <c r="C630" s="16">
        <f t="shared" si="78"/>
        <v>12.543859649122806</v>
      </c>
      <c r="D630" s="15">
        <f t="shared" si="79"/>
        <v>2.2062594697E+20</v>
      </c>
      <c r="E630" s="15">
        <f>FORECAST($C630, OFFSET('De Vaucouleurs Deprojection'!$F$3:$F$126, MATCH($C630, 'De Vaucouleurs Deprojection'!$A$3:$A$126,1)-1,0,2), OFFSET('De Vaucouleurs Deprojection'!$A$3:$A$126, MATCH($C630, 'De Vaucouleurs Deprojection'!$A$3:$A$126,1)-1,0,2))*LCDMTotalBulgeMass</f>
        <v>1.7989733142354385E+40</v>
      </c>
      <c r="F630" s="15">
        <f t="shared" si="72"/>
        <v>3.9778568417146243E+39</v>
      </c>
      <c r="G630" s="15">
        <f t="shared" si="73"/>
        <v>5.389330351581721E+40</v>
      </c>
      <c r="H630" s="15">
        <f t="shared" si="74"/>
        <v>7.5860893499886221E+40</v>
      </c>
      <c r="I630" s="16">
        <v>147.78210000000001</v>
      </c>
      <c r="J630" s="45">
        <v>1</v>
      </c>
      <c r="K630" s="19">
        <f t="shared" si="75"/>
        <v>151.48735661948427</v>
      </c>
      <c r="L630" s="16">
        <f t="shared" si="76"/>
        <v>13.728926616231925</v>
      </c>
      <c r="M630" s="45"/>
    </row>
    <row r="631" spans="1:13" x14ac:dyDescent="0.25">
      <c r="A631" s="16">
        <v>7.2</v>
      </c>
      <c r="B631" s="45">
        <f t="shared" si="77"/>
        <v>7200</v>
      </c>
      <c r="C631" s="16">
        <f t="shared" si="78"/>
        <v>12.631578947368421</v>
      </c>
      <c r="D631" s="15">
        <f t="shared" si="79"/>
        <v>2.2216878576000002E+20</v>
      </c>
      <c r="E631" s="15">
        <f>FORECAST($C631, OFFSET('De Vaucouleurs Deprojection'!$F$3:$F$126, MATCH($C631, 'De Vaucouleurs Deprojection'!$A$3:$A$126,1)-1,0,2), OFFSET('De Vaucouleurs Deprojection'!$A$3:$A$126, MATCH($C631, 'De Vaucouleurs Deprojection'!$A$3:$A$126,1)-1,0,2))*LCDMTotalBulgeMass</f>
        <v>1.7999245925863157E+40</v>
      </c>
      <c r="F631" s="15">
        <f t="shared" si="72"/>
        <v>3.9778822422274079E+39</v>
      </c>
      <c r="G631" s="15">
        <f t="shared" si="73"/>
        <v>5.441688057031382E+40</v>
      </c>
      <c r="H631" s="15">
        <f t="shared" si="74"/>
        <v>7.6394008738404385E+40</v>
      </c>
      <c r="I631" s="16">
        <v>147.5378</v>
      </c>
      <c r="J631" s="45">
        <v>1</v>
      </c>
      <c r="K631" s="19">
        <f t="shared" si="75"/>
        <v>151.48995386682722</v>
      </c>
      <c r="L631" s="16">
        <f t="shared" si="76"/>
        <v>15.619520187077326</v>
      </c>
      <c r="M631" s="45"/>
    </row>
    <row r="632" spans="1:13" x14ac:dyDescent="0.25">
      <c r="A632" s="16">
        <v>7.25</v>
      </c>
      <c r="B632" s="45">
        <f t="shared" si="77"/>
        <v>7250</v>
      </c>
      <c r="C632" s="16">
        <f t="shared" si="78"/>
        <v>12.719298245614034</v>
      </c>
      <c r="D632" s="15">
        <f t="shared" si="79"/>
        <v>2.2371162455E+20</v>
      </c>
      <c r="E632" s="15">
        <f>FORECAST($C632, OFFSET('De Vaucouleurs Deprojection'!$F$3:$F$126, MATCH($C632, 'De Vaucouleurs Deprojection'!$A$3:$A$126,1)-1,0,2), OFFSET('De Vaucouleurs Deprojection'!$A$3:$A$126, MATCH($C632, 'De Vaucouleurs Deprojection'!$A$3:$A$126,1)-1,0,2))*LCDMTotalBulgeMass</f>
        <v>1.8008758709371929E+40</v>
      </c>
      <c r="F632" s="15">
        <f t="shared" si="72"/>
        <v>3.9779057746895578E+39</v>
      </c>
      <c r="G632" s="15">
        <f t="shared" si="73"/>
        <v>5.4940901244576773E+40</v>
      </c>
      <c r="H632" s="15">
        <f t="shared" si="74"/>
        <v>7.6927565728638262E+40</v>
      </c>
      <c r="I632" s="16">
        <v>147.30598000000001</v>
      </c>
      <c r="J632" s="45">
        <v>1</v>
      </c>
      <c r="K632" s="19">
        <f t="shared" si="75"/>
        <v>151.49295021645915</v>
      </c>
      <c r="L632" s="16">
        <f t="shared" si="76"/>
        <v>17.530719593515936</v>
      </c>
      <c r="M632" s="45"/>
    </row>
    <row r="633" spans="1:13" x14ac:dyDescent="0.25">
      <c r="A633" s="16">
        <v>7.3</v>
      </c>
      <c r="B633" s="45">
        <f t="shared" si="77"/>
        <v>7300</v>
      </c>
      <c r="C633" s="16">
        <f t="shared" si="78"/>
        <v>12.807017543859649</v>
      </c>
      <c r="D633" s="15">
        <f t="shared" si="79"/>
        <v>2.2525446333999999E+20</v>
      </c>
      <c r="E633" s="15">
        <f>FORECAST($C633, OFFSET('De Vaucouleurs Deprojection'!$F$3:$F$126, MATCH($C633, 'De Vaucouleurs Deprojection'!$A$3:$A$126,1)-1,0,2), OFFSET('De Vaucouleurs Deprojection'!$A$3:$A$126, MATCH($C633, 'De Vaucouleurs Deprojection'!$A$3:$A$126,1)-1,0,2))*LCDMTotalBulgeMass</f>
        <v>1.80182714928807E+40</v>
      </c>
      <c r="F633" s="15">
        <f t="shared" si="72"/>
        <v>3.9779275754404124E+39</v>
      </c>
      <c r="G633" s="15">
        <f t="shared" si="73"/>
        <v>5.5465350516395254E+40</v>
      </c>
      <c r="H633" s="15">
        <f t="shared" si="74"/>
        <v>7.7461549584716373E+40</v>
      </c>
      <c r="I633" s="16">
        <v>147.08615</v>
      </c>
      <c r="J633" s="45">
        <v>1</v>
      </c>
      <c r="K633" s="19">
        <f t="shared" si="75"/>
        <v>151.49632288663966</v>
      </c>
      <c r="L633" s="16">
        <f t="shared" si="76"/>
        <v>19.449624890051567</v>
      </c>
      <c r="M633" s="45"/>
    </row>
    <row r="634" spans="1:13" x14ac:dyDescent="0.25">
      <c r="A634" s="16">
        <v>7.35</v>
      </c>
      <c r="B634" s="45">
        <f t="shared" si="77"/>
        <v>7350</v>
      </c>
      <c r="C634" s="16">
        <f t="shared" si="78"/>
        <v>12.894736842105264</v>
      </c>
      <c r="D634" s="15">
        <f t="shared" si="79"/>
        <v>2.2679730213E+20</v>
      </c>
      <c r="E634" s="15">
        <f>FORECAST($C634, OFFSET('De Vaucouleurs Deprojection'!$F$3:$F$126, MATCH($C634, 'De Vaucouleurs Deprojection'!$A$3:$A$126,1)-1,0,2), OFFSET('De Vaucouleurs Deprojection'!$A$3:$A$126, MATCH($C634, 'De Vaucouleurs Deprojection'!$A$3:$A$126,1)-1,0,2))*LCDMTotalBulgeMass</f>
        <v>1.8027784276389472E+40</v>
      </c>
      <c r="F634" s="15">
        <f t="shared" si="72"/>
        <v>3.9779477709593758E+39</v>
      </c>
      <c r="G634" s="15">
        <f t="shared" si="73"/>
        <v>5.599021361149712E+40</v>
      </c>
      <c r="H634" s="15">
        <f t="shared" si="74"/>
        <v>7.7995945658845964E+40</v>
      </c>
      <c r="I634" s="16">
        <v>146.87698</v>
      </c>
      <c r="J634" s="45">
        <v>1</v>
      </c>
      <c r="K634" s="19">
        <f t="shared" si="75"/>
        <v>151.50004994521098</v>
      </c>
      <c r="L634" s="16">
        <f t="shared" si="76"/>
        <v>21.37277571831298</v>
      </c>
      <c r="M634" s="45"/>
    </row>
    <row r="635" spans="1:13" x14ac:dyDescent="0.25">
      <c r="A635" s="16">
        <v>7.4</v>
      </c>
      <c r="B635" s="45">
        <f t="shared" si="77"/>
        <v>7400</v>
      </c>
      <c r="C635" s="16">
        <f t="shared" si="78"/>
        <v>12.982456140350877</v>
      </c>
      <c r="D635" s="15">
        <f t="shared" si="79"/>
        <v>2.2834014092000002E+20</v>
      </c>
      <c r="E635" s="15">
        <f>FORECAST($C635, OFFSET('De Vaucouleurs Deprojection'!$F$3:$F$126, MATCH($C635, 'De Vaucouleurs Deprojection'!$A$3:$A$126,1)-1,0,2), OFFSET('De Vaucouleurs Deprojection'!$A$3:$A$126, MATCH($C635, 'De Vaucouleurs Deprojection'!$A$3:$A$126,1)-1,0,2))*LCDMTotalBulgeMass</f>
        <v>1.8037297059898246E+40</v>
      </c>
      <c r="F635" s="15">
        <f t="shared" si="72"/>
        <v>3.9779664785710348E+39</v>
      </c>
      <c r="G635" s="15">
        <f t="shared" si="73"/>
        <v>5.65154759992142E+40</v>
      </c>
      <c r="H635" s="15">
        <f t="shared" si="74"/>
        <v>7.8530739537683487E+40</v>
      </c>
      <c r="I635" s="16">
        <v>146.67702</v>
      </c>
      <c r="J635" s="45">
        <v>1</v>
      </c>
      <c r="K635" s="19">
        <f t="shared" si="75"/>
        <v>151.50411027780044</v>
      </c>
      <c r="L635" s="16">
        <f t="shared" si="76"/>
        <v>23.3008005500355</v>
      </c>
      <c r="M635" s="45"/>
    </row>
    <row r="636" spans="1:13" x14ac:dyDescent="0.25">
      <c r="A636" s="16">
        <v>7.45</v>
      </c>
      <c r="B636" s="45">
        <f t="shared" si="77"/>
        <v>7450</v>
      </c>
      <c r="C636" s="16">
        <f t="shared" si="78"/>
        <v>13.070175438596491</v>
      </c>
      <c r="D636" s="15">
        <f t="shared" si="79"/>
        <v>2.2988297971000001E+20</v>
      </c>
      <c r="E636" s="15">
        <f>FORECAST($C636, OFFSET('De Vaucouleurs Deprojection'!$F$3:$F$126, MATCH($C636, 'De Vaucouleurs Deprojection'!$A$3:$A$126,1)-1,0,2), OFFSET('De Vaucouleurs Deprojection'!$A$3:$A$126, MATCH($C636, 'De Vaucouleurs Deprojection'!$A$3:$A$126,1)-1,0,2))*LCDMTotalBulgeMass</f>
        <v>1.8045484614256137E+40</v>
      </c>
      <c r="F636" s="15">
        <f t="shared" si="72"/>
        <v>3.9779838071005445E+39</v>
      </c>
      <c r="G636" s="15">
        <f t="shared" si="73"/>
        <v>5.7041123388233727E+40</v>
      </c>
      <c r="H636" s="15">
        <f t="shared" si="74"/>
        <v>7.9064591809590407E+40</v>
      </c>
      <c r="I636" s="16">
        <v>146.48497</v>
      </c>
      <c r="J636" s="45">
        <v>1</v>
      </c>
      <c r="K636" s="19">
        <f t="shared" si="75"/>
        <v>151.5072138300408</v>
      </c>
      <c r="L636" s="16">
        <f t="shared" si="76"/>
        <v>25.222933088382813</v>
      </c>
      <c r="M636" s="45"/>
    </row>
    <row r="637" spans="1:13" x14ac:dyDescent="0.25">
      <c r="A637" s="16">
        <v>7.5</v>
      </c>
      <c r="B637" s="45">
        <f t="shared" si="77"/>
        <v>7500</v>
      </c>
      <c r="C637" s="16">
        <f t="shared" si="78"/>
        <v>13.157894736842104</v>
      </c>
      <c r="D637" s="15">
        <f t="shared" si="79"/>
        <v>2.3142581849999999E+20</v>
      </c>
      <c r="E637" s="15">
        <f>FORECAST($C637, OFFSET('De Vaucouleurs Deprojection'!$F$3:$F$126, MATCH($C637, 'De Vaucouleurs Deprojection'!$A$3:$A$126,1)-1,0,2), OFFSET('De Vaucouleurs Deprojection'!$A$3:$A$126, MATCH($C637, 'De Vaucouleurs Deprojection'!$A$3:$A$126,1)-1,0,2))*LCDMTotalBulgeMass</f>
        <v>1.8053340861326313E+40</v>
      </c>
      <c r="F637" s="15">
        <f t="shared" si="72"/>
        <v>3.9779998574827368E+39</v>
      </c>
      <c r="G637" s="15">
        <f t="shared" si="73"/>
        <v>5.7567141722433196E+40</v>
      </c>
      <c r="H637" s="15">
        <f t="shared" si="74"/>
        <v>7.9598482441242243E+40</v>
      </c>
      <c r="I637" s="16">
        <v>146.29964000000001</v>
      </c>
      <c r="J637" s="45">
        <v>1</v>
      </c>
      <c r="K637" s="19">
        <f t="shared" si="75"/>
        <v>151.51031244686763</v>
      </c>
      <c r="L637" s="16">
        <f t="shared" si="76"/>
        <v>27.151107348545381</v>
      </c>
      <c r="M637" s="45"/>
    </row>
    <row r="638" spans="1:13" x14ac:dyDescent="0.25">
      <c r="A638" s="16">
        <v>7.55</v>
      </c>
      <c r="B638" s="45">
        <f t="shared" si="77"/>
        <v>7550</v>
      </c>
      <c r="C638" s="16">
        <f t="shared" si="78"/>
        <v>13.245614035087719</v>
      </c>
      <c r="D638" s="15">
        <f t="shared" si="79"/>
        <v>2.3296865729000001E+20</v>
      </c>
      <c r="E638" s="15">
        <f>FORECAST($C638, OFFSET('De Vaucouleurs Deprojection'!$F$3:$F$126, MATCH($C638, 'De Vaucouleurs Deprojection'!$A$3:$A$126,1)-1,0,2), OFFSET('De Vaucouleurs Deprojection'!$A$3:$A$126, MATCH($C638, 'De Vaucouleurs Deprojection'!$A$3:$A$126,1)-1,0,2))*LCDMTotalBulgeMass</f>
        <v>1.8061197108396489E+40</v>
      </c>
      <c r="F638" s="15">
        <f t="shared" si="72"/>
        <v>3.9780147233281633E+39</v>
      </c>
      <c r="G638" s="15">
        <f t="shared" si="73"/>
        <v>5.8093517176796563E+40</v>
      </c>
      <c r="H638" s="15">
        <f t="shared" si="74"/>
        <v>8.0132729008521219E+40</v>
      </c>
      <c r="I638" s="16">
        <v>146.11977999999999</v>
      </c>
      <c r="J638" s="45">
        <v>1</v>
      </c>
      <c r="K638" s="19">
        <f t="shared" si="75"/>
        <v>151.51370645941796</v>
      </c>
      <c r="L638" s="16">
        <f t="shared" si="76"/>
        <v>29.094442649609267</v>
      </c>
      <c r="M638" s="45"/>
    </row>
    <row r="639" spans="1:13" x14ac:dyDescent="0.25">
      <c r="A639" s="16">
        <v>7.6</v>
      </c>
      <c r="B639" s="45">
        <f t="shared" si="77"/>
        <v>7600</v>
      </c>
      <c r="C639" s="16">
        <f t="shared" si="78"/>
        <v>13.333333333333334</v>
      </c>
      <c r="D639" s="15">
        <f t="shared" si="79"/>
        <v>2.3451149607999999E+20</v>
      </c>
      <c r="E639" s="15">
        <f>FORECAST($C639, OFFSET('De Vaucouleurs Deprojection'!$F$3:$F$126, MATCH($C639, 'De Vaucouleurs Deprojection'!$A$3:$A$126,1)-1,0,2), OFFSET('De Vaucouleurs Deprojection'!$A$3:$A$126, MATCH($C639, 'De Vaucouleurs Deprojection'!$A$3:$A$126,1)-1,0,2))*LCDMTotalBulgeMass</f>
        <v>1.8069053355466665E+40</v>
      </c>
      <c r="F639" s="15">
        <f t="shared" si="72"/>
        <v>3.9780284914490684E+39</v>
      </c>
      <c r="G639" s="15">
        <f t="shared" si="73"/>
        <v>5.8620236153409973E+40</v>
      </c>
      <c r="H639" s="15">
        <f t="shared" si="74"/>
        <v>8.066731800032571E+40</v>
      </c>
      <c r="I639" s="16">
        <v>145.94441</v>
      </c>
      <c r="J639" s="45">
        <v>1</v>
      </c>
      <c r="K639" s="19">
        <f t="shared" si="75"/>
        <v>151.51737732761239</v>
      </c>
      <c r="L639" s="16">
        <f t="shared" si="76"/>
        <v>31.057964834635172</v>
      </c>
      <c r="M639" s="45"/>
    </row>
    <row r="640" spans="1:13" x14ac:dyDescent="0.25">
      <c r="A640" s="16">
        <v>7.65</v>
      </c>
      <c r="B640" s="45">
        <f t="shared" si="77"/>
        <v>7650</v>
      </c>
      <c r="C640" s="16">
        <f t="shared" si="78"/>
        <v>13.421052631578947</v>
      </c>
      <c r="D640" s="15">
        <f t="shared" si="79"/>
        <v>2.3605433487000001E+20</v>
      </c>
      <c r="E640" s="15">
        <f>FORECAST($C640, OFFSET('De Vaucouleurs Deprojection'!$F$3:$F$126, MATCH($C640, 'De Vaucouleurs Deprojection'!$A$3:$A$126,1)-1,0,2), OFFSET('De Vaucouleurs Deprojection'!$A$3:$A$126, MATCH($C640, 'De Vaucouleurs Deprojection'!$A$3:$A$126,1)-1,0,2))*LCDMTotalBulgeMass</f>
        <v>1.8076909602536838E+40</v>
      </c>
      <c r="F640" s="15">
        <f t="shared" si="72"/>
        <v>3.9780412423480661E+39</v>
      </c>
      <c r="G640" s="15">
        <f t="shared" si="73"/>
        <v>5.9147285277536058E+40</v>
      </c>
      <c r="H640" s="15">
        <f t="shared" si="74"/>
        <v>8.1202236122420959E+40</v>
      </c>
      <c r="I640" s="16">
        <v>145.77298999999999</v>
      </c>
      <c r="J640" s="45">
        <v>1</v>
      </c>
      <c r="K640" s="19">
        <f t="shared" si="75"/>
        <v>151.52130719809119</v>
      </c>
      <c r="L640" s="16">
        <f t="shared" si="76"/>
        <v>33.04315060987107</v>
      </c>
      <c r="M640" s="45"/>
    </row>
    <row r="641" spans="1:13" x14ac:dyDescent="0.25">
      <c r="A641" s="16">
        <v>7.7</v>
      </c>
      <c r="B641" s="45">
        <f t="shared" si="77"/>
        <v>7700</v>
      </c>
      <c r="C641" s="16">
        <f t="shared" si="78"/>
        <v>13.508771929824562</v>
      </c>
      <c r="D641" s="15">
        <f t="shared" si="79"/>
        <v>2.3759717365999999E+20</v>
      </c>
      <c r="E641" s="15">
        <f>FORECAST($C641, OFFSET('De Vaucouleurs Deprojection'!$F$3:$F$126, MATCH($C641, 'De Vaucouleurs Deprojection'!$A$3:$A$126,1)-1,0,2), OFFSET('De Vaucouleurs Deprojection'!$A$3:$A$126, MATCH($C641, 'De Vaucouleurs Deprojection'!$A$3:$A$126,1)-1,0,2))*LCDMTotalBulgeMass</f>
        <v>1.8084765849607014E+40</v>
      </c>
      <c r="F641" s="15">
        <f t="shared" si="72"/>
        <v>3.978053050672144E+39</v>
      </c>
      <c r="G641" s="15">
        <f t="shared" si="73"/>
        <v>5.9674651393763956E+40</v>
      </c>
      <c r="H641" s="15">
        <f t="shared" si="74"/>
        <v>8.1737470294043116E+40</v>
      </c>
      <c r="I641" s="16">
        <v>145.60581999999999</v>
      </c>
      <c r="J641" s="45">
        <v>1</v>
      </c>
      <c r="K641" s="19">
        <f t="shared" si="75"/>
        <v>151.52547887901056</v>
      </c>
      <c r="L641" s="16">
        <f t="shared" si="76"/>
        <v>35.042361243848667</v>
      </c>
      <c r="M641" s="45"/>
    </row>
    <row r="642" spans="1:13" x14ac:dyDescent="0.25">
      <c r="A642" s="16">
        <v>7.75</v>
      </c>
      <c r="B642" s="45">
        <f t="shared" si="77"/>
        <v>7750</v>
      </c>
      <c r="C642" s="16">
        <f t="shared" si="78"/>
        <v>13.596491228070175</v>
      </c>
      <c r="D642" s="15">
        <f t="shared" si="79"/>
        <v>2.3914001245000001E+20</v>
      </c>
      <c r="E642" s="15">
        <f>FORECAST($C642, OFFSET('De Vaucouleurs Deprojection'!$F$3:$F$126, MATCH($C642, 'De Vaucouleurs Deprojection'!$A$3:$A$126,1)-1,0,2), OFFSET('De Vaucouleurs Deprojection'!$A$3:$A$126, MATCH($C642, 'De Vaucouleurs Deprojection'!$A$3:$A$126,1)-1,0,2))*LCDMTotalBulgeMass</f>
        <v>1.809262209667719E+40</v>
      </c>
      <c r="F642" s="15">
        <f t="shared" si="72"/>
        <v>3.9780639856343937E+39</v>
      </c>
      <c r="G642" s="15">
        <f t="shared" si="73"/>
        <v>6.0202321562234442E+40</v>
      </c>
      <c r="H642" s="15">
        <f t="shared" si="74"/>
        <v>8.2273007644546028E+40</v>
      </c>
      <c r="I642" s="16">
        <v>145.44399999999999</v>
      </c>
      <c r="J642" s="45">
        <v>1</v>
      </c>
      <c r="K642" s="19">
        <f t="shared" si="75"/>
        <v>151.52987581582974</v>
      </c>
      <c r="L642" s="16">
        <f t="shared" si="76"/>
        <v>37.037884445701451</v>
      </c>
      <c r="M642" s="45"/>
    </row>
    <row r="643" spans="1:13" x14ac:dyDescent="0.25">
      <c r="A643" s="16">
        <v>7.8</v>
      </c>
      <c r="B643" s="45">
        <f t="shared" si="77"/>
        <v>7800</v>
      </c>
      <c r="C643" s="16">
        <f t="shared" si="78"/>
        <v>13.684210526315789</v>
      </c>
      <c r="D643" s="15">
        <f t="shared" si="79"/>
        <v>2.4068285124E+20</v>
      </c>
      <c r="E643" s="15">
        <f>FORECAST($C643, OFFSET('De Vaucouleurs Deprojection'!$F$3:$F$126, MATCH($C643, 'De Vaucouleurs Deprojection'!$A$3:$A$126,1)-1,0,2), OFFSET('De Vaucouleurs Deprojection'!$A$3:$A$126, MATCH($C643, 'De Vaucouleurs Deprojection'!$A$3:$A$126,1)-1,0,2))*LCDMTotalBulgeMass</f>
        <v>1.8100478343747366E+40</v>
      </c>
      <c r="F643" s="15">
        <f t="shared" si="72"/>
        <v>3.9780741114057439E+39</v>
      </c>
      <c r="G643" s="15">
        <f t="shared" si="73"/>
        <v>6.0730283054937328E+40</v>
      </c>
      <c r="H643" s="15">
        <f t="shared" si="74"/>
        <v>8.280883551009044E+40</v>
      </c>
      <c r="I643" s="16">
        <v>145.28937999999999</v>
      </c>
      <c r="J643" s="45">
        <v>1</v>
      </c>
      <c r="K643" s="19">
        <f t="shared" si="75"/>
        <v>151.53448206804546</v>
      </c>
      <c r="L643" s="16">
        <f t="shared" si="76"/>
        <v>39.001299840305791</v>
      </c>
      <c r="M643" s="45"/>
    </row>
    <row r="644" spans="1:13" x14ac:dyDescent="0.25">
      <c r="A644" s="16">
        <v>7.85</v>
      </c>
      <c r="B644" s="45">
        <f t="shared" si="77"/>
        <v>7850</v>
      </c>
      <c r="C644" s="16">
        <f t="shared" si="78"/>
        <v>13.771929824561404</v>
      </c>
      <c r="D644" s="15">
        <f t="shared" si="79"/>
        <v>2.4222569002999998E+20</v>
      </c>
      <c r="E644" s="15">
        <f>FORECAST($C644, OFFSET('De Vaucouleurs Deprojection'!$F$3:$F$126, MATCH($C644, 'De Vaucouleurs Deprojection'!$A$3:$A$126,1)-1,0,2), OFFSET('De Vaucouleurs Deprojection'!$A$3:$A$126, MATCH($C644, 'De Vaucouleurs Deprojection'!$A$3:$A$126,1)-1,0,2))*LCDMTotalBulgeMass</f>
        <v>1.8108334590817539E+40</v>
      </c>
      <c r="F644" s="15">
        <f t="shared" si="72"/>
        <v>3.9780834874787874E+39</v>
      </c>
      <c r="G644" s="15">
        <f t="shared" si="73"/>
        <v>6.1258523352081155E+40</v>
      </c>
      <c r="H644" s="15">
        <f t="shared" si="74"/>
        <v>8.3344941430377477E+40</v>
      </c>
      <c r="I644" s="16">
        <v>145.14412999999999</v>
      </c>
      <c r="J644" s="45">
        <v>1</v>
      </c>
      <c r="K644" s="19">
        <f t="shared" si="75"/>
        <v>151.53928228683506</v>
      </c>
      <c r="L644" s="16">
        <f t="shared" si="76"/>
        <v>40.897972771811837</v>
      </c>
      <c r="M644" s="45"/>
    </row>
    <row r="645" spans="1:13" x14ac:dyDescent="0.25">
      <c r="A645" s="16">
        <v>7.9</v>
      </c>
      <c r="B645" s="45">
        <f t="shared" si="77"/>
        <v>7900</v>
      </c>
      <c r="C645" s="16">
        <f t="shared" si="78"/>
        <v>13.859649122807017</v>
      </c>
      <c r="D645" s="15">
        <f t="shared" si="79"/>
        <v>2.4376852882E+20</v>
      </c>
      <c r="E645" s="15">
        <f>FORECAST($C645, OFFSET('De Vaucouleurs Deprojection'!$F$3:$F$126, MATCH($C645, 'De Vaucouleurs Deprojection'!$A$3:$A$126,1)-1,0,2), OFFSET('De Vaucouleurs Deprojection'!$A$3:$A$126, MATCH($C645, 'De Vaucouleurs Deprojection'!$A$3:$A$126,1)-1,0,2))*LCDMTotalBulgeMass</f>
        <v>1.8116190837887715E+40</v>
      </c>
      <c r="F645" s="15">
        <f t="shared" si="72"/>
        <v>3.9780921690056566E+39</v>
      </c>
      <c r="G645" s="15">
        <f t="shared" si="73"/>
        <v>6.1787030138532133E+40</v>
      </c>
      <c r="H645" s="15">
        <f t="shared" si="74"/>
        <v>8.3881313145425503E+40</v>
      </c>
      <c r="I645" s="16">
        <v>145.01006000000001</v>
      </c>
      <c r="J645" s="45">
        <v>1</v>
      </c>
      <c r="K645" s="19">
        <f t="shared" si="75"/>
        <v>151.54426169356844</v>
      </c>
      <c r="L645" s="16">
        <f t="shared" si="76"/>
        <v>42.695791772232596</v>
      </c>
      <c r="M645" s="45"/>
    </row>
    <row r="646" spans="1:13" x14ac:dyDescent="0.25">
      <c r="A646" s="16">
        <v>7.95</v>
      </c>
      <c r="B646" s="45">
        <f t="shared" si="77"/>
        <v>7950</v>
      </c>
      <c r="C646" s="16">
        <f t="shared" si="78"/>
        <v>13.947368421052632</v>
      </c>
      <c r="D646" s="15">
        <f t="shared" si="79"/>
        <v>2.4531136761000002E+20</v>
      </c>
      <c r="E646" s="15">
        <f>FORECAST($C646, OFFSET('De Vaucouleurs Deprojection'!$F$3:$F$126, MATCH($C646, 'De Vaucouleurs Deprojection'!$A$3:$A$126,1)-1,0,2), OFFSET('De Vaucouleurs Deprojection'!$A$3:$A$126, MATCH($C646, 'De Vaucouleurs Deprojection'!$A$3:$A$126,1)-1,0,2))*LCDMTotalBulgeMass</f>
        <v>1.8124047084957891E+40</v>
      </c>
      <c r="F646" s="15">
        <f t="shared" si="72"/>
        <v>3.9781002071117891E+39</v>
      </c>
      <c r="G646" s="15">
        <f t="shared" si="73"/>
        <v>6.2315791300321138E+40</v>
      </c>
      <c r="H646" s="15">
        <f t="shared" si="74"/>
        <v>8.4417938592390818E+40</v>
      </c>
      <c r="I646" s="16">
        <v>144.88849999999999</v>
      </c>
      <c r="J646" s="45">
        <v>1</v>
      </c>
      <c r="K646" s="19">
        <f t="shared" si="75"/>
        <v>151.54940605915263</v>
      </c>
      <c r="L646" s="16">
        <f t="shared" si="76"/>
        <v>44.367669528856318</v>
      </c>
      <c r="M646" s="45"/>
    </row>
    <row r="647" spans="1:13" x14ac:dyDescent="0.25">
      <c r="A647" s="16">
        <v>8</v>
      </c>
      <c r="B647" s="45">
        <f t="shared" si="77"/>
        <v>8000</v>
      </c>
      <c r="C647" s="16">
        <f t="shared" si="78"/>
        <v>14.035087719298245</v>
      </c>
      <c r="D647" s="15">
        <f t="shared" si="79"/>
        <v>2.468542064E+20</v>
      </c>
      <c r="E647" s="15">
        <f>FORECAST($C647, OFFSET('De Vaucouleurs Deprojection'!$F$3:$F$126, MATCH($C647, 'De Vaucouleurs Deprojection'!$A$3:$A$126,1)-1,0,2), OFFSET('De Vaucouleurs Deprojection'!$A$3:$A$126, MATCH($C647, 'De Vaucouleurs Deprojection'!$A$3:$A$126,1)-1,0,2))*LCDMTotalBulgeMass</f>
        <v>1.813137192825965E+40</v>
      </c>
      <c r="F647" s="15">
        <f t="shared" si="72"/>
        <v>3.978107649187252E+39</v>
      </c>
      <c r="G647" s="15">
        <f t="shared" si="73"/>
        <v>6.2844794921218498E+40</v>
      </c>
      <c r="H647" s="15">
        <f t="shared" si="74"/>
        <v>8.49542744986654E+40</v>
      </c>
      <c r="I647" s="16">
        <v>144.78056000000001</v>
      </c>
      <c r="J647" s="45">
        <v>1</v>
      </c>
      <c r="K647" s="19">
        <f t="shared" si="75"/>
        <v>151.55422768588491</v>
      </c>
      <c r="L647" s="16">
        <f t="shared" si="76"/>
        <v>45.882573918801327</v>
      </c>
      <c r="M647" s="45"/>
    </row>
    <row r="648" spans="1:13" x14ac:dyDescent="0.25">
      <c r="A648" s="16">
        <v>8.0500000000000007</v>
      </c>
      <c r="B648" s="45">
        <f t="shared" si="77"/>
        <v>8050.0000000000009</v>
      </c>
      <c r="C648" s="16">
        <f t="shared" si="78"/>
        <v>14.122807017543861</v>
      </c>
      <c r="D648" s="15">
        <f t="shared" si="79"/>
        <v>2.4839704519000002E+20</v>
      </c>
      <c r="E648" s="15">
        <f>FORECAST($C648, OFFSET('De Vaucouleurs Deprojection'!$F$3:$F$126, MATCH($C648, 'De Vaucouleurs Deprojection'!$A$3:$A$126,1)-1,0,2), OFFSET('De Vaucouleurs Deprojection'!$A$3:$A$126, MATCH($C648, 'De Vaucouleurs Deprojection'!$A$3:$A$126,1)-1,0,2))*LCDMTotalBulgeMass</f>
        <v>1.8137899665908772E+40</v>
      </c>
      <c r="F648" s="15">
        <f t="shared" si="72"/>
        <v>3.9781145391572337E+39</v>
      </c>
      <c r="G648" s="15">
        <f t="shared" si="73"/>
        <v>6.3374029279373168E+40</v>
      </c>
      <c r="H648" s="15">
        <f t="shared" si="74"/>
        <v>8.5490043484439174E+40</v>
      </c>
      <c r="I648" s="16">
        <v>144.68735000000001</v>
      </c>
      <c r="J648" s="45">
        <v>1</v>
      </c>
      <c r="K648" s="19">
        <f t="shared" si="75"/>
        <v>151.55848674282603</v>
      </c>
      <c r="L648" s="16">
        <f t="shared" si="76"/>
        <v>47.212520138613833</v>
      </c>
      <c r="M648" s="45"/>
    </row>
    <row r="649" spans="1:13" x14ac:dyDescent="0.25">
      <c r="A649" s="16">
        <v>8.1</v>
      </c>
      <c r="B649" s="45">
        <f t="shared" si="77"/>
        <v>8100</v>
      </c>
      <c r="C649" s="16">
        <f t="shared" si="78"/>
        <v>14.210526315789474</v>
      </c>
      <c r="D649" s="15">
        <f t="shared" si="79"/>
        <v>2.4993988398E+20</v>
      </c>
      <c r="E649" s="15">
        <f>FORECAST($C649, OFFSET('De Vaucouleurs Deprojection'!$F$3:$F$126, MATCH($C649, 'De Vaucouleurs Deprojection'!$A$3:$A$126,1)-1,0,2), OFFSET('De Vaucouleurs Deprojection'!$A$3:$A$126, MATCH($C649, 'De Vaucouleurs Deprojection'!$A$3:$A$126,1)-1,0,2))*LCDMTotalBulgeMass</f>
        <v>1.8144427403557896E+40</v>
      </c>
      <c r="F649" s="15">
        <f t="shared" si="72"/>
        <v>3.9781209177331571E+39</v>
      </c>
      <c r="G649" s="15">
        <f t="shared" si="73"/>
        <v>6.3903482844016694E+40</v>
      </c>
      <c r="H649" s="15">
        <f t="shared" si="74"/>
        <v>8.6026031165307748E+40</v>
      </c>
      <c r="I649" s="16">
        <v>144.60977</v>
      </c>
      <c r="J649" s="45">
        <v>1</v>
      </c>
      <c r="K649" s="19">
        <f t="shared" si="75"/>
        <v>151.56288575279936</v>
      </c>
      <c r="L649" s="16">
        <f t="shared" si="76"/>
        <v>48.345818671826649</v>
      </c>
      <c r="M649" s="45"/>
    </row>
    <row r="650" spans="1:13" x14ac:dyDescent="0.25">
      <c r="A650" s="16">
        <v>8.15</v>
      </c>
      <c r="B650" s="45">
        <f t="shared" si="77"/>
        <v>8150</v>
      </c>
      <c r="C650" s="16">
        <f t="shared" si="78"/>
        <v>14.298245614035087</v>
      </c>
      <c r="D650" s="15">
        <f t="shared" si="79"/>
        <v>2.5148272277000002E+20</v>
      </c>
      <c r="E650" s="15">
        <f>FORECAST($C650, OFFSET('De Vaucouleurs Deprojection'!$F$3:$F$126, MATCH($C650, 'De Vaucouleurs Deprojection'!$A$3:$A$126,1)-1,0,2), OFFSET('De Vaucouleurs Deprojection'!$A$3:$A$126, MATCH($C650, 'De Vaucouleurs Deprojection'!$A$3:$A$126,1)-1,0,2))*LCDMTotalBulgeMass</f>
        <v>1.8150955141207018E+40</v>
      </c>
      <c r="F650" s="15">
        <f t="shared" si="72"/>
        <v>3.9781268226457849E+39</v>
      </c>
      <c r="G650" s="15">
        <f t="shared" si="73"/>
        <v>6.4433144272228885E+40</v>
      </c>
      <c r="H650" s="15">
        <f t="shared" si="74"/>
        <v>8.6562226236081691E+40</v>
      </c>
      <c r="I650" s="16">
        <v>144.5479</v>
      </c>
      <c r="J650" s="45">
        <v>1</v>
      </c>
      <c r="K650" s="19">
        <f t="shared" si="75"/>
        <v>151.56741222817791</v>
      </c>
      <c r="L650" s="16">
        <f t="shared" si="76"/>
        <v>49.273551921539294</v>
      </c>
      <c r="M650" s="45"/>
    </row>
    <row r="651" spans="1:13" x14ac:dyDescent="0.25">
      <c r="A651" s="16">
        <v>8.1999999999999993</v>
      </c>
      <c r="B651" s="45">
        <f t="shared" si="77"/>
        <v>8200</v>
      </c>
      <c r="C651" s="16">
        <f t="shared" si="78"/>
        <v>14.385964912280702</v>
      </c>
      <c r="D651" s="15">
        <f t="shared" si="79"/>
        <v>2.5302556155999997E+20</v>
      </c>
      <c r="E651" s="15">
        <f>FORECAST($C651, OFFSET('De Vaucouleurs Deprojection'!$F$3:$F$126, MATCH($C651, 'De Vaucouleurs Deprojection'!$A$3:$A$126,1)-1,0,2), OFFSET('De Vaucouleurs Deprojection'!$A$3:$A$126, MATCH($C651, 'De Vaucouleurs Deprojection'!$A$3:$A$126,1)-1,0,2))*LCDMTotalBulgeMass</f>
        <v>1.8157482878856142E+40</v>
      </c>
      <c r="F651" s="15">
        <f t="shared" si="72"/>
        <v>3.9781322888615996E+39</v>
      </c>
      <c r="G651" s="15">
        <f t="shared" si="73"/>
        <v>6.4963002405765968E+40</v>
      </c>
      <c r="H651" s="15">
        <f t="shared" si="74"/>
        <v>8.7098617573483715E+40</v>
      </c>
      <c r="I651" s="16">
        <v>144.50064</v>
      </c>
      <c r="J651" s="45">
        <v>1</v>
      </c>
      <c r="K651" s="19">
        <f t="shared" si="75"/>
        <v>151.57205414503755</v>
      </c>
      <c r="L651" s="16">
        <f t="shared" si="76"/>
        <v>50.004898010637156</v>
      </c>
      <c r="M651" s="45"/>
    </row>
    <row r="652" spans="1:13" x14ac:dyDescent="0.25">
      <c r="A652" s="16">
        <v>8.25</v>
      </c>
      <c r="B652" s="45">
        <f t="shared" si="77"/>
        <v>8250</v>
      </c>
      <c r="C652" s="16">
        <f t="shared" si="78"/>
        <v>14.473684210526315</v>
      </c>
      <c r="D652" s="15">
        <f t="shared" si="79"/>
        <v>2.5456840034999999E+20</v>
      </c>
      <c r="E652" s="15">
        <f>FORECAST($C652, OFFSET('De Vaucouleurs Deprojection'!$F$3:$F$126, MATCH($C652, 'De Vaucouleurs Deprojection'!$A$3:$A$126,1)-1,0,2), OFFSET('De Vaucouleurs Deprojection'!$A$3:$A$126, MATCH($C652, 'De Vaucouleurs Deprojection'!$A$3:$A$126,1)-1,0,2))*LCDMTotalBulgeMass</f>
        <v>1.8164010616505264E+40</v>
      </c>
      <c r="F652" s="15">
        <f t="shared" si="72"/>
        <v>3.9781373487836329E+39</v>
      </c>
      <c r="G652" s="15">
        <f t="shared" si="73"/>
        <v>6.5493046267947611E+40</v>
      </c>
      <c r="H652" s="15">
        <f t="shared" si="74"/>
        <v>8.7635194233236502E+40</v>
      </c>
      <c r="I652" s="16">
        <v>144.46628000000001</v>
      </c>
      <c r="J652" s="45">
        <v>1</v>
      </c>
      <c r="K652" s="19">
        <f t="shared" si="75"/>
        <v>151.57679992664922</v>
      </c>
      <c r="L652" s="16">
        <f t="shared" si="76"/>
        <v>50.559493627275394</v>
      </c>
      <c r="M652" s="45"/>
    </row>
    <row r="653" spans="1:13" x14ac:dyDescent="0.25">
      <c r="A653" s="16">
        <v>8.3000000000000007</v>
      </c>
      <c r="B653" s="45">
        <f t="shared" si="77"/>
        <v>8300</v>
      </c>
      <c r="C653" s="16">
        <f t="shared" si="78"/>
        <v>14.56140350877193</v>
      </c>
      <c r="D653" s="15">
        <f t="shared" si="79"/>
        <v>2.5611123914000001E+20</v>
      </c>
      <c r="E653" s="15">
        <f>FORECAST($C653, OFFSET('De Vaucouleurs Deprojection'!$F$3:$F$126, MATCH($C653, 'De Vaucouleurs Deprojection'!$A$3:$A$126,1)-1,0,2), OFFSET('De Vaucouleurs Deprojection'!$A$3:$A$126, MATCH($C653, 'De Vaucouleurs Deprojection'!$A$3:$A$126,1)-1,0,2))*LCDMTotalBulgeMass</f>
        <v>1.8170538354154388E+40</v>
      </c>
      <c r="F653" s="15">
        <f t="shared" si="72"/>
        <v>3.9781420324378503E+39</v>
      </c>
      <c r="G653" s="15">
        <f t="shared" si="73"/>
        <v>6.6023265060603228E+40</v>
      </c>
      <c r="H653" s="15">
        <f t="shared" si="74"/>
        <v>8.817194544719546E+40</v>
      </c>
      <c r="I653" s="16">
        <v>144.44315</v>
      </c>
      <c r="J653" s="45">
        <v>1</v>
      </c>
      <c r="K653" s="19">
        <f t="shared" si="75"/>
        <v>151.58163842759654</v>
      </c>
      <c r="L653" s="16">
        <f t="shared" si="76"/>
        <v>50.958017030929746</v>
      </c>
      <c r="M653" s="45"/>
    </row>
    <row r="654" spans="1:13" x14ac:dyDescent="0.25">
      <c r="A654" s="16">
        <v>8.35</v>
      </c>
      <c r="B654" s="45">
        <f t="shared" si="77"/>
        <v>8350</v>
      </c>
      <c r="C654" s="16">
        <f t="shared" si="78"/>
        <v>14.649122807017545</v>
      </c>
      <c r="D654" s="15">
        <f t="shared" si="79"/>
        <v>2.5765407792999999E+20</v>
      </c>
      <c r="E654" s="15">
        <f>FORECAST($C654, OFFSET('De Vaucouleurs Deprojection'!$F$3:$F$126, MATCH($C654, 'De Vaucouleurs Deprojection'!$A$3:$A$126,1)-1,0,2), OFFSET('De Vaucouleurs Deprojection'!$A$3:$A$126, MATCH($C654, 'De Vaucouleurs Deprojection'!$A$3:$A$126,1)-1,0,2))*LCDMTotalBulgeMass</f>
        <v>1.817706609180351E+40</v>
      </c>
      <c r="F654" s="15">
        <f t="shared" si="72"/>
        <v>3.9781463676461247E+39</v>
      </c>
      <c r="G654" s="15">
        <f t="shared" si="73"/>
        <v>6.6553648161075534E+40</v>
      </c>
      <c r="H654" s="15">
        <f t="shared" si="74"/>
        <v>8.8708860620525174E+40</v>
      </c>
      <c r="I654" s="16">
        <v>144.43027000000001</v>
      </c>
      <c r="J654" s="45">
        <v>1</v>
      </c>
      <c r="K654" s="19">
        <f t="shared" si="75"/>
        <v>151.58655891849136</v>
      </c>
      <c r="L654" s="16">
        <f t="shared" si="76"/>
        <v>51.212471084922178</v>
      </c>
      <c r="M654" s="45"/>
    </row>
    <row r="655" spans="1:13" x14ac:dyDescent="0.25">
      <c r="A655" s="16">
        <v>8.4</v>
      </c>
      <c r="B655" s="45">
        <f t="shared" si="77"/>
        <v>8400</v>
      </c>
      <c r="C655" s="16">
        <f t="shared" si="78"/>
        <v>14.736842105263158</v>
      </c>
      <c r="D655" s="15">
        <f t="shared" si="79"/>
        <v>2.5919691672000001E+20</v>
      </c>
      <c r="E655" s="15">
        <f>FORECAST($C655, OFFSET('De Vaucouleurs Deprojection'!$F$3:$F$126, MATCH($C655, 'De Vaucouleurs Deprojection'!$A$3:$A$126,1)-1,0,2), OFFSET('De Vaucouleurs Deprojection'!$A$3:$A$126, MATCH($C655, 'De Vaucouleurs Deprojection'!$A$3:$A$126,1)-1,0,2))*LCDMTotalBulgeMass</f>
        <v>1.8183593829452632E+40</v>
      </c>
      <c r="F655" s="15">
        <f t="shared" si="72"/>
        <v>3.9781503801867448E+39</v>
      </c>
      <c r="G655" s="15">
        <f t="shared" si="73"/>
        <v>6.7084185119280534E+40</v>
      </c>
      <c r="H655" s="15">
        <f t="shared" si="74"/>
        <v>8.9245929328919913E+40</v>
      </c>
      <c r="I655" s="16">
        <v>144.42743999999999</v>
      </c>
      <c r="J655" s="45">
        <v>1</v>
      </c>
      <c r="K655" s="19">
        <f t="shared" si="75"/>
        <v>151.59155107126446</v>
      </c>
      <c r="L655" s="16">
        <f t="shared" si="76"/>
        <v>51.324487441414178</v>
      </c>
      <c r="M655" s="45"/>
    </row>
    <row r="656" spans="1:13" x14ac:dyDescent="0.25">
      <c r="A656" s="16">
        <v>8.4499999999999993</v>
      </c>
      <c r="B656" s="45">
        <f t="shared" si="77"/>
        <v>8450</v>
      </c>
      <c r="C656" s="16">
        <f t="shared" si="78"/>
        <v>14.824561403508772</v>
      </c>
      <c r="D656" s="15">
        <f t="shared" si="79"/>
        <v>2.6073975550999999E+20</v>
      </c>
      <c r="E656" s="15">
        <f>FORECAST($C656, OFFSET('De Vaucouleurs Deprojection'!$F$3:$F$126, MATCH($C656, 'De Vaucouleurs Deprojection'!$A$3:$A$126,1)-1,0,2), OFFSET('De Vaucouleurs Deprojection'!$A$3:$A$126, MATCH($C656, 'De Vaucouleurs Deprojection'!$A$3:$A$126,1)-1,0,2))*LCDMTotalBulgeMass</f>
        <v>1.8190121567101756E+40</v>
      </c>
      <c r="F656" s="15">
        <f t="shared" si="72"/>
        <v>3.9781540939433372E+39</v>
      </c>
      <c r="G656" s="15">
        <f t="shared" si="73"/>
        <v>6.7614865654822098E+40</v>
      </c>
      <c r="H656" s="15">
        <f t="shared" si="74"/>
        <v>8.9783141315867203E+40</v>
      </c>
      <c r="I656" s="16">
        <v>144.43536</v>
      </c>
      <c r="J656" s="45">
        <v>1</v>
      </c>
      <c r="K656" s="19">
        <f t="shared" si="75"/>
        <v>151.59660494500662</v>
      </c>
      <c r="L656" s="16">
        <f t="shared" si="76"/>
        <v>51.283429162382795</v>
      </c>
      <c r="M656" s="45"/>
    </row>
    <row r="657" spans="1:13" x14ac:dyDescent="0.25">
      <c r="A657" s="16">
        <v>8.5</v>
      </c>
      <c r="B657" s="45">
        <f t="shared" si="77"/>
        <v>8500</v>
      </c>
      <c r="C657" s="16">
        <f t="shared" si="78"/>
        <v>14.912280701754385</v>
      </c>
      <c r="D657" s="15">
        <f t="shared" si="79"/>
        <v>2.6228259430000001E+20</v>
      </c>
      <c r="E657" s="15">
        <f>FORECAST($C657, OFFSET('De Vaucouleurs Deprojection'!$F$3:$F$126, MATCH($C657, 'De Vaucouleurs Deprojection'!$A$3:$A$126,1)-1,0,2), OFFSET('De Vaucouleurs Deprojection'!$A$3:$A$126, MATCH($C657, 'De Vaucouleurs Deprojection'!$A$3:$A$126,1)-1,0,2))*LCDMTotalBulgeMass</f>
        <v>1.819664930475088E+40</v>
      </c>
      <c r="F657" s="15">
        <f t="shared" si="72"/>
        <v>3.9781575310430527E+39</v>
      </c>
      <c r="G657" s="15">
        <f t="shared" si="73"/>
        <v>6.8145679654160967E+40</v>
      </c>
      <c r="H657" s="15">
        <f t="shared" si="74"/>
        <v>9.0320486489954897E+40</v>
      </c>
      <c r="I657" s="16">
        <v>144.45527999999999</v>
      </c>
      <c r="J657" s="45">
        <v>1</v>
      </c>
      <c r="K657" s="19">
        <f t="shared" si="75"/>
        <v>151.60171097233854</v>
      </c>
      <c r="L657" s="16">
        <f t="shared" si="76"/>
        <v>51.071475642399712</v>
      </c>
      <c r="M657" s="45"/>
    </row>
    <row r="658" spans="1:13" x14ac:dyDescent="0.25">
      <c r="A658" s="16">
        <v>8.5500000000000007</v>
      </c>
      <c r="B658" s="45">
        <f t="shared" si="77"/>
        <v>8550</v>
      </c>
      <c r="C658" s="16">
        <f t="shared" si="78"/>
        <v>15</v>
      </c>
      <c r="D658" s="15">
        <f t="shared" si="79"/>
        <v>2.6382543309000003E+20</v>
      </c>
      <c r="E658" s="15">
        <f>FORECAST($C658, OFFSET('De Vaucouleurs Deprojection'!$F$3:$F$126, MATCH($C658, 'De Vaucouleurs Deprojection'!$A$3:$A$126,1)-1,0,2), OFFSET('De Vaucouleurs Deprojection'!$A$3:$A$126, MATCH($C658, 'De Vaucouleurs Deprojection'!$A$3:$A$126,1)-1,0,2))*LCDMTotalBulgeMass</f>
        <v>1.8203177042399999E+40</v>
      </c>
      <c r="F658" s="15">
        <f t="shared" si="72"/>
        <v>3.978160711984757E+39</v>
      </c>
      <c r="G658" s="15">
        <f t="shared" si="73"/>
        <v>6.8676617167836195E+40</v>
      </c>
      <c r="H658" s="15">
        <f t="shared" si="74"/>
        <v>9.0857954922220963E+40</v>
      </c>
      <c r="I658" s="16">
        <v>144.48875000000001</v>
      </c>
      <c r="J658" s="45">
        <v>1</v>
      </c>
      <c r="K658" s="19">
        <f t="shared" si="75"/>
        <v>151.60685994628858</v>
      </c>
      <c r="L658" s="16">
        <f t="shared" si="76"/>
        <v>50.667489207452263</v>
      </c>
      <c r="M658" s="45"/>
    </row>
    <row r="659" spans="1:13" x14ac:dyDescent="0.25">
      <c r="A659" s="16">
        <v>8.6</v>
      </c>
      <c r="B659" s="45">
        <f t="shared" si="77"/>
        <v>8600</v>
      </c>
      <c r="C659" s="16">
        <f t="shared" si="78"/>
        <v>15.087719298245615</v>
      </c>
      <c r="D659" s="15">
        <f t="shared" si="79"/>
        <v>2.6536827187999998E+20</v>
      </c>
      <c r="E659" s="15">
        <f>FORECAST($C659, OFFSET('De Vaucouleurs Deprojection'!$F$3:$F$126, MATCH($C659, 'De Vaucouleurs Deprojection'!$A$3:$A$126,1)-1,0,2), OFFSET('De Vaucouleurs Deprojection'!$A$3:$A$126, MATCH($C659, 'De Vaucouleurs Deprojection'!$A$3:$A$126,1)-1,0,2))*LCDMTotalBulgeMass</f>
        <v>1.8207238016877191E+40</v>
      </c>
      <c r="F659" s="15">
        <f t="shared" si="72"/>
        <v>3.9781636557579597E+39</v>
      </c>
      <c r="G659" s="15">
        <f t="shared" si="73"/>
        <v>6.9207668407738227E+40</v>
      </c>
      <c r="H659" s="15">
        <f t="shared" si="74"/>
        <v>9.1393070080373382E+40</v>
      </c>
      <c r="I659" s="16">
        <v>144.53704999999999</v>
      </c>
      <c r="J659" s="45">
        <v>1</v>
      </c>
      <c r="K659" s="19">
        <f t="shared" si="75"/>
        <v>151.60999699129439</v>
      </c>
      <c r="L659" s="16">
        <f t="shared" si="76"/>
        <v>50.02657914166052</v>
      </c>
      <c r="M659" s="45"/>
    </row>
    <row r="660" spans="1:13" x14ac:dyDescent="0.25">
      <c r="A660" s="16">
        <v>8.65</v>
      </c>
      <c r="B660" s="45">
        <f t="shared" si="77"/>
        <v>8650</v>
      </c>
      <c r="C660" s="16">
        <f t="shared" si="78"/>
        <v>15.175438596491228</v>
      </c>
      <c r="D660" s="15">
        <f t="shared" si="79"/>
        <v>2.6691111067E+20</v>
      </c>
      <c r="E660" s="15">
        <f>FORECAST($C660, OFFSET('De Vaucouleurs Deprojection'!$F$3:$F$126, MATCH($C660, 'De Vaucouleurs Deprojection'!$A$3:$A$126,1)-1,0,2), OFFSET('De Vaucouleurs Deprojection'!$A$3:$A$126, MATCH($C660, 'De Vaucouleurs Deprojection'!$A$3:$A$126,1)-1,0,2))*LCDMTotalBulgeMass</f>
        <v>1.8211298991354384E+40</v>
      </c>
      <c r="F660" s="15">
        <f t="shared" si="72"/>
        <v>3.9781663799531237E+39</v>
      </c>
      <c r="G660" s="15">
        <f t="shared" si="73"/>
        <v>6.9738823744432574E+40</v>
      </c>
      <c r="H660" s="15">
        <f t="shared" si="74"/>
        <v>9.1928289115740087E+40</v>
      </c>
      <c r="I660" s="16">
        <v>144.60106999999999</v>
      </c>
      <c r="J660" s="45">
        <v>1</v>
      </c>
      <c r="K660" s="19">
        <f t="shared" si="75"/>
        <v>151.61318336612393</v>
      </c>
      <c r="L660" s="16">
        <f t="shared" si="76"/>
        <v>49.169733859374027</v>
      </c>
      <c r="M660" s="45"/>
    </row>
    <row r="661" spans="1:13" x14ac:dyDescent="0.25">
      <c r="A661" s="16">
        <v>8.6999999999999993</v>
      </c>
      <c r="B661" s="45">
        <f t="shared" si="77"/>
        <v>8700</v>
      </c>
      <c r="C661" s="16">
        <f t="shared" si="78"/>
        <v>15.263157894736842</v>
      </c>
      <c r="D661" s="15">
        <f t="shared" si="79"/>
        <v>2.6845394945999998E+20</v>
      </c>
      <c r="E661" s="15">
        <f>FORECAST($C661, OFFSET('De Vaucouleurs Deprojection'!$F$3:$F$126, MATCH($C661, 'De Vaucouleurs Deprojection'!$A$3:$A$126,1)-1,0,2), OFFSET('De Vaucouleurs Deprojection'!$A$3:$A$126, MATCH($C661, 'De Vaucouleurs Deprojection'!$A$3:$A$126,1)-1,0,2))*LCDMTotalBulgeMass</f>
        <v>1.8215359965831578E+40</v>
      </c>
      <c r="F661" s="15">
        <f t="shared" si="72"/>
        <v>3.978168900863996E+39</v>
      </c>
      <c r="G661" s="15">
        <f t="shared" si="73"/>
        <v>7.0270073704533288E+40</v>
      </c>
      <c r="H661" s="15">
        <f t="shared" si="74"/>
        <v>9.2463602571228868E+40</v>
      </c>
      <c r="I661" s="16">
        <v>144.68161000000001</v>
      </c>
      <c r="J661" s="45">
        <v>1</v>
      </c>
      <c r="K661" s="19">
        <f t="shared" si="75"/>
        <v>151.61641046245876</v>
      </c>
      <c r="L661" s="16">
        <f t="shared" si="76"/>
        <v>48.091457454118135</v>
      </c>
      <c r="M661" s="45"/>
    </row>
    <row r="662" spans="1:13" x14ac:dyDescent="0.25">
      <c r="A662" s="16">
        <v>8.75</v>
      </c>
      <c r="B662" s="45">
        <f t="shared" si="77"/>
        <v>8750</v>
      </c>
      <c r="C662" s="16">
        <f t="shared" si="78"/>
        <v>15.350877192982455</v>
      </c>
      <c r="D662" s="15">
        <f t="shared" si="79"/>
        <v>2.6999678825E+20</v>
      </c>
      <c r="E662" s="15">
        <f>FORECAST($C662, OFFSET('De Vaucouleurs Deprojection'!$F$3:$F$126, MATCH($C662, 'De Vaucouleurs Deprojection'!$A$3:$A$126,1)-1,0,2), OFFSET('De Vaucouleurs Deprojection'!$A$3:$A$126, MATCH($C662, 'De Vaucouleurs Deprojection'!$A$3:$A$126,1)-1,0,2))*LCDMTotalBulgeMass</f>
        <v>1.821942094030877E+40</v>
      </c>
      <c r="F662" s="15">
        <f t="shared" si="72"/>
        <v>3.9781712335825102E+39</v>
      </c>
      <c r="G662" s="15">
        <f t="shared" si="73"/>
        <v>7.0801408968124313E+40</v>
      </c>
      <c r="H662" s="15">
        <f t="shared" si="74"/>
        <v>9.299900114201559E+40</v>
      </c>
      <c r="I662" s="16">
        <v>144.77936</v>
      </c>
      <c r="J662" s="45">
        <v>1</v>
      </c>
      <c r="K662" s="19">
        <f t="shared" si="75"/>
        <v>151.6196699934857</v>
      </c>
      <c r="L662" s="16">
        <f t="shared" si="76"/>
        <v>46.789840806980393</v>
      </c>
      <c r="M662" s="45"/>
    </row>
    <row r="663" spans="1:13" x14ac:dyDescent="0.25">
      <c r="A663" s="16">
        <v>8.8000000000000007</v>
      </c>
      <c r="B663" s="45">
        <f t="shared" si="77"/>
        <v>8800</v>
      </c>
      <c r="C663" s="16">
        <f t="shared" si="78"/>
        <v>15.43859649122807</v>
      </c>
      <c r="D663" s="15">
        <f t="shared" si="79"/>
        <v>2.7153962704000002E+20</v>
      </c>
      <c r="E663" s="15">
        <f>FORECAST($C663, OFFSET('De Vaucouleurs Deprojection'!$F$3:$F$126, MATCH($C663, 'De Vaucouleurs Deprojection'!$A$3:$A$126,1)-1,0,2), OFFSET('De Vaucouleurs Deprojection'!$A$3:$A$126, MATCH($C663, 'De Vaucouleurs Deprojection'!$A$3:$A$126,1)-1,0,2))*LCDMTotalBulgeMass</f>
        <v>1.8223481914785965E+40</v>
      </c>
      <c r="F663" s="15">
        <f t="shared" si="72"/>
        <v>3.9781733920868065E+39</v>
      </c>
      <c r="G663" s="15">
        <f t="shared" si="73"/>
        <v>7.1332820366228806E+40</v>
      </c>
      <c r="H663" s="15">
        <f t="shared" si="74"/>
        <v>9.3534475673101582E+40</v>
      </c>
      <c r="I663" s="16">
        <v>144.89431999999999</v>
      </c>
      <c r="J663" s="45">
        <v>1</v>
      </c>
      <c r="K663" s="19">
        <f t="shared" si="75"/>
        <v>151.62295398278931</v>
      </c>
      <c r="L663" s="16">
        <f t="shared" si="76"/>
        <v>45.274515274347252</v>
      </c>
      <c r="M663" s="45"/>
    </row>
    <row r="664" spans="1:13" x14ac:dyDescent="0.25">
      <c r="A664" s="16">
        <v>8.85</v>
      </c>
      <c r="B664" s="45">
        <f t="shared" si="77"/>
        <v>8850</v>
      </c>
      <c r="C664" s="16">
        <f t="shared" si="78"/>
        <v>15.526315789473685</v>
      </c>
      <c r="D664" s="15">
        <f t="shared" si="79"/>
        <v>2.7308246583E+20</v>
      </c>
      <c r="E664" s="15">
        <f>FORECAST($C664, OFFSET('De Vaucouleurs Deprojection'!$F$3:$F$126, MATCH($C664, 'De Vaucouleurs Deprojection'!$A$3:$A$126,1)-1,0,2), OFFSET('De Vaucouleurs Deprojection'!$A$3:$A$126, MATCH($C664, 'De Vaucouleurs Deprojection'!$A$3:$A$126,1)-1,0,2))*LCDMTotalBulgeMass</f>
        <v>1.8227542889263157E+40</v>
      </c>
      <c r="F664" s="15">
        <f t="shared" si="72"/>
        <v>3.978175389322858E+39</v>
      </c>
      <c r="G664" s="15">
        <f t="shared" si="73"/>
        <v>7.1864298878324858E+40</v>
      </c>
      <c r="H664" s="15">
        <f t="shared" si="74"/>
        <v>9.4070017156910874E+40</v>
      </c>
      <c r="I664" s="16">
        <v>145.02498</v>
      </c>
      <c r="J664" s="45">
        <v>1</v>
      </c>
      <c r="K664" s="19">
        <f t="shared" si="75"/>
        <v>151.62625475364837</v>
      </c>
      <c r="L664" s="16">
        <f t="shared" si="76"/>
        <v>43.57682837315533</v>
      </c>
      <c r="M664" s="45"/>
    </row>
    <row r="665" spans="1:13" x14ac:dyDescent="0.25">
      <c r="A665" s="16">
        <v>8.9</v>
      </c>
      <c r="B665" s="45">
        <f t="shared" si="77"/>
        <v>8900</v>
      </c>
      <c r="C665" s="16">
        <f t="shared" si="78"/>
        <v>15.614035087719298</v>
      </c>
      <c r="D665" s="15">
        <f t="shared" si="79"/>
        <v>2.7462530462000002E+20</v>
      </c>
      <c r="E665" s="15">
        <f>FORECAST($C665, OFFSET('De Vaucouleurs Deprojection'!$F$3:$F$126, MATCH($C665, 'De Vaucouleurs Deprojection'!$A$3:$A$126,1)-1,0,2), OFFSET('De Vaucouleurs Deprojection'!$A$3:$A$126, MATCH($C665, 'De Vaucouleurs Deprojection'!$A$3:$A$126,1)-1,0,2))*LCDMTotalBulgeMass</f>
        <v>1.8231603863740351E+40</v>
      </c>
      <c r="F665" s="15">
        <f t="shared" si="72"/>
        <v>3.9781772372801666E+39</v>
      </c>
      <c r="G665" s="15">
        <f t="shared" si="73"/>
        <v>7.2395835629906494E+40</v>
      </c>
      <c r="H665" s="15">
        <f t="shared" si="74"/>
        <v>9.460561673092701E+40</v>
      </c>
      <c r="I665" s="16">
        <v>145.16813999999999</v>
      </c>
      <c r="J665" s="45">
        <v>1</v>
      </c>
      <c r="K665" s="19">
        <f t="shared" si="75"/>
        <v>151.62956491872086</v>
      </c>
      <c r="L665" s="16">
        <f t="shared" si="76"/>
        <v>41.750011980266947</v>
      </c>
      <c r="M665" s="45"/>
    </row>
    <row r="666" spans="1:13" x14ac:dyDescent="0.25">
      <c r="A666" s="16">
        <v>8.9499999999999993</v>
      </c>
      <c r="B666" s="45">
        <f t="shared" si="77"/>
        <v>8950</v>
      </c>
      <c r="C666" s="16">
        <f t="shared" si="78"/>
        <v>15.701754385964913</v>
      </c>
      <c r="D666" s="15">
        <f t="shared" si="79"/>
        <v>2.7616814340999997E+20</v>
      </c>
      <c r="E666" s="15">
        <f>FORECAST($C666, OFFSET('De Vaucouleurs Deprojection'!$F$3:$F$126, MATCH($C666, 'De Vaucouleurs Deprojection'!$A$3:$A$126,1)-1,0,2), OFFSET('De Vaucouleurs Deprojection'!$A$3:$A$126, MATCH($C666, 'De Vaucouleurs Deprojection'!$A$3:$A$126,1)-1,0,2))*LCDMTotalBulgeMass</f>
        <v>1.8235664838217541E+40</v>
      </c>
      <c r="F666" s="15">
        <f t="shared" si="72"/>
        <v>3.9781789470619488E+39</v>
      </c>
      <c r="G666" s="15">
        <f t="shared" si="73"/>
        <v>7.2927421890089587E+40</v>
      </c>
      <c r="H666" s="15">
        <f t="shared" si="74"/>
        <v>9.5141265675369083E+40</v>
      </c>
      <c r="I666" s="16">
        <v>145.31970000000001</v>
      </c>
      <c r="J666" s="45">
        <v>1</v>
      </c>
      <c r="K666" s="19">
        <f t="shared" si="75"/>
        <v>151.63287737010262</v>
      </c>
      <c r="L666" s="16">
        <f t="shared" si="76"/>
        <v>39.85620850637568</v>
      </c>
      <c r="M666" s="45"/>
    </row>
    <row r="667" spans="1:13" x14ac:dyDescent="0.25">
      <c r="A667" s="16">
        <v>9</v>
      </c>
      <c r="B667" s="45">
        <f t="shared" si="77"/>
        <v>9000</v>
      </c>
      <c r="C667" s="16">
        <f t="shared" si="78"/>
        <v>15.789473684210526</v>
      </c>
      <c r="D667" s="15">
        <f t="shared" si="79"/>
        <v>2.7771098219999999E+20</v>
      </c>
      <c r="E667" s="15">
        <f>FORECAST($C667, OFFSET('De Vaucouleurs Deprojection'!$F$3:$F$126, MATCH($C667, 'De Vaucouleurs Deprojection'!$A$3:$A$126,1)-1,0,2), OFFSET('De Vaucouleurs Deprojection'!$A$3:$A$126, MATCH($C667, 'De Vaucouleurs Deprojection'!$A$3:$A$126,1)-1,0,2))*LCDMTotalBulgeMass</f>
        <v>1.8239725812694736E+40</v>
      </c>
      <c r="F667" s="15">
        <f t="shared" si="72"/>
        <v>3.9781805289502168E+39</v>
      </c>
      <c r="G667" s="15">
        <f t="shared" si="73"/>
        <v>7.3459049069261233E+40</v>
      </c>
      <c r="H667" s="15">
        <f t="shared" si="74"/>
        <v>9.5676955410906188E+40</v>
      </c>
      <c r="I667" s="16">
        <v>145.47577999999999</v>
      </c>
      <c r="J667" s="45">
        <v>1</v>
      </c>
      <c r="K667" s="19">
        <f t="shared" si="75"/>
        <v>151.63618526974412</v>
      </c>
      <c r="L667" s="16">
        <f t="shared" si="76"/>
        <v>37.950593087491271</v>
      </c>
      <c r="M667" s="45"/>
    </row>
    <row r="668" spans="1:13" x14ac:dyDescent="0.25">
      <c r="A668" s="16">
        <v>9.0500000000000007</v>
      </c>
      <c r="B668" s="45">
        <f t="shared" si="77"/>
        <v>9050</v>
      </c>
      <c r="C668" s="16">
        <f t="shared" si="78"/>
        <v>15.87719298245614</v>
      </c>
      <c r="D668" s="15">
        <f t="shared" si="79"/>
        <v>2.7925382099000004E+20</v>
      </c>
      <c r="E668" s="15">
        <f>FORECAST($C668, OFFSET('De Vaucouleurs Deprojection'!$F$3:$F$126, MATCH($C668, 'De Vaucouleurs Deprojection'!$A$3:$A$126,1)-1,0,2), OFFSET('De Vaucouleurs Deprojection'!$A$3:$A$126, MATCH($C668, 'De Vaucouleurs Deprojection'!$A$3:$A$126,1)-1,0,2))*LCDMTotalBulgeMass</f>
        <v>1.8243786787171928E+40</v>
      </c>
      <c r="F668" s="15">
        <f t="shared" si="72"/>
        <v>3.978181992466116E+39</v>
      </c>
      <c r="G668" s="15">
        <f t="shared" si="73"/>
        <v>7.3990708716772064E+40</v>
      </c>
      <c r="H668" s="15">
        <f t="shared" si="74"/>
        <v>9.621267749641012E+40</v>
      </c>
      <c r="I668" s="16">
        <v>145.63338999999999</v>
      </c>
      <c r="J668" s="45">
        <v>1</v>
      </c>
      <c r="K668" s="19">
        <f t="shared" si="75"/>
        <v>151.63948204021236</v>
      </c>
      <c r="L668" s="16">
        <f t="shared" si="76"/>
        <v>36.073141595502335</v>
      </c>
      <c r="M668" s="45"/>
    </row>
    <row r="669" spans="1:13" x14ac:dyDescent="0.25">
      <c r="A669" s="16">
        <v>9.1</v>
      </c>
      <c r="B669" s="45">
        <f t="shared" si="77"/>
        <v>9100</v>
      </c>
      <c r="C669" s="16">
        <f t="shared" si="78"/>
        <v>15.964912280701755</v>
      </c>
      <c r="D669" s="15">
        <f t="shared" si="79"/>
        <v>2.8079665977999999E+20</v>
      </c>
      <c r="E669" s="15">
        <f>FORECAST($C669, OFFSET('De Vaucouleurs Deprojection'!$F$3:$F$126, MATCH($C669, 'De Vaucouleurs Deprojection'!$A$3:$A$126,1)-1,0,2), OFFSET('De Vaucouleurs Deprojection'!$A$3:$A$126, MATCH($C669, 'De Vaucouleurs Deprojection'!$A$3:$A$126,1)-1,0,2))*LCDMTotalBulgeMass</f>
        <v>1.824784776164912E+40</v>
      </c>
      <c r="F669" s="15">
        <f t="shared" si="72"/>
        <v>3.9781833464258626E+39</v>
      </c>
      <c r="G669" s="15">
        <f t="shared" si="73"/>
        <v>7.4522392518670124E+40</v>
      </c>
      <c r="H669" s="15">
        <f t="shared" si="74"/>
        <v>9.6748423626745106E+40</v>
      </c>
      <c r="I669" s="16">
        <v>145.79033000000001</v>
      </c>
      <c r="J669" s="45">
        <v>1</v>
      </c>
      <c r="K669" s="19">
        <f t="shared" si="75"/>
        <v>151.64276135578385</v>
      </c>
      <c r="L669" s="16">
        <f t="shared" si="76"/>
        <v>34.250952774161824</v>
      </c>
      <c r="M669" s="45"/>
    </row>
    <row r="670" spans="1:13" x14ac:dyDescent="0.25">
      <c r="A670" s="16">
        <v>9.15</v>
      </c>
      <c r="B670" s="45">
        <f t="shared" si="77"/>
        <v>9150</v>
      </c>
      <c r="C670" s="16">
        <f t="shared" si="78"/>
        <v>16.05263157894737</v>
      </c>
      <c r="D670" s="15">
        <f t="shared" si="79"/>
        <v>2.8233949857000001E+20</v>
      </c>
      <c r="E670" s="15">
        <f>FORECAST($C670, OFFSET('De Vaucouleurs Deprojection'!$F$3:$F$126, MATCH($C670, 'De Vaucouleurs Deprojection'!$A$3:$A$126,1)-1,0,2), OFFSET('De Vaucouleurs Deprojection'!$A$3:$A$126, MATCH($C670, 'De Vaucouleurs Deprojection'!$A$3:$A$126,1)-1,0,2))*LCDMTotalBulgeMass</f>
        <v>1.8251908736126315E+40</v>
      </c>
      <c r="F670" s="15">
        <f t="shared" si="72"/>
        <v>3.9781845989926071E+39</v>
      </c>
      <c r="G670" s="15">
        <f t="shared" si="73"/>
        <v>7.5054092295476434E+40</v>
      </c>
      <c r="H670" s="15">
        <f t="shared" si="74"/>
        <v>9.7284185630595357E+40</v>
      </c>
      <c r="I670" s="16">
        <v>145.94492</v>
      </c>
      <c r="J670" s="45">
        <v>1</v>
      </c>
      <c r="K670" s="19">
        <f t="shared" si="75"/>
        <v>151.6460171338563</v>
      </c>
      <c r="L670" s="16">
        <f t="shared" si="76"/>
        <v>32.50250852966461</v>
      </c>
      <c r="M670" s="45"/>
    </row>
    <row r="671" spans="1:13" x14ac:dyDescent="0.25">
      <c r="A671" s="16">
        <v>9.1999999999999993</v>
      </c>
      <c r="B671" s="45">
        <f t="shared" si="77"/>
        <v>9200</v>
      </c>
      <c r="C671" s="16">
        <f t="shared" si="78"/>
        <v>16.140350877192983</v>
      </c>
      <c r="D671" s="15">
        <f t="shared" si="79"/>
        <v>2.8388233735999999E+20</v>
      </c>
      <c r="E671" s="15">
        <f>FORECAST($C671, OFFSET('De Vaucouleurs Deprojection'!$F$3:$F$126, MATCH($C671, 'De Vaucouleurs Deprojection'!$A$3:$A$126,1)-1,0,2), OFFSET('De Vaucouleurs Deprojection'!$A$3:$A$126, MATCH($C671, 'De Vaucouleurs Deprojection'!$A$3:$A$126,1)-1,0,2))*LCDMTotalBulgeMass</f>
        <v>1.8255969710603507E+40</v>
      </c>
      <c r="F671" s="15">
        <f t="shared" si="72"/>
        <v>3.978185757724497E+39</v>
      </c>
      <c r="G671" s="15">
        <f t="shared" si="73"/>
        <v>7.5585800000000011E+40</v>
      </c>
      <c r="H671" s="15">
        <f t="shared" si="74"/>
        <v>9.7819955468328014E+40</v>
      </c>
      <c r="I671" s="16">
        <v>146.09585999999999</v>
      </c>
      <c r="J671" s="45">
        <v>1</v>
      </c>
      <c r="K671" s="19">
        <f t="shared" si="75"/>
        <v>151.64924352666617</v>
      </c>
      <c r="L671" s="16">
        <f t="shared" si="76"/>
        <v>30.84006859424731</v>
      </c>
      <c r="M671" s="45"/>
    </row>
    <row r="672" spans="1:13" x14ac:dyDescent="0.25">
      <c r="A672" s="16">
        <v>9.25</v>
      </c>
      <c r="B672" s="45">
        <f t="shared" si="77"/>
        <v>9250</v>
      </c>
      <c r="C672" s="16">
        <f t="shared" si="78"/>
        <v>16.228070175438596</v>
      </c>
      <c r="D672" s="15">
        <f t="shared" si="79"/>
        <v>2.8542517615000001E+20</v>
      </c>
      <c r="E672" s="15">
        <f>FORECAST($C672, OFFSET('De Vaucouleurs Deprojection'!$F$3:$F$126, MATCH($C672, 'De Vaucouleurs Deprojection'!$A$3:$A$126,1)-1,0,2), OFFSET('De Vaucouleurs Deprojection'!$A$3:$A$126, MATCH($C672, 'De Vaucouleurs Deprojection'!$A$3:$A$126,1)-1,0,2))*LCDMTotalBulgeMass</f>
        <v>1.8260030685080701E+40</v>
      </c>
      <c r="F672" s="15">
        <f t="shared" si="72"/>
        <v>3.9781868296192478E+39</v>
      </c>
      <c r="G672" s="15">
        <f t="shared" si="73"/>
        <v>7.6117507715192831E+40</v>
      </c>
      <c r="H672" s="15">
        <f t="shared" si="74"/>
        <v>9.8355725229892775E+40</v>
      </c>
      <c r="I672" s="16">
        <v>146.24258</v>
      </c>
      <c r="J672" s="45">
        <v>1</v>
      </c>
      <c r="K672" s="19">
        <f t="shared" si="75"/>
        <v>151.65243491330082</v>
      </c>
      <c r="L672" s="16">
        <f t="shared" si="76"/>
        <v>29.266530182965013</v>
      </c>
      <c r="M672" s="45"/>
    </row>
    <row r="673" spans="1:13" x14ac:dyDescent="0.25">
      <c r="A673" s="16">
        <v>9.3000000000000007</v>
      </c>
      <c r="B673" s="45">
        <f t="shared" si="77"/>
        <v>9300</v>
      </c>
      <c r="C673" s="16">
        <f t="shared" si="78"/>
        <v>16.315789473684209</v>
      </c>
      <c r="D673" s="15">
        <f t="shared" si="79"/>
        <v>2.8696801494000003E+20</v>
      </c>
      <c r="E673" s="15">
        <f>FORECAST($C673, OFFSET('De Vaucouleurs Deprojection'!$F$3:$F$126, MATCH($C673, 'De Vaucouleurs Deprojection'!$A$3:$A$126,1)-1,0,2), OFFSET('De Vaucouleurs Deprojection'!$A$3:$A$126, MATCH($C673, 'De Vaucouleurs Deprojection'!$A$3:$A$126,1)-1,0,2))*LCDMTotalBulgeMass</f>
        <v>1.8264091659557893E+40</v>
      </c>
      <c r="F673" s="15">
        <f t="shared" si="72"/>
        <v>3.9781878211554341E+39</v>
      </c>
      <c r="G673" s="15">
        <f t="shared" si="73"/>
        <v>7.6649207652043366E+40</v>
      </c>
      <c r="H673" s="15">
        <f t="shared" si="74"/>
        <v>9.8891487132756693E+40</v>
      </c>
      <c r="I673" s="16">
        <v>146.38564</v>
      </c>
      <c r="J673" s="45">
        <v>1</v>
      </c>
      <c r="K673" s="19">
        <f t="shared" si="75"/>
        <v>151.65558589199415</v>
      </c>
      <c r="L673" s="16">
        <f t="shared" si="76"/>
        <v>27.772329704546067</v>
      </c>
      <c r="M673" s="45"/>
    </row>
    <row r="674" spans="1:13" x14ac:dyDescent="0.25">
      <c r="A674" s="16">
        <v>9.35</v>
      </c>
      <c r="B674" s="45">
        <f t="shared" si="77"/>
        <v>9350</v>
      </c>
      <c r="C674" s="16">
        <f t="shared" si="78"/>
        <v>16.403508771929825</v>
      </c>
      <c r="D674" s="15">
        <f t="shared" si="79"/>
        <v>2.8851085372999998E+20</v>
      </c>
      <c r="E674" s="15">
        <f>FORECAST($C674, OFFSET('De Vaucouleurs Deprojection'!$F$3:$F$126, MATCH($C674, 'De Vaucouleurs Deprojection'!$A$3:$A$126,1)-1,0,2), OFFSET('De Vaucouleurs Deprojection'!$A$3:$A$126, MATCH($C674, 'De Vaucouleurs Deprojection'!$A$3:$A$126,1)-1,0,2))*LCDMTotalBulgeMass</f>
        <v>1.8268152634035085E+40</v>
      </c>
      <c r="F674" s="15">
        <f t="shared" si="72"/>
        <v>3.9781887383307777E+39</v>
      </c>
      <c r="G674" s="15">
        <f t="shared" si="73"/>
        <v>7.7180892147507218E+40</v>
      </c>
      <c r="H674" s="15">
        <f t="shared" si="74"/>
        <v>9.9427233519873075E+40</v>
      </c>
      <c r="I674" s="16">
        <v>146.52674999999999</v>
      </c>
      <c r="J674" s="45">
        <v>1</v>
      </c>
      <c r="K674" s="19">
        <f t="shared" si="75"/>
        <v>151.65869127269366</v>
      </c>
      <c r="L674" s="16">
        <f t="shared" si="76"/>
        <v>26.336821226376685</v>
      </c>
      <c r="M674" s="45"/>
    </row>
    <row r="675" spans="1:13" x14ac:dyDescent="0.25">
      <c r="A675" s="16">
        <v>9.4</v>
      </c>
      <c r="B675" s="45">
        <f t="shared" si="77"/>
        <v>9400</v>
      </c>
      <c r="C675" s="16">
        <f t="shared" si="78"/>
        <v>16.491228070175438</v>
      </c>
      <c r="D675" s="15">
        <f t="shared" si="79"/>
        <v>2.9005369252E+20</v>
      </c>
      <c r="E675" s="15">
        <f>FORECAST($C675, OFFSET('De Vaucouleurs Deprojection'!$F$3:$F$126, MATCH($C675, 'De Vaucouleurs Deprojection'!$A$3:$A$126,1)-1,0,2), OFFSET('De Vaucouleurs Deprojection'!$A$3:$A$126, MATCH($C675, 'De Vaucouleurs Deprojection'!$A$3:$A$126,1)-1,0,2))*LCDMTotalBulgeMass</f>
        <v>1.827221360851228E+40</v>
      </c>
      <c r="F675" s="15">
        <f t="shared" si="72"/>
        <v>3.9781895866976202E+39</v>
      </c>
      <c r="G675" s="15">
        <f t="shared" si="73"/>
        <v>7.7712553662476247E+40</v>
      </c>
      <c r="H675" s="15">
        <f t="shared" si="74"/>
        <v>9.9962956857686145E+40</v>
      </c>
      <c r="I675" s="16">
        <v>146.66846000000001</v>
      </c>
      <c r="J675" s="45">
        <v>1</v>
      </c>
      <c r="K675" s="19">
        <f t="shared" si="75"/>
        <v>151.66174606989054</v>
      </c>
      <c r="L675" s="16">
        <f t="shared" si="76"/>
        <v>24.932905775762816</v>
      </c>
      <c r="M675" s="45"/>
    </row>
    <row r="676" spans="1:13" x14ac:dyDescent="0.25">
      <c r="A676" s="16">
        <v>9.4499999999999993</v>
      </c>
      <c r="B676" s="45">
        <f t="shared" si="77"/>
        <v>9450</v>
      </c>
      <c r="C676" s="16">
        <f t="shared" si="78"/>
        <v>16.578947368421051</v>
      </c>
      <c r="D676" s="15">
        <f t="shared" si="79"/>
        <v>2.9159653130999998E+20</v>
      </c>
      <c r="E676" s="15">
        <f>FORECAST($C676, OFFSET('De Vaucouleurs Deprojection'!$F$3:$F$126, MATCH($C676, 'De Vaucouleurs Deprojection'!$A$3:$A$126,1)-1,0,2), OFFSET('De Vaucouleurs Deprojection'!$A$3:$A$126, MATCH($C676, 'De Vaucouleurs Deprojection'!$A$3:$A$126,1)-1,0,2))*LCDMTotalBulgeMass</f>
        <v>1.8276274582989472E+40</v>
      </c>
      <c r="F676" s="15">
        <f t="shared" si="72"/>
        <v>3.9781903713958048E+39</v>
      </c>
      <c r="G676" s="15">
        <f t="shared" si="73"/>
        <v>7.8244184779782445E+40</v>
      </c>
      <c r="H676" s="15">
        <f t="shared" si="74"/>
        <v>1.0049864973416772E+41</v>
      </c>
      <c r="I676" s="16">
        <v>146.81332</v>
      </c>
      <c r="J676" s="45">
        <v>1</v>
      </c>
      <c r="K676" s="19">
        <f t="shared" si="75"/>
        <v>151.66474549570094</v>
      </c>
      <c r="L676" s="16">
        <f t="shared" si="76"/>
        <v>23.536329340337083</v>
      </c>
      <c r="M676" s="45"/>
    </row>
    <row r="677" spans="1:13" x14ac:dyDescent="0.25">
      <c r="A677" s="16">
        <v>9.5</v>
      </c>
      <c r="B677" s="45">
        <f t="shared" si="77"/>
        <v>9500</v>
      </c>
      <c r="C677" s="16">
        <f t="shared" si="78"/>
        <v>16.666666666666668</v>
      </c>
      <c r="D677" s="15">
        <f t="shared" si="79"/>
        <v>2.931393701E+20</v>
      </c>
      <c r="E677" s="15">
        <f>FORECAST($C677, OFFSET('De Vaucouleurs Deprojection'!$F$3:$F$126, MATCH($C677, 'De Vaucouleurs Deprojection'!$A$3:$A$126,1)-1,0,2), OFFSET('De Vaucouleurs Deprojection'!$A$3:$A$126, MATCH($C677, 'De Vaucouleurs Deprojection'!$A$3:$A$126,1)-1,0,2))*LCDMTotalBulgeMass</f>
        <v>1.8280335557466667E+40</v>
      </c>
      <c r="F677" s="15">
        <f t="shared" si="72"/>
        <v>3.9781910971831394E+39</v>
      </c>
      <c r="G677" s="15">
        <f t="shared" si="73"/>
        <v>7.877577820223823E+40</v>
      </c>
      <c r="H677" s="15">
        <f t="shared" si="74"/>
        <v>1.0103430485688804E+41</v>
      </c>
      <c r="I677" s="16">
        <v>146.96329</v>
      </c>
      <c r="J677" s="45">
        <v>1</v>
      </c>
      <c r="K677" s="19">
        <f t="shared" si="75"/>
        <v>151.66768495319005</v>
      </c>
      <c r="L677" s="16">
        <f t="shared" si="76"/>
        <v>22.131331875599979</v>
      </c>
      <c r="M677" s="45"/>
    </row>
    <row r="678" spans="1:13" x14ac:dyDescent="0.25">
      <c r="A678" s="16">
        <v>9.5500000000000007</v>
      </c>
      <c r="B678" s="45">
        <f t="shared" si="77"/>
        <v>9550</v>
      </c>
      <c r="C678" s="16">
        <f t="shared" si="78"/>
        <v>16.754385964912281</v>
      </c>
      <c r="D678" s="15">
        <f t="shared" si="79"/>
        <v>2.9468220889000002E+20</v>
      </c>
      <c r="E678" s="15">
        <f>FORECAST($C678, OFFSET('De Vaucouleurs Deprojection'!$F$3:$F$126, MATCH($C678, 'De Vaucouleurs Deprojection'!$A$3:$A$126,1)-1,0,2), OFFSET('De Vaucouleurs Deprojection'!$A$3:$A$126, MATCH($C678, 'De Vaucouleurs Deprojection'!$A$3:$A$126,1)-1,0,2))*LCDMTotalBulgeMass</f>
        <v>1.8284396531943859E+40</v>
      </c>
      <c r="F678" s="15">
        <f t="shared" si="72"/>
        <v>3.9781917684636319E+39</v>
      </c>
      <c r="G678" s="15">
        <f t="shared" si="73"/>
        <v>7.9307326750712012E+40</v>
      </c>
      <c r="H678" s="15">
        <f t="shared" si="74"/>
        <v>1.015699150511195E+41</v>
      </c>
      <c r="I678" s="16">
        <v>147.11967000000001</v>
      </c>
      <c r="J678" s="45">
        <v>1</v>
      </c>
      <c r="K678" s="19">
        <f t="shared" si="75"/>
        <v>151.67056002992959</v>
      </c>
      <c r="L678" s="16">
        <f t="shared" si="76"/>
        <v>20.710600064512416</v>
      </c>
      <c r="M678" s="45"/>
    </row>
    <row r="679" spans="1:13" x14ac:dyDescent="0.25">
      <c r="A679" s="16">
        <v>9.6</v>
      </c>
      <c r="B679" s="45">
        <f t="shared" si="77"/>
        <v>9600</v>
      </c>
      <c r="C679" s="16">
        <f t="shared" si="78"/>
        <v>16.842105263157894</v>
      </c>
      <c r="D679" s="15">
        <f t="shared" si="79"/>
        <v>2.9622504768E+20</v>
      </c>
      <c r="E679" s="15">
        <f>FORECAST($C679, OFFSET('De Vaucouleurs Deprojection'!$F$3:$F$126, MATCH($C679, 'De Vaucouleurs Deprojection'!$A$3:$A$126,1)-1,0,2), OFFSET('De Vaucouleurs Deprojection'!$A$3:$A$126, MATCH($C679, 'De Vaucouleurs Deprojection'!$A$3:$A$126,1)-1,0,2))*LCDMTotalBulgeMass</f>
        <v>1.8288457506421051E+40</v>
      </c>
      <c r="F679" s="15">
        <f t="shared" si="72"/>
        <v>3.9781923893136551E+39</v>
      </c>
      <c r="G679" s="15">
        <f t="shared" si="73"/>
        <v>7.9838823362236581E+40</v>
      </c>
      <c r="H679" s="15">
        <f t="shared" si="74"/>
        <v>1.0210547325797128E+41</v>
      </c>
      <c r="I679" s="16">
        <v>147.28344999999999</v>
      </c>
      <c r="J679" s="45">
        <v>1</v>
      </c>
      <c r="K679" s="19">
        <f t="shared" si="75"/>
        <v>151.67336649177952</v>
      </c>
      <c r="L679" s="16">
        <f t="shared" si="76"/>
        <v>19.2713668047979</v>
      </c>
      <c r="M679" s="45"/>
    </row>
    <row r="680" spans="1:13" x14ac:dyDescent="0.25">
      <c r="A680" s="16">
        <v>9.65</v>
      </c>
      <c r="B680" s="45">
        <f t="shared" si="77"/>
        <v>9650</v>
      </c>
      <c r="C680" s="16">
        <f t="shared" si="78"/>
        <v>16.92982456140351</v>
      </c>
      <c r="D680" s="15">
        <f t="shared" si="79"/>
        <v>2.9776788647000002E+20</v>
      </c>
      <c r="E680" s="15">
        <f>FORECAST($C680, OFFSET('De Vaucouleurs Deprojection'!$F$3:$F$126, MATCH($C680, 'De Vaucouleurs Deprojection'!$A$3:$A$126,1)-1,0,2), OFFSET('De Vaucouleurs Deprojection'!$A$3:$A$126, MATCH($C680, 'De Vaucouleurs Deprojection'!$A$3:$A$126,1)-1,0,2))*LCDMTotalBulgeMass</f>
        <v>1.8292518480898243E+40</v>
      </c>
      <c r="F680" s="15">
        <f t="shared" ref="F680:F743" si="80">2*PI()*LCDMDiskSurfaceDensity*LCDMScaleLength*(LCDMScaleLength-EXP(-RadiusPc/LCDMScaleLength)*(RadiusPc+LCDMScaleLength))*SolarMass</f>
        <v>3.9781929635061764E+39</v>
      </c>
      <c r="G680" s="15">
        <f t="shared" ref="G680:G743" si="81">4*PI()*LCDMHaloRepresentativeDensity*LCDMHaloScaleLengthPc^3*(LN(1+RadiusPc/LCDMHaloScaleLengthPc)-RadiusPc/(RadiusPc+LCDMHaloScaleLengthPc))*SolarMass</f>
        <v>8.037026108815229E+40</v>
      </c>
      <c r="H680" s="15">
        <f t="shared" ref="H680:H743" si="82">BulgeMass+DiskMass+HaloMass</f>
        <v>1.0264097253255672E+41</v>
      </c>
      <c r="I680" s="16">
        <v>147.45536999999999</v>
      </c>
      <c r="J680" s="45">
        <v>1</v>
      </c>
      <c r="K680" s="19">
        <f t="shared" ref="K680:K743" si="83">SQRT(TotalMass*GravitationalConstant/RadiusKm)/km</f>
        <v>151.67610027688605</v>
      </c>
      <c r="L680" s="16">
        <f t="shared" ref="L680:L743" si="84">(ObservedVelocity-ModelVelocity)^2/(VelocityError)^2</f>
        <v>17.814564070222666</v>
      </c>
      <c r="M680" s="45"/>
    </row>
    <row r="681" spans="1:13" x14ac:dyDescent="0.25">
      <c r="A681" s="16">
        <v>9.6999999999999993</v>
      </c>
      <c r="B681" s="45">
        <f t="shared" ref="B681:B744" si="85">A681*1000</f>
        <v>9700</v>
      </c>
      <c r="C681" s="16">
        <f t="shared" ref="C681:C744" si="86">B681/LCDMBulgeEffectiveRadius</f>
        <v>17.017543859649123</v>
      </c>
      <c r="D681" s="15">
        <f t="shared" ref="D681:D744" si="87">A681*kpc</f>
        <v>2.9931072525999997E+20</v>
      </c>
      <c r="E681" s="15">
        <f>FORECAST($C681, OFFSET('De Vaucouleurs Deprojection'!$F$3:$F$126, MATCH($C681, 'De Vaucouleurs Deprojection'!$A$3:$A$126,1)-1,0,2), OFFSET('De Vaucouleurs Deprojection'!$A$3:$A$126, MATCH($C681, 'De Vaucouleurs Deprojection'!$A$3:$A$126,1)-1,0,2))*LCDMTotalBulgeMass</f>
        <v>1.8296579455375438E+40</v>
      </c>
      <c r="F681" s="15">
        <f t="shared" si="80"/>
        <v>3.9781934945332234E+39</v>
      </c>
      <c r="G681" s="15">
        <f t="shared" si="81"/>
        <v>8.0901633092282852E+40</v>
      </c>
      <c r="H681" s="15">
        <f t="shared" si="82"/>
        <v>1.031764060421915E+41</v>
      </c>
      <c r="I681" s="16">
        <v>147.63594000000001</v>
      </c>
      <c r="J681" s="45">
        <v>1</v>
      </c>
      <c r="K681" s="19">
        <f t="shared" si="83"/>
        <v>151.67875748988811</v>
      </c>
      <c r="L681" s="16">
        <f t="shared" si="84"/>
        <v>16.344373256545182</v>
      </c>
      <c r="M681" s="45"/>
    </row>
    <row r="682" spans="1:13" x14ac:dyDescent="0.25">
      <c r="A682" s="16">
        <v>9.75</v>
      </c>
      <c r="B682" s="45">
        <f t="shared" si="85"/>
        <v>9750</v>
      </c>
      <c r="C682" s="16">
        <f t="shared" si="86"/>
        <v>17.105263157894736</v>
      </c>
      <c r="D682" s="15">
        <f t="shared" si="87"/>
        <v>3.0085356404999999E+20</v>
      </c>
      <c r="E682" s="15">
        <f>FORECAST($C682, OFFSET('De Vaucouleurs Deprojection'!$F$3:$F$126, MATCH($C682, 'De Vaucouleurs Deprojection'!$A$3:$A$126,1)-1,0,2), OFFSET('De Vaucouleurs Deprojection'!$A$3:$A$126, MATCH($C682, 'De Vaucouleurs Deprojection'!$A$3:$A$126,1)-1,0,2))*LCDMTotalBulgeMass</f>
        <v>1.830064042985263E+40</v>
      </c>
      <c r="F682" s="15">
        <f t="shared" si="80"/>
        <v>3.9781939856266839E+39</v>
      </c>
      <c r="G682" s="15">
        <f t="shared" si="81"/>
        <v>8.1432932649142379E+40</v>
      </c>
      <c r="H682" s="15">
        <f t="shared" si="82"/>
        <v>1.0371176706462169E+41</v>
      </c>
      <c r="I682" s="16">
        <v>147.82500999999999</v>
      </c>
      <c r="J682" s="45">
        <v>1</v>
      </c>
      <c r="K682" s="19">
        <f t="shared" si="83"/>
        <v>151.68133439632331</v>
      </c>
      <c r="L682" s="16">
        <f t="shared" si="84"/>
        <v>14.871237849678389</v>
      </c>
      <c r="M682" s="45"/>
    </row>
    <row r="683" spans="1:13" x14ac:dyDescent="0.25">
      <c r="A683" s="16">
        <v>9.8000000000000007</v>
      </c>
      <c r="B683" s="45">
        <f t="shared" si="85"/>
        <v>9800</v>
      </c>
      <c r="C683" s="16">
        <f t="shared" si="86"/>
        <v>17.192982456140349</v>
      </c>
      <c r="D683" s="15">
        <f t="shared" si="87"/>
        <v>3.0239640284E+20</v>
      </c>
      <c r="E683" s="15">
        <f>FORECAST($C683, OFFSET('De Vaucouleurs Deprojection'!$F$3:$F$126, MATCH($C683, 'De Vaucouleurs Deprojection'!$A$3:$A$126,1)-1,0,2), OFFSET('De Vaucouleurs Deprojection'!$A$3:$A$126, MATCH($C683, 'De Vaucouleurs Deprojection'!$A$3:$A$126,1)-1,0,2))*LCDMTotalBulgeMass</f>
        <v>1.8304701404329822E+40</v>
      </c>
      <c r="F683" s="15">
        <f t="shared" si="80"/>
        <v>3.978194439777585E+39</v>
      </c>
      <c r="G683" s="15">
        <f t="shared" si="81"/>
        <v>8.1964153142175198E+40</v>
      </c>
      <c r="H683" s="15">
        <f t="shared" si="82"/>
        <v>1.042470489862826E+41</v>
      </c>
      <c r="I683" s="16">
        <v>148.02172999999999</v>
      </c>
      <c r="J683" s="45">
        <v>1</v>
      </c>
      <c r="K683" s="19">
        <f t="shared" si="83"/>
        <v>151.68382741722732</v>
      </c>
      <c r="L683" s="16">
        <f t="shared" si="84"/>
        <v>13.410957493263076</v>
      </c>
      <c r="M683" s="45"/>
    </row>
    <row r="684" spans="1:13" x14ac:dyDescent="0.25">
      <c r="A684" s="16">
        <v>9.85</v>
      </c>
      <c r="B684" s="45">
        <f t="shared" si="85"/>
        <v>9850</v>
      </c>
      <c r="C684" s="16">
        <f t="shared" si="86"/>
        <v>17.280701754385966</v>
      </c>
      <c r="D684" s="15">
        <f t="shared" si="87"/>
        <v>3.0393924163000002E+20</v>
      </c>
      <c r="E684" s="15">
        <f>FORECAST($C684, OFFSET('De Vaucouleurs Deprojection'!$F$3:$F$126, MATCH($C684, 'De Vaucouleurs Deprojection'!$A$3:$A$126,1)-1,0,2), OFFSET('De Vaucouleurs Deprojection'!$A$3:$A$126, MATCH($C684, 'De Vaucouleurs Deprojection'!$A$3:$A$126,1)-1,0,2))*LCDMTotalBulgeMass</f>
        <v>1.8308762378807016E+40</v>
      </c>
      <c r="F684" s="15">
        <f t="shared" si="80"/>
        <v>3.9781948597539435E+39</v>
      </c>
      <c r="G684" s="15">
        <f t="shared" si="81"/>
        <v>8.249528806202593E+40</v>
      </c>
      <c r="H684" s="15">
        <f t="shared" si="82"/>
        <v>1.0478224530058689E+41</v>
      </c>
      <c r="I684" s="16">
        <v>148.22481999999999</v>
      </c>
      <c r="J684" s="45">
        <v>1</v>
      </c>
      <c r="K684" s="19">
        <f t="shared" si="83"/>
        <v>151.68623312391927</v>
      </c>
      <c r="L684" s="16">
        <f t="shared" si="84"/>
        <v>11.98138081444057</v>
      </c>
      <c r="M684" s="45"/>
    </row>
    <row r="685" spans="1:13" x14ac:dyDescent="0.25">
      <c r="A685" s="16">
        <v>9.9</v>
      </c>
      <c r="B685" s="45">
        <f t="shared" si="85"/>
        <v>9900</v>
      </c>
      <c r="C685" s="16">
        <f t="shared" si="86"/>
        <v>17.368421052631579</v>
      </c>
      <c r="D685" s="15">
        <f t="shared" si="87"/>
        <v>3.0548208042000004E+20</v>
      </c>
      <c r="E685" s="15">
        <f>FORECAST($C685, OFFSET('De Vaucouleurs Deprojection'!$F$3:$F$126, MATCH($C685, 'De Vaucouleurs Deprojection'!$A$3:$A$126,1)-1,0,2), OFFSET('De Vaucouleurs Deprojection'!$A$3:$A$126, MATCH($C685, 'De Vaucouleurs Deprojection'!$A$3:$A$126,1)-1,0,2))*LCDMTotalBulgeMass</f>
        <v>1.8312823353284209E+40</v>
      </c>
      <c r="F685" s="15">
        <f t="shared" si="80"/>
        <v>3.9781952481173131E+39</v>
      </c>
      <c r="G685" s="15">
        <f t="shared" si="81"/>
        <v>8.3026331004839767E+40</v>
      </c>
      <c r="H685" s="15">
        <f t="shared" si="82"/>
        <v>1.0531734960624128E+41</v>
      </c>
      <c r="I685" s="16">
        <v>148.43297999999999</v>
      </c>
      <c r="J685" s="45">
        <v>1</v>
      </c>
      <c r="K685" s="19">
        <f t="shared" si="83"/>
        <v>151.68854823296491</v>
      </c>
      <c r="L685" s="16">
        <f t="shared" si="84"/>
        <v>10.598724519490323</v>
      </c>
      <c r="M685" s="45"/>
    </row>
    <row r="686" spans="1:13" x14ac:dyDescent="0.25">
      <c r="A686" s="16">
        <v>9.9499999999999993</v>
      </c>
      <c r="B686" s="45">
        <f t="shared" si="85"/>
        <v>9950</v>
      </c>
      <c r="C686" s="16">
        <f t="shared" si="86"/>
        <v>17.456140350877192</v>
      </c>
      <c r="D686" s="15">
        <f t="shared" si="87"/>
        <v>3.0702491920999999E+20</v>
      </c>
      <c r="E686" s="15">
        <f>FORECAST($C686, OFFSET('De Vaucouleurs Deprojection'!$F$3:$F$126, MATCH($C686, 'De Vaucouleurs Deprojection'!$A$3:$A$126,1)-1,0,2), OFFSET('De Vaucouleurs Deprojection'!$A$3:$A$126, MATCH($C686, 'De Vaucouleurs Deprojection'!$A$3:$A$126,1)-1,0,2))*LCDMTotalBulgeMass</f>
        <v>1.8316884327761403E+40</v>
      </c>
      <c r="F686" s="15">
        <f t="shared" si="80"/>
        <v>3.9781956072380982E+39</v>
      </c>
      <c r="G686" s="15">
        <f t="shared" si="81"/>
        <v>8.3557275670592872E+40</v>
      </c>
      <c r="H686" s="15">
        <f t="shared" si="82"/>
        <v>1.0585235560559238E+41</v>
      </c>
      <c r="I686" s="16">
        <v>148.64491000000001</v>
      </c>
      <c r="J686" s="45">
        <v>1</v>
      </c>
      <c r="K686" s="19">
        <f t="shared" si="83"/>
        <v>151.69076960131346</v>
      </c>
      <c r="L686" s="16">
        <f t="shared" si="84"/>
        <v>9.2772607109133443</v>
      </c>
      <c r="M686" s="45"/>
    </row>
    <row r="687" spans="1:13" x14ac:dyDescent="0.25">
      <c r="A687" s="16">
        <v>10</v>
      </c>
      <c r="B687" s="45">
        <f t="shared" si="85"/>
        <v>10000</v>
      </c>
      <c r="C687" s="16">
        <f t="shared" si="86"/>
        <v>17.543859649122808</v>
      </c>
      <c r="D687" s="15">
        <f t="shared" si="87"/>
        <v>3.0856775800000001E+20</v>
      </c>
      <c r="E687" s="15">
        <f>FORECAST($C687, OFFSET('De Vaucouleurs Deprojection'!$F$3:$F$126, MATCH($C687, 'De Vaucouleurs Deprojection'!$A$3:$A$126,1)-1,0,2), OFFSET('De Vaucouleurs Deprojection'!$A$3:$A$126, MATCH($C687, 'De Vaucouleurs Deprojection'!$A$3:$A$126,1)-1,0,2))*LCDMTotalBulgeMass</f>
        <v>1.8320945302238595E+40</v>
      </c>
      <c r="F687" s="15">
        <f t="shared" si="80"/>
        <v>3.978195939309749E+39</v>
      </c>
      <c r="G687" s="15">
        <f t="shared" si="81"/>
        <v>8.4088115861452024E+40</v>
      </c>
      <c r="H687" s="15">
        <f t="shared" si="82"/>
        <v>1.0638725710300037E+41</v>
      </c>
      <c r="I687" s="16">
        <v>148.85920999999999</v>
      </c>
      <c r="J687" s="45">
        <v>1</v>
      </c>
      <c r="K687" s="19">
        <f t="shared" si="83"/>
        <v>151.69289422159969</v>
      </c>
      <c r="L687" s="16">
        <f t="shared" si="84"/>
        <v>8.0297662677430797</v>
      </c>
      <c r="M687" s="45"/>
    </row>
    <row r="688" spans="1:13" x14ac:dyDescent="0.25">
      <c r="A688" s="16">
        <v>10.050000000000001</v>
      </c>
      <c r="B688" s="45">
        <f t="shared" si="85"/>
        <v>10050</v>
      </c>
      <c r="C688" s="16">
        <f t="shared" si="86"/>
        <v>17.631578947368421</v>
      </c>
      <c r="D688" s="15">
        <f t="shared" si="87"/>
        <v>3.1011059679000003E+20</v>
      </c>
      <c r="E688" s="15">
        <f>FORECAST($C688, OFFSET('De Vaucouleurs Deprojection'!$F$3:$F$126, MATCH($C688, 'De Vaucouleurs Deprojection'!$A$3:$A$126,1)-1,0,2), OFFSET('De Vaucouleurs Deprojection'!$A$3:$A$126, MATCH($C688, 'De Vaucouleurs Deprojection'!$A$3:$A$126,1)-1,0,2))*LCDMTotalBulgeMass</f>
        <v>1.832500627671579E+40</v>
      </c>
      <c r="F688" s="15">
        <f t="shared" si="80"/>
        <v>3.9781962463619002E+39</v>
      </c>
      <c r="G688" s="15">
        <f t="shared" si="81"/>
        <v>8.4618845480161912E+40</v>
      </c>
      <c r="H688" s="15">
        <f t="shared" si="82"/>
        <v>1.0692204800323961E+41</v>
      </c>
      <c r="I688" s="16">
        <v>149.07422</v>
      </c>
      <c r="J688" s="45">
        <v>1</v>
      </c>
      <c r="K688" s="19">
        <f t="shared" si="83"/>
        <v>151.69491921760559</v>
      </c>
      <c r="L688" s="16">
        <f t="shared" si="84"/>
        <v>6.8680643891585547</v>
      </c>
      <c r="M688" s="45"/>
    </row>
    <row r="689" spans="1:13" x14ac:dyDescent="0.25">
      <c r="A689" s="16">
        <v>10.1</v>
      </c>
      <c r="B689" s="45">
        <f t="shared" si="85"/>
        <v>10100</v>
      </c>
      <c r="C689" s="16">
        <f t="shared" si="86"/>
        <v>17.719298245614034</v>
      </c>
      <c r="D689" s="15">
        <f t="shared" si="87"/>
        <v>3.1165343557999998E+20</v>
      </c>
      <c r="E689" s="15">
        <f>FORECAST($C689, OFFSET('De Vaucouleurs Deprojection'!$F$3:$F$126, MATCH($C689, 'De Vaucouleurs Deprojection'!$A$3:$A$126,1)-1,0,2), OFFSET('De Vaucouleurs Deprojection'!$A$3:$A$126, MATCH($C689, 'De Vaucouleurs Deprojection'!$A$3:$A$126,1)-1,0,2))*LCDMTotalBulgeMass</f>
        <v>1.8329067251192982E+40</v>
      </c>
      <c r="F689" s="15">
        <f t="shared" si="80"/>
        <v>3.9781965302725522E+39</v>
      </c>
      <c r="G689" s="15">
        <f t="shared" si="81"/>
        <v>8.514945852846143E+40</v>
      </c>
      <c r="H689" s="15">
        <f t="shared" si="82"/>
        <v>1.0745672230992697E+41</v>
      </c>
      <c r="I689" s="16">
        <v>149.28827999999999</v>
      </c>
      <c r="J689" s="45">
        <v>1</v>
      </c>
      <c r="K689" s="19">
        <f t="shared" si="83"/>
        <v>151.69684183987695</v>
      </c>
      <c r="L689" s="16">
        <f t="shared" si="84"/>
        <v>5.8011701365115194</v>
      </c>
      <c r="M689" s="45"/>
    </row>
    <row r="690" spans="1:13" x14ac:dyDescent="0.25">
      <c r="A690" s="16">
        <v>10.15</v>
      </c>
      <c r="B690" s="45">
        <f t="shared" si="85"/>
        <v>10150</v>
      </c>
      <c r="C690" s="16">
        <f t="shared" si="86"/>
        <v>17.807017543859651</v>
      </c>
      <c r="D690" s="15">
        <f t="shared" si="87"/>
        <v>3.1319627436999999E+20</v>
      </c>
      <c r="E690" s="15">
        <f>FORECAST($C690, OFFSET('De Vaucouleurs Deprojection'!$F$3:$F$126, MATCH($C690, 'De Vaucouleurs Deprojection'!$A$3:$A$126,1)-1,0,2), OFFSET('De Vaucouleurs Deprojection'!$A$3:$A$126, MATCH($C690, 'De Vaucouleurs Deprojection'!$A$3:$A$126,1)-1,0,2))*LCDMTotalBulgeMass</f>
        <v>1.8333128225670174E+40</v>
      </c>
      <c r="F690" s="15">
        <f t="shared" si="80"/>
        <v>3.9781967927793357E+39</v>
      </c>
      <c r="G690" s="15">
        <f t="shared" si="81"/>
        <v>8.5679949105527392E+40</v>
      </c>
      <c r="H690" s="15">
        <f t="shared" si="82"/>
        <v>1.079912741239769E+41</v>
      </c>
      <c r="I690" s="16">
        <v>149.49985000000001</v>
      </c>
      <c r="J690" s="45">
        <v>1</v>
      </c>
      <c r="K690" s="19">
        <f t="shared" si="83"/>
        <v>151.69865946148812</v>
      </c>
      <c r="L690" s="16">
        <f t="shared" si="84"/>
        <v>4.8347630479296351</v>
      </c>
      <c r="M690" s="45"/>
    </row>
    <row r="691" spans="1:13" x14ac:dyDescent="0.25">
      <c r="A691" s="16">
        <v>10.199999999999999</v>
      </c>
      <c r="B691" s="45">
        <f t="shared" si="85"/>
        <v>10200</v>
      </c>
      <c r="C691" s="16">
        <f t="shared" si="86"/>
        <v>17.894736842105264</v>
      </c>
      <c r="D691" s="15">
        <f t="shared" si="87"/>
        <v>3.1473911315999995E+20</v>
      </c>
      <c r="E691" s="15">
        <f>FORECAST($C691, OFFSET('De Vaucouleurs Deprojection'!$F$3:$F$126, MATCH($C691, 'De Vaucouleurs Deprojection'!$A$3:$A$126,1)-1,0,2), OFFSET('De Vaucouleurs Deprojection'!$A$3:$A$126, MATCH($C691, 'De Vaucouleurs Deprojection'!$A$3:$A$126,1)-1,0,2))*LCDMTotalBulgeMass</f>
        <v>1.8337189200147369E+40</v>
      </c>
      <c r="F691" s="15">
        <f t="shared" si="80"/>
        <v>3.9781970354899583E+39</v>
      </c>
      <c r="G691" s="15">
        <f t="shared" si="81"/>
        <v>8.6210311406444173E+40</v>
      </c>
      <c r="H691" s="15">
        <f t="shared" si="82"/>
        <v>1.085256976420815E+41</v>
      </c>
      <c r="I691" s="16">
        <v>149.70762999999999</v>
      </c>
      <c r="J691" s="45">
        <v>1</v>
      </c>
      <c r="K691" s="19">
        <f t="shared" si="83"/>
        <v>151.70036957394947</v>
      </c>
      <c r="L691" s="16">
        <f t="shared" si="84"/>
        <v>3.9710110095843487</v>
      </c>
      <c r="M691" s="45"/>
    </row>
    <row r="692" spans="1:13" x14ac:dyDescent="0.25">
      <c r="A692" s="16">
        <v>10.25</v>
      </c>
      <c r="B692" s="45">
        <f t="shared" si="85"/>
        <v>10250</v>
      </c>
      <c r="C692" s="16">
        <f t="shared" si="86"/>
        <v>17.982456140350877</v>
      </c>
      <c r="D692" s="15">
        <f t="shared" si="87"/>
        <v>3.1628195195000003E+20</v>
      </c>
      <c r="E692" s="15">
        <f>FORECAST($C692, OFFSET('De Vaucouleurs Deprojection'!$F$3:$F$126, MATCH($C692, 'De Vaucouleurs Deprojection'!$A$3:$A$126,1)-1,0,2), OFFSET('De Vaucouleurs Deprojection'!$A$3:$A$126, MATCH($C692, 'De Vaucouleurs Deprojection'!$A$3:$A$126,1)-1,0,2))*LCDMTotalBulgeMass</f>
        <v>1.8341250174624561E+40</v>
      </c>
      <c r="F692" s="15">
        <f t="shared" si="80"/>
        <v>3.9781972598918673E+39</v>
      </c>
      <c r="G692" s="15">
        <f t="shared" si="81"/>
        <v>8.6740539720701008E+40</v>
      </c>
      <c r="H692" s="15">
        <f t="shared" si="82"/>
        <v>1.0905998715521743E+41</v>
      </c>
      <c r="I692" s="16">
        <v>149.91057000000001</v>
      </c>
      <c r="J692" s="45">
        <v>1</v>
      </c>
      <c r="K692" s="19">
        <f t="shared" si="83"/>
        <v>151.70196978325325</v>
      </c>
      <c r="L692" s="16">
        <f t="shared" si="84"/>
        <v>3.2091131834397562</v>
      </c>
      <c r="M692" s="45"/>
    </row>
    <row r="693" spans="1:13" x14ac:dyDescent="0.25">
      <c r="A693" s="16">
        <v>10.3</v>
      </c>
      <c r="B693" s="45">
        <f t="shared" si="85"/>
        <v>10300</v>
      </c>
      <c r="C693" s="16">
        <f t="shared" si="86"/>
        <v>18.07017543859649</v>
      </c>
      <c r="D693" s="15">
        <f t="shared" si="87"/>
        <v>3.1782479074000005E+20</v>
      </c>
      <c r="E693" s="15">
        <f>FORECAST($C693, OFFSET('De Vaucouleurs Deprojection'!$F$3:$F$126, MATCH($C693, 'De Vaucouleurs Deprojection'!$A$3:$A$126,1)-1,0,2), OFFSET('De Vaucouleurs Deprojection'!$A$3:$A$126, MATCH($C693, 'De Vaucouleurs Deprojection'!$A$3:$A$126,1)-1,0,2))*LCDMTotalBulgeMass</f>
        <v>1.8345311149101755E+40</v>
      </c>
      <c r="F693" s="15">
        <f t="shared" si="80"/>
        <v>3.9781974673612082E+39</v>
      </c>
      <c r="G693" s="15">
        <f t="shared" si="81"/>
        <v>8.7270628430714659E+40</v>
      </c>
      <c r="H693" s="15">
        <f t="shared" si="82"/>
        <v>1.0959413704717762E+41</v>
      </c>
      <c r="I693" s="16">
        <v>150.10757000000001</v>
      </c>
      <c r="J693" s="45">
        <v>1</v>
      </c>
      <c r="K693" s="19">
        <f t="shared" si="83"/>
        <v>151.70345780605271</v>
      </c>
      <c r="L693" s="16">
        <f t="shared" si="84"/>
        <v>2.5468578895077045</v>
      </c>
      <c r="M693" s="45"/>
    </row>
    <row r="694" spans="1:13" x14ac:dyDescent="0.25">
      <c r="A694" s="16">
        <v>10.35</v>
      </c>
      <c r="B694" s="45">
        <f t="shared" si="85"/>
        <v>10350</v>
      </c>
      <c r="C694" s="16">
        <f t="shared" si="86"/>
        <v>18.157894736842106</v>
      </c>
      <c r="D694" s="15">
        <f t="shared" si="87"/>
        <v>3.1936762953E+20</v>
      </c>
      <c r="E694" s="15">
        <f>FORECAST($C694, OFFSET('De Vaucouleurs Deprojection'!$F$3:$F$126, MATCH($C694, 'De Vaucouleurs Deprojection'!$A$3:$A$126,1)-1,0,2), OFFSET('De Vaucouleurs Deprojection'!$A$3:$A$126, MATCH($C694, 'De Vaucouleurs Deprojection'!$A$3:$A$126,1)-1,0,2))*LCDMTotalBulgeMass</f>
        <v>1.8349372123578947E+40</v>
      </c>
      <c r="F694" s="15">
        <f t="shared" si="80"/>
        <v>3.9781976591711087E+39</v>
      </c>
      <c r="G694" s="15">
        <f t="shared" si="81"/>
        <v>8.7800572010376759E+40</v>
      </c>
      <c r="H694" s="15">
        <f t="shared" si="82"/>
        <v>1.1012814179312682E+41</v>
      </c>
      <c r="I694" s="16">
        <v>150.29781</v>
      </c>
      <c r="J694" s="45">
        <v>1</v>
      </c>
      <c r="K694" s="19">
        <f t="shared" si="83"/>
        <v>151.7048314659682</v>
      </c>
      <c r="L694" s="16">
        <f t="shared" si="84"/>
        <v>1.9797094056953011</v>
      </c>
      <c r="M694" s="45"/>
    </row>
    <row r="695" spans="1:13" x14ac:dyDescent="0.25">
      <c r="A695" s="16">
        <v>10.4</v>
      </c>
      <c r="B695" s="45">
        <f t="shared" si="85"/>
        <v>10400</v>
      </c>
      <c r="C695" s="16">
        <f t="shared" si="86"/>
        <v>18.245614035087719</v>
      </c>
      <c r="D695" s="15">
        <f t="shared" si="87"/>
        <v>3.2091046832000002E+20</v>
      </c>
      <c r="E695" s="15">
        <f>FORECAST($C695, OFFSET('De Vaucouleurs Deprojection'!$F$3:$F$126, MATCH($C695, 'De Vaucouleurs Deprojection'!$A$3:$A$126,1)-1,0,2), OFFSET('De Vaucouleurs Deprojection'!$A$3:$A$126, MATCH($C695, 'De Vaucouleurs Deprojection'!$A$3:$A$126,1)-1,0,2))*LCDMTotalBulgeMass</f>
        <v>1.835343309805614E+40</v>
      </c>
      <c r="F695" s="15">
        <f t="shared" si="80"/>
        <v>3.9781978364993587E+39</v>
      </c>
      <c r="G695" s="15">
        <f t="shared" si="81"/>
        <v>8.8330365023627744E+40</v>
      </c>
      <c r="H695" s="15">
        <f t="shared" si="82"/>
        <v>1.1066199595818324E+41</v>
      </c>
      <c r="I695" s="16">
        <v>150.48111</v>
      </c>
      <c r="J695" s="45">
        <v>1</v>
      </c>
      <c r="K695" s="19">
        <f t="shared" si="83"/>
        <v>151.7060886900185</v>
      </c>
      <c r="L695" s="16">
        <f t="shared" si="84"/>
        <v>1.5005727909994475</v>
      </c>
      <c r="M695" s="45"/>
    </row>
    <row r="696" spans="1:13" x14ac:dyDescent="0.25">
      <c r="A696" s="16">
        <v>10.45</v>
      </c>
      <c r="B696" s="45">
        <f t="shared" si="85"/>
        <v>10450</v>
      </c>
      <c r="C696" s="16">
        <f t="shared" si="86"/>
        <v>18.333333333333332</v>
      </c>
      <c r="D696" s="15">
        <f t="shared" si="87"/>
        <v>3.2245330710999997E+20</v>
      </c>
      <c r="E696" s="15">
        <f>FORECAST($C696, OFFSET('De Vaucouleurs Deprojection'!$F$3:$F$126, MATCH($C696, 'De Vaucouleurs Deprojection'!$A$3:$A$126,1)-1,0,2), OFFSET('De Vaucouleurs Deprojection'!$A$3:$A$126, MATCH($C696, 'De Vaucouleurs Deprojection'!$A$3:$A$126,1)-1,0,2))*LCDMTotalBulgeMass</f>
        <v>1.8357494072533332E+40</v>
      </c>
      <c r="F696" s="15">
        <f t="shared" si="80"/>
        <v>3.978198000435516E+39</v>
      </c>
      <c r="G696" s="15">
        <f t="shared" si="81"/>
        <v>8.8860002123053928E+40</v>
      </c>
      <c r="H696" s="15">
        <f t="shared" si="82"/>
        <v>1.1119569419602278E+41</v>
      </c>
      <c r="I696" s="16">
        <v>150.65842000000001</v>
      </c>
      <c r="J696" s="45">
        <v>1</v>
      </c>
      <c r="K696" s="19">
        <f t="shared" si="83"/>
        <v>151.70722750517058</v>
      </c>
      <c r="L696" s="16">
        <f t="shared" si="84"/>
        <v>1.0999971829021196</v>
      </c>
      <c r="M696" s="45"/>
    </row>
    <row r="697" spans="1:13" x14ac:dyDescent="0.25">
      <c r="A697" s="16">
        <v>10.5</v>
      </c>
      <c r="B697" s="45">
        <f t="shared" si="85"/>
        <v>10500</v>
      </c>
      <c r="C697" s="16">
        <f t="shared" si="86"/>
        <v>18.421052631578949</v>
      </c>
      <c r="D697" s="15">
        <f t="shared" si="87"/>
        <v>3.2399614589999999E+20</v>
      </c>
      <c r="E697" s="15">
        <f>FORECAST($C697, OFFSET('De Vaucouleurs Deprojection'!$F$3:$F$126, MATCH($C697, 'De Vaucouleurs Deprojection'!$A$3:$A$126,1)-1,0,2), OFFSET('De Vaucouleurs Deprojection'!$A$3:$A$126, MATCH($C697, 'De Vaucouleurs Deprojection'!$A$3:$A$126,1)-1,0,2))*LCDMTotalBulgeMass</f>
        <v>1.8361555047010524E+40</v>
      </c>
      <c r="F697" s="15">
        <f t="shared" si="80"/>
        <v>3.9781981519874844E+39</v>
      </c>
      <c r="G697" s="15">
        <f t="shared" si="81"/>
        <v>8.9389478048508082E+40</v>
      </c>
      <c r="H697" s="15">
        <f t="shared" si="82"/>
        <v>1.117292312475061E+41</v>
      </c>
      <c r="I697" s="16">
        <v>150.83161999999999</v>
      </c>
      <c r="J697" s="45">
        <v>1</v>
      </c>
      <c r="K697" s="19">
        <f t="shared" si="83"/>
        <v>151.70824603500327</v>
      </c>
      <c r="L697" s="16">
        <f t="shared" si="84"/>
        <v>0.76847320524557838</v>
      </c>
      <c r="M697" s="45"/>
    </row>
    <row r="698" spans="1:13" x14ac:dyDescent="0.25">
      <c r="A698" s="16">
        <v>10.55</v>
      </c>
      <c r="B698" s="45">
        <f t="shared" si="85"/>
        <v>10550</v>
      </c>
      <c r="C698" s="16">
        <f t="shared" si="86"/>
        <v>18.508771929824562</v>
      </c>
      <c r="D698" s="15">
        <f t="shared" si="87"/>
        <v>3.2553898469E+20</v>
      </c>
      <c r="E698" s="15">
        <f>FORECAST($C698, OFFSET('De Vaucouleurs Deprojection'!$F$3:$F$126, MATCH($C698, 'De Vaucouleurs Deprojection'!$A$3:$A$126,1)-1,0,2), OFFSET('De Vaucouleurs Deprojection'!$A$3:$A$126, MATCH($C698, 'De Vaucouleurs Deprojection'!$A$3:$A$126,1)-1,0,2))*LCDMTotalBulgeMass</f>
        <v>1.8365616021487718E+40</v>
      </c>
      <c r="F698" s="15">
        <f t="shared" si="80"/>
        <v>3.9781982920876073E+39</v>
      </c>
      <c r="G698" s="15">
        <f t="shared" si="81"/>
        <v>8.9918787625755762E+40</v>
      </c>
      <c r="H698" s="15">
        <f t="shared" si="82"/>
        <v>1.122626019393311E+41</v>
      </c>
      <c r="I698" s="16">
        <v>151.00309999999999</v>
      </c>
      <c r="J698" s="45">
        <v>1</v>
      </c>
      <c r="K698" s="19">
        <f t="shared" si="83"/>
        <v>151.70914249648445</v>
      </c>
      <c r="L698" s="16">
        <f t="shared" si="84"/>
        <v>0.49849600684200468</v>
      </c>
      <c r="M698" s="45"/>
    </row>
    <row r="699" spans="1:13" x14ac:dyDescent="0.25">
      <c r="A699" s="16">
        <v>10.6</v>
      </c>
      <c r="B699" s="45">
        <f t="shared" si="85"/>
        <v>10600</v>
      </c>
      <c r="C699" s="16">
        <f t="shared" si="86"/>
        <v>18.596491228070175</v>
      </c>
      <c r="D699" s="15">
        <f t="shared" si="87"/>
        <v>3.2708182348000002E+20</v>
      </c>
      <c r="E699" s="15">
        <f>FORECAST($C699, OFFSET('De Vaucouleurs Deprojection'!$F$3:$F$126, MATCH($C699, 'De Vaucouleurs Deprojection'!$A$3:$A$126,1)-1,0,2), OFFSET('De Vaucouleurs Deprojection'!$A$3:$A$126, MATCH($C699, 'De Vaucouleurs Deprojection'!$A$3:$A$126,1)-1,0,2))*LCDMTotalBulgeMass</f>
        <v>1.8369676995964911E+40</v>
      </c>
      <c r="F699" s="15">
        <f t="shared" si="80"/>
        <v>3.9781984215983059E+39</v>
      </c>
      <c r="G699" s="15">
        <f t="shared" si="81"/>
        <v>9.0447925765142012E+40</v>
      </c>
      <c r="H699" s="15">
        <f t="shared" si="82"/>
        <v>1.1279580118270523E+41</v>
      </c>
      <c r="I699" s="16">
        <v>151.17492999999999</v>
      </c>
      <c r="J699" s="45">
        <v>1</v>
      </c>
      <c r="K699" s="19">
        <f t="shared" si="83"/>
        <v>151.70991519685234</v>
      </c>
      <c r="L699" s="16">
        <f t="shared" si="84"/>
        <v>0.28620916085114412</v>
      </c>
      <c r="M699" s="45"/>
    </row>
    <row r="700" spans="1:13" x14ac:dyDescent="0.25">
      <c r="A700" s="16">
        <v>10.65</v>
      </c>
      <c r="B700" s="45">
        <f t="shared" si="85"/>
        <v>10650</v>
      </c>
      <c r="C700" s="16">
        <f t="shared" si="86"/>
        <v>18.684210526315791</v>
      </c>
      <c r="D700" s="15">
        <f t="shared" si="87"/>
        <v>3.2862466227000004E+20</v>
      </c>
      <c r="E700" s="15">
        <f>FORECAST($C700, OFFSET('De Vaucouleurs Deprojection'!$F$3:$F$126, MATCH($C700, 'De Vaucouleurs Deprojection'!$A$3:$A$126,1)-1,0,2), OFFSET('De Vaucouleurs Deprojection'!$A$3:$A$126, MATCH($C700, 'De Vaucouleurs Deprojection'!$A$3:$A$126,1)-1,0,2))*LCDMTotalBulgeMass</f>
        <v>1.8373737970442105E+40</v>
      </c>
      <c r="F700" s="15">
        <f t="shared" si="80"/>
        <v>3.9781985413173032E+39</v>
      </c>
      <c r="G700" s="15">
        <f t="shared" si="81"/>
        <v>9.0976887460282378E+40</v>
      </c>
      <c r="H700" s="15">
        <f t="shared" si="82"/>
        <v>1.1332882397204179E+41</v>
      </c>
      <c r="I700" s="16">
        <v>151.34871999999999</v>
      </c>
      <c r="J700" s="45">
        <v>1</v>
      </c>
      <c r="K700" s="19">
        <f t="shared" si="83"/>
        <v>151.71056253060186</v>
      </c>
      <c r="L700" s="16">
        <f t="shared" si="84"/>
        <v>0.13093001695236989</v>
      </c>
      <c r="M700" s="45"/>
    </row>
    <row r="701" spans="1:13" x14ac:dyDescent="0.25">
      <c r="A701" s="16">
        <v>10.7</v>
      </c>
      <c r="B701" s="45">
        <f t="shared" si="85"/>
        <v>10700</v>
      </c>
      <c r="C701" s="16">
        <f t="shared" si="86"/>
        <v>18.771929824561404</v>
      </c>
      <c r="D701" s="15">
        <f t="shared" si="87"/>
        <v>3.3016750105999999E+20</v>
      </c>
      <c r="E701" s="15">
        <f>FORECAST($C701, OFFSET('De Vaucouleurs Deprojection'!$F$3:$F$126, MATCH($C701, 'De Vaucouleurs Deprojection'!$A$3:$A$126,1)-1,0,2), OFFSET('De Vaucouleurs Deprojection'!$A$3:$A$126, MATCH($C701, 'De Vaucouleurs Deprojection'!$A$3:$A$126,1)-1,0,2))*LCDMTotalBulgeMass</f>
        <v>1.8377798944919297E+40</v>
      </c>
      <c r="F701" s="15">
        <f t="shared" si="80"/>
        <v>3.9781986519824531E+39</v>
      </c>
      <c r="G701" s="15">
        <f t="shared" si="81"/>
        <v>9.1505667786776107E+40</v>
      </c>
      <c r="H701" s="15">
        <f t="shared" si="82"/>
        <v>1.1386166538367785E+41</v>
      </c>
      <c r="I701" s="16">
        <v>151.52565000000001</v>
      </c>
      <c r="J701" s="45">
        <v>1</v>
      </c>
      <c r="K701" s="19">
        <f t="shared" si="83"/>
        <v>151.71108297657011</v>
      </c>
      <c r="L701" s="16">
        <f t="shared" si="84"/>
        <v>3.4385388799646574E-2</v>
      </c>
      <c r="M701" s="45"/>
    </row>
    <row r="702" spans="1:13" x14ac:dyDescent="0.25">
      <c r="A702" s="16">
        <v>10.75</v>
      </c>
      <c r="B702" s="45">
        <f t="shared" si="85"/>
        <v>10750</v>
      </c>
      <c r="C702" s="16">
        <f t="shared" si="86"/>
        <v>18.859649122807017</v>
      </c>
      <c r="D702" s="15">
        <f t="shared" si="87"/>
        <v>3.3171033985000001E+20</v>
      </c>
      <c r="E702" s="15">
        <f>FORECAST($C702, OFFSET('De Vaucouleurs Deprojection'!$F$3:$F$126, MATCH($C702, 'De Vaucouleurs Deprojection'!$A$3:$A$126,1)-1,0,2), OFFSET('De Vaucouleurs Deprojection'!$A$3:$A$126, MATCH($C702, 'De Vaucouleurs Deprojection'!$A$3:$A$126,1)-1,0,2))*LCDMTotalBulgeMass</f>
        <v>1.8381859919396492E+40</v>
      </c>
      <c r="F702" s="15">
        <f t="shared" si="80"/>
        <v>3.9781987542762142E+39</v>
      </c>
      <c r="G702" s="15">
        <f t="shared" si="81"/>
        <v>9.2034261900939789E+40</v>
      </c>
      <c r="H702" s="15">
        <f t="shared" si="82"/>
        <v>1.1439432057461249E+41</v>
      </c>
      <c r="I702" s="16">
        <v>151.70653999999999</v>
      </c>
      <c r="J702" s="45">
        <v>1</v>
      </c>
      <c r="K702" s="19">
        <f t="shared" si="83"/>
        <v>151.71147509511735</v>
      </c>
      <c r="L702" s="16">
        <f t="shared" si="84"/>
        <v>2.4355163817398292E-5</v>
      </c>
      <c r="M702" s="45"/>
    </row>
    <row r="703" spans="1:13" x14ac:dyDescent="0.25">
      <c r="A703" s="16">
        <v>10.8</v>
      </c>
      <c r="B703" s="45">
        <f t="shared" si="85"/>
        <v>10800</v>
      </c>
      <c r="C703" s="16">
        <f t="shared" si="86"/>
        <v>18.94736842105263</v>
      </c>
      <c r="D703" s="15">
        <f t="shared" si="87"/>
        <v>3.3325317864000002E+20</v>
      </c>
      <c r="E703" s="15">
        <f>FORECAST($C703, OFFSET('De Vaucouleurs Deprojection'!$F$3:$F$126, MATCH($C703, 'De Vaucouleurs Deprojection'!$A$3:$A$126,1)-1,0,2), OFFSET('De Vaucouleurs Deprojection'!$A$3:$A$126, MATCH($C703, 'De Vaucouleurs Deprojection'!$A$3:$A$126,1)-1,0,2))*LCDMTotalBulgeMass</f>
        <v>1.8385920893873684E+40</v>
      </c>
      <c r="F703" s="15">
        <f t="shared" si="80"/>
        <v>3.9781988488297964E+39</v>
      </c>
      <c r="G703" s="15">
        <f t="shared" si="81"/>
        <v>9.2562665038563893E+40</v>
      </c>
      <c r="H703" s="15">
        <f t="shared" si="82"/>
        <v>1.1492678478126737E+41</v>
      </c>
      <c r="I703" s="16">
        <v>151.892</v>
      </c>
      <c r="J703" s="45">
        <v>1</v>
      </c>
      <c r="K703" s="19">
        <f t="shared" si="83"/>
        <v>151.7117375254013</v>
      </c>
      <c r="L703" s="16">
        <f t="shared" si="84"/>
        <v>3.2494559748444014E-2</v>
      </c>
      <c r="M703" s="45"/>
    </row>
    <row r="704" spans="1:13" x14ac:dyDescent="0.25">
      <c r="A704" s="16">
        <v>10.85</v>
      </c>
      <c r="B704" s="45">
        <f t="shared" si="85"/>
        <v>10850</v>
      </c>
      <c r="C704" s="16">
        <f t="shared" si="86"/>
        <v>19.035087719298247</v>
      </c>
      <c r="D704" s="15">
        <f t="shared" si="87"/>
        <v>3.3479601742999998E+20</v>
      </c>
      <c r="E704" s="15">
        <f>FORECAST($C704, OFFSET('De Vaucouleurs Deprojection'!$F$3:$F$126, MATCH($C704, 'De Vaucouleurs Deprojection'!$A$3:$A$126,1)-1,0,2), OFFSET('De Vaucouleurs Deprojection'!$A$3:$A$126, MATCH($C704, 'De Vaucouleurs Deprojection'!$A$3:$A$126,1)-1,0,2))*LCDMTotalBulgeMass</f>
        <v>1.8389981868350876E+40</v>
      </c>
      <c r="F704" s="15">
        <f t="shared" si="80"/>
        <v>3.9781989362269874E+39</v>
      </c>
      <c r="G704" s="15">
        <f t="shared" si="81"/>
        <v>9.3090872513689694E+40</v>
      </c>
      <c r="H704" s="15">
        <f t="shared" si="82"/>
        <v>1.1545905331826757E+41</v>
      </c>
      <c r="I704" s="16">
        <v>152.08179999999999</v>
      </c>
      <c r="J704" s="45">
        <v>1</v>
      </c>
      <c r="K704" s="19">
        <f t="shared" si="83"/>
        <v>151.71186898274118</v>
      </c>
      <c r="L704" s="16">
        <f t="shared" si="84"/>
        <v>0.13684895753013582</v>
      </c>
      <c r="M704" s="45"/>
    </row>
    <row r="705" spans="1:13" x14ac:dyDescent="0.25">
      <c r="A705" s="16">
        <v>10.9</v>
      </c>
      <c r="B705" s="45">
        <f t="shared" si="85"/>
        <v>10900</v>
      </c>
      <c r="C705" s="16">
        <f t="shared" si="86"/>
        <v>19.12280701754386</v>
      </c>
      <c r="D705" s="15">
        <f t="shared" si="87"/>
        <v>3.3633885621999999E+20</v>
      </c>
      <c r="E705" s="15">
        <f>FORECAST($C705, OFFSET('De Vaucouleurs Deprojection'!$F$3:$F$126, MATCH($C705, 'De Vaucouleurs Deprojection'!$A$3:$A$126,1)-1,0,2), OFFSET('De Vaucouleurs Deprojection'!$A$3:$A$126, MATCH($C705, 'De Vaucouleurs Deprojection'!$A$3:$A$126,1)-1,0,2))*LCDMTotalBulgeMass</f>
        <v>1.8394042842828071E+40</v>
      </c>
      <c r="F705" s="15">
        <f t="shared" si="80"/>
        <v>3.9781990170077014E+39</v>
      </c>
      <c r="G705" s="15">
        <f t="shared" si="81"/>
        <v>9.3618879717406172E+40</v>
      </c>
      <c r="H705" s="15">
        <f t="shared" si="82"/>
        <v>1.1599112157724194E+41</v>
      </c>
      <c r="I705" s="16">
        <v>152.27463</v>
      </c>
      <c r="J705" s="45">
        <v>1</v>
      </c>
      <c r="K705" s="19">
        <f t="shared" si="83"/>
        <v>151.71186825606685</v>
      </c>
      <c r="L705" s="16">
        <f t="shared" si="84"/>
        <v>0.31670078043468208</v>
      </c>
      <c r="M705" s="45"/>
    </row>
    <row r="706" spans="1:13" x14ac:dyDescent="0.25">
      <c r="A706" s="16">
        <v>10.95</v>
      </c>
      <c r="B706" s="45">
        <f t="shared" si="85"/>
        <v>10950</v>
      </c>
      <c r="C706" s="16">
        <f t="shared" si="86"/>
        <v>19.210526315789473</v>
      </c>
      <c r="D706" s="15">
        <f t="shared" si="87"/>
        <v>3.3788169500999995E+20</v>
      </c>
      <c r="E706" s="15">
        <f>FORECAST($C706, OFFSET('De Vaucouleurs Deprojection'!$F$3:$F$126, MATCH($C706, 'De Vaucouleurs Deprojection'!$A$3:$A$126,1)-1,0,2), OFFSET('De Vaucouleurs Deprojection'!$A$3:$A$126, MATCH($C706, 'De Vaucouleurs Deprojection'!$A$3:$A$126,1)-1,0,2))*LCDMTotalBulgeMass</f>
        <v>1.8398103817305263E+40</v>
      </c>
      <c r="F706" s="15">
        <f t="shared" si="80"/>
        <v>3.9781990916712671E+39</v>
      </c>
      <c r="G706" s="15">
        <f t="shared" si="81"/>
        <v>9.4146682116667879E+40</v>
      </c>
      <c r="H706" s="15">
        <f t="shared" si="82"/>
        <v>1.165229850256444E+41</v>
      </c>
      <c r="I706" s="16">
        <v>152.46797000000001</v>
      </c>
      <c r="J706" s="45">
        <v>1</v>
      </c>
      <c r="K706" s="19">
        <f t="shared" si="83"/>
        <v>151.71173420545296</v>
      </c>
      <c r="L706" s="16">
        <f t="shared" si="84"/>
        <v>0.57189257695421158</v>
      </c>
      <c r="M706" s="45"/>
    </row>
    <row r="707" spans="1:13" x14ac:dyDescent="0.25">
      <c r="A707" s="16">
        <v>11</v>
      </c>
      <c r="B707" s="45">
        <f t="shared" si="85"/>
        <v>11000</v>
      </c>
      <c r="C707" s="16">
        <f t="shared" si="86"/>
        <v>19.298245614035089</v>
      </c>
      <c r="D707" s="15">
        <f t="shared" si="87"/>
        <v>3.3942453380000003E+20</v>
      </c>
      <c r="E707" s="15">
        <f>FORECAST($C707, OFFSET('De Vaucouleurs Deprojection'!$F$3:$F$126, MATCH($C707, 'De Vaucouleurs Deprojection'!$A$3:$A$126,1)-1,0,2), OFFSET('De Vaucouleurs Deprojection'!$A$3:$A$126, MATCH($C707, 'De Vaucouleurs Deprojection'!$A$3:$A$126,1)-1,0,2))*LCDMTotalBulgeMass</f>
        <v>1.8402164791782457E+40</v>
      </c>
      <c r="F707" s="15">
        <f t="shared" si="80"/>
        <v>3.9781991606794621E+39</v>
      </c>
      <c r="G707" s="15">
        <f t="shared" si="81"/>
        <v>9.4674275253132777E+40</v>
      </c>
      <c r="H707" s="15">
        <f t="shared" si="82"/>
        <v>1.170546392055947E+41</v>
      </c>
      <c r="I707" s="16">
        <v>152.65864999999999</v>
      </c>
      <c r="J707" s="45">
        <v>1</v>
      </c>
      <c r="K707" s="19">
        <f t="shared" si="83"/>
        <v>151.71146575973259</v>
      </c>
      <c r="L707" s="16">
        <f t="shared" si="84"/>
        <v>0.89715798501093968</v>
      </c>
      <c r="M707" s="45"/>
    </row>
    <row r="708" spans="1:13" x14ac:dyDescent="0.25">
      <c r="A708" s="16">
        <v>11.05</v>
      </c>
      <c r="B708" s="45">
        <f t="shared" si="85"/>
        <v>11050</v>
      </c>
      <c r="C708" s="16">
        <f t="shared" si="86"/>
        <v>19.385964912280702</v>
      </c>
      <c r="D708" s="15">
        <f t="shared" si="87"/>
        <v>3.4096737259000005E+20</v>
      </c>
      <c r="E708" s="15">
        <f>FORECAST($C708, OFFSET('De Vaucouleurs Deprojection'!$F$3:$F$126, MATCH($C708, 'De Vaucouleurs Deprojection'!$A$3:$A$126,1)-1,0,2), OFFSET('De Vaucouleurs Deprojection'!$A$3:$A$126, MATCH($C708, 'De Vaucouleurs Deprojection'!$A$3:$A$126,1)-1,0,2))*LCDMTotalBulgeMass</f>
        <v>1.8406225766259647E+40</v>
      </c>
      <c r="F708" s="15">
        <f t="shared" si="80"/>
        <v>3.9781992244593261E+39</v>
      </c>
      <c r="G708" s="15">
        <f t="shared" si="81"/>
        <v>9.5201654742018197E+40</v>
      </c>
      <c r="H708" s="15">
        <f t="shared" si="82"/>
        <v>1.1758607973273717E+41</v>
      </c>
      <c r="I708" s="16">
        <v>152.84363999999999</v>
      </c>
      <c r="J708" s="45">
        <v>1</v>
      </c>
      <c r="K708" s="19">
        <f t="shared" si="83"/>
        <v>151.71106191418855</v>
      </c>
      <c r="L708" s="16">
        <f t="shared" si="84"/>
        <v>1.2827331204603183</v>
      </c>
      <c r="M708" s="45"/>
    </row>
    <row r="709" spans="1:13" x14ac:dyDescent="0.25">
      <c r="A709" s="16">
        <v>11.1</v>
      </c>
      <c r="B709" s="45">
        <f t="shared" si="85"/>
        <v>11100</v>
      </c>
      <c r="C709" s="16">
        <f t="shared" si="86"/>
        <v>19.473684210526315</v>
      </c>
      <c r="D709" s="15">
        <f t="shared" si="87"/>
        <v>3.4251021138E+20</v>
      </c>
      <c r="E709" s="15">
        <f>FORECAST($C709, OFFSET('De Vaucouleurs Deprojection'!$F$3:$F$126, MATCH($C709, 'De Vaucouleurs Deprojection'!$A$3:$A$126,1)-1,0,2), OFFSET('De Vaucouleurs Deprojection'!$A$3:$A$126, MATCH($C709, 'De Vaucouleurs Deprojection'!$A$3:$A$126,1)-1,0,2))*LCDMTotalBulgeMass</f>
        <v>1.8410286740736842E+40</v>
      </c>
      <c r="F709" s="15">
        <f t="shared" si="80"/>
        <v>3.9781992834057663E+39</v>
      </c>
      <c r="G709" s="15">
        <f t="shared" si="81"/>
        <v>9.5728816270977496E+40</v>
      </c>
      <c r="H709" s="15">
        <f t="shared" si="82"/>
        <v>1.1811730229512011E+41</v>
      </c>
      <c r="I709" s="16">
        <v>153.02065999999999</v>
      </c>
      <c r="J709" s="45">
        <v>1</v>
      </c>
      <c r="K709" s="19">
        <f t="shared" si="83"/>
        <v>151.71052172832046</v>
      </c>
      <c r="L709" s="16">
        <f t="shared" si="84"/>
        <v>1.7164622909194371</v>
      </c>
      <c r="M709" s="45"/>
    </row>
    <row r="710" spans="1:13" x14ac:dyDescent="0.25">
      <c r="A710" s="16">
        <v>11.15</v>
      </c>
      <c r="B710" s="45">
        <f t="shared" si="85"/>
        <v>11150</v>
      </c>
      <c r="C710" s="16">
        <f t="shared" si="86"/>
        <v>19.561403508771932</v>
      </c>
      <c r="D710" s="15">
        <f t="shared" si="87"/>
        <v>3.4405305017000002E+20</v>
      </c>
      <c r="E710" s="15">
        <f>FORECAST($C710, OFFSET('De Vaucouleurs Deprojection'!$F$3:$F$126, MATCH($C710, 'De Vaucouleurs Deprojection'!$A$3:$A$126,1)-1,0,2), OFFSET('De Vaucouleurs Deprojection'!$A$3:$A$126, MATCH($C710, 'De Vaucouleurs Deprojection'!$A$3:$A$126,1)-1,0,2))*LCDMTotalBulgeMass</f>
        <v>1.8414347715214034E+40</v>
      </c>
      <c r="F710" s="15">
        <f t="shared" si="80"/>
        <v>3.9781993378839628E+39</v>
      </c>
      <c r="G710" s="15">
        <f t="shared" si="81"/>
        <v>9.6255755598994488E+40</v>
      </c>
      <c r="H710" s="15">
        <f t="shared" si="82"/>
        <v>1.1864830265209249E+41</v>
      </c>
      <c r="I710" s="16">
        <v>153.18799000000001</v>
      </c>
      <c r="J710" s="45">
        <v>1</v>
      </c>
      <c r="K710" s="19">
        <f t="shared" si="83"/>
        <v>151.70984432368351</v>
      </c>
      <c r="L710" s="16">
        <f t="shared" si="84"/>
        <v>2.1849146404131665</v>
      </c>
      <c r="M710" s="45"/>
    </row>
    <row r="711" spans="1:13" x14ac:dyDescent="0.25">
      <c r="A711" s="16">
        <v>11.2</v>
      </c>
      <c r="B711" s="45">
        <f t="shared" si="85"/>
        <v>11200</v>
      </c>
      <c r="C711" s="16">
        <f t="shared" si="86"/>
        <v>19.649122807017545</v>
      </c>
      <c r="D711" s="15">
        <f t="shared" si="87"/>
        <v>3.4559588895999997E+20</v>
      </c>
      <c r="E711" s="15">
        <f>FORECAST($C711, OFFSET('De Vaucouleurs Deprojection'!$F$3:$F$126, MATCH($C711, 'De Vaucouleurs Deprojection'!$A$3:$A$126,1)-1,0,2), OFFSET('De Vaucouleurs Deprojection'!$A$3:$A$126, MATCH($C711, 'De Vaucouleurs Deprojection'!$A$3:$A$126,1)-1,0,2))*LCDMTotalBulgeMass</f>
        <v>1.8418408689691226E+40</v>
      </c>
      <c r="F711" s="15">
        <f t="shared" si="80"/>
        <v>3.978199388231599E+39</v>
      </c>
      <c r="G711" s="15">
        <f t="shared" si="81"/>
        <v>9.6782468555296197E+40</v>
      </c>
      <c r="H711" s="15">
        <f t="shared" si="82"/>
        <v>1.1917907663321902E+41</v>
      </c>
      <c r="I711" s="16">
        <v>153.34419</v>
      </c>
      <c r="J711" s="45">
        <v>1</v>
      </c>
      <c r="K711" s="19">
        <f t="shared" si="83"/>
        <v>151.70902888179776</v>
      </c>
      <c r="L711" s="16">
        <f t="shared" si="84"/>
        <v>2.6737518824803796</v>
      </c>
      <c r="M711" s="45"/>
    </row>
    <row r="712" spans="1:13" x14ac:dyDescent="0.25">
      <c r="A712" s="16">
        <v>11.25</v>
      </c>
      <c r="B712" s="45">
        <f t="shared" si="85"/>
        <v>11250</v>
      </c>
      <c r="C712" s="16">
        <f t="shared" si="86"/>
        <v>19.736842105263158</v>
      </c>
      <c r="D712" s="15">
        <f t="shared" si="87"/>
        <v>3.4713872774999998E+20</v>
      </c>
      <c r="E712" s="15">
        <f>FORECAST($C712, OFFSET('De Vaucouleurs Deprojection'!$F$3:$F$126, MATCH($C712, 'De Vaucouleurs Deprojection'!$A$3:$A$126,1)-1,0,2), OFFSET('De Vaucouleurs Deprojection'!$A$3:$A$126, MATCH($C712, 'De Vaucouleurs Deprojection'!$A$3:$A$126,1)-1,0,2))*LCDMTotalBulgeMass</f>
        <v>1.842246966416842E+40</v>
      </c>
      <c r="F712" s="15">
        <f t="shared" si="80"/>
        <v>3.9781994347609245E+39</v>
      </c>
      <c r="G712" s="15">
        <f t="shared" si="81"/>
        <v>9.7308951038284037E+40</v>
      </c>
      <c r="H712" s="15">
        <f t="shared" si="82"/>
        <v>1.1970962013721339E+41</v>
      </c>
      <c r="I712" s="16">
        <v>153.48804000000001</v>
      </c>
      <c r="J712" s="45">
        <v>1</v>
      </c>
      <c r="K712" s="19">
        <f t="shared" si="83"/>
        <v>151.7080746421247</v>
      </c>
      <c r="L712" s="16">
        <f t="shared" si="84"/>
        <v>3.1682766752361884</v>
      </c>
      <c r="M712" s="45"/>
    </row>
    <row r="713" spans="1:13" x14ac:dyDescent="0.25">
      <c r="A713" s="16">
        <v>11.3</v>
      </c>
      <c r="B713" s="45">
        <f t="shared" si="85"/>
        <v>11300</v>
      </c>
      <c r="C713" s="16">
        <f t="shared" si="86"/>
        <v>19.82456140350877</v>
      </c>
      <c r="D713" s="15">
        <f t="shared" si="87"/>
        <v>3.4868156654E+20</v>
      </c>
      <c r="E713" s="15">
        <f>FORECAST($C713, OFFSET('De Vaucouleurs Deprojection'!$F$3:$F$126, MATCH($C713, 'De Vaucouleurs Deprojection'!$A$3:$A$126,1)-1,0,2), OFFSET('De Vaucouleurs Deprojection'!$A$3:$A$126, MATCH($C713, 'De Vaucouleurs Deprojection'!$A$3:$A$126,1)-1,0,2))*LCDMTotalBulgeMass</f>
        <v>1.8426530638645613E+40</v>
      </c>
      <c r="F713" s="15">
        <f t="shared" si="80"/>
        <v>3.978199477760663E+39</v>
      </c>
      <c r="G713" s="15">
        <f t="shared" si="81"/>
        <v>9.7835199014482834E+40</v>
      </c>
      <c r="H713" s="15">
        <f t="shared" si="82"/>
        <v>1.2023992913088911E+41</v>
      </c>
      <c r="I713" s="16">
        <v>153.61877000000001</v>
      </c>
      <c r="J713" s="45">
        <v>1</v>
      </c>
      <c r="K713" s="19">
        <f t="shared" si="83"/>
        <v>151.70698090010964</v>
      </c>
      <c r="L713" s="16">
        <f t="shared" si="84"/>
        <v>3.6549375624596325</v>
      </c>
      <c r="M713" s="45"/>
    </row>
    <row r="714" spans="1:13" x14ac:dyDescent="0.25">
      <c r="A714" s="16">
        <v>11.35</v>
      </c>
      <c r="B714" s="45">
        <f t="shared" si="85"/>
        <v>11350</v>
      </c>
      <c r="C714" s="16">
        <f t="shared" si="86"/>
        <v>19.912280701754387</v>
      </c>
      <c r="D714" s="15">
        <f t="shared" si="87"/>
        <v>3.5022440533000002E+20</v>
      </c>
      <c r="E714" s="15">
        <f>FORECAST($C714, OFFSET('De Vaucouleurs Deprojection'!$F$3:$F$126, MATCH($C714, 'De Vaucouleurs Deprojection'!$A$3:$A$126,1)-1,0,2), OFFSET('De Vaucouleurs Deprojection'!$A$3:$A$126, MATCH($C714, 'De Vaucouleurs Deprojection'!$A$3:$A$126,1)-1,0,2))*LCDMTotalBulgeMass</f>
        <v>1.8430591613122807E+40</v>
      </c>
      <c r="F714" s="15">
        <f t="shared" si="80"/>
        <v>3.9781995174977772E+39</v>
      </c>
      <c r="G714" s="15">
        <f t="shared" si="81"/>
        <v>9.836120851750628E+40</v>
      </c>
      <c r="H714" s="15">
        <f t="shared" si="82"/>
        <v>1.2076999964812686E+41</v>
      </c>
      <c r="I714" s="16">
        <v>153.73669000000001</v>
      </c>
      <c r="J714" s="45">
        <v>1</v>
      </c>
      <c r="K714" s="19">
        <f t="shared" si="83"/>
        <v>151.70574700528618</v>
      </c>
      <c r="L714" s="16">
        <f t="shared" si="84"/>
        <v>4.1247294477771623</v>
      </c>
      <c r="M714" s="45"/>
    </row>
    <row r="715" spans="1:13" x14ac:dyDescent="0.25">
      <c r="A715" s="16">
        <v>11.4</v>
      </c>
      <c r="B715" s="45">
        <f t="shared" si="85"/>
        <v>11400</v>
      </c>
      <c r="C715" s="16">
        <f t="shared" si="86"/>
        <v>20</v>
      </c>
      <c r="D715" s="15">
        <f t="shared" si="87"/>
        <v>3.5176724412000004E+20</v>
      </c>
      <c r="E715" s="15">
        <f>FORECAST($C715, OFFSET('De Vaucouleurs Deprojection'!$F$3:$F$126, MATCH($C715, 'De Vaucouleurs Deprojection'!$A$3:$A$126,1)-1,0,2), OFFSET('De Vaucouleurs Deprojection'!$A$3:$A$126, MATCH($C715, 'De Vaucouleurs Deprojection'!$A$3:$A$126,1)-1,0,2))*LCDMTotalBulgeMass</f>
        <v>1.8434652587599997E+40</v>
      </c>
      <c r="F715" s="15">
        <f t="shared" si="80"/>
        <v>3.9781995542191039E+39</v>
      </c>
      <c r="G715" s="15">
        <f t="shared" si="81"/>
        <v>9.8886975647040564E+40</v>
      </c>
      <c r="H715" s="15">
        <f t="shared" si="82"/>
        <v>1.2129982778885965E+41</v>
      </c>
      <c r="I715" s="16">
        <v>153.84298999999999</v>
      </c>
      <c r="J715" s="45">
        <v>1</v>
      </c>
      <c r="K715" s="19">
        <f t="shared" si="83"/>
        <v>151.704372359443</v>
      </c>
      <c r="L715" s="16">
        <f t="shared" si="84"/>
        <v>4.5736854125015336</v>
      </c>
      <c r="M715" s="45"/>
    </row>
    <row r="716" spans="1:13" x14ac:dyDescent="0.25">
      <c r="A716" s="16">
        <v>11.45</v>
      </c>
      <c r="B716" s="45">
        <f t="shared" si="85"/>
        <v>11450</v>
      </c>
      <c r="C716" s="16">
        <f t="shared" si="86"/>
        <v>20.087719298245613</v>
      </c>
      <c r="D716" s="15">
        <f t="shared" si="87"/>
        <v>3.5331008290999999E+20</v>
      </c>
      <c r="E716" s="15">
        <f>FORECAST($C716, OFFSET('De Vaucouleurs Deprojection'!$F$3:$F$126, MATCH($C716, 'De Vaucouleurs Deprojection'!$A$3:$A$126,1)-1,0,2), OFFSET('De Vaucouleurs Deprojection'!$A$3:$A$126, MATCH($C716, 'De Vaucouleurs Deprojection'!$A$3:$A$126,1)-1,0,2))*LCDMTotalBulgeMass</f>
        <v>1.8436489538898241E+40</v>
      </c>
      <c r="F716" s="15">
        <f t="shared" si="80"/>
        <v>3.9781995881528677E+39</v>
      </c>
      <c r="G716" s="15">
        <f t="shared" si="81"/>
        <v>9.941249656784425E+40</v>
      </c>
      <c r="H716" s="15">
        <f t="shared" si="82"/>
        <v>1.2182718569489536E+41</v>
      </c>
      <c r="I716" s="16">
        <v>153.93919</v>
      </c>
      <c r="J716" s="45">
        <v>1</v>
      </c>
      <c r="K716" s="19">
        <f t="shared" si="83"/>
        <v>151.70147172370716</v>
      </c>
      <c r="L716" s="16">
        <f t="shared" si="84"/>
        <v>5.0073830840549922</v>
      </c>
      <c r="M716" s="45"/>
    </row>
    <row r="717" spans="1:13" x14ac:dyDescent="0.25">
      <c r="A717" s="16">
        <v>11.5</v>
      </c>
      <c r="B717" s="45">
        <f t="shared" si="85"/>
        <v>11500</v>
      </c>
      <c r="C717" s="16">
        <f t="shared" si="86"/>
        <v>20.17543859649123</v>
      </c>
      <c r="D717" s="15">
        <f t="shared" si="87"/>
        <v>3.5485292170000001E+20</v>
      </c>
      <c r="E717" s="15">
        <f>FORECAST($C717, OFFSET('De Vaucouleurs Deprojection'!$F$3:$F$126, MATCH($C717, 'De Vaucouleurs Deprojection'!$A$3:$A$126,1)-1,0,2), OFFSET('De Vaucouleurs Deprojection'!$A$3:$A$126, MATCH($C717, 'De Vaucouleurs Deprojection'!$A$3:$A$126,1)-1,0,2))*LCDMTotalBulgeMass</f>
        <v>1.8438326490196488E+40</v>
      </c>
      <c r="F717" s="15">
        <f t="shared" si="80"/>
        <v>3.9781996195100738E+39</v>
      </c>
      <c r="G717" s="15">
        <f t="shared" si="81"/>
        <v>9.9937767508764E+40</v>
      </c>
      <c r="H717" s="15">
        <f t="shared" si="82"/>
        <v>1.2235429361847057E+41</v>
      </c>
      <c r="I717" s="16">
        <v>154.02701999999999</v>
      </c>
      <c r="J717" s="45">
        <v>1</v>
      </c>
      <c r="K717" s="19">
        <f t="shared" si="83"/>
        <v>151.69844128843539</v>
      </c>
      <c r="L717" s="16">
        <f t="shared" si="84"/>
        <v>5.4222788159518664</v>
      </c>
      <c r="M717" s="45"/>
    </row>
    <row r="718" spans="1:13" x14ac:dyDescent="0.25">
      <c r="A718" s="16">
        <v>11.55</v>
      </c>
      <c r="B718" s="45">
        <f t="shared" si="85"/>
        <v>11550</v>
      </c>
      <c r="C718" s="16">
        <f t="shared" si="86"/>
        <v>20.263157894736842</v>
      </c>
      <c r="D718" s="15">
        <f t="shared" si="87"/>
        <v>3.5639576049000002E+20</v>
      </c>
      <c r="E718" s="15">
        <f>FORECAST($C718, OFFSET('De Vaucouleurs Deprojection'!$F$3:$F$126, MATCH($C718, 'De Vaucouleurs Deprojection'!$A$3:$A$126,1)-1,0,2), OFFSET('De Vaucouleurs Deprojection'!$A$3:$A$126, MATCH($C718, 'De Vaucouleurs Deprojection'!$A$3:$A$126,1)-1,0,2))*LCDMTotalBulgeMass</f>
        <v>1.8440163441494733E+40</v>
      </c>
      <c r="F718" s="15">
        <f t="shared" si="80"/>
        <v>3.978199648485808E+39</v>
      </c>
      <c r="G718" s="15">
        <f t="shared" si="81"/>
        <v>1.004627847617679E+41</v>
      </c>
      <c r="H718" s="15">
        <f t="shared" si="82"/>
        <v>1.2288114785174844E+41</v>
      </c>
      <c r="I718" s="16">
        <v>154.10843</v>
      </c>
      <c r="J718" s="45">
        <v>1</v>
      </c>
      <c r="K718" s="19">
        <f t="shared" si="83"/>
        <v>151.69528044223273</v>
      </c>
      <c r="L718" s="16">
        <f t="shared" si="84"/>
        <v>5.8232907881523683</v>
      </c>
      <c r="M718" s="45"/>
    </row>
    <row r="719" spans="1:13" x14ac:dyDescent="0.25">
      <c r="A719" s="16">
        <v>11.6</v>
      </c>
      <c r="B719" s="45">
        <f t="shared" si="85"/>
        <v>11600</v>
      </c>
      <c r="C719" s="16">
        <f t="shared" si="86"/>
        <v>20.350877192982455</v>
      </c>
      <c r="D719" s="15">
        <f t="shared" si="87"/>
        <v>3.5793859927999998E+20</v>
      </c>
      <c r="E719" s="15">
        <f>FORECAST($C719, OFFSET('De Vaucouleurs Deprojection'!$F$3:$F$126, MATCH($C719, 'De Vaucouleurs Deprojection'!$A$3:$A$126,1)-1,0,2), OFFSET('De Vaucouleurs Deprojection'!$A$3:$A$126, MATCH($C719, 'De Vaucouleurs Deprojection'!$A$3:$A$126,1)-1,0,2))*LCDMTotalBulgeMass</f>
        <v>1.844200039279298E+40</v>
      </c>
      <c r="F719" s="15">
        <f t="shared" si="80"/>
        <v>3.9781996752604309E+39</v>
      </c>
      <c r="G719" s="15">
        <f t="shared" si="81"/>
        <v>1.0098754468099307E+41</v>
      </c>
      <c r="H719" s="15">
        <f t="shared" si="82"/>
        <v>1.2340774474904648E+41</v>
      </c>
      <c r="I719" s="16">
        <v>154.18597</v>
      </c>
      <c r="J719" s="45">
        <v>1</v>
      </c>
      <c r="K719" s="19">
        <f t="shared" si="83"/>
        <v>151.69198862192522</v>
      </c>
      <c r="L719" s="16">
        <f t="shared" si="84"/>
        <v>6.2199431141837707</v>
      </c>
      <c r="M719" s="45"/>
    </row>
    <row r="720" spans="1:13" x14ac:dyDescent="0.25">
      <c r="A720" s="16">
        <v>11.65</v>
      </c>
      <c r="B720" s="45">
        <f t="shared" si="85"/>
        <v>11650</v>
      </c>
      <c r="C720" s="16">
        <f t="shared" si="86"/>
        <v>20.438596491228068</v>
      </c>
      <c r="D720" s="15">
        <f t="shared" si="87"/>
        <v>3.5948143806999999E+20</v>
      </c>
      <c r="E720" s="15">
        <f>FORECAST($C720, OFFSET('De Vaucouleurs Deprojection'!$F$3:$F$126, MATCH($C720, 'De Vaucouleurs Deprojection'!$A$3:$A$126,1)-1,0,2), OFFSET('De Vaucouleurs Deprojection'!$A$3:$A$126, MATCH($C720, 'De Vaucouleurs Deprojection'!$A$3:$A$126,1)-1,0,2))*LCDMTotalBulgeMass</f>
        <v>1.8443837344091224E+40</v>
      </c>
      <c r="F720" s="15">
        <f t="shared" si="80"/>
        <v>3.9781997000006861E+39</v>
      </c>
      <c r="G720" s="15">
        <f t="shared" si="81"/>
        <v>1.0151204368180944E+41</v>
      </c>
      <c r="H720" s="15">
        <f t="shared" si="82"/>
        <v>1.2393408072590135E+41</v>
      </c>
      <c r="I720" s="16">
        <v>154.26279</v>
      </c>
      <c r="J720" s="45">
        <v>1</v>
      </c>
      <c r="K720" s="19">
        <f t="shared" si="83"/>
        <v>151.68856531094454</v>
      </c>
      <c r="L720" s="16">
        <f t="shared" si="84"/>
        <v>6.6266327497426563</v>
      </c>
      <c r="M720" s="45"/>
    </row>
    <row r="721" spans="1:13" x14ac:dyDescent="0.25">
      <c r="A721" s="16">
        <v>11.7</v>
      </c>
      <c r="B721" s="45">
        <f t="shared" si="85"/>
        <v>11700</v>
      </c>
      <c r="C721" s="16">
        <f t="shared" si="86"/>
        <v>20.526315789473685</v>
      </c>
      <c r="D721" s="15">
        <f t="shared" si="87"/>
        <v>3.6102427686000001E+20</v>
      </c>
      <c r="E721" s="15">
        <f>FORECAST($C721, OFFSET('De Vaucouleurs Deprojection'!$F$3:$F$126, MATCH($C721, 'De Vaucouleurs Deprojection'!$A$3:$A$126,1)-1,0,2), OFFSET('De Vaucouleurs Deprojection'!$A$3:$A$126, MATCH($C721, 'De Vaucouleurs Deprojection'!$A$3:$A$126,1)-1,0,2))*LCDMTotalBulgeMass</f>
        <v>1.8445674295389469E+40</v>
      </c>
      <c r="F721" s="15">
        <f t="shared" si="80"/>
        <v>3.9781997228607245E+39</v>
      </c>
      <c r="G721" s="15">
        <f t="shared" si="81"/>
        <v>1.0203627823989928E+41</v>
      </c>
      <c r="H721" s="15">
        <f t="shared" si="82"/>
        <v>1.2446015225814947E+41</v>
      </c>
      <c r="I721" s="16">
        <v>154.34190000000001</v>
      </c>
      <c r="J721" s="45">
        <v>1</v>
      </c>
      <c r="K721" s="19">
        <f t="shared" si="83"/>
        <v>151.68501003776453</v>
      </c>
      <c r="L721" s="16">
        <f t="shared" si="84"/>
        <v>7.059064271427661</v>
      </c>
      <c r="M721" s="45"/>
    </row>
    <row r="722" spans="1:13" x14ac:dyDescent="0.25">
      <c r="A722" s="16">
        <v>11.75</v>
      </c>
      <c r="B722" s="45">
        <f t="shared" si="85"/>
        <v>11750</v>
      </c>
      <c r="C722" s="16">
        <f t="shared" si="86"/>
        <v>20.614035087719298</v>
      </c>
      <c r="D722" s="15">
        <f t="shared" si="87"/>
        <v>3.6256711565000003E+20</v>
      </c>
      <c r="E722" s="15">
        <f>FORECAST($C722, OFFSET('De Vaucouleurs Deprojection'!$F$3:$F$126, MATCH($C722, 'De Vaucouleurs Deprojection'!$A$3:$A$126,1)-1,0,2), OFFSET('De Vaucouleurs Deprojection'!$A$3:$A$126, MATCH($C722, 'De Vaucouleurs Deprojection'!$A$3:$A$126,1)-1,0,2))*LCDMTotalBulgeMass</f>
        <v>1.8447511246687716E+40</v>
      </c>
      <c r="F722" s="15">
        <f t="shared" si="80"/>
        <v>3.9781997439830522E+39</v>
      </c>
      <c r="G722" s="15">
        <f t="shared" si="81"/>
        <v>1.0256024489035108E+41</v>
      </c>
      <c r="H722" s="15">
        <f t="shared" si="82"/>
        <v>1.2498595588102185E+41</v>
      </c>
      <c r="I722" s="16">
        <v>154.42545000000001</v>
      </c>
      <c r="J722" s="45">
        <v>1</v>
      </c>
      <c r="K722" s="19">
        <f t="shared" si="83"/>
        <v>151.6813223743859</v>
      </c>
      <c r="L722" s="16">
        <f t="shared" si="84"/>
        <v>7.5302364256585452</v>
      </c>
      <c r="M722" s="45"/>
    </row>
    <row r="723" spans="1:13" x14ac:dyDescent="0.25">
      <c r="A723" s="16">
        <v>11.8</v>
      </c>
      <c r="B723" s="45">
        <f t="shared" si="85"/>
        <v>11800</v>
      </c>
      <c r="C723" s="16">
        <f t="shared" si="86"/>
        <v>20.701754385964911</v>
      </c>
      <c r="D723" s="15">
        <f t="shared" si="87"/>
        <v>3.6410995444000005E+20</v>
      </c>
      <c r="E723" s="15">
        <f>FORECAST($C723, OFFSET('De Vaucouleurs Deprojection'!$F$3:$F$126, MATCH($C723, 'De Vaucouleurs Deprojection'!$A$3:$A$126,1)-1,0,2), OFFSET('De Vaucouleurs Deprojection'!$A$3:$A$126, MATCH($C723, 'De Vaucouleurs Deprojection'!$A$3:$A$126,1)-1,0,2))*LCDMTotalBulgeMass</f>
        <v>1.8449348197985963E+40</v>
      </c>
      <c r="F723" s="15">
        <f t="shared" si="80"/>
        <v>3.9781997634994054E+39</v>
      </c>
      <c r="G723" s="15">
        <f t="shared" si="81"/>
        <v>1.0308394022676787E+41</v>
      </c>
      <c r="H723" s="15">
        <f t="shared" si="82"/>
        <v>1.2551148818825323E+41</v>
      </c>
      <c r="I723" s="16">
        <v>154.51403999999999</v>
      </c>
      <c r="J723" s="45">
        <v>1</v>
      </c>
      <c r="K723" s="19">
        <f t="shared" si="83"/>
        <v>151.67750193486921</v>
      </c>
      <c r="L723" s="16">
        <f t="shared" si="84"/>
        <v>8.0459481949358782</v>
      </c>
      <c r="M723" s="45"/>
    </row>
    <row r="724" spans="1:13" x14ac:dyDescent="0.25">
      <c r="A724" s="16">
        <v>11.85</v>
      </c>
      <c r="B724" s="45">
        <f t="shared" si="85"/>
        <v>11850</v>
      </c>
      <c r="C724" s="16">
        <f t="shared" si="86"/>
        <v>20.789473684210527</v>
      </c>
      <c r="D724" s="15">
        <f t="shared" si="87"/>
        <v>3.6565279323E+20</v>
      </c>
      <c r="E724" s="15">
        <f>FORECAST($C724, OFFSET('De Vaucouleurs Deprojection'!$F$3:$F$126, MATCH($C724, 'De Vaucouleurs Deprojection'!$A$3:$A$126,1)-1,0,2), OFFSET('De Vaucouleurs Deprojection'!$A$3:$A$126, MATCH($C724, 'De Vaucouleurs Deprojection'!$A$3:$A$126,1)-1,0,2))*LCDMTotalBulgeMass</f>
        <v>1.8451185149284207E+40</v>
      </c>
      <c r="F724" s="15">
        <f t="shared" si="80"/>
        <v>3.9781997815315652E+39</v>
      </c>
      <c r="G724" s="15">
        <f t="shared" si="81"/>
        <v>1.0360736090039132E+41</v>
      </c>
      <c r="H724" s="15">
        <f t="shared" si="82"/>
        <v>1.260367458312071E+41</v>
      </c>
      <c r="I724" s="16">
        <v>154.60704000000001</v>
      </c>
      <c r="J724" s="45">
        <v>1</v>
      </c>
      <c r="K724" s="19">
        <f t="shared" si="83"/>
        <v>151.67354837391446</v>
      </c>
      <c r="L724" s="16">
        <f t="shared" si="84"/>
        <v>8.6053731203140735</v>
      </c>
      <c r="M724" s="45"/>
    </row>
    <row r="725" spans="1:13" x14ac:dyDescent="0.25">
      <c r="A725" s="16">
        <v>11.9</v>
      </c>
      <c r="B725" s="45">
        <f t="shared" si="85"/>
        <v>11900</v>
      </c>
      <c r="C725" s="16">
        <f t="shared" si="86"/>
        <v>20.87719298245614</v>
      </c>
      <c r="D725" s="15">
        <f t="shared" si="87"/>
        <v>3.6719563202000001E+20</v>
      </c>
      <c r="E725" s="15">
        <f>FORECAST($C725, OFFSET('De Vaucouleurs Deprojection'!$F$3:$F$126, MATCH($C725, 'De Vaucouleurs Deprojection'!$A$3:$A$126,1)-1,0,2), OFFSET('De Vaucouleurs Deprojection'!$A$3:$A$126, MATCH($C725, 'De Vaucouleurs Deprojection'!$A$3:$A$126,1)-1,0,2))*LCDMTotalBulgeMass</f>
        <v>1.8453022100582454E+40</v>
      </c>
      <c r="F725" s="15">
        <f t="shared" si="80"/>
        <v>3.9781997981921056E+39</v>
      </c>
      <c r="G725" s="15">
        <f t="shared" si="81"/>
        <v>1.0413050361923834E+41</v>
      </c>
      <c r="H725" s="15">
        <f t="shared" si="82"/>
        <v>1.265617255180129E+41</v>
      </c>
      <c r="I725" s="16">
        <v>154.70295999999999</v>
      </c>
      <c r="J725" s="45">
        <v>1</v>
      </c>
      <c r="K725" s="19">
        <f t="shared" si="83"/>
        <v>151.66946138548428</v>
      </c>
      <c r="L725" s="16">
        <f t="shared" si="84"/>
        <v>9.202113844268716</v>
      </c>
      <c r="M725" s="45"/>
    </row>
    <row r="726" spans="1:13" x14ac:dyDescent="0.25">
      <c r="A726" s="16">
        <v>11.95</v>
      </c>
      <c r="B726" s="45">
        <f t="shared" si="85"/>
        <v>11950</v>
      </c>
      <c r="C726" s="16">
        <f t="shared" si="86"/>
        <v>20.964912280701753</v>
      </c>
      <c r="D726" s="15">
        <f t="shared" si="87"/>
        <v>3.6873847080999997E+20</v>
      </c>
      <c r="E726" s="15">
        <f>FORECAST($C726, OFFSET('De Vaucouleurs Deprojection'!$F$3:$F$126, MATCH($C726, 'De Vaucouleurs Deprojection'!$A$3:$A$126,1)-1,0,2), OFFSET('De Vaucouleurs Deprojection'!$A$3:$A$126, MATCH($C726, 'De Vaucouleurs Deprojection'!$A$3:$A$126,1)-1,0,2))*LCDMTotalBulgeMass</f>
        <v>1.8454859051880699E+40</v>
      </c>
      <c r="F726" s="15">
        <f t="shared" si="80"/>
        <v>3.9781998135850849E+39</v>
      </c>
      <c r="G726" s="15">
        <f t="shared" si="81"/>
        <v>1.0465336514725279E+41</v>
      </c>
      <c r="H726" s="15">
        <f t="shared" si="82"/>
        <v>1.2708642401271857E+41</v>
      </c>
      <c r="I726" s="16">
        <v>154.80002999999999</v>
      </c>
      <c r="J726" s="45">
        <v>1</v>
      </c>
      <c r="K726" s="19">
        <f t="shared" si="83"/>
        <v>151.66524070147122</v>
      </c>
      <c r="L726" s="16">
        <f t="shared" si="84"/>
        <v>9.8269039461705159</v>
      </c>
      <c r="M726" s="45"/>
    </row>
    <row r="727" spans="1:13" x14ac:dyDescent="0.25">
      <c r="A727" s="16">
        <v>12</v>
      </c>
      <c r="B727" s="45">
        <f t="shared" si="85"/>
        <v>12000</v>
      </c>
      <c r="C727" s="16">
        <f t="shared" si="86"/>
        <v>21.05263157894737</v>
      </c>
      <c r="D727" s="15">
        <f t="shared" si="87"/>
        <v>3.7028130959999998E+20</v>
      </c>
      <c r="E727" s="15">
        <f>FORECAST($C727, OFFSET('De Vaucouleurs Deprojection'!$F$3:$F$126, MATCH($C727, 'De Vaucouleurs Deprojection'!$A$3:$A$126,1)-1,0,2), OFFSET('De Vaucouleurs Deprojection'!$A$3:$A$126, MATCH($C727, 'De Vaucouleurs Deprojection'!$A$3:$A$126,1)-1,0,2))*LCDMTotalBulgeMass</f>
        <v>1.8456696003178946E+40</v>
      </c>
      <c r="F727" s="15">
        <f t="shared" si="80"/>
        <v>3.9781998278066924E+39</v>
      </c>
      <c r="G727" s="15">
        <f t="shared" si="81"/>
        <v>1.0517594230347065E+41</v>
      </c>
      <c r="H727" s="15">
        <f t="shared" si="82"/>
        <v>1.2761083813445629E+41</v>
      </c>
      <c r="I727" s="16">
        <v>154.89626999999999</v>
      </c>
      <c r="J727" s="45">
        <v>1</v>
      </c>
      <c r="K727" s="19">
        <f t="shared" si="83"/>
        <v>151.66088609040648</v>
      </c>
      <c r="L727" s="16">
        <f t="shared" si="84"/>
        <v>10.467709042456576</v>
      </c>
      <c r="M727" s="45"/>
    </row>
    <row r="728" spans="1:13" x14ac:dyDescent="0.25">
      <c r="A728" s="16">
        <v>12.05</v>
      </c>
      <c r="B728" s="45">
        <f t="shared" si="85"/>
        <v>12050</v>
      </c>
      <c r="C728" s="16">
        <f t="shared" si="86"/>
        <v>21.140350877192983</v>
      </c>
      <c r="D728" s="15">
        <f t="shared" si="87"/>
        <v>3.7182414839E+20</v>
      </c>
      <c r="E728" s="15">
        <f>FORECAST($C728, OFFSET('De Vaucouleurs Deprojection'!$F$3:$F$126, MATCH($C728, 'De Vaucouleurs Deprojection'!$A$3:$A$126,1)-1,0,2), OFFSET('De Vaucouleurs Deprojection'!$A$3:$A$126, MATCH($C728, 'De Vaucouleurs Deprojection'!$A$3:$A$126,1)-1,0,2))*LCDMTotalBulgeMass</f>
        <v>1.845853295447719E+40</v>
      </c>
      <c r="F728" s="15">
        <f t="shared" si="80"/>
        <v>3.9781998409458361E+39</v>
      </c>
      <c r="G728" s="15">
        <f t="shared" si="81"/>
        <v>1.0569823196119818E+41</v>
      </c>
      <c r="H728" s="15">
        <f t="shared" si="82"/>
        <v>1.2813496475662121E+41</v>
      </c>
      <c r="I728" s="16">
        <v>154.98922999999999</v>
      </c>
      <c r="J728" s="45">
        <v>1</v>
      </c>
      <c r="K728" s="19">
        <f t="shared" si="83"/>
        <v>151.65639735620888</v>
      </c>
      <c r="L728" s="16">
        <f t="shared" si="84"/>
        <v>11.107773431519622</v>
      </c>
      <c r="M728" s="45"/>
    </row>
    <row r="729" spans="1:13" x14ac:dyDescent="0.25">
      <c r="A729" s="16">
        <v>12.1</v>
      </c>
      <c r="B729" s="45">
        <f t="shared" si="85"/>
        <v>12100</v>
      </c>
      <c r="C729" s="16">
        <f t="shared" si="86"/>
        <v>21.228070175438596</v>
      </c>
      <c r="D729" s="15">
        <f t="shared" si="87"/>
        <v>3.7336698718000002E+20</v>
      </c>
      <c r="E729" s="15">
        <f>FORECAST($C729, OFFSET('De Vaucouleurs Deprojection'!$F$3:$F$126, MATCH($C729, 'De Vaucouleurs Deprojection'!$A$3:$A$126,1)-1,0,2), OFFSET('De Vaucouleurs Deprojection'!$A$3:$A$126, MATCH($C729, 'De Vaucouleurs Deprojection'!$A$3:$A$126,1)-1,0,2))*LCDMTotalBulgeMass</f>
        <v>1.8460369905775437E+40</v>
      </c>
      <c r="F729" s="15">
        <f t="shared" si="80"/>
        <v>3.9781998530846978E+39</v>
      </c>
      <c r="G729" s="15">
        <f t="shared" si="81"/>
        <v>1.0622023104720364E+41</v>
      </c>
      <c r="H729" s="15">
        <f t="shared" si="82"/>
        <v>1.2865880080606376E+41</v>
      </c>
      <c r="I729" s="16">
        <v>155.07594</v>
      </c>
      <c r="J729" s="45">
        <v>1</v>
      </c>
      <c r="K729" s="19">
        <f t="shared" si="83"/>
        <v>151.65177433697318</v>
      </c>
      <c r="L729" s="16">
        <f t="shared" si="84"/>
        <v>11.724910487851947</v>
      </c>
      <c r="M729" s="45"/>
    </row>
    <row r="730" spans="1:13" x14ac:dyDescent="0.25">
      <c r="A730" s="16">
        <v>12.15</v>
      </c>
      <c r="B730" s="45">
        <f t="shared" si="85"/>
        <v>12150</v>
      </c>
      <c r="C730" s="16">
        <f t="shared" si="86"/>
        <v>21.315789473684209</v>
      </c>
      <c r="D730" s="15">
        <f t="shared" si="87"/>
        <v>3.7490982597000004E+20</v>
      </c>
      <c r="E730" s="15">
        <f>FORECAST($C730, OFFSET('De Vaucouleurs Deprojection'!$F$3:$F$126, MATCH($C730, 'De Vaucouleurs Deprojection'!$A$3:$A$126,1)-1,0,2), OFFSET('De Vaucouleurs Deprojection'!$A$3:$A$126, MATCH($C730, 'De Vaucouleurs Deprojection'!$A$3:$A$126,1)-1,0,2))*LCDMTotalBulgeMass</f>
        <v>1.8462206857073682E+40</v>
      </c>
      <c r="F730" s="15">
        <f t="shared" si="80"/>
        <v>3.9781998642992371E+39</v>
      </c>
      <c r="G730" s="15">
        <f t="shared" si="81"/>
        <v>1.0674193654092231E+41</v>
      </c>
      <c r="H730" s="15">
        <f t="shared" si="82"/>
        <v>1.2918234326229524E+41</v>
      </c>
      <c r="I730" s="16">
        <v>155.15347</v>
      </c>
      <c r="J730" s="45">
        <v>1</v>
      </c>
      <c r="K730" s="19">
        <f t="shared" si="83"/>
        <v>151.64701690379633</v>
      </c>
      <c r="L730" s="16">
        <f t="shared" si="84"/>
        <v>12.295213315876312</v>
      </c>
      <c r="M730" s="45"/>
    </row>
    <row r="731" spans="1:13" x14ac:dyDescent="0.25">
      <c r="A731" s="16">
        <v>12.2</v>
      </c>
      <c r="B731" s="45">
        <f t="shared" si="85"/>
        <v>12200</v>
      </c>
      <c r="C731" s="16">
        <f t="shared" si="86"/>
        <v>21.403508771929825</v>
      </c>
      <c r="D731" s="15">
        <f t="shared" si="87"/>
        <v>3.7645266475999999E+20</v>
      </c>
      <c r="E731" s="15">
        <f>FORECAST($C731, OFFSET('De Vaucouleurs Deprojection'!$F$3:$F$126, MATCH($C731, 'De Vaucouleurs Deprojection'!$A$3:$A$126,1)-1,0,2), OFFSET('De Vaucouleurs Deprojection'!$A$3:$A$126, MATCH($C731, 'De Vaucouleurs Deprojection'!$A$3:$A$126,1)-1,0,2))*LCDMTotalBulgeMass</f>
        <v>1.8464043808371926E+40</v>
      </c>
      <c r="F731" s="15">
        <f t="shared" si="80"/>
        <v>3.9781998746596606E+39</v>
      </c>
      <c r="G731" s="15">
        <f t="shared" si="81"/>
        <v>1.0726334547367338E+41</v>
      </c>
      <c r="H731" s="15">
        <f t="shared" si="82"/>
        <v>1.2970558915670497E+41</v>
      </c>
      <c r="I731" s="16">
        <v>155.21985000000001</v>
      </c>
      <c r="J731" s="45">
        <v>1</v>
      </c>
      <c r="K731" s="19">
        <f t="shared" si="83"/>
        <v>151.64212495963974</v>
      </c>
      <c r="L731" s="16">
        <f t="shared" si="84"/>
        <v>12.800116464420849</v>
      </c>
      <c r="M731" s="45"/>
    </row>
    <row r="732" spans="1:13" x14ac:dyDescent="0.25">
      <c r="A732" s="16">
        <v>12.25</v>
      </c>
      <c r="B732" s="45">
        <f t="shared" si="85"/>
        <v>12250</v>
      </c>
      <c r="C732" s="16">
        <f t="shared" si="86"/>
        <v>21.491228070175438</v>
      </c>
      <c r="D732" s="15">
        <f t="shared" si="87"/>
        <v>3.7799550355000001E+20</v>
      </c>
      <c r="E732" s="15">
        <f>FORECAST($C732, OFFSET('De Vaucouleurs Deprojection'!$F$3:$F$126, MATCH($C732, 'De Vaucouleurs Deprojection'!$A$3:$A$126,1)-1,0,2), OFFSET('De Vaucouleurs Deprojection'!$A$3:$A$126, MATCH($C732, 'De Vaucouleurs Deprojection'!$A$3:$A$126,1)-1,0,2))*LCDMTotalBulgeMass</f>
        <v>1.8465880759670173E+40</v>
      </c>
      <c r="F732" s="15">
        <f t="shared" si="80"/>
        <v>3.9781998842308569E+39</v>
      </c>
      <c r="G732" s="15">
        <f t="shared" si="81"/>
        <v>1.0778445492788985E+41</v>
      </c>
      <c r="H732" s="15">
        <f t="shared" si="82"/>
        <v>1.3022853557179087E+41</v>
      </c>
      <c r="I732" s="16">
        <v>155.27486999999999</v>
      </c>
      <c r="J732" s="45">
        <v>1</v>
      </c>
      <c r="K732" s="19">
        <f t="shared" si="83"/>
        <v>151.63709843822753</v>
      </c>
      <c r="L732" s="16">
        <f t="shared" si="84"/>
        <v>13.233381935640498</v>
      </c>
      <c r="M732" s="45"/>
    </row>
    <row r="733" spans="1:13" x14ac:dyDescent="0.25">
      <c r="A733" s="16">
        <v>12.3</v>
      </c>
      <c r="B733" s="45">
        <f t="shared" si="85"/>
        <v>12300</v>
      </c>
      <c r="C733" s="16">
        <f t="shared" si="86"/>
        <v>21.578947368421051</v>
      </c>
      <c r="D733" s="15">
        <f t="shared" si="87"/>
        <v>3.7953834234000002E+20</v>
      </c>
      <c r="E733" s="15">
        <f>FORECAST($C733, OFFSET('De Vaucouleurs Deprojection'!$F$3:$F$126, MATCH($C733, 'De Vaucouleurs Deprojection'!$A$3:$A$126,1)-1,0,2), OFFSET('De Vaucouleurs Deprojection'!$A$3:$A$126, MATCH($C733, 'De Vaucouleurs Deprojection'!$A$3:$A$126,1)-1,0,2))*LCDMTotalBulgeMass</f>
        <v>1.8467717710968418E+40</v>
      </c>
      <c r="F733" s="15">
        <f t="shared" si="80"/>
        <v>3.9781998930728001E+39</v>
      </c>
      <c r="G733" s="15">
        <f t="shared" si="81"/>
        <v>1.0830526203636119E+41</v>
      </c>
      <c r="H733" s="15">
        <f t="shared" si="82"/>
        <v>1.3075117964040241E+41</v>
      </c>
      <c r="I733" s="16">
        <v>155.32017999999999</v>
      </c>
      <c r="J733" s="45">
        <v>1</v>
      </c>
      <c r="K733" s="19">
        <f t="shared" si="83"/>
        <v>151.6319373029792</v>
      </c>
      <c r="L733" s="16">
        <f t="shared" si="84"/>
        <v>13.603134192127245</v>
      </c>
      <c r="M733" s="45"/>
    </row>
    <row r="734" spans="1:13" x14ac:dyDescent="0.25">
      <c r="A734" s="16">
        <v>12.35</v>
      </c>
      <c r="B734" s="45">
        <f t="shared" si="85"/>
        <v>12350</v>
      </c>
      <c r="C734" s="16">
        <f t="shared" si="86"/>
        <v>21.666666666666668</v>
      </c>
      <c r="D734" s="15">
        <f t="shared" si="87"/>
        <v>3.8108118112999997E+20</v>
      </c>
      <c r="E734" s="15">
        <f>FORECAST($C734, OFFSET('De Vaucouleurs Deprojection'!$F$3:$F$126, MATCH($C734, 'De Vaucouleurs Deprojection'!$A$3:$A$126,1)-1,0,2), OFFSET('De Vaucouleurs Deprojection'!$A$3:$A$126, MATCH($C734, 'De Vaucouleurs Deprojection'!$A$3:$A$126,1)-1,0,2))*LCDMTotalBulgeMass</f>
        <v>1.8469554662266665E+40</v>
      </c>
      <c r="F734" s="15">
        <f t="shared" si="80"/>
        <v>3.9781999012409177E+39</v>
      </c>
      <c r="G734" s="15">
        <f t="shared" si="81"/>
        <v>1.0882576398148704E+41</v>
      </c>
      <c r="H734" s="15">
        <f t="shared" si="82"/>
        <v>1.3127351854499462E+41</v>
      </c>
      <c r="I734" s="16">
        <v>155.35839999999999</v>
      </c>
      <c r="J734" s="45">
        <v>1</v>
      </c>
      <c r="K734" s="19">
        <f t="shared" si="83"/>
        <v>151.62664154597479</v>
      </c>
      <c r="L734" s="16">
        <f t="shared" si="84"/>
        <v>13.926021159188529</v>
      </c>
      <c r="M734" s="45"/>
    </row>
    <row r="735" spans="1:13" x14ac:dyDescent="0.25">
      <c r="A735" s="16">
        <v>12.4</v>
      </c>
      <c r="B735" s="45">
        <f t="shared" si="85"/>
        <v>12400</v>
      </c>
      <c r="C735" s="16">
        <f t="shared" si="86"/>
        <v>21.754385964912281</v>
      </c>
      <c r="D735" s="15">
        <f t="shared" si="87"/>
        <v>3.8262401991999999E+20</v>
      </c>
      <c r="E735" s="15">
        <f>FORECAST($C735, OFFSET('De Vaucouleurs Deprojection'!$F$3:$F$126, MATCH($C735, 'De Vaucouleurs Deprojection'!$A$3:$A$126,1)-1,0,2), OFFSET('De Vaucouleurs Deprojection'!$A$3:$A$126, MATCH($C735, 'De Vaucouleurs Deprojection'!$A$3:$A$126,1)-1,0,2))*LCDMTotalBulgeMass</f>
        <v>1.8471391613564909E+40</v>
      </c>
      <c r="F735" s="15">
        <f t="shared" si="80"/>
        <v>3.9781999087864361E+39</v>
      </c>
      <c r="G735" s="15">
        <f t="shared" si="81"/>
        <v>1.0934595799454337E+41</v>
      </c>
      <c r="H735" s="15">
        <f t="shared" si="82"/>
        <v>1.3179554951689471E+41</v>
      </c>
      <c r="I735" s="16">
        <v>155.39230000000001</v>
      </c>
      <c r="J735" s="45">
        <v>1</v>
      </c>
      <c r="K735" s="19">
        <f t="shared" si="83"/>
        <v>151.62121118695251</v>
      </c>
      <c r="L735" s="16">
        <f t="shared" si="84"/>
        <v>14.22111083589199</v>
      </c>
      <c r="M735" s="45"/>
    </row>
    <row r="736" spans="1:13" x14ac:dyDescent="0.25">
      <c r="A736" s="16">
        <v>12.45</v>
      </c>
      <c r="B736" s="45">
        <f t="shared" si="85"/>
        <v>12450</v>
      </c>
      <c r="C736" s="16">
        <f t="shared" si="86"/>
        <v>21.842105263157894</v>
      </c>
      <c r="D736" s="15">
        <f t="shared" si="87"/>
        <v>3.8416685871000001E+20</v>
      </c>
      <c r="E736" s="15">
        <f>FORECAST($C736, OFFSET('De Vaucouleurs Deprojection'!$F$3:$F$126, MATCH($C736, 'De Vaucouleurs Deprojection'!$A$3:$A$126,1)-1,0,2), OFFSET('De Vaucouleurs Deprojection'!$A$3:$A$126, MATCH($C736, 'De Vaucouleurs Deprojection'!$A$3:$A$126,1)-1,0,2))*LCDMTotalBulgeMass</f>
        <v>1.8473228564863154E+40</v>
      </c>
      <c r="F736" s="15">
        <f t="shared" si="80"/>
        <v>3.9781999157566998E+39</v>
      </c>
      <c r="G736" s="15">
        <f t="shared" si="81"/>
        <v>1.098658413549605E+41</v>
      </c>
      <c r="H736" s="15">
        <f t="shared" si="82"/>
        <v>1.3231726983558036E+41</v>
      </c>
      <c r="I736" s="16">
        <v>155.42426</v>
      </c>
      <c r="J736" s="45">
        <v>1</v>
      </c>
      <c r="K736" s="19">
        <f t="shared" si="83"/>
        <v>151.6156462723379</v>
      </c>
      <c r="L736" s="16">
        <f t="shared" si="84"/>
        <v>14.505538526536242</v>
      </c>
      <c r="M736" s="45"/>
    </row>
    <row r="737" spans="1:13" x14ac:dyDescent="0.25">
      <c r="A737" s="16">
        <v>12.5</v>
      </c>
      <c r="B737" s="45">
        <f t="shared" si="85"/>
        <v>12500</v>
      </c>
      <c r="C737" s="16">
        <f t="shared" si="86"/>
        <v>21.92982456140351</v>
      </c>
      <c r="D737" s="15">
        <f t="shared" si="87"/>
        <v>3.8570969750000003E+20</v>
      </c>
      <c r="E737" s="15">
        <f>FORECAST($C737, OFFSET('De Vaucouleurs Deprojection'!$F$3:$F$126, MATCH($C737, 'De Vaucouleurs Deprojection'!$A$3:$A$126,1)-1,0,2), OFFSET('De Vaucouleurs Deprojection'!$A$3:$A$126, MATCH($C737, 'De Vaucouleurs Deprojection'!$A$3:$A$126,1)-1,0,2))*LCDMTotalBulgeMass</f>
        <v>1.8475065516161401E+40</v>
      </c>
      <c r="F737" s="15">
        <f t="shared" si="80"/>
        <v>3.9781999221954574E+39</v>
      </c>
      <c r="G737" s="15">
        <f t="shared" si="81"/>
        <v>1.1038541138961202E+41</v>
      </c>
      <c r="H737" s="15">
        <f t="shared" si="82"/>
        <v>1.3283867682796889E+41</v>
      </c>
      <c r="I737" s="16">
        <v>155.45638</v>
      </c>
      <c r="J737" s="45">
        <v>1</v>
      </c>
      <c r="K737" s="19">
        <f t="shared" si="83"/>
        <v>151.60994687430227</v>
      </c>
      <c r="L737" s="16">
        <f t="shared" si="84"/>
        <v>14.795047790464801</v>
      </c>
      <c r="M737" s="45"/>
    </row>
    <row r="738" spans="1:13" x14ac:dyDescent="0.25">
      <c r="A738" s="16">
        <v>12.55</v>
      </c>
      <c r="B738" s="45">
        <f t="shared" si="85"/>
        <v>12550</v>
      </c>
      <c r="C738" s="16">
        <f t="shared" si="86"/>
        <v>22.017543859649123</v>
      </c>
      <c r="D738" s="15">
        <f t="shared" si="87"/>
        <v>3.8725253629000004E+20</v>
      </c>
      <c r="E738" s="15">
        <f>FORECAST($C738, OFFSET('De Vaucouleurs Deprojection'!$F$3:$F$126, MATCH($C738, 'De Vaucouleurs Deprojection'!$A$3:$A$126,1)-1,0,2), OFFSET('De Vaucouleurs Deprojection'!$A$3:$A$126, MATCH($C738, 'De Vaucouleurs Deprojection'!$A$3:$A$126,1)-1,0,2))*LCDMTotalBulgeMass</f>
        <v>1.8476902467459645E+40</v>
      </c>
      <c r="F738" s="15">
        <f t="shared" si="80"/>
        <v>3.9781999281431452E+39</v>
      </c>
      <c r="G738" s="15">
        <f t="shared" si="81"/>
        <v>1.1090466547211506E+41</v>
      </c>
      <c r="H738" s="15">
        <f t="shared" si="82"/>
        <v>1.3335976786771785E+41</v>
      </c>
      <c r="I738" s="16">
        <v>155.49065999999999</v>
      </c>
      <c r="J738" s="45">
        <v>1</v>
      </c>
      <c r="K738" s="19">
        <f t="shared" si="83"/>
        <v>151.60411308985076</v>
      </c>
      <c r="L738" s="16">
        <f t="shared" si="84"/>
        <v>15.105246884790567</v>
      </c>
      <c r="M738" s="45"/>
    </row>
    <row r="739" spans="1:13" x14ac:dyDescent="0.25">
      <c r="A739" s="16">
        <v>12.6</v>
      </c>
      <c r="B739" s="45">
        <f t="shared" si="85"/>
        <v>12600</v>
      </c>
      <c r="C739" s="16">
        <f t="shared" si="86"/>
        <v>22.105263157894736</v>
      </c>
      <c r="D739" s="15">
        <f t="shared" si="87"/>
        <v>3.8879537508E+20</v>
      </c>
      <c r="E739" s="15">
        <f>FORECAST($C739, OFFSET('De Vaucouleurs Deprojection'!$F$3:$F$126, MATCH($C739, 'De Vaucouleurs Deprojection'!$A$3:$A$126,1)-1,0,2), OFFSET('De Vaucouleurs Deprojection'!$A$3:$A$126, MATCH($C739, 'De Vaucouleurs Deprojection'!$A$3:$A$126,1)-1,0,2))*LCDMTotalBulgeMass</f>
        <v>1.8478739418757892E+40</v>
      </c>
      <c r="F739" s="15">
        <f t="shared" si="80"/>
        <v>3.9781999336371279E+39</v>
      </c>
      <c r="G739" s="15">
        <f t="shared" si="81"/>
        <v>1.1142360102214235E+41</v>
      </c>
      <c r="H739" s="15">
        <f t="shared" si="82"/>
        <v>1.3388054037453737E+41</v>
      </c>
      <c r="I739" s="16">
        <v>155.52905000000001</v>
      </c>
      <c r="J739" s="45">
        <v>1</v>
      </c>
      <c r="K739" s="19">
        <f t="shared" si="83"/>
        <v>151.59814503993886</v>
      </c>
      <c r="L739" s="16">
        <f t="shared" si="84"/>
        <v>15.452013805033397</v>
      </c>
      <c r="M739" s="45"/>
    </row>
    <row r="740" spans="1:13" x14ac:dyDescent="0.25">
      <c r="A740" s="16">
        <v>12.65</v>
      </c>
      <c r="B740" s="45">
        <f t="shared" si="85"/>
        <v>12650</v>
      </c>
      <c r="C740" s="16">
        <f t="shared" si="86"/>
        <v>22.192982456140349</v>
      </c>
      <c r="D740" s="15">
        <f t="shared" si="87"/>
        <v>3.9033821387000001E+20</v>
      </c>
      <c r="E740" s="15">
        <f>FORECAST($C740, OFFSET('De Vaucouleurs Deprojection'!$F$3:$F$126, MATCH($C740, 'De Vaucouleurs Deprojection'!$A$3:$A$126,1)-1,0,2), OFFSET('De Vaucouleurs Deprojection'!$A$3:$A$126, MATCH($C740, 'De Vaucouleurs Deprojection'!$A$3:$A$126,1)-1,0,2))*LCDMTotalBulgeMass</f>
        <v>1.8480576370056137E+40</v>
      </c>
      <c r="F740" s="15">
        <f t="shared" si="80"/>
        <v>3.9781999387119337E+39</v>
      </c>
      <c r="G740" s="15">
        <f t="shared" si="81"/>
        <v>1.1194221550474347E+41</v>
      </c>
      <c r="H740" s="15">
        <f t="shared" si="82"/>
        <v>1.3440099181351155E+41</v>
      </c>
      <c r="I740" s="16">
        <v>155.57293999999999</v>
      </c>
      <c r="J740" s="45">
        <v>1</v>
      </c>
      <c r="K740" s="19">
        <f t="shared" si="83"/>
        <v>151.59204286861521</v>
      </c>
      <c r="L740" s="16">
        <f t="shared" si="84"/>
        <v>15.847541970667564</v>
      </c>
      <c r="M740" s="45"/>
    </row>
    <row r="741" spans="1:13" x14ac:dyDescent="0.25">
      <c r="A741" s="16">
        <v>12.7</v>
      </c>
      <c r="B741" s="45">
        <f t="shared" si="85"/>
        <v>12700</v>
      </c>
      <c r="C741" s="16">
        <f t="shared" si="86"/>
        <v>22.280701754385966</v>
      </c>
      <c r="D741" s="15">
        <f t="shared" si="87"/>
        <v>3.9188105265999997E+20</v>
      </c>
      <c r="E741" s="15">
        <f>FORECAST($C741, OFFSET('De Vaucouleurs Deprojection'!$F$3:$F$126, MATCH($C741, 'De Vaucouleurs Deprojection'!$A$3:$A$126,1)-1,0,2), OFFSET('De Vaucouleurs Deprojection'!$A$3:$A$126, MATCH($C741, 'De Vaucouleurs Deprojection'!$A$3:$A$126,1)-1,0,2))*LCDMTotalBulgeMass</f>
        <v>1.8482413321354384E+40</v>
      </c>
      <c r="F741" s="15">
        <f t="shared" si="80"/>
        <v>3.9781999433994735E+39</v>
      </c>
      <c r="G741" s="15">
        <f t="shared" si="81"/>
        <v>1.1246050642967898E+41</v>
      </c>
      <c r="H741" s="15">
        <f t="shared" si="82"/>
        <v>1.3492111969443285E+41</v>
      </c>
      <c r="I741" s="16">
        <v>155.62289000000001</v>
      </c>
      <c r="J741" s="45">
        <v>1</v>
      </c>
      <c r="K741" s="19">
        <f t="shared" si="83"/>
        <v>151.58580674219246</v>
      </c>
      <c r="L741" s="16">
        <f t="shared" si="84"/>
        <v>16.298041230470037</v>
      </c>
      <c r="M741" s="45"/>
    </row>
    <row r="742" spans="1:13" x14ac:dyDescent="0.25">
      <c r="A742" s="16">
        <v>12.75</v>
      </c>
      <c r="B742" s="45">
        <f t="shared" si="85"/>
        <v>12750</v>
      </c>
      <c r="C742" s="16">
        <f t="shared" si="86"/>
        <v>22.368421052631579</v>
      </c>
      <c r="D742" s="15">
        <f t="shared" si="87"/>
        <v>3.9342389144999998E+20</v>
      </c>
      <c r="E742" s="15">
        <f>FORECAST($C742, OFFSET('De Vaucouleurs Deprojection'!$F$3:$F$126, MATCH($C742, 'De Vaucouleurs Deprojection'!$A$3:$A$126,1)-1,0,2), OFFSET('De Vaucouleurs Deprojection'!$A$3:$A$126, MATCH($C742, 'De Vaucouleurs Deprojection'!$A$3:$A$126,1)-1,0,2))*LCDMTotalBulgeMass</f>
        <v>1.8484250272652628E+40</v>
      </c>
      <c r="F742" s="15">
        <f t="shared" si="80"/>
        <v>3.9781999477292316E+39</v>
      </c>
      <c r="G742" s="15">
        <f t="shared" si="81"/>
        <v>1.129784713507633E+41</v>
      </c>
      <c r="H742" s="15">
        <f t="shared" si="82"/>
        <v>1.3544092157114516E+41</v>
      </c>
      <c r="I742" s="16">
        <v>155.67876000000001</v>
      </c>
      <c r="J742" s="45">
        <v>1</v>
      </c>
      <c r="K742" s="19">
        <f t="shared" si="83"/>
        <v>151.57943684844219</v>
      </c>
      <c r="L742" s="16">
        <f t="shared" si="84"/>
        <v>16.804450300897987</v>
      </c>
      <c r="M742" s="45"/>
    </row>
    <row r="743" spans="1:13" x14ac:dyDescent="0.25">
      <c r="A743" s="16">
        <v>12.8</v>
      </c>
      <c r="B743" s="45">
        <f t="shared" si="85"/>
        <v>12800</v>
      </c>
      <c r="C743" s="16">
        <f t="shared" si="86"/>
        <v>22.456140350877192</v>
      </c>
      <c r="D743" s="15">
        <f t="shared" si="87"/>
        <v>3.9496673024E+20</v>
      </c>
      <c r="E743" s="15">
        <f>FORECAST($C743, OFFSET('De Vaucouleurs Deprojection'!$F$3:$F$126, MATCH($C743, 'De Vaucouleurs Deprojection'!$A$3:$A$126,1)-1,0,2), OFFSET('De Vaucouleurs Deprojection'!$A$3:$A$126, MATCH($C743, 'De Vaucouleurs Deprojection'!$A$3:$A$126,1)-1,0,2))*LCDMTotalBulgeMass</f>
        <v>1.8486087223950873E+40</v>
      </c>
      <c r="F743" s="15">
        <f t="shared" si="80"/>
        <v>3.9781999517284531E+39</v>
      </c>
      <c r="G743" s="15">
        <f t="shared" si="81"/>
        <v>1.1349610786521782E+41</v>
      </c>
      <c r="H743" s="15">
        <f t="shared" si="82"/>
        <v>1.3596039504089715E+41</v>
      </c>
      <c r="I743" s="16">
        <v>155.73984999999999</v>
      </c>
      <c r="J743" s="45">
        <v>1</v>
      </c>
      <c r="K743" s="19">
        <f t="shared" si="83"/>
        <v>151.57293339581528</v>
      </c>
      <c r="L743" s="16">
        <f t="shared" si="84"/>
        <v>17.363193986230204</v>
      </c>
      <c r="M743" s="45"/>
    </row>
    <row r="744" spans="1:13" x14ac:dyDescent="0.25">
      <c r="A744" s="16">
        <v>12.85</v>
      </c>
      <c r="B744" s="45">
        <f t="shared" si="85"/>
        <v>12850</v>
      </c>
      <c r="C744" s="16">
        <f t="shared" si="86"/>
        <v>22.543859649122808</v>
      </c>
      <c r="D744" s="15">
        <f t="shared" si="87"/>
        <v>3.9650956903000002E+20</v>
      </c>
      <c r="E744" s="15">
        <f>FORECAST($C744, OFFSET('De Vaucouleurs Deprojection'!$F$3:$F$126, MATCH($C744, 'De Vaucouleurs Deprojection'!$A$3:$A$126,1)-1,0,2), OFFSET('De Vaucouleurs Deprojection'!$A$3:$A$126, MATCH($C744, 'De Vaucouleurs Deprojection'!$A$3:$A$126,1)-1,0,2))*LCDMTotalBulgeMass</f>
        <v>1.848792417524912E+40</v>
      </c>
      <c r="F744" s="15">
        <f t="shared" ref="F744:F807" si="88">2*PI()*LCDMDiskSurfaceDensity*LCDMScaleLength*(LCDMScaleLength-EXP(-RadiusPc/LCDMScaleLength)*(RadiusPc+LCDMScaleLength))*SolarMass</f>
        <v>3.9781999554223169E+39</v>
      </c>
      <c r="G744" s="15">
        <f t="shared" ref="G744:G807" si="89">4*PI()*LCDMHaloRepresentativeDensity*LCDMHaloScaleLengthPc^3*(LN(1+RadiusPc/LCDMHaloScaleLengthPc)-RadiusPc/(RadiusPc+LCDMHaloScaleLengthPc))*SolarMass</f>
        <v>1.1401341361303609E+41</v>
      </c>
      <c r="H744" s="15">
        <f t="shared" ref="H744:H807" si="90">BulgeMass+DiskMass+HaloMass</f>
        <v>1.3647953774370752E+41</v>
      </c>
      <c r="I744" s="16">
        <v>155.80549999999999</v>
      </c>
      <c r="J744" s="45">
        <v>1</v>
      </c>
      <c r="K744" s="19">
        <f t="shared" ref="K744:K807" si="91">SQRT(TotalMass*GravitationalConstant/RadiusKm)/km</f>
        <v>151.56629661268687</v>
      </c>
      <c r="L744" s="16">
        <f t="shared" ref="L744:L807" si="92">(ObservedVelocity-ModelVelocity)^2/(VelocityError)^2</f>
        <v>17.970845359007075</v>
      </c>
      <c r="M744" s="45"/>
    </row>
    <row r="745" spans="1:13" x14ac:dyDescent="0.25">
      <c r="A745" s="16">
        <v>12.9</v>
      </c>
      <c r="B745" s="45">
        <f t="shared" ref="B745:B808" si="93">A745*1000</f>
        <v>12900</v>
      </c>
      <c r="C745" s="16">
        <f t="shared" ref="C745:C808" si="94">B745/LCDMBulgeEffectiveRadius</f>
        <v>22.631578947368421</v>
      </c>
      <c r="D745" s="15">
        <f t="shared" ref="D745:D808" si="95">A745*kpc</f>
        <v>3.9805240782000003E+20</v>
      </c>
      <c r="E745" s="15">
        <f>FORECAST($C745, OFFSET('De Vaucouleurs Deprojection'!$F$3:$F$126, MATCH($C745, 'De Vaucouleurs Deprojection'!$A$3:$A$126,1)-1,0,2), OFFSET('De Vaucouleurs Deprojection'!$A$3:$A$126, MATCH($C745, 'De Vaucouleurs Deprojection'!$A$3:$A$126,1)-1,0,2))*LCDMTotalBulgeMass</f>
        <v>1.8489761126547364E+40</v>
      </c>
      <c r="F745" s="15">
        <f t="shared" si="88"/>
        <v>3.9781999588340851E+39</v>
      </c>
      <c r="G745" s="15">
        <f t="shared" si="89"/>
        <v>1.1453038627635651E+41</v>
      </c>
      <c r="H745" s="15">
        <f t="shared" si="90"/>
        <v>1.3699834736173797E+41</v>
      </c>
      <c r="I745" s="16">
        <v>155.87509</v>
      </c>
      <c r="J745" s="45">
        <v>1</v>
      </c>
      <c r="K745" s="19">
        <f t="shared" si="91"/>
        <v>151.5595267466235</v>
      </c>
      <c r="L745" s="16">
        <f t="shared" si="92"/>
        <v>18.624086193893525</v>
      </c>
      <c r="M745" s="45"/>
    </row>
    <row r="746" spans="1:13" x14ac:dyDescent="0.25">
      <c r="A746" s="16">
        <v>12.95</v>
      </c>
      <c r="B746" s="45">
        <f t="shared" si="93"/>
        <v>12950</v>
      </c>
      <c r="C746" s="16">
        <f t="shared" si="94"/>
        <v>22.719298245614034</v>
      </c>
      <c r="D746" s="15">
        <f t="shared" si="95"/>
        <v>3.9959524660999999E+20</v>
      </c>
      <c r="E746" s="15">
        <f>FORECAST($C746, OFFSET('De Vaucouleurs Deprojection'!$F$3:$F$126, MATCH($C746, 'De Vaucouleurs Deprojection'!$A$3:$A$126,1)-1,0,2), OFFSET('De Vaucouleurs Deprojection'!$A$3:$A$126, MATCH($C746, 'De Vaucouleurs Deprojection'!$A$3:$A$126,1)-1,0,2))*LCDMTotalBulgeMass</f>
        <v>1.8491598077845611E+40</v>
      </c>
      <c r="F746" s="15">
        <f t="shared" si="88"/>
        <v>3.9781999619852536E+39</v>
      </c>
      <c r="G746" s="15">
        <f t="shared" si="89"/>
        <v>1.1504702357884619E+41</v>
      </c>
      <c r="H746" s="15">
        <f t="shared" si="90"/>
        <v>1.3751682161867705E+41</v>
      </c>
      <c r="I746" s="16">
        <v>155.94798</v>
      </c>
      <c r="J746" s="45">
        <v>1</v>
      </c>
      <c r="K746" s="19">
        <f t="shared" si="91"/>
        <v>151.55262406367353</v>
      </c>
      <c r="L746" s="16">
        <f t="shared" si="92"/>
        <v>19.319153807000315</v>
      </c>
      <c r="M746" s="45"/>
    </row>
    <row r="747" spans="1:13" x14ac:dyDescent="0.25">
      <c r="A747" s="16">
        <v>13</v>
      </c>
      <c r="B747" s="45">
        <f t="shared" si="93"/>
        <v>13000</v>
      </c>
      <c r="C747" s="16">
        <f t="shared" si="94"/>
        <v>22.807017543859651</v>
      </c>
      <c r="D747" s="15">
        <f t="shared" si="95"/>
        <v>4.011380854E+20</v>
      </c>
      <c r="E747" s="15">
        <f>FORECAST($C747, OFFSET('De Vaucouleurs Deprojection'!$F$3:$F$126, MATCH($C747, 'De Vaucouleurs Deprojection'!$A$3:$A$126,1)-1,0,2), OFFSET('De Vaucouleurs Deprojection'!$A$3:$A$126, MATCH($C747, 'De Vaucouleurs Deprojection'!$A$3:$A$126,1)-1,0,2))*LCDMTotalBulgeMass</f>
        <v>1.8493435029143856E+40</v>
      </c>
      <c r="F747" s="15">
        <f t="shared" si="88"/>
        <v>3.9781999648956851E+39</v>
      </c>
      <c r="G747" s="15">
        <f t="shared" si="89"/>
        <v>1.155633232850943E+41</v>
      </c>
      <c r="H747" s="15">
        <f t="shared" si="90"/>
        <v>1.3803495827913384E+41</v>
      </c>
      <c r="I747" s="16">
        <v>156.02350000000001</v>
      </c>
      <c r="J747" s="45">
        <v>1</v>
      </c>
      <c r="K747" s="19">
        <f t="shared" si="91"/>
        <v>151.54558884767928</v>
      </c>
      <c r="L747" s="16">
        <f t="shared" si="92"/>
        <v>20.05168828807836</v>
      </c>
      <c r="M747" s="45"/>
    </row>
    <row r="748" spans="1:13" x14ac:dyDescent="0.25">
      <c r="A748" s="16">
        <v>13.05</v>
      </c>
      <c r="B748" s="45">
        <f t="shared" si="93"/>
        <v>13050</v>
      </c>
      <c r="C748" s="16">
        <f t="shared" si="94"/>
        <v>22.894736842105264</v>
      </c>
      <c r="D748" s="15">
        <f t="shared" si="95"/>
        <v>4.0268092419000002E+20</v>
      </c>
      <c r="E748" s="15">
        <f>FORECAST($C748, OFFSET('De Vaucouleurs Deprojection'!$F$3:$F$126, MATCH($C748, 'De Vaucouleurs Deprojection'!$A$3:$A$126,1)-1,0,2), OFFSET('De Vaucouleurs Deprojection'!$A$3:$A$126, MATCH($C748, 'De Vaucouleurs Deprojection'!$A$3:$A$126,1)-1,0,2))*LCDMTotalBulgeMass</f>
        <v>1.8495271980442101E+40</v>
      </c>
      <c r="F748" s="15">
        <f t="shared" si="88"/>
        <v>3.9781999675837305E+39</v>
      </c>
      <c r="G748" s="15">
        <f t="shared" si="89"/>
        <v>1.160792832000145E+41</v>
      </c>
      <c r="H748" s="15">
        <f t="shared" si="90"/>
        <v>1.3855275514804034E+41</v>
      </c>
      <c r="I748" s="16">
        <v>156.10095000000001</v>
      </c>
      <c r="J748" s="45">
        <v>1</v>
      </c>
      <c r="K748" s="19">
        <f t="shared" si="91"/>
        <v>151.53842139961026</v>
      </c>
      <c r="L748" s="16">
        <f t="shared" si="92"/>
        <v>20.816667229374492</v>
      </c>
      <c r="M748" s="45"/>
    </row>
    <row r="749" spans="1:13" x14ac:dyDescent="0.25">
      <c r="A749" s="16">
        <v>13.1</v>
      </c>
      <c r="B749" s="45">
        <f t="shared" si="93"/>
        <v>13100</v>
      </c>
      <c r="C749" s="16">
        <f t="shared" si="94"/>
        <v>22.982456140350877</v>
      </c>
      <c r="D749" s="15">
        <f t="shared" si="95"/>
        <v>4.0422376297999997E+20</v>
      </c>
      <c r="E749" s="15">
        <f>FORECAST($C749, OFFSET('De Vaucouleurs Deprojection'!$F$3:$F$126, MATCH($C749, 'De Vaucouleurs Deprojection'!$A$3:$A$126,1)-1,0,2), OFFSET('De Vaucouleurs Deprojection'!$A$3:$A$126, MATCH($C749, 'De Vaucouleurs Deprojection'!$A$3:$A$126,1)-1,0,2))*LCDMTotalBulgeMass</f>
        <v>1.8497108931740347E+40</v>
      </c>
      <c r="F749" s="15">
        <f t="shared" si="88"/>
        <v>3.9781999700663455E+39</v>
      </c>
      <c r="G749" s="15">
        <f t="shared" si="89"/>
        <v>1.1659490116825644E+41</v>
      </c>
      <c r="H749" s="15">
        <f t="shared" si="90"/>
        <v>1.3907021007006313E+41</v>
      </c>
      <c r="I749" s="16">
        <v>156.17946000000001</v>
      </c>
      <c r="J749" s="45">
        <v>1</v>
      </c>
      <c r="K749" s="19">
        <f t="shared" si="91"/>
        <v>151.53112203691663</v>
      </c>
      <c r="L749" s="16">
        <f t="shared" si="92"/>
        <v>21.607045819042128</v>
      </c>
      <c r="M749" s="45"/>
    </row>
    <row r="750" spans="1:13" x14ac:dyDescent="0.25">
      <c r="A750" s="16">
        <v>13.15</v>
      </c>
      <c r="B750" s="45">
        <f t="shared" si="93"/>
        <v>13150</v>
      </c>
      <c r="C750" s="16">
        <f t="shared" si="94"/>
        <v>23.07017543859649</v>
      </c>
      <c r="D750" s="15">
        <f t="shared" si="95"/>
        <v>4.0576660176999999E+20</v>
      </c>
      <c r="E750" s="15">
        <f>FORECAST($C750, OFFSET('De Vaucouleurs Deprojection'!$F$3:$F$126, MATCH($C750, 'De Vaucouleurs Deprojection'!$A$3:$A$126,1)-1,0,2), OFFSET('De Vaucouleurs Deprojection'!$A$3:$A$126, MATCH($C750, 'De Vaucouleurs Deprojection'!$A$3:$A$126,1)-1,0,2))*LCDMTotalBulgeMass</f>
        <v>1.8498945883038592E+40</v>
      </c>
      <c r="F750" s="15">
        <f t="shared" si="88"/>
        <v>3.978199972359196E+39</v>
      </c>
      <c r="G750" s="15">
        <f t="shared" si="89"/>
        <v>1.1711017507362759E+41</v>
      </c>
      <c r="H750" s="15">
        <f t="shared" si="90"/>
        <v>1.3958732092902537E+41</v>
      </c>
      <c r="I750" s="16">
        <v>156.2578</v>
      </c>
      <c r="J750" s="45">
        <v>1</v>
      </c>
      <c r="K750" s="19">
        <f t="shared" si="91"/>
        <v>151.52369109290328</v>
      </c>
      <c r="L750" s="16">
        <f t="shared" si="92"/>
        <v>22.411787144252553</v>
      </c>
      <c r="M750" s="45"/>
    </row>
    <row r="751" spans="1:13" x14ac:dyDescent="0.25">
      <c r="A751" s="16">
        <v>13.2</v>
      </c>
      <c r="B751" s="45">
        <f t="shared" si="93"/>
        <v>13200</v>
      </c>
      <c r="C751" s="16">
        <f t="shared" si="94"/>
        <v>23.157894736842106</v>
      </c>
      <c r="D751" s="15">
        <f t="shared" si="95"/>
        <v>4.0730944056000001E+20</v>
      </c>
      <c r="E751" s="15">
        <f>FORECAST($C751, OFFSET('De Vaucouleurs Deprojection'!$F$3:$F$126, MATCH($C751, 'De Vaucouleurs Deprojection'!$A$3:$A$126,1)-1,0,2), OFFSET('De Vaucouleurs Deprojection'!$A$3:$A$126, MATCH($C751, 'De Vaucouleurs Deprojection'!$A$3:$A$126,1)-1,0,2))*LCDMTotalBulgeMass</f>
        <v>1.8500782834336839E+40</v>
      </c>
      <c r="F751" s="15">
        <f t="shared" si="88"/>
        <v>3.9781999744767571E+39</v>
      </c>
      <c r="G751" s="15">
        <f t="shared" si="89"/>
        <v>1.1762510283852223E+41</v>
      </c>
      <c r="H751" s="15">
        <f t="shared" si="90"/>
        <v>1.4010408564733583E+41</v>
      </c>
      <c r="I751" s="16">
        <v>156.33412000000001</v>
      </c>
      <c r="J751" s="45">
        <v>1</v>
      </c>
      <c r="K751" s="19">
        <f t="shared" si="91"/>
        <v>151.51612891612226</v>
      </c>
      <c r="L751" s="16">
        <f t="shared" si="92"/>
        <v>23.213038084325568</v>
      </c>
      <c r="M751" s="45"/>
    </row>
    <row r="752" spans="1:13" x14ac:dyDescent="0.25">
      <c r="A752" s="16">
        <v>13.25</v>
      </c>
      <c r="B752" s="45">
        <f t="shared" si="93"/>
        <v>13250</v>
      </c>
      <c r="C752" s="16">
        <f t="shared" si="94"/>
        <v>23.245614035087719</v>
      </c>
      <c r="D752" s="15">
        <f t="shared" si="95"/>
        <v>4.0885227935000003E+20</v>
      </c>
      <c r="E752" s="15">
        <f>FORECAST($C752, OFFSET('De Vaucouleurs Deprojection'!$F$3:$F$126, MATCH($C752, 'De Vaucouleurs Deprojection'!$A$3:$A$126,1)-1,0,2), OFFSET('De Vaucouleurs Deprojection'!$A$3:$A$126, MATCH($C752, 'De Vaucouleurs Deprojection'!$A$3:$A$126,1)-1,0,2))*LCDMTotalBulgeMass</f>
        <v>1.8502619785635084E+40</v>
      </c>
      <c r="F752" s="15">
        <f t="shared" si="88"/>
        <v>3.9781999764324019E+39</v>
      </c>
      <c r="G752" s="15">
        <f t="shared" si="89"/>
        <v>1.1813968242336061E+41</v>
      </c>
      <c r="H752" s="15">
        <f t="shared" si="90"/>
        <v>1.4062050218542808E+41</v>
      </c>
      <c r="I752" s="16">
        <v>156.40613999999999</v>
      </c>
      <c r="J752" s="45">
        <v>1</v>
      </c>
      <c r="K752" s="19">
        <f t="shared" si="91"/>
        <v>151.50843586978436</v>
      </c>
      <c r="L752" s="16">
        <f t="shared" si="92"/>
        <v>23.987505747131234</v>
      </c>
      <c r="M752" s="45"/>
    </row>
    <row r="753" spans="1:13" x14ac:dyDescent="0.25">
      <c r="A753" s="16">
        <v>13.3</v>
      </c>
      <c r="B753" s="45">
        <f t="shared" si="93"/>
        <v>13300</v>
      </c>
      <c r="C753" s="16">
        <f t="shared" si="94"/>
        <v>23.333333333333332</v>
      </c>
      <c r="D753" s="15">
        <f t="shared" si="95"/>
        <v>4.1039511814000004E+20</v>
      </c>
      <c r="E753" s="15">
        <f>FORECAST($C753, OFFSET('De Vaucouleurs Deprojection'!$F$3:$F$126, MATCH($C753, 'De Vaucouleurs Deprojection'!$A$3:$A$126,1)-1,0,2), OFFSET('De Vaucouleurs Deprojection'!$A$3:$A$126, MATCH($C753, 'De Vaucouleurs Deprojection'!$A$3:$A$126,1)-1,0,2))*LCDMTotalBulgeMass</f>
        <v>1.8504456736933328E+40</v>
      </c>
      <c r="F753" s="15">
        <f t="shared" si="88"/>
        <v>3.9781999782384839E+39</v>
      </c>
      <c r="G753" s="15">
        <f t="shared" si="89"/>
        <v>1.1865391182603642E+41</v>
      </c>
      <c r="H753" s="15">
        <f t="shared" si="90"/>
        <v>1.4113656854120824E+41</v>
      </c>
      <c r="I753" s="16">
        <v>156.47157000000001</v>
      </c>
      <c r="J753" s="45">
        <v>1</v>
      </c>
      <c r="K753" s="19">
        <f t="shared" si="91"/>
        <v>151.50061233118893</v>
      </c>
      <c r="L753" s="16">
        <f t="shared" si="92"/>
        <v>24.710420145111701</v>
      </c>
      <c r="M753" s="45"/>
    </row>
    <row r="754" spans="1:13" x14ac:dyDescent="0.25">
      <c r="A754" s="16">
        <v>13.35</v>
      </c>
      <c r="B754" s="45">
        <f t="shared" si="93"/>
        <v>13350</v>
      </c>
      <c r="C754" s="16">
        <f t="shared" si="94"/>
        <v>23.421052631578949</v>
      </c>
      <c r="D754" s="15">
        <f t="shared" si="95"/>
        <v>4.1193795692999999E+20</v>
      </c>
      <c r="E754" s="15">
        <f>FORECAST($C754, OFFSET('De Vaucouleurs Deprojection'!$F$3:$F$126, MATCH($C754, 'De Vaucouleurs Deprojection'!$A$3:$A$126,1)-1,0,2), OFFSET('De Vaucouleurs Deprojection'!$A$3:$A$126, MATCH($C754, 'De Vaucouleurs Deprojection'!$A$3:$A$126,1)-1,0,2))*LCDMTotalBulgeMass</f>
        <v>1.8506293688231575E+40</v>
      </c>
      <c r="F754" s="15">
        <f t="shared" si="88"/>
        <v>3.9781999799064189E+39</v>
      </c>
      <c r="G754" s="15">
        <f t="shared" si="89"/>
        <v>1.1916778908137251E+41</v>
      </c>
      <c r="H754" s="15">
        <f t="shared" si="90"/>
        <v>1.416522827495105E+41</v>
      </c>
      <c r="I754" s="16">
        <v>156.52876000000001</v>
      </c>
      <c r="J754" s="45">
        <v>1</v>
      </c>
      <c r="K754" s="19">
        <f t="shared" si="91"/>
        <v>151.4926586911707</v>
      </c>
      <c r="L754" s="16">
        <f t="shared" si="92"/>
        <v>25.362316392792209</v>
      </c>
      <c r="M754" s="45"/>
    </row>
    <row r="755" spans="1:13" x14ac:dyDescent="0.25">
      <c r="A755" s="16">
        <v>13.4</v>
      </c>
      <c r="B755" s="45">
        <f t="shared" si="93"/>
        <v>13400</v>
      </c>
      <c r="C755" s="16">
        <f t="shared" si="94"/>
        <v>23.508771929824562</v>
      </c>
      <c r="D755" s="15">
        <f t="shared" si="95"/>
        <v>4.1348079572000001E+20</v>
      </c>
      <c r="E755" s="15">
        <f>FORECAST($C755, OFFSET('De Vaucouleurs Deprojection'!$F$3:$F$126, MATCH($C755, 'De Vaucouleurs Deprojection'!$A$3:$A$126,1)-1,0,2), OFFSET('De Vaucouleurs Deprojection'!$A$3:$A$126, MATCH($C755, 'De Vaucouleurs Deprojection'!$A$3:$A$126,1)-1,0,2))*LCDMTotalBulgeMass</f>
        <v>1.8508130639529822E+40</v>
      </c>
      <c r="F755" s="15">
        <f t="shared" si="88"/>
        <v>3.9781999814467512E+39</v>
      </c>
      <c r="G755" s="15">
        <f t="shared" si="89"/>
        <v>1.1968131226058494E+41</v>
      </c>
      <c r="H755" s="15">
        <f t="shared" si="90"/>
        <v>1.4216764288156152E+41</v>
      </c>
      <c r="I755" s="16">
        <v>156.57705999999999</v>
      </c>
      <c r="J755" s="45">
        <v>1</v>
      </c>
      <c r="K755" s="19">
        <f t="shared" si="91"/>
        <v>151.48457535356386</v>
      </c>
      <c r="L755" s="16">
        <f t="shared" si="92"/>
        <v>25.933399874187753</v>
      </c>
      <c r="M755" s="45"/>
    </row>
    <row r="756" spans="1:13" x14ac:dyDescent="0.25">
      <c r="A756" s="16">
        <v>13.45</v>
      </c>
      <c r="B756" s="45">
        <f t="shared" si="93"/>
        <v>13450</v>
      </c>
      <c r="C756" s="16">
        <f t="shared" si="94"/>
        <v>23.596491228070175</v>
      </c>
      <c r="D756" s="15">
        <f t="shared" si="95"/>
        <v>4.1502363450999996E+20</v>
      </c>
      <c r="E756" s="15">
        <f>FORECAST($C756, OFFSET('De Vaucouleurs Deprojection'!$F$3:$F$126, MATCH($C756, 'De Vaucouleurs Deprojection'!$A$3:$A$126,1)-1,0,2), OFFSET('De Vaucouleurs Deprojection'!$A$3:$A$126, MATCH($C756, 'De Vaucouleurs Deprojection'!$A$3:$A$126,1)-1,0,2))*LCDMTotalBulgeMass</f>
        <v>1.8509967590828067E+40</v>
      </c>
      <c r="F756" s="15">
        <f t="shared" si="88"/>
        <v>3.9781999828692235E+39</v>
      </c>
      <c r="G756" s="15">
        <f t="shared" si="89"/>
        <v>1.20194479470756E+41</v>
      </c>
      <c r="H756" s="15">
        <f t="shared" si="90"/>
        <v>1.4268264704445329E+41</v>
      </c>
      <c r="I756" s="16">
        <v>156.61641</v>
      </c>
      <c r="J756" s="45">
        <v>1</v>
      </c>
      <c r="K756" s="19">
        <f t="shared" si="91"/>
        <v>151.47636273468279</v>
      </c>
      <c r="L756" s="16">
        <f t="shared" si="92"/>
        <v>26.420085889694903</v>
      </c>
      <c r="M756" s="45"/>
    </row>
    <row r="757" spans="1:13" x14ac:dyDescent="0.25">
      <c r="A757" s="16">
        <v>13.5</v>
      </c>
      <c r="B757" s="45">
        <f t="shared" si="93"/>
        <v>13500</v>
      </c>
      <c r="C757" s="16">
        <f t="shared" si="94"/>
        <v>23.684210526315791</v>
      </c>
      <c r="D757" s="15">
        <f t="shared" si="95"/>
        <v>4.1656647329999998E+20</v>
      </c>
      <c r="E757" s="15">
        <f>FORECAST($C757, OFFSET('De Vaucouleurs Deprojection'!$F$3:$F$126, MATCH($C757, 'De Vaucouleurs Deprojection'!$A$3:$A$126,1)-1,0,2), OFFSET('De Vaucouleurs Deprojection'!$A$3:$A$126, MATCH($C757, 'De Vaucouleurs Deprojection'!$A$3:$A$126,1)-1,0,2))*LCDMTotalBulgeMass</f>
        <v>1.8511804542126313E+40</v>
      </c>
      <c r="F757" s="15">
        <f t="shared" si="88"/>
        <v>3.9781999841828356E+39</v>
      </c>
      <c r="G757" s="15">
        <f t="shared" si="89"/>
        <v>1.2070728885431412E+41</v>
      </c>
      <c r="H757" s="15">
        <f t="shared" si="90"/>
        <v>1.4319729338062327E+41</v>
      </c>
      <c r="I757" s="16">
        <v>156.64714000000001</v>
      </c>
      <c r="J757" s="45">
        <v>1</v>
      </c>
      <c r="K757" s="19">
        <f t="shared" si="91"/>
        <v>151.46802126281835</v>
      </c>
      <c r="L757" s="16">
        <f t="shared" si="92"/>
        <v>26.823270893826084</v>
      </c>
      <c r="M757" s="45"/>
    </row>
    <row r="758" spans="1:13" x14ac:dyDescent="0.25">
      <c r="A758" s="16">
        <v>13.55</v>
      </c>
      <c r="B758" s="45">
        <f t="shared" si="93"/>
        <v>13550</v>
      </c>
      <c r="C758" s="16">
        <f t="shared" si="94"/>
        <v>23.771929824561404</v>
      </c>
      <c r="D758" s="15">
        <f t="shared" si="95"/>
        <v>4.1810931209E+20</v>
      </c>
      <c r="E758" s="15">
        <f>FORECAST($C758, OFFSET('De Vaucouleurs Deprojection'!$F$3:$F$126, MATCH($C758, 'De Vaucouleurs Deprojection'!$A$3:$A$126,1)-1,0,2), OFFSET('De Vaucouleurs Deprojection'!$A$3:$A$126, MATCH($C758, 'De Vaucouleurs Deprojection'!$A$3:$A$126,1)-1,0,2))*LCDMTotalBulgeMass</f>
        <v>1.8513641493424558E+40</v>
      </c>
      <c r="F758" s="15">
        <f t="shared" si="88"/>
        <v>3.9781999853959014E+39</v>
      </c>
      <c r="G758" s="15">
        <f t="shared" si="89"/>
        <v>1.2121973858852268E+41</v>
      </c>
      <c r="H758" s="15">
        <f t="shared" si="90"/>
        <v>1.4371158006734314E+41</v>
      </c>
      <c r="I758" s="16">
        <v>156.66981999999999</v>
      </c>
      <c r="J758" s="45">
        <v>1</v>
      </c>
      <c r="K758" s="19">
        <f t="shared" si="91"/>
        <v>151.45955137774988</v>
      </c>
      <c r="L758" s="16">
        <f t="shared" si="92"/>
        <v>27.146899116004079</v>
      </c>
      <c r="M758" s="45"/>
    </row>
    <row r="759" spans="1:13" x14ac:dyDescent="0.25">
      <c r="A759" s="16">
        <v>13.6</v>
      </c>
      <c r="B759" s="45">
        <f t="shared" si="93"/>
        <v>13600</v>
      </c>
      <c r="C759" s="16">
        <f t="shared" si="94"/>
        <v>23.859649122807017</v>
      </c>
      <c r="D759" s="15">
        <f t="shared" si="95"/>
        <v>4.1965215088000002E+20</v>
      </c>
      <c r="E759" s="15">
        <f>FORECAST($C759, OFFSET('De Vaucouleurs Deprojection'!$F$3:$F$126, MATCH($C759, 'De Vaucouleurs Deprojection'!$A$3:$A$126,1)-1,0,2), OFFSET('De Vaucouleurs Deprojection'!$A$3:$A$126, MATCH($C759, 'De Vaucouleurs Deprojection'!$A$3:$A$126,1)-1,0,2))*LCDMTotalBulgeMass</f>
        <v>1.8515478444722805E+40</v>
      </c>
      <c r="F759" s="15">
        <f t="shared" si="88"/>
        <v>3.9781999865161024E+39</v>
      </c>
      <c r="G759" s="15">
        <f t="shared" si="89"/>
        <v>1.2173182688497646E+41</v>
      </c>
      <c r="H759" s="15">
        <f t="shared" si="90"/>
        <v>1.4422550531621537E+41</v>
      </c>
      <c r="I759" s="16">
        <v>156.68564000000001</v>
      </c>
      <c r="J759" s="45">
        <v>1</v>
      </c>
      <c r="K759" s="19">
        <f t="shared" si="91"/>
        <v>151.45095353027222</v>
      </c>
      <c r="L759" s="16">
        <f t="shared" si="92"/>
        <v>27.401942436351202</v>
      </c>
      <c r="M759" s="45"/>
    </row>
    <row r="760" spans="1:13" x14ac:dyDescent="0.25">
      <c r="A760" s="16">
        <v>13.65</v>
      </c>
      <c r="B760" s="45">
        <f t="shared" si="93"/>
        <v>13650</v>
      </c>
      <c r="C760" s="16">
        <f t="shared" si="94"/>
        <v>23.94736842105263</v>
      </c>
      <c r="D760" s="15">
        <f t="shared" si="95"/>
        <v>4.2119498967000003E+20</v>
      </c>
      <c r="E760" s="15">
        <f>FORECAST($C760, OFFSET('De Vaucouleurs Deprojection'!$F$3:$F$126, MATCH($C760, 'De Vaucouleurs Deprojection'!$A$3:$A$126,1)-1,0,2), OFFSET('De Vaucouleurs Deprojection'!$A$3:$A$126, MATCH($C760, 'De Vaucouleurs Deprojection'!$A$3:$A$126,1)-1,0,2))*LCDMTotalBulgeMass</f>
        <v>1.851731539602105E+40</v>
      </c>
      <c r="F760" s="15">
        <f t="shared" si="88"/>
        <v>3.9781999875505331E+39</v>
      </c>
      <c r="G760" s="15">
        <f t="shared" si="89"/>
        <v>1.2224355198910533E+41</v>
      </c>
      <c r="H760" s="15">
        <f t="shared" si="90"/>
        <v>1.4473906737267691E+41</v>
      </c>
      <c r="I760" s="16">
        <v>156.69676000000001</v>
      </c>
      <c r="J760" s="45">
        <v>1</v>
      </c>
      <c r="K760" s="19">
        <f t="shared" si="91"/>
        <v>151.44222818173705</v>
      </c>
      <c r="L760" s="16">
        <f t="shared" si="92"/>
        <v>27.610104629137865</v>
      </c>
      <c r="M760" s="45"/>
    </row>
    <row r="761" spans="1:13" x14ac:dyDescent="0.25">
      <c r="A761" s="16">
        <v>13.7</v>
      </c>
      <c r="B761" s="45">
        <f t="shared" si="93"/>
        <v>13700</v>
      </c>
      <c r="C761" s="16">
        <f t="shared" si="94"/>
        <v>24.035087719298247</v>
      </c>
      <c r="D761" s="15">
        <f t="shared" si="95"/>
        <v>4.2273782845999999E+20</v>
      </c>
      <c r="E761" s="15">
        <f>FORECAST($C761, OFFSET('De Vaucouleurs Deprojection'!$F$3:$F$126, MATCH($C761, 'De Vaucouleurs Deprojection'!$A$3:$A$126,1)-1,0,2), OFFSET('De Vaucouleurs Deprojection'!$A$3:$A$126, MATCH($C761, 'De Vaucouleurs Deprojection'!$A$3:$A$126,1)-1,0,2))*LCDMTotalBulgeMass</f>
        <v>1.8519152347319296E+40</v>
      </c>
      <c r="F761" s="15">
        <f t="shared" si="88"/>
        <v>3.9781999885057477E+39</v>
      </c>
      <c r="G761" s="15">
        <f t="shared" si="89"/>
        <v>1.2275491217968566E+41</v>
      </c>
      <c r="H761" s="15">
        <f t="shared" si="90"/>
        <v>1.4525226451551072E+41</v>
      </c>
      <c r="I761" s="16">
        <v>156.70599000000001</v>
      </c>
      <c r="J761" s="45">
        <v>1</v>
      </c>
      <c r="K761" s="19">
        <f t="shared" si="91"/>
        <v>151.43337580360844</v>
      </c>
      <c r="L761" s="16">
        <f t="shared" si="92"/>
        <v>27.800460463989946</v>
      </c>
      <c r="M761" s="45"/>
    </row>
    <row r="762" spans="1:13" x14ac:dyDescent="0.25">
      <c r="A762" s="16">
        <v>13.75</v>
      </c>
      <c r="B762" s="45">
        <f t="shared" si="93"/>
        <v>13750</v>
      </c>
      <c r="C762" s="16">
        <f t="shared" si="94"/>
        <v>24.12280701754386</v>
      </c>
      <c r="D762" s="15">
        <f t="shared" si="95"/>
        <v>4.2428066725E+20</v>
      </c>
      <c r="E762" s="15">
        <f>FORECAST($C762, OFFSET('De Vaucouleurs Deprojection'!$F$3:$F$126, MATCH($C762, 'De Vaucouleurs Deprojection'!$A$3:$A$126,1)-1,0,2), OFFSET('De Vaucouleurs Deprojection'!$A$3:$A$126, MATCH($C762, 'De Vaucouleurs Deprojection'!$A$3:$A$126,1)-1,0,2))*LCDMTotalBulgeMass</f>
        <v>1.8520989298617541E+40</v>
      </c>
      <c r="F762" s="15">
        <f t="shared" si="88"/>
        <v>3.9781999893878005E+39</v>
      </c>
      <c r="G762" s="15">
        <f t="shared" si="89"/>
        <v>1.2326590576835988E+41</v>
      </c>
      <c r="H762" s="15">
        <f t="shared" si="90"/>
        <v>1.4576509505636523E+41</v>
      </c>
      <c r="I762" s="16">
        <v>156.71619000000001</v>
      </c>
      <c r="J762" s="45">
        <v>1</v>
      </c>
      <c r="K762" s="19">
        <f t="shared" si="91"/>
        <v>151.42439687703231</v>
      </c>
      <c r="L762" s="16">
        <f t="shared" si="92"/>
        <v>28.003074456288282</v>
      </c>
      <c r="M762" s="45"/>
    </row>
    <row r="763" spans="1:13" x14ac:dyDescent="0.25">
      <c r="A763" s="16">
        <v>13.8</v>
      </c>
      <c r="B763" s="45">
        <f t="shared" si="93"/>
        <v>13800</v>
      </c>
      <c r="C763" s="16">
        <f t="shared" si="94"/>
        <v>24.210526315789473</v>
      </c>
      <c r="D763" s="15">
        <f t="shared" si="95"/>
        <v>4.2582350604000002E+20</v>
      </c>
      <c r="E763" s="15">
        <f>FORECAST($C763, OFFSET('De Vaucouleurs Deprojection'!$F$3:$F$126, MATCH($C763, 'De Vaucouleurs Deprojection'!$A$3:$A$126,1)-1,0,2), OFFSET('De Vaucouleurs Deprojection'!$A$3:$A$126, MATCH($C763, 'De Vaucouleurs Deprojection'!$A$3:$A$126,1)-1,0,2))*LCDMTotalBulgeMass</f>
        <v>1.8522826249915786E+40</v>
      </c>
      <c r="F763" s="15">
        <f t="shared" si="88"/>
        <v>3.9781999902022864E+39</v>
      </c>
      <c r="G763" s="15">
        <f t="shared" si="89"/>
        <v>1.2377653109916197E+41</v>
      </c>
      <c r="H763" s="15">
        <f t="shared" si="90"/>
        <v>1.4627755733928005E+41</v>
      </c>
      <c r="I763" s="16">
        <v>156.72953999999999</v>
      </c>
      <c r="J763" s="45">
        <v>1</v>
      </c>
      <c r="K763" s="19">
        <f t="shared" si="91"/>
        <v>151.41529189241851</v>
      </c>
      <c r="L763" s="16">
        <f t="shared" si="92"/>
        <v>28.241232948933312</v>
      </c>
      <c r="M763" s="45"/>
    </row>
    <row r="764" spans="1:13" x14ac:dyDescent="0.25">
      <c r="A764" s="16">
        <v>13.85</v>
      </c>
      <c r="B764" s="45">
        <f t="shared" si="93"/>
        <v>13850</v>
      </c>
      <c r="C764" s="16">
        <f t="shared" si="94"/>
        <v>24.298245614035089</v>
      </c>
      <c r="D764" s="15">
        <f t="shared" si="95"/>
        <v>4.2736634482999997E+20</v>
      </c>
      <c r="E764" s="15">
        <f>FORECAST($C764, OFFSET('De Vaucouleurs Deprojection'!$F$3:$F$126, MATCH($C764, 'De Vaucouleurs Deprojection'!$A$3:$A$126,1)-1,0,2), OFFSET('De Vaucouleurs Deprojection'!$A$3:$A$126, MATCH($C764, 'De Vaucouleurs Deprojection'!$A$3:$A$126,1)-1,0,2))*LCDMTotalBulgeMass</f>
        <v>1.8524663201214033E+40</v>
      </c>
      <c r="F764" s="15">
        <f t="shared" si="88"/>
        <v>3.9781999909543683E+39</v>
      </c>
      <c r="G764" s="15">
        <f t="shared" si="89"/>
        <v>1.2428678654805135E+41</v>
      </c>
      <c r="H764" s="15">
        <f t="shared" si="90"/>
        <v>1.4678964974021974E+41</v>
      </c>
      <c r="I764" s="16">
        <v>156.74746999999999</v>
      </c>
      <c r="J764" s="45">
        <v>1</v>
      </c>
      <c r="K764" s="19">
        <f t="shared" si="91"/>
        <v>151.40606134903652</v>
      </c>
      <c r="L764" s="16">
        <f t="shared" si="92"/>
        <v>28.530646376587427</v>
      </c>
      <c r="M764" s="45"/>
    </row>
    <row r="765" spans="1:13" x14ac:dyDescent="0.25">
      <c r="A765" s="16">
        <v>13.9</v>
      </c>
      <c r="B765" s="45">
        <f t="shared" si="93"/>
        <v>13900</v>
      </c>
      <c r="C765" s="16">
        <f t="shared" si="94"/>
        <v>24.385964912280702</v>
      </c>
      <c r="D765" s="15">
        <f t="shared" si="95"/>
        <v>4.2890918361999999E+20</v>
      </c>
      <c r="E765" s="15">
        <f>FORECAST($C765, OFFSET('De Vaucouleurs Deprojection'!$F$3:$F$126, MATCH($C765, 'De Vaucouleurs Deprojection'!$A$3:$A$126,1)-1,0,2), OFFSET('De Vaucouleurs Deprojection'!$A$3:$A$126, MATCH($C765, 'De Vaucouleurs Deprojection'!$A$3:$A$126,1)-1,0,2))*LCDMTotalBulgeMass</f>
        <v>1.8526500152512277E+40</v>
      </c>
      <c r="F765" s="15">
        <f t="shared" si="88"/>
        <v>3.9781999916488194E+39</v>
      </c>
      <c r="G765" s="15">
        <f t="shared" si="89"/>
        <v>1.2479667052245354E+41</v>
      </c>
      <c r="H765" s="15">
        <f t="shared" si="90"/>
        <v>1.4730137066661464E+41</v>
      </c>
      <c r="I765" s="16">
        <v>156.77086</v>
      </c>
      <c r="J765" s="45">
        <v>1</v>
      </c>
      <c r="K765" s="19">
        <f t="shared" si="91"/>
        <v>151.39670575462307</v>
      </c>
      <c r="L765" s="16">
        <f t="shared" si="92"/>
        <v>28.881533853102862</v>
      </c>
      <c r="M765" s="45"/>
    </row>
    <row r="766" spans="1:13" x14ac:dyDescent="0.25">
      <c r="A766" s="16">
        <v>13.95</v>
      </c>
      <c r="B766" s="45">
        <f t="shared" si="93"/>
        <v>13950</v>
      </c>
      <c r="C766" s="16">
        <f t="shared" si="94"/>
        <v>24.473684210526315</v>
      </c>
      <c r="D766" s="15">
        <f t="shared" si="95"/>
        <v>4.3045202241000001E+20</v>
      </c>
      <c r="E766" s="15">
        <f>FORECAST($C766, OFFSET('De Vaucouleurs Deprojection'!$F$3:$F$126, MATCH($C766, 'De Vaucouleurs Deprojection'!$A$3:$A$126,1)-1,0,2), OFFSET('De Vaucouleurs Deprojection'!$A$3:$A$126, MATCH($C766, 'De Vaucouleurs Deprojection'!$A$3:$A$126,1)-1,0,2))*LCDMTotalBulgeMass</f>
        <v>1.8528337103810524E+40</v>
      </c>
      <c r="F766" s="15">
        <f t="shared" si="88"/>
        <v>3.9781999922900488E+39</v>
      </c>
      <c r="G766" s="15">
        <f t="shared" si="89"/>
        <v>1.2530618146080682E+41</v>
      </c>
      <c r="H766" s="15">
        <f t="shared" si="90"/>
        <v>1.478127185569074E+41</v>
      </c>
      <c r="I766" s="16">
        <v>156.80028999999999</v>
      </c>
      <c r="J766" s="45">
        <v>1</v>
      </c>
      <c r="K766" s="19">
        <f t="shared" si="91"/>
        <v>151.38722562500183</v>
      </c>
      <c r="L766" s="16">
        <f t="shared" si="92"/>
        <v>29.301265927874191</v>
      </c>
      <c r="M766" s="45"/>
    </row>
    <row r="767" spans="1:13" x14ac:dyDescent="0.25">
      <c r="A767" s="16">
        <v>14</v>
      </c>
      <c r="B767" s="45">
        <f t="shared" si="93"/>
        <v>14000</v>
      </c>
      <c r="C767" s="16">
        <f t="shared" si="94"/>
        <v>24.561403508771932</v>
      </c>
      <c r="D767" s="15">
        <f t="shared" si="95"/>
        <v>4.3199486120000002E+20</v>
      </c>
      <c r="E767" s="15">
        <f>FORECAST($C767, OFFSET('De Vaucouleurs Deprojection'!$F$3:$F$126, MATCH($C767, 'De Vaucouleurs Deprojection'!$A$3:$A$126,1)-1,0,2), OFFSET('De Vaucouleurs Deprojection'!$A$3:$A$126, MATCH($C767, 'De Vaucouleurs Deprojection'!$A$3:$A$126,1)-1,0,2))*LCDMTotalBulgeMass</f>
        <v>1.8530174055108769E+40</v>
      </c>
      <c r="F767" s="15">
        <f t="shared" si="88"/>
        <v>3.9781999928821256E+39</v>
      </c>
      <c r="G767" s="15">
        <f t="shared" si="89"/>
        <v>1.2581531783211724E+41</v>
      </c>
      <c r="H767" s="15">
        <f t="shared" si="90"/>
        <v>1.4832369188010813E+41</v>
      </c>
      <c r="I767" s="16">
        <v>156.83606</v>
      </c>
      <c r="J767" s="45">
        <v>1</v>
      </c>
      <c r="K767" s="19">
        <f t="shared" si="91"/>
        <v>151.37762148371525</v>
      </c>
      <c r="L767" s="16">
        <f t="shared" si="92"/>
        <v>29.794551036060952</v>
      </c>
      <c r="M767" s="45"/>
    </row>
    <row r="768" spans="1:13" x14ac:dyDescent="0.25">
      <c r="A768" s="16">
        <v>14.05</v>
      </c>
      <c r="B768" s="45">
        <f t="shared" si="93"/>
        <v>14050</v>
      </c>
      <c r="C768" s="16">
        <f t="shared" si="94"/>
        <v>24.649122807017545</v>
      </c>
      <c r="D768" s="15">
        <f t="shared" si="95"/>
        <v>4.3353769999000004E+20</v>
      </c>
      <c r="E768" s="15">
        <f>FORECAST($C768, OFFSET('De Vaucouleurs Deprojection'!$F$3:$F$126, MATCH($C768, 'De Vaucouleurs Deprojection'!$A$3:$A$126,1)-1,0,2), OFFSET('De Vaucouleurs Deprojection'!$A$3:$A$126, MATCH($C768, 'De Vaucouleurs Deprojection'!$A$3:$A$126,1)-1,0,2))*LCDMTotalBulgeMass</f>
        <v>1.8532011006407013E+40</v>
      </c>
      <c r="F768" s="15">
        <f t="shared" si="88"/>
        <v>3.9781999934288121E+39</v>
      </c>
      <c r="G768" s="15">
        <f t="shared" si="89"/>
        <v>1.2632407813551931E+41</v>
      </c>
      <c r="H768" s="15">
        <f t="shared" si="90"/>
        <v>1.4883428913535513E+41</v>
      </c>
      <c r="I768" s="16">
        <v>156.8777</v>
      </c>
      <c r="J768" s="45">
        <v>1</v>
      </c>
      <c r="K768" s="19">
        <f t="shared" si="91"/>
        <v>151.36789386166737</v>
      </c>
      <c r="L768" s="16">
        <f t="shared" si="92"/>
        <v>30.357963682007988</v>
      </c>
      <c r="M768" s="45"/>
    </row>
    <row r="769" spans="1:13" x14ac:dyDescent="0.25">
      <c r="A769" s="16">
        <v>14.1</v>
      </c>
      <c r="B769" s="45">
        <f t="shared" si="93"/>
        <v>14100</v>
      </c>
      <c r="C769" s="16">
        <f t="shared" si="94"/>
        <v>24.736842105263158</v>
      </c>
      <c r="D769" s="15">
        <f t="shared" si="95"/>
        <v>4.3508053877999999E+20</v>
      </c>
      <c r="E769" s="15">
        <f>FORECAST($C769, OFFSET('De Vaucouleurs Deprojection'!$F$3:$F$126, MATCH($C769, 'De Vaucouleurs Deprojection'!$A$3:$A$126,1)-1,0,2), OFFSET('De Vaucouleurs Deprojection'!$A$3:$A$126, MATCH($C769, 'De Vaucouleurs Deprojection'!$A$3:$A$126,1)-1,0,2))*LCDMTotalBulgeMass</f>
        <v>1.853384795770526E+40</v>
      </c>
      <c r="F769" s="15">
        <f t="shared" si="88"/>
        <v>3.978199993933581E+39</v>
      </c>
      <c r="G769" s="15">
        <f t="shared" si="89"/>
        <v>1.2683246089984327E+41</v>
      </c>
      <c r="H769" s="15">
        <f t="shared" si="90"/>
        <v>1.4934450885148211E+41</v>
      </c>
      <c r="I769" s="16">
        <v>156.92392000000001</v>
      </c>
      <c r="J769" s="45">
        <v>1</v>
      </c>
      <c r="K769" s="19">
        <f t="shared" si="91"/>
        <v>151.35804329677771</v>
      </c>
      <c r="L769" s="16">
        <f t="shared" si="92"/>
        <v>30.978983475472752</v>
      </c>
      <c r="M769" s="45"/>
    </row>
    <row r="770" spans="1:13" x14ac:dyDescent="0.25">
      <c r="A770" s="16">
        <v>14.15</v>
      </c>
      <c r="B770" s="45">
        <f t="shared" si="93"/>
        <v>14150</v>
      </c>
      <c r="C770" s="16">
        <f t="shared" si="94"/>
        <v>24.82456140350877</v>
      </c>
      <c r="D770" s="15">
        <f t="shared" si="95"/>
        <v>4.3662337757000001E+20</v>
      </c>
      <c r="E770" s="15">
        <f>FORECAST($C770, OFFSET('De Vaucouleurs Deprojection'!$F$3:$F$126, MATCH($C770, 'De Vaucouleurs Deprojection'!$A$3:$A$126,1)-1,0,2), OFFSET('De Vaucouleurs Deprojection'!$A$3:$A$126, MATCH($C770, 'De Vaucouleurs Deprojection'!$A$3:$A$126,1)-1,0,2))*LCDMTotalBulgeMass</f>
        <v>1.8535684909003505E+40</v>
      </c>
      <c r="F770" s="15">
        <f t="shared" si="88"/>
        <v>3.9781999943996412E+39</v>
      </c>
      <c r="G770" s="15">
        <f t="shared" si="89"/>
        <v>1.2734046468318976E+41</v>
      </c>
      <c r="H770" s="15">
        <f t="shared" si="90"/>
        <v>1.4985434958659291E+41</v>
      </c>
      <c r="I770" s="16">
        <v>156.97272000000001</v>
      </c>
      <c r="J770" s="45">
        <v>1</v>
      </c>
      <c r="K770" s="19">
        <f t="shared" si="91"/>
        <v>151.34807033364604</v>
      </c>
      <c r="L770" s="16">
        <f t="shared" si="92"/>
        <v>31.636683869215876</v>
      </c>
      <c r="M770" s="45"/>
    </row>
    <row r="771" spans="1:13" x14ac:dyDescent="0.25">
      <c r="A771" s="16">
        <v>14.2</v>
      </c>
      <c r="B771" s="45">
        <f t="shared" si="93"/>
        <v>14200</v>
      </c>
      <c r="C771" s="16">
        <f t="shared" si="94"/>
        <v>24.912280701754387</v>
      </c>
      <c r="D771" s="15">
        <f t="shared" si="95"/>
        <v>4.3816621635999996E+20</v>
      </c>
      <c r="E771" s="15">
        <f>FORECAST($C771, OFFSET('De Vaucouleurs Deprojection'!$F$3:$F$126, MATCH($C771, 'De Vaucouleurs Deprojection'!$A$3:$A$126,1)-1,0,2), OFFSET('De Vaucouleurs Deprojection'!$A$3:$A$126, MATCH($C771, 'De Vaucouleurs Deprojection'!$A$3:$A$126,1)-1,0,2))*LCDMTotalBulgeMass</f>
        <v>1.8537521860301752E+40</v>
      </c>
      <c r="F771" s="15">
        <f t="shared" si="88"/>
        <v>3.9781999948299548E+39</v>
      </c>
      <c r="G771" s="15">
        <f t="shared" si="89"/>
        <v>1.2784808807250977E+41</v>
      </c>
      <c r="H771" s="15">
        <f t="shared" si="90"/>
        <v>1.5036380992764148E+41</v>
      </c>
      <c r="I771" s="16">
        <v>157.02197000000001</v>
      </c>
      <c r="J771" s="45">
        <v>1</v>
      </c>
      <c r="K771" s="19">
        <f t="shared" si="91"/>
        <v>151.33797552322739</v>
      </c>
      <c r="L771" s="16">
        <f t="shared" si="92"/>
        <v>32.307793211981711</v>
      </c>
      <c r="M771" s="45"/>
    </row>
    <row r="772" spans="1:13" x14ac:dyDescent="0.25">
      <c r="A772" s="16">
        <v>14.25</v>
      </c>
      <c r="B772" s="45">
        <f t="shared" si="93"/>
        <v>14250</v>
      </c>
      <c r="C772" s="16">
        <f t="shared" si="94"/>
        <v>25</v>
      </c>
      <c r="D772" s="15">
        <f t="shared" si="95"/>
        <v>4.3970905514999998E+20</v>
      </c>
      <c r="E772" s="15">
        <f>FORECAST($C772, OFFSET('De Vaucouleurs Deprojection'!$F$3:$F$126, MATCH($C772, 'De Vaucouleurs Deprojection'!$A$3:$A$126,1)-1,0,2), OFFSET('De Vaucouleurs Deprojection'!$A$3:$A$126, MATCH($C772, 'De Vaucouleurs Deprojection'!$A$3:$A$126,1)-1,0,2))*LCDMTotalBulgeMass</f>
        <v>1.8539358811599999E+40</v>
      </c>
      <c r="F772" s="15">
        <f t="shared" si="88"/>
        <v>3.9781999952272592E+39</v>
      </c>
      <c r="G772" s="15">
        <f t="shared" si="89"/>
        <v>1.2835532968319123E+41</v>
      </c>
      <c r="H772" s="15">
        <f t="shared" si="90"/>
        <v>1.5087288849001848E+41</v>
      </c>
      <c r="I772" s="16">
        <v>157.06992</v>
      </c>
      <c r="J772" s="45">
        <v>1</v>
      </c>
      <c r="K772" s="19">
        <f t="shared" si="91"/>
        <v>151.32775942251689</v>
      </c>
      <c r="L772" s="16">
        <f t="shared" si="92"/>
        <v>32.972408097601104</v>
      </c>
      <c r="M772" s="45"/>
    </row>
    <row r="773" spans="1:13" x14ac:dyDescent="0.25">
      <c r="A773" s="16">
        <v>14.3</v>
      </c>
      <c r="B773" s="45">
        <f t="shared" si="93"/>
        <v>14300</v>
      </c>
      <c r="C773" s="16">
        <f t="shared" si="94"/>
        <v>25.087719298245613</v>
      </c>
      <c r="D773" s="15">
        <f t="shared" si="95"/>
        <v>4.4125189394E+20</v>
      </c>
      <c r="E773" s="15">
        <f>FORECAST($C773, OFFSET('De Vaucouleurs Deprojection'!$F$3:$F$126, MATCH($C773, 'De Vaucouleurs Deprojection'!$A$3:$A$126,1)-1,0,2), OFFSET('De Vaucouleurs Deprojection'!$A$3:$A$126, MATCH($C773, 'De Vaucouleurs Deprojection'!$A$3:$A$126,1)-1,0,2))*LCDMTotalBulgeMass</f>
        <v>1.8540483944270173E+40</v>
      </c>
      <c r="F773" s="15">
        <f t="shared" si="88"/>
        <v>3.9781999955940811E+39</v>
      </c>
      <c r="G773" s="15">
        <f t="shared" si="89"/>
        <v>1.2886218815865255E+41</v>
      </c>
      <c r="H773" s="15">
        <f t="shared" si="90"/>
        <v>1.5138087209851681E+41</v>
      </c>
      <c r="I773" s="16">
        <v>157.11512999999999</v>
      </c>
      <c r="J773" s="45">
        <v>1</v>
      </c>
      <c r="K773" s="19">
        <f t="shared" si="91"/>
        <v>151.31706683536078</v>
      </c>
      <c r="L773" s="16">
        <f t="shared" si="92"/>
        <v>33.61753646114613</v>
      </c>
      <c r="M773" s="45"/>
    </row>
    <row r="774" spans="1:13" x14ac:dyDescent="0.25">
      <c r="A774" s="16">
        <v>14.35</v>
      </c>
      <c r="B774" s="45">
        <f t="shared" si="93"/>
        <v>14350</v>
      </c>
      <c r="C774" s="16">
        <f t="shared" si="94"/>
        <v>25.17543859649123</v>
      </c>
      <c r="D774" s="15">
        <f t="shared" si="95"/>
        <v>4.4279473273000002E+20</v>
      </c>
      <c r="E774" s="15">
        <f>FORECAST($C774, OFFSET('De Vaucouleurs Deprojection'!$F$3:$F$126, MATCH($C774, 'De Vaucouleurs Deprojection'!$A$3:$A$126,1)-1,0,2), OFFSET('De Vaucouleurs Deprojection'!$A$3:$A$126, MATCH($C774, 'De Vaucouleurs Deprojection'!$A$3:$A$126,1)-1,0,2))*LCDMTotalBulgeMass</f>
        <v>1.8541609076940349E+40</v>
      </c>
      <c r="F774" s="15">
        <f t="shared" si="88"/>
        <v>3.9781999959327562E+39</v>
      </c>
      <c r="G774" s="15">
        <f t="shared" si="89"/>
        <v>1.2936866216994095E+41</v>
      </c>
      <c r="H774" s="15">
        <f t="shared" si="90"/>
        <v>1.5188847124281405E+41</v>
      </c>
      <c r="I774" s="16">
        <v>157.15639999999999</v>
      </c>
      <c r="J774" s="45">
        <v>1</v>
      </c>
      <c r="K774" s="19">
        <f t="shared" si="91"/>
        <v>151.30625651813864</v>
      </c>
      <c r="L774" s="16">
        <f t="shared" si="92"/>
        <v>34.224178758364857</v>
      </c>
      <c r="M774" s="45"/>
    </row>
    <row r="775" spans="1:13" x14ac:dyDescent="0.25">
      <c r="A775" s="16">
        <v>14.4</v>
      </c>
      <c r="B775" s="45">
        <f t="shared" si="93"/>
        <v>14400</v>
      </c>
      <c r="C775" s="16">
        <f t="shared" si="94"/>
        <v>25.263157894736842</v>
      </c>
      <c r="D775" s="15">
        <f t="shared" si="95"/>
        <v>4.4433757152000003E+20</v>
      </c>
      <c r="E775" s="15">
        <f>FORECAST($C775, OFFSET('De Vaucouleurs Deprojection'!$F$3:$F$126, MATCH($C775, 'De Vaucouleurs Deprojection'!$A$3:$A$126,1)-1,0,2), OFFSET('De Vaucouleurs Deprojection'!$A$3:$A$126, MATCH($C775, 'De Vaucouleurs Deprojection'!$A$3:$A$126,1)-1,0,2))*LCDMTotalBulgeMass</f>
        <v>1.8542734209610526E+40</v>
      </c>
      <c r="F775" s="15">
        <f t="shared" si="88"/>
        <v>3.9781999962454401E+39</v>
      </c>
      <c r="G775" s="15">
        <f t="shared" si="89"/>
        <v>1.2987475041533755E+41</v>
      </c>
      <c r="H775" s="15">
        <f t="shared" si="90"/>
        <v>1.5239568462119351E+41</v>
      </c>
      <c r="I775" s="16">
        <v>157.19256999999999</v>
      </c>
      <c r="J775" s="45">
        <v>1</v>
      </c>
      <c r="K775" s="19">
        <f t="shared" si="91"/>
        <v>151.29532901802764</v>
      </c>
      <c r="L775" s="16">
        <f t="shared" si="92"/>
        <v>34.777451199454148</v>
      </c>
      <c r="M775" s="45"/>
    </row>
    <row r="776" spans="1:13" x14ac:dyDescent="0.25">
      <c r="A776" s="16">
        <v>14.45</v>
      </c>
      <c r="B776" s="45">
        <f t="shared" si="93"/>
        <v>14450</v>
      </c>
      <c r="C776" s="16">
        <f t="shared" si="94"/>
        <v>25.350877192982455</v>
      </c>
      <c r="D776" s="15">
        <f t="shared" si="95"/>
        <v>4.4588041030999998E+20</v>
      </c>
      <c r="E776" s="15">
        <f>FORECAST($C776, OFFSET('De Vaucouleurs Deprojection'!$F$3:$F$126, MATCH($C776, 'De Vaucouleurs Deprojection'!$A$3:$A$126,1)-1,0,2), OFFSET('De Vaucouleurs Deprojection'!$A$3:$A$126, MATCH($C776, 'De Vaucouleurs Deprojection'!$A$3:$A$126,1)-1,0,2))*LCDMTotalBulgeMass</f>
        <v>1.85438593422807E+40</v>
      </c>
      <c r="F776" s="15">
        <f t="shared" si="88"/>
        <v>3.9781999965341231E+39</v>
      </c>
      <c r="G776" s="15">
        <f t="shared" si="89"/>
        <v>1.3038045161996856E+41</v>
      </c>
      <c r="H776" s="15">
        <f t="shared" si="90"/>
        <v>1.5290251095878338E+41</v>
      </c>
      <c r="I776" s="16">
        <v>157.22272000000001</v>
      </c>
      <c r="J776" s="45">
        <v>1</v>
      </c>
      <c r="K776" s="19">
        <f t="shared" si="91"/>
        <v>151.2842848874472</v>
      </c>
      <c r="L776" s="16">
        <f t="shared" si="92"/>
        <v>35.265011586000107</v>
      </c>
      <c r="M776" s="45"/>
    </row>
    <row r="777" spans="1:13" x14ac:dyDescent="0.25">
      <c r="A777" s="16">
        <v>14.5</v>
      </c>
      <c r="B777" s="45">
        <f t="shared" si="93"/>
        <v>14500</v>
      </c>
      <c r="C777" s="16">
        <f t="shared" si="94"/>
        <v>25.438596491228068</v>
      </c>
      <c r="D777" s="15">
        <f t="shared" si="95"/>
        <v>4.474232491E+20</v>
      </c>
      <c r="E777" s="15">
        <f>FORECAST($C777, OFFSET('De Vaucouleurs Deprojection'!$F$3:$F$126, MATCH($C777, 'De Vaucouleurs Deprojection'!$A$3:$A$126,1)-1,0,2), OFFSET('De Vaucouleurs Deprojection'!$A$3:$A$126, MATCH($C777, 'De Vaucouleurs Deprojection'!$A$3:$A$126,1)-1,0,2))*LCDMTotalBulgeMass</f>
        <v>1.8544984474950876E+40</v>
      </c>
      <c r="F777" s="15">
        <f t="shared" si="88"/>
        <v>3.9781999968006453E+39</v>
      </c>
      <c r="G777" s="15">
        <f t="shared" si="89"/>
        <v>1.3088576453542136E+41</v>
      </c>
      <c r="H777" s="15">
        <f t="shared" si="90"/>
        <v>1.5340894900717287E+41</v>
      </c>
      <c r="I777" s="16">
        <v>157.24655000000001</v>
      </c>
      <c r="J777" s="45">
        <v>1</v>
      </c>
      <c r="K777" s="19">
        <f t="shared" si="91"/>
        <v>151.2731246837831</v>
      </c>
      <c r="L777" s="16">
        <f t="shared" si="92"/>
        <v>35.681810008421188</v>
      </c>
      <c r="M777" s="45"/>
    </row>
    <row r="778" spans="1:13" x14ac:dyDescent="0.25">
      <c r="A778" s="16">
        <v>14.55</v>
      </c>
      <c r="B778" s="45">
        <f t="shared" si="93"/>
        <v>14550</v>
      </c>
      <c r="C778" s="16">
        <f t="shared" si="94"/>
        <v>25.526315789473685</v>
      </c>
      <c r="D778" s="15">
        <f t="shared" si="95"/>
        <v>4.4896608789000002E+20</v>
      </c>
      <c r="E778" s="15">
        <f>FORECAST($C778, OFFSET('De Vaucouleurs Deprojection'!$F$3:$F$126, MATCH($C778, 'De Vaucouleurs Deprojection'!$A$3:$A$126,1)-1,0,2), OFFSET('De Vaucouleurs Deprojection'!$A$3:$A$126, MATCH($C778, 'De Vaucouleurs Deprojection'!$A$3:$A$126,1)-1,0,2))*LCDMTotalBulgeMass</f>
        <v>1.854610960762105E+40</v>
      </c>
      <c r="F778" s="15">
        <f t="shared" si="88"/>
        <v>3.9781999970467052E+39</v>
      </c>
      <c r="G778" s="15">
        <f t="shared" si="89"/>
        <v>1.3139068793936688E+41</v>
      </c>
      <c r="H778" s="15">
        <f t="shared" si="90"/>
        <v>1.5391499754403464E+41</v>
      </c>
      <c r="I778" s="16">
        <v>157.26447999999999</v>
      </c>
      <c r="J778" s="45">
        <v>1</v>
      </c>
      <c r="K778" s="19">
        <f t="shared" si="91"/>
        <v>151.26184896912133</v>
      </c>
      <c r="L778" s="16">
        <f t="shared" si="92"/>
        <v>36.031579292867413</v>
      </c>
      <c r="M778" s="45"/>
    </row>
    <row r="779" spans="1:13" x14ac:dyDescent="0.25">
      <c r="A779" s="16">
        <v>14.6</v>
      </c>
      <c r="B779" s="45">
        <f t="shared" si="93"/>
        <v>14600</v>
      </c>
      <c r="C779" s="16">
        <f t="shared" si="94"/>
        <v>25.614035087719298</v>
      </c>
      <c r="D779" s="15">
        <f t="shared" si="95"/>
        <v>4.5050892667999997E+20</v>
      </c>
      <c r="E779" s="15">
        <f>FORECAST($C779, OFFSET('De Vaucouleurs Deprojection'!$F$3:$F$126, MATCH($C779, 'De Vaucouleurs Deprojection'!$A$3:$A$126,1)-1,0,2), OFFSET('De Vaucouleurs Deprojection'!$A$3:$A$126, MATCH($C779, 'De Vaucouleurs Deprojection'!$A$3:$A$126,1)-1,0,2))*LCDMTotalBulgeMass</f>
        <v>1.8547234740291227E+40</v>
      </c>
      <c r="F779" s="15">
        <f t="shared" si="88"/>
        <v>3.9781999972738702E+39</v>
      </c>
      <c r="G779" s="15">
        <f t="shared" si="89"/>
        <v>1.3189522063518787E+41</v>
      </c>
      <c r="H779" s="15">
        <f t="shared" si="90"/>
        <v>1.5442065537275298E+41</v>
      </c>
      <c r="I779" s="16">
        <v>157.27746999999999</v>
      </c>
      <c r="J779" s="45">
        <v>1</v>
      </c>
      <c r="K779" s="19">
        <f t="shared" si="91"/>
        <v>151.25045830998934</v>
      </c>
      <c r="L779" s="16">
        <f t="shared" si="92"/>
        <v>36.32486991152507</v>
      </c>
      <c r="M779" s="45"/>
    </row>
    <row r="780" spans="1:13" x14ac:dyDescent="0.25">
      <c r="A780" s="16">
        <v>14.65</v>
      </c>
      <c r="B780" s="45">
        <f t="shared" si="93"/>
        <v>14650</v>
      </c>
      <c r="C780" s="16">
        <f t="shared" si="94"/>
        <v>25.701754385964911</v>
      </c>
      <c r="D780" s="15">
        <f t="shared" si="95"/>
        <v>4.5205176546999999E+20</v>
      </c>
      <c r="E780" s="15">
        <f>FORECAST($C780, OFFSET('De Vaucouleurs Deprojection'!$F$3:$F$126, MATCH($C780, 'De Vaucouleurs Deprojection'!$A$3:$A$126,1)-1,0,2), OFFSET('De Vaucouleurs Deprojection'!$A$3:$A$126, MATCH($C780, 'De Vaucouleurs Deprojection'!$A$3:$A$126,1)-1,0,2))*LCDMTotalBulgeMass</f>
        <v>1.8548359872961401E+40</v>
      </c>
      <c r="F780" s="15">
        <f t="shared" si="88"/>
        <v>3.9781999974835886E+39</v>
      </c>
      <c r="G780" s="15">
        <f t="shared" si="89"/>
        <v>1.3239936145161192E+41</v>
      </c>
      <c r="H780" s="15">
        <f t="shared" si="90"/>
        <v>1.549259213220569E+41</v>
      </c>
      <c r="I780" s="16">
        <v>157.28650999999999</v>
      </c>
      <c r="J780" s="45">
        <v>1</v>
      </c>
      <c r="K780" s="19">
        <f t="shared" si="91"/>
        <v>151.23895327710571</v>
      </c>
      <c r="L780" s="16">
        <f t="shared" si="92"/>
        <v>36.572942316623866</v>
      </c>
      <c r="M780" s="45"/>
    </row>
    <row r="781" spans="1:13" x14ac:dyDescent="0.25">
      <c r="A781" s="16">
        <v>14.7</v>
      </c>
      <c r="B781" s="45">
        <f t="shared" si="93"/>
        <v>14700</v>
      </c>
      <c r="C781" s="16">
        <f t="shared" si="94"/>
        <v>25.789473684210527</v>
      </c>
      <c r="D781" s="15">
        <f t="shared" si="95"/>
        <v>4.5359460426000001E+20</v>
      </c>
      <c r="E781" s="15">
        <f>FORECAST($C781, OFFSET('De Vaucouleurs Deprojection'!$F$3:$F$126, MATCH($C781, 'De Vaucouleurs Deprojection'!$A$3:$A$126,1)-1,0,2), OFFSET('De Vaucouleurs Deprojection'!$A$3:$A$126, MATCH($C781, 'De Vaucouleurs Deprojection'!$A$3:$A$126,1)-1,0,2))*LCDMTotalBulgeMass</f>
        <v>1.8549485005631577E+40</v>
      </c>
      <c r="F781" s="15">
        <f t="shared" si="88"/>
        <v>3.9781999976771993E+39</v>
      </c>
      <c r="G781" s="15">
        <f t="shared" si="89"/>
        <v>1.3290310924235015E+41</v>
      </c>
      <c r="H781" s="15">
        <f t="shared" si="90"/>
        <v>1.5543079424565893E+41</v>
      </c>
      <c r="I781" s="16">
        <v>157.29257000000001</v>
      </c>
      <c r="J781" s="45">
        <v>1</v>
      </c>
      <c r="K781" s="19">
        <f t="shared" si="91"/>
        <v>151.22733444513736</v>
      </c>
      <c r="L781" s="16">
        <f t="shared" si="92"/>
        <v>36.787082335970076</v>
      </c>
      <c r="M781" s="45"/>
    </row>
    <row r="782" spans="1:13" x14ac:dyDescent="0.25">
      <c r="A782" s="16">
        <v>14.75</v>
      </c>
      <c r="B782" s="45">
        <f t="shared" si="93"/>
        <v>14750</v>
      </c>
      <c r="C782" s="16">
        <f t="shared" si="94"/>
        <v>25.87719298245614</v>
      </c>
      <c r="D782" s="15">
        <f t="shared" si="95"/>
        <v>4.5513744305000002E+20</v>
      </c>
      <c r="E782" s="15">
        <f>FORECAST($C782, OFFSET('De Vaucouleurs Deprojection'!$F$3:$F$126, MATCH($C782, 'De Vaucouleurs Deprojection'!$A$3:$A$126,1)-1,0,2), OFFSET('De Vaucouleurs Deprojection'!$A$3:$A$126, MATCH($C782, 'De Vaucouleurs Deprojection'!$A$3:$A$126,1)-1,0,2))*LCDMTotalBulgeMass</f>
        <v>1.8550610138301751E+40</v>
      </c>
      <c r="F782" s="15">
        <f t="shared" si="88"/>
        <v>3.978199997855936E+39</v>
      </c>
      <c r="G782" s="15">
        <f t="shared" si="89"/>
        <v>1.3340646288574186E+41</v>
      </c>
      <c r="H782" s="15">
        <f t="shared" si="90"/>
        <v>1.5593527302189955E+41</v>
      </c>
      <c r="I782" s="16">
        <v>157.29633000000001</v>
      </c>
      <c r="J782" s="45">
        <v>1</v>
      </c>
      <c r="K782" s="19">
        <f t="shared" si="91"/>
        <v>151.21560239246463</v>
      </c>
      <c r="L782" s="16">
        <f t="shared" si="92"/>
        <v>36.975248237042941</v>
      </c>
      <c r="M782" s="45"/>
    </row>
    <row r="783" spans="1:13" x14ac:dyDescent="0.25">
      <c r="A783" s="16">
        <v>14.8</v>
      </c>
      <c r="B783" s="45">
        <f t="shared" si="93"/>
        <v>14800</v>
      </c>
      <c r="C783" s="16">
        <f t="shared" si="94"/>
        <v>25.964912280701753</v>
      </c>
      <c r="D783" s="15">
        <f t="shared" si="95"/>
        <v>4.5668028184000004E+20</v>
      </c>
      <c r="E783" s="15">
        <f>FORECAST($C783, OFFSET('De Vaucouleurs Deprojection'!$F$3:$F$126, MATCH($C783, 'De Vaucouleurs Deprojection'!$A$3:$A$126,1)-1,0,2), OFFSET('De Vaucouleurs Deprojection'!$A$3:$A$126, MATCH($C783, 'De Vaucouleurs Deprojection'!$A$3:$A$126,1)-1,0,2))*LCDMTotalBulgeMass</f>
        <v>1.8551735270971928E+40</v>
      </c>
      <c r="F783" s="15">
        <f t="shared" si="88"/>
        <v>3.9781999980209404E+39</v>
      </c>
      <c r="G783" s="15">
        <f t="shared" si="89"/>
        <v>1.3390942128440318E+41</v>
      </c>
      <c r="H783" s="15">
        <f t="shared" si="90"/>
        <v>1.5643935655339605E+41</v>
      </c>
      <c r="I783" s="16">
        <v>157.29843</v>
      </c>
      <c r="J783" s="45">
        <v>1</v>
      </c>
      <c r="K783" s="19">
        <f t="shared" si="91"/>
        <v>151.20375770095339</v>
      </c>
      <c r="L783" s="16">
        <f t="shared" si="92"/>
        <v>37.145030432766056</v>
      </c>
      <c r="M783" s="45"/>
    </row>
    <row r="784" spans="1:13" x14ac:dyDescent="0.25">
      <c r="A784" s="16">
        <v>14.85</v>
      </c>
      <c r="B784" s="45">
        <f t="shared" si="93"/>
        <v>14850</v>
      </c>
      <c r="C784" s="16">
        <f t="shared" si="94"/>
        <v>26.05263157894737</v>
      </c>
      <c r="D784" s="15">
        <f t="shared" si="95"/>
        <v>4.5822312062999999E+20</v>
      </c>
      <c r="E784" s="15">
        <f>FORECAST($C784, OFFSET('De Vaucouleurs Deprojection'!$F$3:$F$126, MATCH($C784, 'De Vaucouleurs Deprojection'!$A$3:$A$126,1)-1,0,2), OFFSET('De Vaucouleurs Deprojection'!$A$3:$A$126, MATCH($C784, 'De Vaucouleurs Deprojection'!$A$3:$A$126,1)-1,0,2))*LCDMTotalBulgeMass</f>
        <v>1.8552860403642102E+40</v>
      </c>
      <c r="F784" s="15">
        <f t="shared" si="88"/>
        <v>3.9781999981732651E+39</v>
      </c>
      <c r="G784" s="15">
        <f t="shared" si="89"/>
        <v>1.3441198336488228E+41</v>
      </c>
      <c r="H784" s="15">
        <f t="shared" si="90"/>
        <v>1.5694304376669764E+41</v>
      </c>
      <c r="I784" s="16">
        <v>157.29955000000001</v>
      </c>
      <c r="J784" s="45">
        <v>1</v>
      </c>
      <c r="K784" s="19">
        <f t="shared" si="91"/>
        <v>151.19180095573435</v>
      </c>
      <c r="L784" s="16">
        <f t="shared" si="92"/>
        <v>37.304598387728078</v>
      </c>
      <c r="M784" s="45"/>
    </row>
    <row r="785" spans="1:13" x14ac:dyDescent="0.25">
      <c r="A785" s="16">
        <v>14.9</v>
      </c>
      <c r="B785" s="45">
        <f t="shared" si="93"/>
        <v>14900</v>
      </c>
      <c r="C785" s="16">
        <f t="shared" si="94"/>
        <v>26.140350877192983</v>
      </c>
      <c r="D785" s="15">
        <f t="shared" si="95"/>
        <v>4.5976595942000001E+20</v>
      </c>
      <c r="E785" s="15">
        <f>FORECAST($C785, OFFSET('De Vaucouleurs Deprojection'!$F$3:$F$126, MATCH($C785, 'De Vaucouleurs Deprojection'!$A$3:$A$126,1)-1,0,2), OFFSET('De Vaucouleurs Deprojection'!$A$3:$A$126, MATCH($C785, 'De Vaucouleurs Deprojection'!$A$3:$A$126,1)-1,0,2))*LCDMTotalBulgeMass</f>
        <v>1.8553985536312278E+40</v>
      </c>
      <c r="F785" s="15">
        <f t="shared" si="88"/>
        <v>3.9781999983138843E+39</v>
      </c>
      <c r="G785" s="15">
        <f t="shared" si="89"/>
        <v>1.3491414807731853E+41</v>
      </c>
      <c r="H785" s="15">
        <f t="shared" si="90"/>
        <v>1.574463336119447E+41</v>
      </c>
      <c r="I785" s="16">
        <v>157.30037999999999</v>
      </c>
      <c r="J785" s="45">
        <v>1</v>
      </c>
      <c r="K785" s="19">
        <f t="shared" si="91"/>
        <v>151.17973274498937</v>
      </c>
      <c r="L785" s="16">
        <f t="shared" si="92"/>
        <v>37.462322820269087</v>
      </c>
      <c r="M785" s="45"/>
    </row>
    <row r="786" spans="1:13" x14ac:dyDescent="0.25">
      <c r="A786" s="16">
        <v>14.95</v>
      </c>
      <c r="B786" s="45">
        <f t="shared" si="93"/>
        <v>14950</v>
      </c>
      <c r="C786" s="16">
        <f t="shared" si="94"/>
        <v>26.228070175438596</v>
      </c>
      <c r="D786" s="15">
        <f t="shared" si="95"/>
        <v>4.6130879820999996E+20</v>
      </c>
      <c r="E786" s="15">
        <f>FORECAST($C786, OFFSET('De Vaucouleurs Deprojection'!$F$3:$F$126, MATCH($C786, 'De Vaucouleurs Deprojection'!$A$3:$A$126,1)-1,0,2), OFFSET('De Vaucouleurs Deprojection'!$A$3:$A$126, MATCH($C786, 'De Vaucouleurs Deprojection'!$A$3:$A$126,1)-1,0,2))*LCDMTotalBulgeMass</f>
        <v>1.8555110668982455E+40</v>
      </c>
      <c r="F786" s="15">
        <f t="shared" si="88"/>
        <v>3.9781999984436939E+39</v>
      </c>
      <c r="G786" s="15">
        <f t="shared" si="89"/>
        <v>1.3541591439510709E+41</v>
      </c>
      <c r="H786" s="15">
        <f t="shared" si="90"/>
        <v>1.5794922506253323E+41</v>
      </c>
      <c r="I786" s="16">
        <v>157.30179999999999</v>
      </c>
      <c r="J786" s="45">
        <v>1</v>
      </c>
      <c r="K786" s="19">
        <f t="shared" si="91"/>
        <v>151.16755365974427</v>
      </c>
      <c r="L786" s="16">
        <f t="shared" si="92"/>
        <v>37.628978162940626</v>
      </c>
      <c r="M786" s="45"/>
    </row>
    <row r="787" spans="1:13" x14ac:dyDescent="0.25">
      <c r="A787" s="16">
        <v>15</v>
      </c>
      <c r="B787" s="45">
        <f t="shared" si="93"/>
        <v>15000</v>
      </c>
      <c r="C787" s="16">
        <f t="shared" si="94"/>
        <v>26.315789473684209</v>
      </c>
      <c r="D787" s="15">
        <f t="shared" si="95"/>
        <v>4.6285163699999998E+20</v>
      </c>
      <c r="E787" s="15">
        <f>FORECAST($C787, OFFSET('De Vaucouleurs Deprojection'!$F$3:$F$126, MATCH($C787, 'De Vaucouleurs Deprojection'!$A$3:$A$126,1)-1,0,2), OFFSET('De Vaucouleurs Deprojection'!$A$3:$A$126, MATCH($C787, 'De Vaucouleurs Deprojection'!$A$3:$A$126,1)-1,0,2))*LCDMTotalBulgeMass</f>
        <v>1.8556235801652631E+40</v>
      </c>
      <c r="F787" s="15">
        <f t="shared" si="88"/>
        <v>3.9781999985635257E+39</v>
      </c>
      <c r="G787" s="15">
        <f t="shared" si="89"/>
        <v>1.3591728131456862E+41</v>
      </c>
      <c r="H787" s="15">
        <f t="shared" si="90"/>
        <v>1.5845171711478478E+41</v>
      </c>
      <c r="I787" s="16">
        <v>157.30492000000001</v>
      </c>
      <c r="J787" s="45">
        <v>1</v>
      </c>
      <c r="K787" s="19">
        <f t="shared" si="91"/>
        <v>151.15526429366841</v>
      </c>
      <c r="L787" s="16">
        <f t="shared" si="92"/>
        <v>37.818265306416812</v>
      </c>
      <c r="M787" s="45"/>
    </row>
    <row r="788" spans="1:13" x14ac:dyDescent="0.25">
      <c r="A788" s="16">
        <v>15.05</v>
      </c>
      <c r="B788" s="45">
        <f t="shared" si="93"/>
        <v>15050</v>
      </c>
      <c r="C788" s="16">
        <f t="shared" si="94"/>
        <v>26.403508771929825</v>
      </c>
      <c r="D788" s="15">
        <f t="shared" si="95"/>
        <v>4.6439447579E+20</v>
      </c>
      <c r="E788" s="15">
        <f>FORECAST($C788, OFFSET('De Vaucouleurs Deprojection'!$F$3:$F$126, MATCH($C788, 'De Vaucouleurs Deprojection'!$A$3:$A$126,1)-1,0,2), OFFSET('De Vaucouleurs Deprojection'!$A$3:$A$126, MATCH($C788, 'De Vaucouleurs Deprojection'!$A$3:$A$126,1)-1,0,2))*LCDMTotalBulgeMass</f>
        <v>1.8557360934322808E+40</v>
      </c>
      <c r="F788" s="15">
        <f t="shared" si="88"/>
        <v>3.9781999986741442E+39</v>
      </c>
      <c r="G788" s="15">
        <f t="shared" si="89"/>
        <v>1.3641824785462374E+41</v>
      </c>
      <c r="H788" s="15">
        <f t="shared" si="90"/>
        <v>1.5895380878762069E+41</v>
      </c>
      <c r="I788" s="16">
        <v>157.31120000000001</v>
      </c>
      <c r="J788" s="45">
        <v>1</v>
      </c>
      <c r="K788" s="19">
        <f t="shared" si="91"/>
        <v>151.14286524288053</v>
      </c>
      <c r="L788" s="16">
        <f t="shared" si="92"/>
        <v>38.048353675888251</v>
      </c>
      <c r="M788" s="45"/>
    </row>
    <row r="789" spans="1:13" x14ac:dyDescent="0.25">
      <c r="A789" s="16">
        <v>15.1</v>
      </c>
      <c r="B789" s="45">
        <f t="shared" si="93"/>
        <v>15100</v>
      </c>
      <c r="C789" s="16">
        <f t="shared" si="94"/>
        <v>26.491228070175438</v>
      </c>
      <c r="D789" s="15">
        <f t="shared" si="95"/>
        <v>4.6593731458000001E+20</v>
      </c>
      <c r="E789" s="15">
        <f>FORECAST($C789, OFFSET('De Vaucouleurs Deprojection'!$F$3:$F$126, MATCH($C789, 'De Vaucouleurs Deprojection'!$A$3:$A$126,1)-1,0,2), OFFSET('De Vaucouleurs Deprojection'!$A$3:$A$126, MATCH($C789, 'De Vaucouleurs Deprojection'!$A$3:$A$126,1)-1,0,2))*LCDMTotalBulgeMass</f>
        <v>1.8558486066992982E+40</v>
      </c>
      <c r="F789" s="15">
        <f t="shared" si="88"/>
        <v>3.9781999987762561E+39</v>
      </c>
      <c r="G789" s="15">
        <f t="shared" si="89"/>
        <v>1.3691881305647133E+41</v>
      </c>
      <c r="H789" s="15">
        <f t="shared" si="90"/>
        <v>1.5945549912224056E+41</v>
      </c>
      <c r="I789" s="16">
        <v>157.32223999999999</v>
      </c>
      <c r="J789" s="45">
        <v>1</v>
      </c>
      <c r="K789" s="19">
        <f t="shared" si="91"/>
        <v>151.13035710576031</v>
      </c>
      <c r="L789" s="16">
        <f t="shared" si="92"/>
        <v>38.339413775977988</v>
      </c>
      <c r="M789" s="45"/>
    </row>
    <row r="790" spans="1:13" x14ac:dyDescent="0.25">
      <c r="A790" s="16">
        <v>15.15</v>
      </c>
      <c r="B790" s="45">
        <f t="shared" si="93"/>
        <v>15150</v>
      </c>
      <c r="C790" s="16">
        <f t="shared" si="94"/>
        <v>26.578947368421051</v>
      </c>
      <c r="D790" s="15">
        <f t="shared" si="95"/>
        <v>4.6748015337000003E+20</v>
      </c>
      <c r="E790" s="15">
        <f>FORECAST($C790, OFFSET('De Vaucouleurs Deprojection'!$F$3:$F$126, MATCH($C790, 'De Vaucouleurs Deprojection'!$A$3:$A$126,1)-1,0,2), OFFSET('De Vaucouleurs Deprojection'!$A$3:$A$126, MATCH($C790, 'De Vaucouleurs Deprojection'!$A$3:$A$126,1)-1,0,2))*LCDMTotalBulgeMass</f>
        <v>1.8559611199663158E+40</v>
      </c>
      <c r="F790" s="15">
        <f t="shared" si="88"/>
        <v>3.9781999988705155E+39</v>
      </c>
      <c r="G790" s="15">
        <f t="shared" si="89"/>
        <v>1.3741897598327336E+41</v>
      </c>
      <c r="H790" s="15">
        <f t="shared" si="90"/>
        <v>1.5995678718180703E+41</v>
      </c>
      <c r="I790" s="16">
        <v>157.33926</v>
      </c>
      <c r="J790" s="45">
        <v>1</v>
      </c>
      <c r="K790" s="19">
        <f t="shared" si="91"/>
        <v>151.11774048276658</v>
      </c>
      <c r="L790" s="16">
        <f t="shared" si="92"/>
        <v>38.707305103316337</v>
      </c>
      <c r="M790" s="45"/>
    </row>
    <row r="791" spans="1:13" x14ac:dyDescent="0.25">
      <c r="A791" s="16">
        <v>15.2</v>
      </c>
      <c r="B791" s="45">
        <f t="shared" si="93"/>
        <v>15200</v>
      </c>
      <c r="C791" s="16">
        <f t="shared" si="94"/>
        <v>26.666666666666668</v>
      </c>
      <c r="D791" s="15">
        <f t="shared" si="95"/>
        <v>4.6902299215999998E+20</v>
      </c>
      <c r="E791" s="15">
        <f>FORECAST($C791, OFFSET('De Vaucouleurs Deprojection'!$F$3:$F$126, MATCH($C791, 'De Vaucouleurs Deprojection'!$A$3:$A$126,1)-1,0,2), OFFSET('De Vaucouleurs Deprojection'!$A$3:$A$126, MATCH($C791, 'De Vaucouleurs Deprojection'!$A$3:$A$126,1)-1,0,2))*LCDMTotalBulgeMass</f>
        <v>1.8560736332333332E+40</v>
      </c>
      <c r="F791" s="15">
        <f t="shared" si="88"/>
        <v>3.9781999989575249E+39</v>
      </c>
      <c r="G791" s="15">
        <f t="shared" si="89"/>
        <v>1.3791873571984247E+41</v>
      </c>
      <c r="H791" s="15">
        <f t="shared" si="90"/>
        <v>1.6045767205113333E+41</v>
      </c>
      <c r="I791" s="16">
        <v>157.36306999999999</v>
      </c>
      <c r="J791" s="45">
        <v>1</v>
      </c>
      <c r="K791" s="19">
        <f t="shared" si="91"/>
        <v>151.10501597626066</v>
      </c>
      <c r="L791" s="16">
        <f t="shared" si="92"/>
        <v>39.163240164040062</v>
      </c>
      <c r="M791" s="45"/>
    </row>
    <row r="792" spans="1:13" x14ac:dyDescent="0.25">
      <c r="A792" s="16">
        <v>15.25</v>
      </c>
      <c r="B792" s="45">
        <f t="shared" si="93"/>
        <v>15250</v>
      </c>
      <c r="C792" s="16">
        <f t="shared" si="94"/>
        <v>26.754385964912281</v>
      </c>
      <c r="D792" s="15">
        <f t="shared" si="95"/>
        <v>4.7056583095E+20</v>
      </c>
      <c r="E792" s="15">
        <f>FORECAST($C792, OFFSET('De Vaucouleurs Deprojection'!$F$3:$F$126, MATCH($C792, 'De Vaucouleurs Deprojection'!$A$3:$A$126,1)-1,0,2), OFFSET('De Vaucouleurs Deprojection'!$A$3:$A$126, MATCH($C792, 'De Vaucouleurs Deprojection'!$A$3:$A$126,1)-1,0,2))*LCDMTotalBulgeMass</f>
        <v>1.8561861465003509E+40</v>
      </c>
      <c r="F792" s="15">
        <f t="shared" si="88"/>
        <v>3.9781999990378411E+39</v>
      </c>
      <c r="G792" s="15">
        <f t="shared" si="89"/>
        <v>1.384180913723352E+41</v>
      </c>
      <c r="H792" s="15">
        <f t="shared" si="90"/>
        <v>1.6095815283637654E+41</v>
      </c>
      <c r="I792" s="16">
        <v>157.39385999999999</v>
      </c>
      <c r="J792" s="45">
        <v>1</v>
      </c>
      <c r="K792" s="19">
        <f t="shared" si="91"/>
        <v>151.09218419033562</v>
      </c>
      <c r="L792" s="16">
        <f t="shared" si="92"/>
        <v>39.711118010109146</v>
      </c>
      <c r="M792" s="45"/>
    </row>
    <row r="793" spans="1:13" x14ac:dyDescent="0.25">
      <c r="A793" s="16">
        <v>15.3</v>
      </c>
      <c r="B793" s="45">
        <f t="shared" si="93"/>
        <v>15300</v>
      </c>
      <c r="C793" s="16">
        <f t="shared" si="94"/>
        <v>26.842105263157894</v>
      </c>
      <c r="D793" s="15">
        <f t="shared" si="95"/>
        <v>4.7210866974000002E+20</v>
      </c>
      <c r="E793" s="15">
        <f>FORECAST($C793, OFFSET('De Vaucouleurs Deprojection'!$F$3:$F$126, MATCH($C793, 'De Vaucouleurs Deprojection'!$A$3:$A$126,1)-1,0,2), OFFSET('De Vaucouleurs Deprojection'!$A$3:$A$126, MATCH($C793, 'De Vaucouleurs Deprojection'!$A$3:$A$126,1)-1,0,2))*LCDMTotalBulgeMass</f>
        <v>1.8562986597673683E+40</v>
      </c>
      <c r="F793" s="15">
        <f t="shared" si="88"/>
        <v>3.9781999991119791E+39</v>
      </c>
      <c r="G793" s="15">
        <f t="shared" si="89"/>
        <v>1.3891704206794944E+41</v>
      </c>
      <c r="H793" s="15">
        <f t="shared" si="90"/>
        <v>1.6145822866473511E+41</v>
      </c>
      <c r="I793" s="16">
        <v>157.43169</v>
      </c>
      <c r="J793" s="45">
        <v>1</v>
      </c>
      <c r="K793" s="19">
        <f t="shared" si="91"/>
        <v>151.07924573065131</v>
      </c>
      <c r="L793" s="16">
        <f t="shared" si="92"/>
        <v>40.35354819518107</v>
      </c>
      <c r="M793" s="45"/>
    </row>
    <row r="794" spans="1:13" x14ac:dyDescent="0.25">
      <c r="A794" s="16">
        <v>15.35</v>
      </c>
      <c r="B794" s="45">
        <f t="shared" si="93"/>
        <v>15350</v>
      </c>
      <c r="C794" s="16">
        <f t="shared" si="94"/>
        <v>26.92982456140351</v>
      </c>
      <c r="D794" s="15">
        <f t="shared" si="95"/>
        <v>4.7365150852999997E+20</v>
      </c>
      <c r="E794" s="15">
        <f>FORECAST($C794, OFFSET('De Vaucouleurs Deprojection'!$F$3:$F$126, MATCH($C794, 'De Vaucouleurs Deprojection'!$A$3:$A$126,1)-1,0,2), OFFSET('De Vaucouleurs Deprojection'!$A$3:$A$126, MATCH($C794, 'De Vaucouleurs Deprojection'!$A$3:$A$126,1)-1,0,2))*LCDMTotalBulgeMass</f>
        <v>1.8564111730343859E+40</v>
      </c>
      <c r="F794" s="15">
        <f t="shared" si="88"/>
        <v>3.9781999991804115E+39</v>
      </c>
      <c r="G794" s="15">
        <f t="shared" si="89"/>
        <v>1.3941558695462594E+41</v>
      </c>
      <c r="H794" s="15">
        <f t="shared" si="90"/>
        <v>1.619578986841502E+41</v>
      </c>
      <c r="I794" s="16">
        <v>157.47626</v>
      </c>
      <c r="J794" s="45">
        <v>1</v>
      </c>
      <c r="K794" s="19">
        <f t="shared" si="91"/>
        <v>151.06620120427371</v>
      </c>
      <c r="L794" s="16">
        <f t="shared" si="92"/>
        <v>41.088853764667924</v>
      </c>
      <c r="M794" s="45"/>
    </row>
    <row r="795" spans="1:13" x14ac:dyDescent="0.25">
      <c r="A795" s="16">
        <v>15.4</v>
      </c>
      <c r="B795" s="45">
        <f t="shared" si="93"/>
        <v>15400</v>
      </c>
      <c r="C795" s="16">
        <f t="shared" si="94"/>
        <v>27.017543859649123</v>
      </c>
      <c r="D795" s="15">
        <f t="shared" si="95"/>
        <v>4.7519434731999999E+20</v>
      </c>
      <c r="E795" s="15">
        <f>FORECAST($C795, OFFSET('De Vaucouleurs Deprojection'!$F$3:$F$126, MATCH($C795, 'De Vaucouleurs Deprojection'!$A$3:$A$126,1)-1,0,2), OFFSET('De Vaucouleurs Deprojection'!$A$3:$A$126, MATCH($C795, 'De Vaucouleurs Deprojection'!$A$3:$A$126,1)-1,0,2))*LCDMTotalBulgeMass</f>
        <v>1.8565236863014033E+40</v>
      </c>
      <c r="F795" s="15">
        <f t="shared" si="88"/>
        <v>3.9781999992435785E+39</v>
      </c>
      <c r="G795" s="15">
        <f t="shared" si="89"/>
        <v>1.3991372520075435E+41</v>
      </c>
      <c r="H795" s="15">
        <f t="shared" si="90"/>
        <v>1.6245716206301196E+41</v>
      </c>
      <c r="I795" s="16">
        <v>157.52656999999999</v>
      </c>
      <c r="J795" s="45">
        <v>1</v>
      </c>
      <c r="K795" s="19">
        <f t="shared" si="91"/>
        <v>151.0530512195204</v>
      </c>
      <c r="L795" s="16">
        <f t="shared" si="92"/>
        <v>41.906445401222015</v>
      </c>
      <c r="M795" s="45"/>
    </row>
    <row r="796" spans="1:13" x14ac:dyDescent="0.25">
      <c r="A796" s="16">
        <v>15.45</v>
      </c>
      <c r="B796" s="45">
        <f t="shared" si="93"/>
        <v>15450</v>
      </c>
      <c r="C796" s="16">
        <f t="shared" si="94"/>
        <v>27.105263157894736</v>
      </c>
      <c r="D796" s="15">
        <f t="shared" si="95"/>
        <v>4.7673718611000001E+20</v>
      </c>
      <c r="E796" s="15">
        <f>FORECAST($C796, OFFSET('De Vaucouleurs Deprojection'!$F$3:$F$126, MATCH($C796, 'De Vaucouleurs Deprojection'!$A$3:$A$126,1)-1,0,2), OFFSET('De Vaucouleurs Deprojection'!$A$3:$A$126, MATCH($C796, 'De Vaucouleurs Deprojection'!$A$3:$A$126,1)-1,0,2))*LCDMTotalBulgeMass</f>
        <v>1.856636199568421E+40</v>
      </c>
      <c r="F796" s="15">
        <f t="shared" si="88"/>
        <v>3.9781999993018844E+39</v>
      </c>
      <c r="G796" s="15">
        <f t="shared" si="89"/>
        <v>1.4041145599488393E+41</v>
      </c>
      <c r="H796" s="15">
        <f t="shared" si="90"/>
        <v>1.6295601798987002E+41</v>
      </c>
      <c r="I796" s="16">
        <v>157.58054000000001</v>
      </c>
      <c r="J796" s="45">
        <v>1</v>
      </c>
      <c r="K796" s="19">
        <f t="shared" si="91"/>
        <v>151.03979638581058</v>
      </c>
      <c r="L796" s="16">
        <f t="shared" si="92"/>
        <v>42.781327026559914</v>
      </c>
      <c r="M796" s="45"/>
    </row>
    <row r="797" spans="1:13" x14ac:dyDescent="0.25">
      <c r="A797" s="16">
        <v>15.5</v>
      </c>
      <c r="B797" s="45">
        <f t="shared" si="93"/>
        <v>15500</v>
      </c>
      <c r="C797" s="16">
        <f t="shared" si="94"/>
        <v>27.192982456140349</v>
      </c>
      <c r="D797" s="15">
        <f t="shared" si="95"/>
        <v>4.7828002490000002E+20</v>
      </c>
      <c r="E797" s="15">
        <f>FORECAST($C797, OFFSET('De Vaucouleurs Deprojection'!$F$3:$F$126, MATCH($C797, 'De Vaucouleurs Deprojection'!$A$3:$A$126,1)-1,0,2), OFFSET('De Vaucouleurs Deprojection'!$A$3:$A$126, MATCH($C797, 'De Vaucouleurs Deprojection'!$A$3:$A$126,1)-1,0,2))*LCDMTotalBulgeMass</f>
        <v>1.8567487128354384E+40</v>
      </c>
      <c r="F797" s="15">
        <f t="shared" si="88"/>
        <v>3.9781999993557015E+39</v>
      </c>
      <c r="G797" s="15">
        <f t="shared" si="89"/>
        <v>1.409087785454377E+41</v>
      </c>
      <c r="H797" s="15">
        <f t="shared" si="90"/>
        <v>1.6345446567314779E+41</v>
      </c>
      <c r="I797" s="16">
        <v>157.63500999999999</v>
      </c>
      <c r="J797" s="45">
        <v>1</v>
      </c>
      <c r="K797" s="19">
        <f t="shared" si="91"/>
        <v>151.02643731351998</v>
      </c>
      <c r="L797" s="16">
        <f t="shared" si="92"/>
        <v>43.673232952489705</v>
      </c>
      <c r="M797" s="45"/>
    </row>
    <row r="798" spans="1:13" x14ac:dyDescent="0.25">
      <c r="A798" s="16">
        <v>15.55</v>
      </c>
      <c r="B798" s="45">
        <f t="shared" si="93"/>
        <v>15550</v>
      </c>
      <c r="C798" s="16">
        <f t="shared" si="94"/>
        <v>27.280701754385966</v>
      </c>
      <c r="D798" s="15">
        <f t="shared" si="95"/>
        <v>4.7982286369000004E+20</v>
      </c>
      <c r="E798" s="15">
        <f>FORECAST($C798, OFFSET('De Vaucouleurs Deprojection'!$F$3:$F$126, MATCH($C798, 'De Vaucouleurs Deprojection'!$A$3:$A$126,1)-1,0,2), OFFSET('De Vaucouleurs Deprojection'!$A$3:$A$126, MATCH($C798, 'De Vaucouleurs Deprojection'!$A$3:$A$126,1)-1,0,2))*LCDMTotalBulgeMass</f>
        <v>1.856861226102456E+40</v>
      </c>
      <c r="F798" s="15">
        <f t="shared" si="88"/>
        <v>3.9781999994053757E+39</v>
      </c>
      <c r="G798" s="15">
        <f t="shared" si="89"/>
        <v>1.4140569208043108E+41</v>
      </c>
      <c r="H798" s="15">
        <f t="shared" si="90"/>
        <v>1.6395250434086101E+41</v>
      </c>
      <c r="I798" s="16">
        <v>157.68652</v>
      </c>
      <c r="J798" s="45">
        <v>1</v>
      </c>
      <c r="K798" s="19">
        <f t="shared" si="91"/>
        <v>151.0129746138403</v>
      </c>
      <c r="L798" s="16">
        <f t="shared" si="92"/>
        <v>44.536208021133447</v>
      </c>
      <c r="M798" s="45"/>
    </row>
    <row r="799" spans="1:13" x14ac:dyDescent="0.25">
      <c r="A799" s="16">
        <v>15.6</v>
      </c>
      <c r="B799" s="45">
        <f t="shared" si="93"/>
        <v>15600</v>
      </c>
      <c r="C799" s="16">
        <f t="shared" si="94"/>
        <v>27.368421052631579</v>
      </c>
      <c r="D799" s="15">
        <f t="shared" si="95"/>
        <v>4.8136570247999999E+20</v>
      </c>
      <c r="E799" s="15">
        <f>FORECAST($C799, OFFSET('De Vaucouleurs Deprojection'!$F$3:$F$126, MATCH($C799, 'De Vaucouleurs Deprojection'!$A$3:$A$126,1)-1,0,2), OFFSET('De Vaucouleurs Deprojection'!$A$3:$A$126, MATCH($C799, 'De Vaucouleurs Deprojection'!$A$3:$A$126,1)-1,0,2))*LCDMTotalBulgeMass</f>
        <v>1.8569737393694737E+40</v>
      </c>
      <c r="F799" s="15">
        <f t="shared" si="88"/>
        <v>3.978199999451226E+39</v>
      </c>
      <c r="G799" s="15">
        <f t="shared" si="89"/>
        <v>1.4190219584719485E+41</v>
      </c>
      <c r="H799" s="15">
        <f t="shared" si="90"/>
        <v>1.6445013324034081E+41</v>
      </c>
      <c r="I799" s="16">
        <v>157.73204000000001</v>
      </c>
      <c r="J799" s="45">
        <v>1</v>
      </c>
      <c r="K799" s="19">
        <f t="shared" si="91"/>
        <v>150.99940889864365</v>
      </c>
      <c r="L799" s="16">
        <f t="shared" si="92"/>
        <v>45.328321546950967</v>
      </c>
      <c r="M799" s="45"/>
    </row>
    <row r="800" spans="1:13" x14ac:dyDescent="0.25">
      <c r="A800" s="16">
        <v>15.65</v>
      </c>
      <c r="B800" s="45">
        <f t="shared" si="93"/>
        <v>15650</v>
      </c>
      <c r="C800" s="16">
        <f t="shared" si="94"/>
        <v>27.456140350877192</v>
      </c>
      <c r="D800" s="15">
        <f t="shared" si="95"/>
        <v>4.8290854127000001E+20</v>
      </c>
      <c r="E800" s="15">
        <f>FORECAST($C800, OFFSET('De Vaucouleurs Deprojection'!$F$3:$F$126, MATCH($C800, 'De Vaucouleurs Deprojection'!$A$3:$A$126,1)-1,0,2), OFFSET('De Vaucouleurs Deprojection'!$A$3:$A$126, MATCH($C800, 'De Vaucouleurs Deprojection'!$A$3:$A$126,1)-1,0,2))*LCDMTotalBulgeMass</f>
        <v>1.8570862526364911E+40</v>
      </c>
      <c r="F800" s="15">
        <f t="shared" si="88"/>
        <v>3.9781999994935445E+39</v>
      </c>
      <c r="G800" s="15">
        <f t="shared" si="89"/>
        <v>1.423982891121015E+41</v>
      </c>
      <c r="H800" s="15">
        <f t="shared" si="90"/>
        <v>1.6494735163795994E+41</v>
      </c>
      <c r="I800" s="16">
        <v>157.76929000000001</v>
      </c>
      <c r="J800" s="45">
        <v>1</v>
      </c>
      <c r="K800" s="19">
        <f t="shared" si="91"/>
        <v>150.9857407803508</v>
      </c>
      <c r="L800" s="16">
        <f t="shared" si="92"/>
        <v>46.0165400154035</v>
      </c>
      <c r="M800" s="45"/>
    </row>
    <row r="801" spans="1:13" x14ac:dyDescent="0.25">
      <c r="A801" s="16">
        <v>15.7</v>
      </c>
      <c r="B801" s="45">
        <f t="shared" si="93"/>
        <v>15700</v>
      </c>
      <c r="C801" s="16">
        <f t="shared" si="94"/>
        <v>27.543859649122808</v>
      </c>
      <c r="D801" s="15">
        <f t="shared" si="95"/>
        <v>4.8445138005999996E+20</v>
      </c>
      <c r="E801" s="15">
        <f>FORECAST($C801, OFFSET('De Vaucouleurs Deprojection'!$F$3:$F$126, MATCH($C801, 'De Vaucouleurs Deprojection'!$A$3:$A$126,1)-1,0,2), OFFSET('De Vaucouleurs Deprojection'!$A$3:$A$126, MATCH($C801, 'De Vaucouleurs Deprojection'!$A$3:$A$126,1)-1,0,2))*LCDMTotalBulgeMass</f>
        <v>1.8571987659035087E+40</v>
      </c>
      <c r="F801" s="15">
        <f t="shared" si="88"/>
        <v>3.9781999995326049E+39</v>
      </c>
      <c r="G801" s="15">
        <f t="shared" si="89"/>
        <v>1.4289397116029595E+41</v>
      </c>
      <c r="H801" s="15">
        <f t="shared" si="90"/>
        <v>1.6544415881886363E+41</v>
      </c>
      <c r="I801" s="16">
        <v>157.79660000000001</v>
      </c>
      <c r="J801" s="45">
        <v>1</v>
      </c>
      <c r="K801" s="19">
        <f t="shared" si="91"/>
        <v>150.97197087180425</v>
      </c>
      <c r="L801" s="16">
        <f t="shared" si="92"/>
        <v>46.57556273741811</v>
      </c>
      <c r="M801" s="45"/>
    </row>
    <row r="802" spans="1:13" x14ac:dyDescent="0.25">
      <c r="A802" s="16">
        <v>15.75</v>
      </c>
      <c r="B802" s="45">
        <f t="shared" si="93"/>
        <v>15750</v>
      </c>
      <c r="C802" s="16">
        <f t="shared" si="94"/>
        <v>27.631578947368421</v>
      </c>
      <c r="D802" s="15">
        <f t="shared" si="95"/>
        <v>4.8599421884999998E+20</v>
      </c>
      <c r="E802" s="15">
        <f>FORECAST($C802, OFFSET('De Vaucouleurs Deprojection'!$F$3:$F$126, MATCH($C802, 'De Vaucouleurs Deprojection'!$A$3:$A$126,1)-1,0,2), OFFSET('De Vaucouleurs Deprojection'!$A$3:$A$126, MATCH($C802, 'De Vaucouleurs Deprojection'!$A$3:$A$126,1)-1,0,2))*LCDMTotalBulgeMass</f>
        <v>1.8573112791705261E+40</v>
      </c>
      <c r="F802" s="15">
        <f t="shared" si="88"/>
        <v>3.9781999995686568E+39</v>
      </c>
      <c r="G802" s="15">
        <f t="shared" si="89"/>
        <v>1.4338924129543018E+41</v>
      </c>
      <c r="H802" s="15">
        <f t="shared" si="90"/>
        <v>1.6594055408670408E+41</v>
      </c>
      <c r="I802" s="16">
        <v>157.81245000000001</v>
      </c>
      <c r="J802" s="45">
        <v>1</v>
      </c>
      <c r="K802" s="19">
        <f t="shared" si="91"/>
        <v>150.95809978614545</v>
      </c>
      <c r="L802" s="16">
        <f t="shared" si="92"/>
        <v>46.982116854168041</v>
      </c>
      <c r="M802" s="45"/>
    </row>
    <row r="803" spans="1:13" x14ac:dyDescent="0.25">
      <c r="A803" s="16">
        <v>15.8</v>
      </c>
      <c r="B803" s="45">
        <f t="shared" si="93"/>
        <v>15800</v>
      </c>
      <c r="C803" s="16">
        <f t="shared" si="94"/>
        <v>27.719298245614034</v>
      </c>
      <c r="D803" s="15">
        <f t="shared" si="95"/>
        <v>4.8753705764E+20</v>
      </c>
      <c r="E803" s="15">
        <f>FORECAST($C803, OFFSET('De Vaucouleurs Deprojection'!$F$3:$F$126, MATCH($C803, 'De Vaucouleurs Deprojection'!$A$3:$A$126,1)-1,0,2), OFFSET('De Vaucouleurs Deprojection'!$A$3:$A$126, MATCH($C803, 'De Vaucouleurs Deprojection'!$A$3:$A$126,1)-1,0,2))*LCDMTotalBulgeMass</f>
        <v>1.8574237924375438E+40</v>
      </c>
      <c r="F803" s="15">
        <f t="shared" si="88"/>
        <v>3.9781999996019319E+39</v>
      </c>
      <c r="G803" s="15">
        <f t="shared" si="89"/>
        <v>1.4388409883940121E+41</v>
      </c>
      <c r="H803" s="15">
        <f t="shared" si="90"/>
        <v>1.6643653676337858E+41</v>
      </c>
      <c r="I803" s="16">
        <v>157.81564</v>
      </c>
      <c r="J803" s="45">
        <v>1</v>
      </c>
      <c r="K803" s="19">
        <f t="shared" si="91"/>
        <v>150.94412813669561</v>
      </c>
      <c r="L803" s="16">
        <f t="shared" si="92"/>
        <v>47.217675287532991</v>
      </c>
      <c r="M803" s="45"/>
    </row>
    <row r="804" spans="1:13" x14ac:dyDescent="0.25">
      <c r="A804" s="16">
        <v>15.85</v>
      </c>
      <c r="B804" s="45">
        <f t="shared" si="93"/>
        <v>15850</v>
      </c>
      <c r="C804" s="16">
        <f t="shared" si="94"/>
        <v>27.807017543859651</v>
      </c>
      <c r="D804" s="15">
        <f t="shared" si="95"/>
        <v>4.8907989643000001E+20</v>
      </c>
      <c r="E804" s="15">
        <f>FORECAST($C804, OFFSET('De Vaucouleurs Deprojection'!$F$3:$F$126, MATCH($C804, 'De Vaucouleurs Deprojection'!$A$3:$A$126,1)-1,0,2), OFFSET('De Vaucouleurs Deprojection'!$A$3:$A$126, MATCH($C804, 'De Vaucouleurs Deprojection'!$A$3:$A$126,1)-1,0,2))*LCDMTotalBulgeMass</f>
        <v>1.8575363057045612E+40</v>
      </c>
      <c r="F804" s="15">
        <f t="shared" si="88"/>
        <v>3.9781999996326429E+39</v>
      </c>
      <c r="G804" s="15">
        <f t="shared" si="89"/>
        <v>1.4437854313209335E+41</v>
      </c>
      <c r="H804" s="15">
        <f t="shared" si="90"/>
        <v>1.6693210618877162E+41</v>
      </c>
      <c r="I804" s="16">
        <v>157.80575999999999</v>
      </c>
      <c r="J804" s="45">
        <v>1</v>
      </c>
      <c r="K804" s="19">
        <f t="shared" si="91"/>
        <v>150.93005653684094</v>
      </c>
      <c r="L804" s="16">
        <f t="shared" si="92"/>
        <v>47.275298113297431</v>
      </c>
      <c r="M804" s="45"/>
    </row>
    <row r="805" spans="1:13" x14ac:dyDescent="0.25">
      <c r="A805" s="16">
        <v>15.9</v>
      </c>
      <c r="B805" s="45">
        <f t="shared" si="93"/>
        <v>15900</v>
      </c>
      <c r="C805" s="16">
        <f t="shared" si="94"/>
        <v>27.894736842105264</v>
      </c>
      <c r="D805" s="15">
        <f t="shared" si="95"/>
        <v>4.9062273522000003E+20</v>
      </c>
      <c r="E805" s="15">
        <f>FORECAST($C805, OFFSET('De Vaucouleurs Deprojection'!$F$3:$F$126, MATCH($C805, 'De Vaucouleurs Deprojection'!$A$3:$A$126,1)-1,0,2), OFFSET('De Vaucouleurs Deprojection'!$A$3:$A$126, MATCH($C805, 'De Vaucouleurs Deprojection'!$A$3:$A$126,1)-1,0,2))*LCDMTotalBulgeMass</f>
        <v>1.8576488189715788E+40</v>
      </c>
      <c r="F805" s="15">
        <f t="shared" si="88"/>
        <v>3.9781999996609873E+39</v>
      </c>
      <c r="G805" s="15">
        <f t="shared" si="89"/>
        <v>1.4487257353112366E+41</v>
      </c>
      <c r="H805" s="15">
        <f t="shared" si="90"/>
        <v>1.6742726172050043E+41</v>
      </c>
      <c r="I805" s="16">
        <v>157.78364999999999</v>
      </c>
      <c r="J805" s="45">
        <v>1</v>
      </c>
      <c r="K805" s="19">
        <f t="shared" si="91"/>
        <v>150.91588559992138</v>
      </c>
      <c r="L805" s="16">
        <f t="shared" si="92"/>
        <v>47.16618785498715</v>
      </c>
      <c r="M805" s="45"/>
    </row>
    <row r="806" spans="1:13" x14ac:dyDescent="0.25">
      <c r="A806" s="16">
        <v>15.95</v>
      </c>
      <c r="B806" s="45">
        <f t="shared" si="93"/>
        <v>15950</v>
      </c>
      <c r="C806" s="16">
        <f t="shared" si="94"/>
        <v>27.982456140350877</v>
      </c>
      <c r="D806" s="15">
        <f t="shared" si="95"/>
        <v>4.9216557400999998E+20</v>
      </c>
      <c r="E806" s="15">
        <f>FORECAST($C806, OFFSET('De Vaucouleurs Deprojection'!$F$3:$F$126, MATCH($C806, 'De Vaucouleurs Deprojection'!$A$3:$A$126,1)-1,0,2), OFFSET('De Vaucouleurs Deprojection'!$A$3:$A$126, MATCH($C806, 'De Vaucouleurs Deprojection'!$A$3:$A$126,1)-1,0,2))*LCDMTotalBulgeMass</f>
        <v>1.8577613322385962E+40</v>
      </c>
      <c r="F806" s="15">
        <f t="shared" si="88"/>
        <v>3.9781999996871479E+39</v>
      </c>
      <c r="G806" s="15">
        <f t="shared" si="89"/>
        <v>1.4536618941159174E+41</v>
      </c>
      <c r="H806" s="15">
        <f t="shared" si="90"/>
        <v>1.6792200273366485E+41</v>
      </c>
      <c r="I806" s="16">
        <v>157.75112999999999</v>
      </c>
      <c r="J806" s="45">
        <v>1</v>
      </c>
      <c r="K806" s="19">
        <f t="shared" si="91"/>
        <v>150.90161593912339</v>
      </c>
      <c r="L806" s="16">
        <f t="shared" si="92"/>
        <v>46.915842870146264</v>
      </c>
      <c r="M806" s="45"/>
    </row>
    <row r="807" spans="1:13" x14ac:dyDescent="0.25">
      <c r="A807" s="16">
        <v>16</v>
      </c>
      <c r="B807" s="45">
        <f t="shared" si="93"/>
        <v>16000</v>
      </c>
      <c r="C807" s="16">
        <f t="shared" si="94"/>
        <v>28.07017543859649</v>
      </c>
      <c r="D807" s="15">
        <f t="shared" si="95"/>
        <v>4.937084128E+20</v>
      </c>
      <c r="E807" s="15">
        <f>FORECAST($C807, OFFSET('De Vaucouleurs Deprojection'!$F$3:$F$126, MATCH($C807, 'De Vaucouleurs Deprojection'!$A$3:$A$126,1)-1,0,2), OFFSET('De Vaucouleurs Deprojection'!$A$3:$A$126, MATCH($C807, 'De Vaucouleurs Deprojection'!$A$3:$A$126,1)-1,0,2))*LCDMTotalBulgeMass</f>
        <v>1.8578738455056139E+40</v>
      </c>
      <c r="F807" s="15">
        <f t="shared" si="88"/>
        <v>3.9781999997112932E+39</v>
      </c>
      <c r="G807" s="15">
        <f t="shared" si="89"/>
        <v>1.4585939016583203E+41</v>
      </c>
      <c r="H807" s="15">
        <f t="shared" si="90"/>
        <v>1.6841632862059947E+41</v>
      </c>
      <c r="I807" s="16">
        <v>157.71036000000001</v>
      </c>
      <c r="J807" s="45">
        <v>1</v>
      </c>
      <c r="K807" s="19">
        <f t="shared" si="91"/>
        <v>150.88724816737599</v>
      </c>
      <c r="L807" s="16">
        <f t="shared" si="92"/>
        <v>46.554855080493944</v>
      </c>
      <c r="M807" s="45"/>
    </row>
    <row r="808" spans="1:13" x14ac:dyDescent="0.25">
      <c r="A808" s="16">
        <v>16.05</v>
      </c>
      <c r="B808" s="45">
        <f t="shared" si="93"/>
        <v>16050</v>
      </c>
      <c r="C808" s="16">
        <f t="shared" si="94"/>
        <v>28.157894736842106</v>
      </c>
      <c r="D808" s="15">
        <f t="shared" si="95"/>
        <v>4.9525125159000002E+20</v>
      </c>
      <c r="E808" s="15">
        <f>FORECAST($C808, OFFSET('De Vaucouleurs Deprojection'!$F$3:$F$126, MATCH($C808, 'De Vaucouleurs Deprojection'!$A$3:$A$126,1)-1,0,2), OFFSET('De Vaucouleurs Deprojection'!$A$3:$A$126, MATCH($C808, 'De Vaucouleurs Deprojection'!$A$3:$A$126,1)-1,0,2))*LCDMTotalBulgeMass</f>
        <v>1.8579863587726313E+40</v>
      </c>
      <c r="F808" s="15">
        <f t="shared" ref="F808:F871" si="96">2*PI()*LCDMDiskSurfaceDensity*LCDMScaleLength*(LCDMScaleLength-EXP(-RadiusPc/LCDMScaleLength)*(RadiusPc+LCDMScaleLength))*SolarMass</f>
        <v>3.9781999997335767E+39</v>
      </c>
      <c r="G808" s="15">
        <f t="shared" ref="G808:G871" si="97">4*PI()*LCDMHaloRepresentativeDensity*LCDMHaloScaleLengthPc^3*(LN(1+RadiusPc/LCDMHaloScaleLengthPc)-RadiusPc/(RadiusPc+LCDMHaloScaleLengthPc))*SolarMass</f>
        <v>1.4635217520317076E+41</v>
      </c>
      <c r="H808" s="15">
        <f t="shared" ref="H808:H871" si="98">BulgeMass+DiskMass+HaloMass</f>
        <v>1.6891023879063064E+41</v>
      </c>
      <c r="I808" s="16">
        <v>157.66316</v>
      </c>
      <c r="J808" s="45">
        <v>1</v>
      </c>
      <c r="K808" s="19">
        <f t="shared" ref="K808:K871" si="99">SQRT(TotalMass*GravitationalConstant/RadiusKm)/km</f>
        <v>150.87278289725043</v>
      </c>
      <c r="L808" s="16">
        <f t="shared" ref="L808:L871" si="100">(ObservedVelocity-ModelVelocity)^2/(VelocityError)^2</f>
        <v>46.109221197545693</v>
      </c>
      <c r="M808" s="45"/>
    </row>
    <row r="809" spans="1:13" x14ac:dyDescent="0.25">
      <c r="A809" s="16">
        <v>16.100000000000001</v>
      </c>
      <c r="B809" s="45">
        <f t="shared" ref="B809:B872" si="101">A809*1000</f>
        <v>16100.000000000002</v>
      </c>
      <c r="C809" s="16">
        <f t="shared" ref="C809:C872" si="102">B809/LCDMBulgeEffectiveRadius</f>
        <v>28.245614035087723</v>
      </c>
      <c r="D809" s="15">
        <f t="shared" ref="D809:D872" si="103">A809*kpc</f>
        <v>4.9679409038000003E+20</v>
      </c>
      <c r="E809" s="15">
        <f>FORECAST($C809, OFFSET('De Vaucouleurs Deprojection'!$F$3:$F$126, MATCH($C809, 'De Vaucouleurs Deprojection'!$A$3:$A$126,1)-1,0,2), OFFSET('De Vaucouleurs Deprojection'!$A$3:$A$126, MATCH($C809, 'De Vaucouleurs Deprojection'!$A$3:$A$126,1)-1,0,2))*LCDMTotalBulgeMass</f>
        <v>1.8580988720396489E+40</v>
      </c>
      <c r="F809" s="15">
        <f t="shared" si="96"/>
        <v>3.9781999997541429E+39</v>
      </c>
      <c r="G809" s="15">
        <f t="shared" si="97"/>
        <v>1.4684454394968535E+41</v>
      </c>
      <c r="H809" s="15">
        <f t="shared" si="98"/>
        <v>1.6940373266983598E+41</v>
      </c>
      <c r="I809" s="16">
        <v>157.61102</v>
      </c>
      <c r="J809" s="45">
        <v>1</v>
      </c>
      <c r="K809" s="19">
        <f t="shared" si="99"/>
        <v>150.85822074086337</v>
      </c>
      <c r="L809" s="16">
        <f t="shared" si="100"/>
        <v>45.60029783419612</v>
      </c>
      <c r="M809" s="45"/>
    </row>
    <row r="810" spans="1:13" x14ac:dyDescent="0.25">
      <c r="A810" s="16">
        <v>16.149999999999999</v>
      </c>
      <c r="B810" s="45">
        <f t="shared" si="101"/>
        <v>16149.999999999998</v>
      </c>
      <c r="C810" s="16">
        <f t="shared" si="102"/>
        <v>28.333333333333329</v>
      </c>
      <c r="D810" s="15">
        <f t="shared" si="103"/>
        <v>4.9833692916999999E+20</v>
      </c>
      <c r="E810" s="15">
        <f>FORECAST($C810, OFFSET('De Vaucouleurs Deprojection'!$F$3:$F$126, MATCH($C810, 'De Vaucouleurs Deprojection'!$A$3:$A$126,1)-1,0,2), OFFSET('De Vaucouleurs Deprojection'!$A$3:$A$126, MATCH($C810, 'De Vaucouleurs Deprojection'!$A$3:$A$126,1)-1,0,2))*LCDMTotalBulgeMass</f>
        <v>1.8582113853066666E+40</v>
      </c>
      <c r="F810" s="15">
        <f t="shared" si="96"/>
        <v>3.9781999997731231E+39</v>
      </c>
      <c r="G810" s="15">
        <f t="shared" si="97"/>
        <v>1.473364958479685E+41</v>
      </c>
      <c r="H810" s="15">
        <f t="shared" si="98"/>
        <v>1.6989680970080829E+41</v>
      </c>
      <c r="I810" s="16">
        <v>157.55524</v>
      </c>
      <c r="J810" s="45">
        <v>1</v>
      </c>
      <c r="K810" s="19">
        <f t="shared" si="99"/>
        <v>150.84356230978332</v>
      </c>
      <c r="L810" s="16">
        <f t="shared" si="100"/>
        <v>45.046617417352238</v>
      </c>
      <c r="M810" s="45"/>
    </row>
    <row r="811" spans="1:13" x14ac:dyDescent="0.25">
      <c r="A811" s="16">
        <v>16.2</v>
      </c>
      <c r="B811" s="45">
        <f t="shared" si="101"/>
        <v>16200</v>
      </c>
      <c r="C811" s="16">
        <f t="shared" si="102"/>
        <v>28.421052631578949</v>
      </c>
      <c r="D811" s="15">
        <f t="shared" si="103"/>
        <v>4.9987976796E+20</v>
      </c>
      <c r="E811" s="15">
        <f>FORECAST($C811, OFFSET('De Vaucouleurs Deprojection'!$F$3:$F$126, MATCH($C811, 'De Vaucouleurs Deprojection'!$A$3:$A$126,1)-1,0,2), OFFSET('De Vaucouleurs Deprojection'!$A$3:$A$126, MATCH($C811, 'De Vaucouleurs Deprojection'!$A$3:$A$126,1)-1,0,2))*LCDMTotalBulgeMass</f>
        <v>1.858323898573684E+40</v>
      </c>
      <c r="F811" s="15">
        <f t="shared" si="96"/>
        <v>3.9781999997906404E+39</v>
      </c>
      <c r="G811" s="15">
        <f t="shared" si="97"/>
        <v>1.47828030356894E+41</v>
      </c>
      <c r="H811" s="15">
        <f t="shared" si="98"/>
        <v>1.7038946934242149E+41</v>
      </c>
      <c r="I811" s="16">
        <v>157.49700999999999</v>
      </c>
      <c r="J811" s="45">
        <v>1</v>
      </c>
      <c r="K811" s="19">
        <f t="shared" si="99"/>
        <v>150.82880821494004</v>
      </c>
      <c r="L811" s="16">
        <f t="shared" si="100"/>
        <v>44.464915046276694</v>
      </c>
      <c r="M811" s="45"/>
    </row>
    <row r="812" spans="1:13" x14ac:dyDescent="0.25">
      <c r="A812" s="16">
        <v>16.25</v>
      </c>
      <c r="B812" s="45">
        <f t="shared" si="101"/>
        <v>16250</v>
      </c>
      <c r="C812" s="16">
        <f t="shared" si="102"/>
        <v>28.508771929824562</v>
      </c>
      <c r="D812" s="15">
        <f t="shared" si="103"/>
        <v>5.0142260675000002E+20</v>
      </c>
      <c r="E812" s="15">
        <f>FORECAST($C812, OFFSET('De Vaucouleurs Deprojection'!$F$3:$F$126, MATCH($C812, 'De Vaucouleurs Deprojection'!$A$3:$A$126,1)-1,0,2), OFFSET('De Vaucouleurs Deprojection'!$A$3:$A$126, MATCH($C812, 'De Vaucouleurs Deprojection'!$A$3:$A$126,1)-1,0,2))*LCDMTotalBulgeMass</f>
        <v>1.8584364118407016E+40</v>
      </c>
      <c r="F812" s="15">
        <f t="shared" si="96"/>
        <v>3.9781999998068062E+39</v>
      </c>
      <c r="G812" s="15">
        <f t="shared" si="97"/>
        <v>1.4831914695138699E+41</v>
      </c>
      <c r="H812" s="15">
        <f t="shared" si="98"/>
        <v>1.7088171106960081E+41</v>
      </c>
      <c r="I812" s="16">
        <v>157.43736000000001</v>
      </c>
      <c r="J812" s="45">
        <v>1</v>
      </c>
      <c r="K812" s="19">
        <f t="shared" si="99"/>
        <v>150.81395906653725</v>
      </c>
      <c r="L812" s="16">
        <f t="shared" si="100"/>
        <v>43.869439925395383</v>
      </c>
      <c r="M812" s="45"/>
    </row>
    <row r="813" spans="1:13" x14ac:dyDescent="0.25">
      <c r="A813" s="16">
        <v>16.3</v>
      </c>
      <c r="B813" s="45">
        <f t="shared" si="101"/>
        <v>16300</v>
      </c>
      <c r="C813" s="16">
        <f t="shared" si="102"/>
        <v>28.596491228070175</v>
      </c>
      <c r="D813" s="15">
        <f t="shared" si="103"/>
        <v>5.0296544554000004E+20</v>
      </c>
      <c r="E813" s="15">
        <f>FORECAST($C813, OFFSET('De Vaucouleurs Deprojection'!$F$3:$F$126, MATCH($C813, 'De Vaucouleurs Deprojection'!$A$3:$A$126,1)-1,0,2), OFFSET('De Vaucouleurs Deprojection'!$A$3:$A$126, MATCH($C813, 'De Vaucouleurs Deprojection'!$A$3:$A$126,1)-1,0,2))*LCDMTotalBulgeMass</f>
        <v>1.858548925107719E+40</v>
      </c>
      <c r="F813" s="15">
        <f t="shared" si="96"/>
        <v>3.9781999998217255E+39</v>
      </c>
      <c r="G813" s="15">
        <f t="shared" si="97"/>
        <v>1.4880984512219759E+41</v>
      </c>
      <c r="H813" s="15">
        <f t="shared" si="98"/>
        <v>1.7137353437309651E+41</v>
      </c>
      <c r="I813" s="16">
        <v>157.37694999999999</v>
      </c>
      <c r="J813" s="45">
        <v>1</v>
      </c>
      <c r="K813" s="19">
        <f t="shared" si="99"/>
        <v>150.79901547396872</v>
      </c>
      <c r="L813" s="16">
        <f t="shared" si="100"/>
        <v>43.269222628754243</v>
      </c>
      <c r="M813" s="45"/>
    </row>
    <row r="814" spans="1:13" x14ac:dyDescent="0.25">
      <c r="A814" s="16">
        <v>16.350000000000001</v>
      </c>
      <c r="B814" s="45">
        <f t="shared" si="101"/>
        <v>16350.000000000002</v>
      </c>
      <c r="C814" s="16">
        <f t="shared" si="102"/>
        <v>28.684210526315791</v>
      </c>
      <c r="D814" s="15">
        <f t="shared" si="103"/>
        <v>5.0450828433000006E+20</v>
      </c>
      <c r="E814" s="15">
        <f>FORECAST($C814, OFFSET('De Vaucouleurs Deprojection'!$F$3:$F$126, MATCH($C814, 'De Vaucouleurs Deprojection'!$A$3:$A$126,1)-1,0,2), OFFSET('De Vaucouleurs Deprojection'!$A$3:$A$126, MATCH($C814, 'De Vaucouleurs Deprojection'!$A$3:$A$126,1)-1,0,2))*LCDMTotalBulgeMass</f>
        <v>1.8586614383747367E+40</v>
      </c>
      <c r="F814" s="15">
        <f t="shared" si="96"/>
        <v>3.9781999998354946E+39</v>
      </c>
      <c r="G814" s="15">
        <f t="shared" si="97"/>
        <v>1.4930012437567664E+41</v>
      </c>
      <c r="H814" s="15">
        <f t="shared" si="98"/>
        <v>1.718649387592595E+41</v>
      </c>
      <c r="I814" s="16">
        <v>157.31603999999999</v>
      </c>
      <c r="J814" s="45">
        <v>1</v>
      </c>
      <c r="K814" s="19">
        <f t="shared" si="99"/>
        <v>150.78397804573646</v>
      </c>
      <c r="L814" s="16">
        <f t="shared" si="100"/>
        <v>42.667833374337029</v>
      </c>
      <c r="M814" s="45"/>
    </row>
    <row r="815" spans="1:13" x14ac:dyDescent="0.25">
      <c r="A815" s="16">
        <v>16.399999999999999</v>
      </c>
      <c r="B815" s="45">
        <f t="shared" si="101"/>
        <v>16400</v>
      </c>
      <c r="C815" s="16">
        <f t="shared" si="102"/>
        <v>28.771929824561404</v>
      </c>
      <c r="D815" s="15">
        <f t="shared" si="103"/>
        <v>5.0605112311999994E+20</v>
      </c>
      <c r="E815" s="15">
        <f>FORECAST($C815, OFFSET('De Vaucouleurs Deprojection'!$F$3:$F$126, MATCH($C815, 'De Vaucouleurs Deprojection'!$A$3:$A$126,1)-1,0,2), OFFSET('De Vaucouleurs Deprojection'!$A$3:$A$126, MATCH($C815, 'De Vaucouleurs Deprojection'!$A$3:$A$126,1)-1,0,2))*LCDMTotalBulgeMass</f>
        <v>1.8587739516417543E+40</v>
      </c>
      <c r="F815" s="15">
        <f t="shared" si="96"/>
        <v>3.978199999848201E+39</v>
      </c>
      <c r="G815" s="15">
        <f t="shared" si="97"/>
        <v>1.4978998423355579E+41</v>
      </c>
      <c r="H815" s="15">
        <f t="shared" si="98"/>
        <v>1.7235592374982155E+41</v>
      </c>
      <c r="I815" s="16">
        <v>157.25459000000001</v>
      </c>
      <c r="J815" s="45">
        <v>1</v>
      </c>
      <c r="K815" s="19">
        <f t="shared" si="99"/>
        <v>150.7688473893725</v>
      </c>
      <c r="L815" s="16">
        <f t="shared" si="100"/>
        <v>42.064857211309366</v>
      </c>
      <c r="M815" s="45"/>
    </row>
    <row r="816" spans="1:13" x14ac:dyDescent="0.25">
      <c r="A816" s="16">
        <v>16.45</v>
      </c>
      <c r="B816" s="45">
        <f t="shared" si="101"/>
        <v>16450</v>
      </c>
      <c r="C816" s="16">
        <f t="shared" si="102"/>
        <v>28.859649122807017</v>
      </c>
      <c r="D816" s="15">
        <f t="shared" si="103"/>
        <v>5.0759396190999996E+20</v>
      </c>
      <c r="E816" s="15">
        <f>FORECAST($C816, OFFSET('De Vaucouleurs Deprojection'!$F$3:$F$126, MATCH($C816, 'De Vaucouleurs Deprojection'!$A$3:$A$126,1)-1,0,2), OFFSET('De Vaucouleurs Deprojection'!$A$3:$A$126, MATCH($C816, 'De Vaucouleurs Deprojection'!$A$3:$A$126,1)-1,0,2))*LCDMTotalBulgeMass</f>
        <v>1.858886464908772E+40</v>
      </c>
      <c r="F816" s="15">
        <f t="shared" si="96"/>
        <v>3.9781999998599276E+39</v>
      </c>
      <c r="G816" s="15">
        <f t="shared" si="97"/>
        <v>1.5027942423273038E+41</v>
      </c>
      <c r="H816" s="15">
        <f t="shared" si="98"/>
        <v>1.7284648888167802E+41</v>
      </c>
      <c r="I816" s="16">
        <v>157.19255000000001</v>
      </c>
      <c r="J816" s="45">
        <v>1</v>
      </c>
      <c r="K816" s="19">
        <f t="shared" si="99"/>
        <v>150.75362411136317</v>
      </c>
      <c r="L816" s="16">
        <f t="shared" si="100"/>
        <v>41.459766599357785</v>
      </c>
      <c r="M816" s="45"/>
    </row>
    <row r="817" spans="1:13" x14ac:dyDescent="0.25">
      <c r="A817" s="16">
        <v>16.5</v>
      </c>
      <c r="B817" s="45">
        <f t="shared" si="101"/>
        <v>16500</v>
      </c>
      <c r="C817" s="16">
        <f t="shared" si="102"/>
        <v>28.94736842105263</v>
      </c>
      <c r="D817" s="15">
        <f t="shared" si="103"/>
        <v>5.0913680069999998E+20</v>
      </c>
      <c r="E817" s="15">
        <f>FORECAST($C817, OFFSET('De Vaucouleurs Deprojection'!$F$3:$F$126, MATCH($C817, 'De Vaucouleurs Deprojection'!$A$3:$A$126,1)-1,0,2), OFFSET('De Vaucouleurs Deprojection'!$A$3:$A$126, MATCH($C817, 'De Vaucouleurs Deprojection'!$A$3:$A$126,1)-1,0,2))*LCDMTotalBulgeMass</f>
        <v>1.8589989781757894E+40</v>
      </c>
      <c r="F817" s="15">
        <f t="shared" si="96"/>
        <v>3.9781999998707487E+39</v>
      </c>
      <c r="G817" s="15">
        <f t="shared" si="97"/>
        <v>1.5076844392504437E+41</v>
      </c>
      <c r="H817" s="15">
        <f t="shared" si="98"/>
        <v>1.7333663370667301E+41</v>
      </c>
      <c r="I817" s="16">
        <v>157.12996999999999</v>
      </c>
      <c r="J817" s="45">
        <v>1</v>
      </c>
      <c r="K817" s="19">
        <f t="shared" si="99"/>
        <v>150.73830881707599</v>
      </c>
      <c r="L817" s="16">
        <f t="shared" si="100"/>
        <v>40.853332677297388</v>
      </c>
      <c r="M817" s="45"/>
    </row>
    <row r="818" spans="1:13" x14ac:dyDescent="0.25">
      <c r="A818" s="16">
        <v>16.55</v>
      </c>
      <c r="B818" s="45">
        <f t="shared" si="101"/>
        <v>16550</v>
      </c>
      <c r="C818" s="16">
        <f t="shared" si="102"/>
        <v>29.035087719298247</v>
      </c>
      <c r="D818" s="15">
        <f t="shared" si="103"/>
        <v>5.1067963948999999E+20</v>
      </c>
      <c r="E818" s="15">
        <f>FORECAST($C818, OFFSET('De Vaucouleurs Deprojection'!$F$3:$F$126, MATCH($C818, 'De Vaucouleurs Deprojection'!$A$3:$A$126,1)-1,0,2), OFFSET('De Vaucouleurs Deprojection'!$A$3:$A$126, MATCH($C818, 'De Vaucouleurs Deprojection'!$A$3:$A$126,1)-1,0,2))*LCDMTotalBulgeMass</f>
        <v>1.859111491442807E+40</v>
      </c>
      <c r="F818" s="15">
        <f t="shared" si="96"/>
        <v>3.9781999998807362E+39</v>
      </c>
      <c r="G818" s="15">
        <f t="shared" si="97"/>
        <v>1.5125704287707979E+41</v>
      </c>
      <c r="H818" s="15">
        <f t="shared" si="98"/>
        <v>1.738263577913886E+41</v>
      </c>
      <c r="I818" s="16">
        <v>157.06746999999999</v>
      </c>
      <c r="J818" s="45">
        <v>1</v>
      </c>
      <c r="K818" s="19">
        <f t="shared" si="99"/>
        <v>150.7229021106892</v>
      </c>
      <c r="L818" s="16">
        <f t="shared" si="100"/>
        <v>40.253541702073463</v>
      </c>
      <c r="M818" s="45"/>
    </row>
    <row r="819" spans="1:13" x14ac:dyDescent="0.25">
      <c r="A819" s="16">
        <v>16.600000000000001</v>
      </c>
      <c r="B819" s="45">
        <f t="shared" si="101"/>
        <v>16600</v>
      </c>
      <c r="C819" s="16">
        <f t="shared" si="102"/>
        <v>29.12280701754386</v>
      </c>
      <c r="D819" s="15">
        <f t="shared" si="103"/>
        <v>5.1222247828000001E+20</v>
      </c>
      <c r="E819" s="15">
        <f>FORECAST($C819, OFFSET('De Vaucouleurs Deprojection'!$F$3:$F$126, MATCH($C819, 'De Vaucouleurs Deprojection'!$A$3:$A$126,1)-1,0,2), OFFSET('De Vaucouleurs Deprojection'!$A$3:$A$126, MATCH($C819, 'De Vaucouleurs Deprojection'!$A$3:$A$126,1)-1,0,2))*LCDMTotalBulgeMass</f>
        <v>1.8592240047098245E+40</v>
      </c>
      <c r="F819" s="15">
        <f t="shared" si="96"/>
        <v>3.9781999998899518E+39</v>
      </c>
      <c r="G819" s="15">
        <f t="shared" si="97"/>
        <v>1.5174522066994853E+41</v>
      </c>
      <c r="H819" s="15">
        <f t="shared" si="98"/>
        <v>1.7431566071693674E+41</v>
      </c>
      <c r="I819" s="16">
        <v>157.00623999999999</v>
      </c>
      <c r="J819" s="45">
        <v>1</v>
      </c>
      <c r="K819" s="19">
        <f t="shared" si="99"/>
        <v>150.70740459512407</v>
      </c>
      <c r="L819" s="16">
        <f t="shared" si="100"/>
        <v>39.675327457718346</v>
      </c>
      <c r="M819" s="45"/>
    </row>
    <row r="820" spans="1:13" x14ac:dyDescent="0.25">
      <c r="A820" s="16">
        <v>16.649999999999999</v>
      </c>
      <c r="B820" s="45">
        <f t="shared" si="101"/>
        <v>16650</v>
      </c>
      <c r="C820" s="16">
        <f t="shared" si="102"/>
        <v>29.210526315789473</v>
      </c>
      <c r="D820" s="15">
        <f t="shared" si="103"/>
        <v>5.1376531706999996E+20</v>
      </c>
      <c r="E820" s="15">
        <f>FORECAST($C820, OFFSET('De Vaucouleurs Deprojection'!$F$3:$F$126, MATCH($C820, 'De Vaucouleurs Deprojection'!$A$3:$A$126,1)-1,0,2), OFFSET('De Vaucouleurs Deprojection'!$A$3:$A$126, MATCH($C820, 'De Vaucouleurs Deprojection'!$A$3:$A$126,1)-1,0,2))*LCDMTotalBulgeMass</f>
        <v>1.8593365179768421E+40</v>
      </c>
      <c r="F820" s="15">
        <f t="shared" si="96"/>
        <v>3.978199999898456E+39</v>
      </c>
      <c r="G820" s="15">
        <f t="shared" si="97"/>
        <v>1.5223297689908654E+41</v>
      </c>
      <c r="H820" s="15">
        <f t="shared" si="98"/>
        <v>1.7480454207875342E+41</v>
      </c>
      <c r="I820" s="16">
        <v>156.94798</v>
      </c>
      <c r="J820" s="45">
        <v>1</v>
      </c>
      <c r="K820" s="19">
        <f t="shared" si="99"/>
        <v>150.69181687197928</v>
      </c>
      <c r="L820" s="16">
        <f t="shared" si="100"/>
        <v>39.139577084405957</v>
      </c>
      <c r="M820" s="45"/>
    </row>
    <row r="821" spans="1:13" x14ac:dyDescent="0.25">
      <c r="A821" s="16">
        <v>16.7</v>
      </c>
      <c r="B821" s="45">
        <f t="shared" si="101"/>
        <v>16700</v>
      </c>
      <c r="C821" s="16">
        <f t="shared" si="102"/>
        <v>29.298245614035089</v>
      </c>
      <c r="D821" s="15">
        <f t="shared" si="103"/>
        <v>5.1530815585999998E+20</v>
      </c>
      <c r="E821" s="15">
        <f>FORECAST($C821, OFFSET('De Vaucouleurs Deprojection'!$F$3:$F$126, MATCH($C821, 'De Vaucouleurs Deprojection'!$A$3:$A$126,1)-1,0,2), OFFSET('De Vaucouleurs Deprojection'!$A$3:$A$126, MATCH($C821, 'De Vaucouleurs Deprojection'!$A$3:$A$126,1)-1,0,2))*LCDMTotalBulgeMass</f>
        <v>1.8594490312438595E+40</v>
      </c>
      <c r="F821" s="15">
        <f t="shared" si="96"/>
        <v>3.978199999906305E+39</v>
      </c>
      <c r="G821" s="15">
        <f t="shared" si="97"/>
        <v>1.5272031117405175E+41</v>
      </c>
      <c r="H821" s="15">
        <f t="shared" si="98"/>
        <v>1.7529300148639666E+41</v>
      </c>
      <c r="I821" s="16">
        <v>156.89452</v>
      </c>
      <c r="J821" s="45">
        <v>1</v>
      </c>
      <c r="K821" s="19">
        <f t="shared" si="99"/>
        <v>150.67613954146796</v>
      </c>
      <c r="L821" s="16">
        <f t="shared" si="100"/>
        <v>38.668255527053127</v>
      </c>
      <c r="M821" s="45"/>
    </row>
    <row r="822" spans="1:13" x14ac:dyDescent="0.25">
      <c r="A822" s="16">
        <v>16.75</v>
      </c>
      <c r="B822" s="45">
        <f t="shared" si="101"/>
        <v>16750</v>
      </c>
      <c r="C822" s="16">
        <f t="shared" si="102"/>
        <v>29.385964912280702</v>
      </c>
      <c r="D822" s="15">
        <f t="shared" si="103"/>
        <v>5.1685099465E+20</v>
      </c>
      <c r="E822" s="15">
        <f>FORECAST($C822, OFFSET('De Vaucouleurs Deprojection'!$F$3:$F$126, MATCH($C822, 'De Vaucouleurs Deprojection'!$A$3:$A$126,1)-1,0,2), OFFSET('De Vaucouleurs Deprojection'!$A$3:$A$126, MATCH($C822, 'De Vaucouleurs Deprojection'!$A$3:$A$126,1)-1,0,2))*LCDMTotalBulgeMass</f>
        <v>1.8595615445108772E+40</v>
      </c>
      <c r="F822" s="15">
        <f t="shared" si="96"/>
        <v>3.9781999999135471E+39</v>
      </c>
      <c r="G822" s="15">
        <f t="shared" si="97"/>
        <v>1.5320722311832433E+41</v>
      </c>
      <c r="H822" s="15">
        <f t="shared" si="98"/>
        <v>1.7578103856334667E+41</v>
      </c>
      <c r="I822" s="16">
        <v>156.84715</v>
      </c>
      <c r="J822" s="45">
        <v>1</v>
      </c>
      <c r="K822" s="19">
        <f t="shared" si="99"/>
        <v>150.66037320235708</v>
      </c>
      <c r="L822" s="16">
        <f t="shared" si="100"/>
        <v>38.276207143852794</v>
      </c>
      <c r="M822" s="45"/>
    </row>
    <row r="823" spans="1:13" x14ac:dyDescent="0.25">
      <c r="A823" s="16">
        <v>16.8</v>
      </c>
      <c r="B823" s="45">
        <f t="shared" si="101"/>
        <v>16800</v>
      </c>
      <c r="C823" s="16">
        <f t="shared" si="102"/>
        <v>29.473684210526315</v>
      </c>
      <c r="D823" s="15">
        <f t="shared" si="103"/>
        <v>5.1839383344000002E+20</v>
      </c>
      <c r="E823" s="15">
        <f>FORECAST($C823, OFFSET('De Vaucouleurs Deprojection'!$F$3:$F$126, MATCH($C823, 'De Vaucouleurs Deprojection'!$A$3:$A$126,1)-1,0,2), OFFSET('De Vaucouleurs Deprojection'!$A$3:$A$126, MATCH($C823, 'De Vaucouleurs Deprojection'!$A$3:$A$126,1)-1,0,2))*LCDMTotalBulgeMass</f>
        <v>1.8596740577778948E+40</v>
      </c>
      <c r="F823" s="15">
        <f t="shared" si="96"/>
        <v>3.97819999992023E+39</v>
      </c>
      <c r="G823" s="15">
        <f t="shared" si="97"/>
        <v>1.5369371236910984E+41</v>
      </c>
      <c r="H823" s="15">
        <f t="shared" si="98"/>
        <v>1.7626865294680902E+41</v>
      </c>
      <c r="I823" s="16">
        <v>156.80659</v>
      </c>
      <c r="J823" s="45">
        <v>1</v>
      </c>
      <c r="K823" s="19">
        <f t="shared" si="99"/>
        <v>150.64451845190874</v>
      </c>
      <c r="L823" s="16">
        <f t="shared" si="100"/>
        <v>37.971125763795847</v>
      </c>
      <c r="M823" s="45"/>
    </row>
    <row r="824" spans="1:13" x14ac:dyDescent="0.25">
      <c r="A824" s="16">
        <v>16.850000000000001</v>
      </c>
      <c r="B824" s="45">
        <f t="shared" si="101"/>
        <v>16850</v>
      </c>
      <c r="C824" s="16">
        <f t="shared" si="102"/>
        <v>29.561403508771932</v>
      </c>
      <c r="D824" s="15">
        <f t="shared" si="103"/>
        <v>5.1993667223000003E+20</v>
      </c>
      <c r="E824" s="15">
        <f>FORECAST($C824, OFFSET('De Vaucouleurs Deprojection'!$F$3:$F$126, MATCH($C824, 'De Vaucouleurs Deprojection'!$A$3:$A$126,1)-1,0,2), OFFSET('De Vaucouleurs Deprojection'!$A$3:$A$126, MATCH($C824, 'De Vaucouleurs Deprojection'!$A$3:$A$126,1)-1,0,2))*LCDMTotalBulgeMass</f>
        <v>1.8597865710449122E+40</v>
      </c>
      <c r="F824" s="15">
        <f t="shared" si="96"/>
        <v>3.9781999999263967E+39</v>
      </c>
      <c r="G824" s="15">
        <f t="shared" si="97"/>
        <v>1.5417977857714498E+41</v>
      </c>
      <c r="H824" s="15">
        <f t="shared" si="98"/>
        <v>1.767558442875205E+41</v>
      </c>
      <c r="I824" s="16">
        <v>156.7731</v>
      </c>
      <c r="J824" s="45">
        <v>1</v>
      </c>
      <c r="K824" s="19">
        <f t="shared" si="99"/>
        <v>150.62857588582412</v>
      </c>
      <c r="L824" s="16">
        <f t="shared" si="100"/>
        <v>37.75517658968888</v>
      </c>
      <c r="M824" s="45"/>
    </row>
    <row r="825" spans="1:13" x14ac:dyDescent="0.25">
      <c r="A825" s="16">
        <v>16.899999999999999</v>
      </c>
      <c r="B825" s="45">
        <f t="shared" si="101"/>
        <v>16900</v>
      </c>
      <c r="C825" s="16">
        <f t="shared" si="102"/>
        <v>29.649122807017545</v>
      </c>
      <c r="D825" s="15">
        <f t="shared" si="103"/>
        <v>5.2147951101999999E+20</v>
      </c>
      <c r="E825" s="15">
        <f>FORECAST($C825, OFFSET('De Vaucouleurs Deprojection'!$F$3:$F$126, MATCH($C825, 'De Vaucouleurs Deprojection'!$A$3:$A$126,1)-1,0,2), OFFSET('De Vaucouleurs Deprojection'!$A$3:$A$126, MATCH($C825, 'De Vaucouleurs Deprojection'!$A$3:$A$126,1)-1,0,2))*LCDMTotalBulgeMass</f>
        <v>1.8598990843119299E+40</v>
      </c>
      <c r="F825" s="15">
        <f t="shared" si="96"/>
        <v>3.9781999999320878E+39</v>
      </c>
      <c r="G825" s="15">
        <f t="shared" si="97"/>
        <v>1.546654214065067E+41</v>
      </c>
      <c r="H825" s="15">
        <f t="shared" si="98"/>
        <v>1.7724261224955809E+41</v>
      </c>
      <c r="I825" s="16">
        <v>156.74666999999999</v>
      </c>
      <c r="J825" s="45">
        <v>1</v>
      </c>
      <c r="K825" s="19">
        <f t="shared" si="99"/>
        <v>150.61254609818937</v>
      </c>
      <c r="L825" s="16">
        <f t="shared" si="100"/>
        <v>37.627476042764407</v>
      </c>
      <c r="M825" s="45"/>
    </row>
    <row r="826" spans="1:13" x14ac:dyDescent="0.25">
      <c r="A826" s="16">
        <v>16.95</v>
      </c>
      <c r="B826" s="45">
        <f t="shared" si="101"/>
        <v>16950</v>
      </c>
      <c r="C826" s="16">
        <f t="shared" si="102"/>
        <v>29.736842105263158</v>
      </c>
      <c r="D826" s="15">
        <f t="shared" si="103"/>
        <v>5.2302234981E+20</v>
      </c>
      <c r="E826" s="15">
        <f>FORECAST($C826, OFFSET('De Vaucouleurs Deprojection'!$F$3:$F$126, MATCH($C826, 'De Vaucouleurs Deprojection'!$A$3:$A$126,1)-1,0,2), OFFSET('De Vaucouleurs Deprojection'!$A$3:$A$126, MATCH($C826, 'De Vaucouleurs Deprojection'!$A$3:$A$126,1)-1,0,2))*LCDMTotalBulgeMass</f>
        <v>1.8600115975789473E+40</v>
      </c>
      <c r="F826" s="15">
        <f t="shared" si="96"/>
        <v>3.9781999999373393E+39</v>
      </c>
      <c r="G826" s="15">
        <f t="shared" si="97"/>
        <v>1.5515064053442323E+41</v>
      </c>
      <c r="H826" s="15">
        <f t="shared" si="98"/>
        <v>1.7772895651015003E+41</v>
      </c>
      <c r="I826" s="16">
        <v>156.72720000000001</v>
      </c>
      <c r="J826" s="45">
        <v>1</v>
      </c>
      <c r="K826" s="19">
        <f t="shared" si="99"/>
        <v>150.59642968142327</v>
      </c>
      <c r="L826" s="16">
        <f t="shared" si="100"/>
        <v>37.586344699141499</v>
      </c>
      <c r="M826" s="45"/>
    </row>
    <row r="827" spans="1:13" x14ac:dyDescent="0.25">
      <c r="A827" s="16">
        <v>17</v>
      </c>
      <c r="B827" s="45">
        <f t="shared" si="101"/>
        <v>17000</v>
      </c>
      <c r="C827" s="16">
        <f t="shared" si="102"/>
        <v>29.82456140350877</v>
      </c>
      <c r="D827" s="15">
        <f t="shared" si="103"/>
        <v>5.2456518860000002E+20</v>
      </c>
      <c r="E827" s="15">
        <f>FORECAST($C827, OFFSET('De Vaucouleurs Deprojection'!$F$3:$F$126, MATCH($C827, 'De Vaucouleurs Deprojection'!$A$3:$A$126,1)-1,0,2), OFFSET('De Vaucouleurs Deprojection'!$A$3:$A$126, MATCH($C827, 'De Vaucouleurs Deprojection'!$A$3:$A$126,1)-1,0,2))*LCDMTotalBulgeMass</f>
        <v>1.8601241108459649E+40</v>
      </c>
      <c r="F827" s="15">
        <f t="shared" si="96"/>
        <v>3.9781999999421859E+39</v>
      </c>
      <c r="G827" s="15">
        <f t="shared" si="97"/>
        <v>1.5563543565108765E+41</v>
      </c>
      <c r="H827" s="15">
        <f t="shared" si="98"/>
        <v>1.7821487675948947E+41</v>
      </c>
      <c r="I827" s="16">
        <v>156.71417</v>
      </c>
      <c r="J827" s="45">
        <v>1</v>
      </c>
      <c r="K827" s="19">
        <f t="shared" si="99"/>
        <v>150.58022722622735</v>
      </c>
      <c r="L827" s="16">
        <f t="shared" si="100"/>
        <v>37.625253951917657</v>
      </c>
      <c r="M827" s="45"/>
    </row>
    <row r="828" spans="1:13" x14ac:dyDescent="0.25">
      <c r="A828" s="16">
        <v>17.05</v>
      </c>
      <c r="B828" s="45">
        <f t="shared" si="101"/>
        <v>17050</v>
      </c>
      <c r="C828" s="16">
        <f t="shared" si="102"/>
        <v>29.912280701754387</v>
      </c>
      <c r="D828" s="15">
        <f t="shared" si="103"/>
        <v>5.2610802739000004E+20</v>
      </c>
      <c r="E828" s="15">
        <f>FORECAST($C828, OFFSET('De Vaucouleurs Deprojection'!$F$3:$F$126, MATCH($C828, 'De Vaucouleurs Deprojection'!$A$3:$A$126,1)-1,0,2), OFFSET('De Vaucouleurs Deprojection'!$A$3:$A$126, MATCH($C828, 'De Vaucouleurs Deprojection'!$A$3:$A$126,1)-1,0,2))*LCDMTotalBulgeMass</f>
        <v>1.8602366241129823E+40</v>
      </c>
      <c r="F828" s="15">
        <f t="shared" si="96"/>
        <v>3.9781999999466571E+39</v>
      </c>
      <c r="G828" s="15">
        <f t="shared" si="97"/>
        <v>1.5611980645947502E+41</v>
      </c>
      <c r="H828" s="15">
        <f t="shared" si="98"/>
        <v>1.7870037270055151E+41</v>
      </c>
      <c r="I828" s="16">
        <v>156.70644999999999</v>
      </c>
      <c r="J828" s="45">
        <v>1</v>
      </c>
      <c r="K828" s="19">
        <f t="shared" si="99"/>
        <v>150.56393932153782</v>
      </c>
      <c r="L828" s="16">
        <f t="shared" si="100"/>
        <v>37.730437435021827</v>
      </c>
      <c r="M828" s="45"/>
    </row>
    <row r="829" spans="1:13" x14ac:dyDescent="0.25">
      <c r="A829" s="16">
        <v>17.100000000000001</v>
      </c>
      <c r="B829" s="45">
        <f t="shared" si="101"/>
        <v>17100</v>
      </c>
      <c r="C829" s="16">
        <f t="shared" si="102"/>
        <v>30</v>
      </c>
      <c r="D829" s="15">
        <f t="shared" si="103"/>
        <v>5.2765086618000006E+20</v>
      </c>
      <c r="E829" s="15">
        <f>FORECAST($C829, OFFSET('De Vaucouleurs Deprojection'!$F$3:$F$126, MATCH($C829, 'De Vaucouleurs Deprojection'!$A$3:$A$126,1)-1,0,2), OFFSET('De Vaucouleurs Deprojection'!$A$3:$A$126, MATCH($C829, 'De Vaucouleurs Deprojection'!$A$3:$A$126,1)-1,0,2))*LCDMTotalBulgeMass</f>
        <v>1.8603491373799997E+40</v>
      </c>
      <c r="F829" s="15">
        <f t="shared" si="96"/>
        <v>3.9781999999507826E+39</v>
      </c>
      <c r="G829" s="15">
        <f t="shared" si="97"/>
        <v>1.566037526751611E+41</v>
      </c>
      <c r="H829" s="15">
        <f t="shared" si="98"/>
        <v>1.7918544404891187E+41</v>
      </c>
      <c r="I829" s="16">
        <v>156.70248000000001</v>
      </c>
      <c r="J829" s="45">
        <v>1</v>
      </c>
      <c r="K829" s="19">
        <f t="shared" si="99"/>
        <v>150.54756655447912</v>
      </c>
      <c r="L829" s="16">
        <f t="shared" si="100"/>
        <v>37.882959521853834</v>
      </c>
      <c r="M829" s="45"/>
    </row>
    <row r="830" spans="1:13" x14ac:dyDescent="0.25">
      <c r="A830" s="16">
        <v>17.149999999999999</v>
      </c>
      <c r="B830" s="45">
        <f t="shared" si="101"/>
        <v>17150</v>
      </c>
      <c r="C830" s="16">
        <f t="shared" si="102"/>
        <v>30.087719298245613</v>
      </c>
      <c r="D830" s="15">
        <f t="shared" si="103"/>
        <v>5.2919370496999994E+20</v>
      </c>
      <c r="E830" s="15">
        <f>FORECAST($C830, OFFSET('De Vaucouleurs Deprojection'!$F$3:$F$126, MATCH($C830, 'De Vaucouleurs Deprojection'!$A$3:$A$126,1)-1,0,2), OFFSET('De Vaucouleurs Deprojection'!$A$3:$A$126, MATCH($C830, 'De Vaucouleurs Deprojection'!$A$3:$A$126,1)-1,0,2))*LCDMTotalBulgeMass</f>
        <v>1.8604075261891225E+40</v>
      </c>
      <c r="F830" s="15">
        <f t="shared" si="96"/>
        <v>3.9781999999545901E+39</v>
      </c>
      <c r="G830" s="15">
        <f t="shared" si="97"/>
        <v>1.5708727402614396E+41</v>
      </c>
      <c r="H830" s="15">
        <f t="shared" si="98"/>
        <v>1.7966954928798975E+41</v>
      </c>
      <c r="I830" s="16">
        <v>156.70072999999999</v>
      </c>
      <c r="J830" s="45">
        <v>1</v>
      </c>
      <c r="K830" s="19">
        <f t="shared" si="99"/>
        <v>150.53088277751152</v>
      </c>
      <c r="L830" s="16">
        <f t="shared" si="100"/>
        <v>38.067014748848699</v>
      </c>
      <c r="M830" s="45"/>
    </row>
    <row r="831" spans="1:13" x14ac:dyDescent="0.25">
      <c r="A831" s="16">
        <v>17.2</v>
      </c>
      <c r="B831" s="45">
        <f t="shared" si="101"/>
        <v>17200</v>
      </c>
      <c r="C831" s="16">
        <f t="shared" si="102"/>
        <v>30.17543859649123</v>
      </c>
      <c r="D831" s="15">
        <f t="shared" si="103"/>
        <v>5.3073654375999996E+20</v>
      </c>
      <c r="E831" s="15">
        <f>FORECAST($C831, OFFSET('De Vaucouleurs Deprojection'!$F$3:$F$126, MATCH($C831, 'De Vaucouleurs Deprojection'!$A$3:$A$126,1)-1,0,2), OFFSET('De Vaucouleurs Deprojection'!$A$3:$A$126, MATCH($C831, 'De Vaucouleurs Deprojection'!$A$3:$A$126,1)-1,0,2))*LCDMTotalBulgeMass</f>
        <v>1.8604659149982452E+40</v>
      </c>
      <c r="F831" s="15">
        <f t="shared" si="96"/>
        <v>3.9781999999581032E+39</v>
      </c>
      <c r="G831" s="15">
        <f t="shared" si="97"/>
        <v>1.5757037025266826E+41</v>
      </c>
      <c r="H831" s="15">
        <f t="shared" si="98"/>
        <v>1.801532294026088E+41</v>
      </c>
      <c r="I831" s="16">
        <v>156.69989000000001</v>
      </c>
      <c r="J831" s="45">
        <v>1</v>
      </c>
      <c r="K831" s="19">
        <f t="shared" si="99"/>
        <v>150.51411657499966</v>
      </c>
      <c r="L831" s="16">
        <f t="shared" si="100"/>
        <v>38.26379286544055</v>
      </c>
      <c r="M831" s="45"/>
    </row>
    <row r="832" spans="1:13" x14ac:dyDescent="0.25">
      <c r="A832" s="16">
        <v>17.25</v>
      </c>
      <c r="B832" s="45">
        <f t="shared" si="101"/>
        <v>17250</v>
      </c>
      <c r="C832" s="16">
        <f t="shared" si="102"/>
        <v>30.263157894736842</v>
      </c>
      <c r="D832" s="15">
        <f t="shared" si="103"/>
        <v>5.3227938254999998E+20</v>
      </c>
      <c r="E832" s="15">
        <f>FORECAST($C832, OFFSET('De Vaucouleurs Deprojection'!$F$3:$F$126, MATCH($C832, 'De Vaucouleurs Deprojection'!$A$3:$A$126,1)-1,0,2), OFFSET('De Vaucouleurs Deprojection'!$A$3:$A$126, MATCH($C832, 'De Vaucouleurs Deprojection'!$A$3:$A$126,1)-1,0,2))*LCDMTotalBulgeMass</f>
        <v>1.8605243038073682E+40</v>
      </c>
      <c r="F832" s="15">
        <f t="shared" si="96"/>
        <v>3.9781999999613444E+39</v>
      </c>
      <c r="G832" s="15">
        <f t="shared" si="97"/>
        <v>1.5805304110705104E+41</v>
      </c>
      <c r="H832" s="15">
        <f t="shared" si="98"/>
        <v>1.8063648414508607E+41</v>
      </c>
      <c r="I832" s="16">
        <v>156.69899000000001</v>
      </c>
      <c r="J832" s="45">
        <v>1</v>
      </c>
      <c r="K832" s="19">
        <f t="shared" si="99"/>
        <v>150.49726851695866</v>
      </c>
      <c r="L832" s="16">
        <f t="shared" si="100"/>
        <v>38.461349353216647</v>
      </c>
      <c r="M832" s="45"/>
    </row>
    <row r="833" spans="1:13" x14ac:dyDescent="0.25">
      <c r="A833" s="16">
        <v>17.3</v>
      </c>
      <c r="B833" s="45">
        <f t="shared" si="101"/>
        <v>17300</v>
      </c>
      <c r="C833" s="16">
        <f t="shared" si="102"/>
        <v>30.350877192982455</v>
      </c>
      <c r="D833" s="15">
        <f t="shared" si="103"/>
        <v>5.3382222133999999E+20</v>
      </c>
      <c r="E833" s="15">
        <f>FORECAST($C833, OFFSET('De Vaucouleurs Deprojection'!$F$3:$F$126, MATCH($C833, 'De Vaucouleurs Deprojection'!$A$3:$A$126,1)-1,0,2), OFFSET('De Vaucouleurs Deprojection'!$A$3:$A$126, MATCH($C833, 'De Vaucouleurs Deprojection'!$A$3:$A$126,1)-1,0,2))*LCDMTotalBulgeMass</f>
        <v>1.860582692616491E+40</v>
      </c>
      <c r="F833" s="15">
        <f t="shared" si="96"/>
        <v>3.9781999999643358E+39</v>
      </c>
      <c r="G833" s="15">
        <f t="shared" si="97"/>
        <v>1.5853528635351166E+41</v>
      </c>
      <c r="H833" s="15">
        <f t="shared" si="98"/>
        <v>1.8111931327964091E+41</v>
      </c>
      <c r="I833" s="16">
        <v>156.69711000000001</v>
      </c>
      <c r="J833" s="45">
        <v>1</v>
      </c>
      <c r="K833" s="19">
        <f t="shared" si="99"/>
        <v>150.48033917155999</v>
      </c>
      <c r="L833" s="16">
        <f t="shared" si="100"/>
        <v>38.648239533342803</v>
      </c>
      <c r="M833" s="45"/>
    </row>
    <row r="834" spans="1:13" x14ac:dyDescent="0.25">
      <c r="A834" s="16">
        <v>17.350000000000001</v>
      </c>
      <c r="B834" s="45">
        <f t="shared" si="101"/>
        <v>17350</v>
      </c>
      <c r="C834" s="16">
        <f t="shared" si="102"/>
        <v>30.438596491228068</v>
      </c>
      <c r="D834" s="15">
        <f t="shared" si="103"/>
        <v>5.3536506013000001E+20</v>
      </c>
      <c r="E834" s="15">
        <f>FORECAST($C834, OFFSET('De Vaucouleurs Deprojection'!$F$3:$F$126, MATCH($C834, 'De Vaucouleurs Deprojection'!$A$3:$A$126,1)-1,0,2), OFFSET('De Vaucouleurs Deprojection'!$A$3:$A$126, MATCH($C834, 'De Vaucouleurs Deprojection'!$A$3:$A$126,1)-1,0,2))*LCDMTotalBulgeMass</f>
        <v>1.8606410814256137E+40</v>
      </c>
      <c r="F834" s="15">
        <f t="shared" si="96"/>
        <v>3.9781999999670958E+39</v>
      </c>
      <c r="G834" s="15">
        <f t="shared" si="97"/>
        <v>1.5901710576800227E+41</v>
      </c>
      <c r="H834" s="15">
        <f t="shared" si="98"/>
        <v>1.8160171658222551E+41</v>
      </c>
      <c r="I834" s="16">
        <v>156.69325000000001</v>
      </c>
      <c r="J834" s="45">
        <v>1</v>
      </c>
      <c r="K834" s="19">
        <f t="shared" si="99"/>
        <v>150.46332910509179</v>
      </c>
      <c r="L834" s="16">
        <f t="shared" si="100"/>
        <v>38.811914356814022</v>
      </c>
      <c r="M834" s="45"/>
    </row>
    <row r="835" spans="1:13" x14ac:dyDescent="0.25">
      <c r="A835" s="16">
        <v>17.399999999999999</v>
      </c>
      <c r="B835" s="45">
        <f t="shared" si="101"/>
        <v>17400</v>
      </c>
      <c r="C835" s="16">
        <f t="shared" si="102"/>
        <v>30.526315789473685</v>
      </c>
      <c r="D835" s="15">
        <f t="shared" si="103"/>
        <v>5.3690789891999996E+20</v>
      </c>
      <c r="E835" s="15">
        <f>FORECAST($C835, OFFSET('De Vaucouleurs Deprojection'!$F$3:$F$126, MATCH($C835, 'De Vaucouleurs Deprojection'!$A$3:$A$126,1)-1,0,2), OFFSET('De Vaucouleurs Deprojection'!$A$3:$A$126, MATCH($C835, 'De Vaucouleurs Deprojection'!$A$3:$A$126,1)-1,0,2))*LCDMTotalBulgeMass</f>
        <v>1.8606994702347365E+40</v>
      </c>
      <c r="F835" s="15">
        <f t="shared" si="96"/>
        <v>3.9781999999696424E+39</v>
      </c>
      <c r="G835" s="15">
        <f t="shared" si="97"/>
        <v>1.5949849913804127E+41</v>
      </c>
      <c r="H835" s="15">
        <f t="shared" si="98"/>
        <v>1.8208369384035827E+41</v>
      </c>
      <c r="I835" s="16">
        <v>156.68633</v>
      </c>
      <c r="J835" s="45">
        <v>1</v>
      </c>
      <c r="K835" s="19">
        <f t="shared" si="99"/>
        <v>150.44623888192081</v>
      </c>
      <c r="L835" s="16">
        <f t="shared" si="100"/>
        <v>38.938737161930824</v>
      </c>
      <c r="M835" s="45"/>
    </row>
    <row r="836" spans="1:13" x14ac:dyDescent="0.25">
      <c r="A836" s="16">
        <v>17.45</v>
      </c>
      <c r="B836" s="45">
        <f t="shared" si="101"/>
        <v>17450</v>
      </c>
      <c r="C836" s="16">
        <f t="shared" si="102"/>
        <v>30.614035087719298</v>
      </c>
      <c r="D836" s="15">
        <f t="shared" si="103"/>
        <v>5.3845073770999998E+20</v>
      </c>
      <c r="E836" s="15">
        <f>FORECAST($C836, OFFSET('De Vaucouleurs Deprojection'!$F$3:$F$126, MATCH($C836, 'De Vaucouleurs Deprojection'!$A$3:$A$126,1)-1,0,2), OFFSET('De Vaucouleurs Deprojection'!$A$3:$A$126, MATCH($C836, 'De Vaucouleurs Deprojection'!$A$3:$A$126,1)-1,0,2))*LCDMTotalBulgeMass</f>
        <v>1.8607578590438592E+40</v>
      </c>
      <c r="F836" s="15">
        <f t="shared" si="96"/>
        <v>3.978199999971992E+39</v>
      </c>
      <c r="G836" s="15">
        <f t="shared" si="97"/>
        <v>1.5997946626255032E+41</v>
      </c>
      <c r="H836" s="15">
        <f t="shared" si="98"/>
        <v>1.8256524485296092E+41</v>
      </c>
      <c r="I836" s="16">
        <v>156.67523</v>
      </c>
      <c r="J836" s="45">
        <v>1</v>
      </c>
      <c r="K836" s="19">
        <f t="shared" si="99"/>
        <v>150.42906906445666</v>
      </c>
      <c r="L836" s="16">
        <f t="shared" si="100"/>
        <v>39.014526432707697</v>
      </c>
      <c r="M836" s="45"/>
    </row>
    <row r="837" spans="1:13" x14ac:dyDescent="0.25">
      <c r="A837" s="16">
        <v>17.5</v>
      </c>
      <c r="B837" s="45">
        <f t="shared" si="101"/>
        <v>17500</v>
      </c>
      <c r="C837" s="16">
        <f t="shared" si="102"/>
        <v>30.701754385964911</v>
      </c>
      <c r="D837" s="15">
        <f t="shared" si="103"/>
        <v>5.399935765E+20</v>
      </c>
      <c r="E837" s="15">
        <f>FORECAST($C837, OFFSET('De Vaucouleurs Deprojection'!$F$3:$F$126, MATCH($C837, 'De Vaucouleurs Deprojection'!$A$3:$A$126,1)-1,0,2), OFFSET('De Vaucouleurs Deprojection'!$A$3:$A$126, MATCH($C837, 'De Vaucouleurs Deprojection'!$A$3:$A$126,1)-1,0,2))*LCDMTotalBulgeMass</f>
        <v>1.8608162478529822E+40</v>
      </c>
      <c r="F837" s="15">
        <f t="shared" si="96"/>
        <v>3.9781999999741602E+39</v>
      </c>
      <c r="G837" s="15">
        <f t="shared" si="97"/>
        <v>1.6046000695169084E+41</v>
      </c>
      <c r="H837" s="15">
        <f t="shared" si="98"/>
        <v>1.8304636943019482E+41</v>
      </c>
      <c r="I837" s="16">
        <v>156.65912</v>
      </c>
      <c r="J837" s="45">
        <v>1</v>
      </c>
      <c r="K837" s="19">
        <f t="shared" si="99"/>
        <v>150.4118202131161</v>
      </c>
      <c r="L837" s="16">
        <f t="shared" si="100"/>
        <v>39.028754627199625</v>
      </c>
      <c r="M837" s="45"/>
    </row>
    <row r="838" spans="1:13" x14ac:dyDescent="0.25">
      <c r="A838" s="16">
        <v>17.55</v>
      </c>
      <c r="B838" s="45">
        <f t="shared" si="101"/>
        <v>17550</v>
      </c>
      <c r="C838" s="16">
        <f t="shared" si="102"/>
        <v>30.789473684210527</v>
      </c>
      <c r="D838" s="15">
        <f t="shared" si="103"/>
        <v>5.4153641529000002E+20</v>
      </c>
      <c r="E838" s="15">
        <f>FORECAST($C838, OFFSET('De Vaucouleurs Deprojection'!$F$3:$F$126, MATCH($C838, 'De Vaucouleurs Deprojection'!$A$3:$A$126,1)-1,0,2), OFFSET('De Vaucouleurs Deprojection'!$A$3:$A$126, MATCH($C838, 'De Vaucouleurs Deprojection'!$A$3:$A$126,1)-1,0,2))*LCDMTotalBulgeMass</f>
        <v>1.860874636662105E+40</v>
      </c>
      <c r="F838" s="15">
        <f t="shared" si="96"/>
        <v>3.9781999999761604E+39</v>
      </c>
      <c r="G838" s="15">
        <f t="shared" si="97"/>
        <v>1.6094012102670561E+41</v>
      </c>
      <c r="H838" s="15">
        <f t="shared" si="98"/>
        <v>1.8352706739330283E+41</v>
      </c>
      <c r="I838" s="16">
        <v>156.63721000000001</v>
      </c>
      <c r="J838" s="45">
        <v>1</v>
      </c>
      <c r="K838" s="19">
        <f t="shared" si="99"/>
        <v>150.39449288629027</v>
      </c>
      <c r="L838" s="16">
        <f t="shared" si="100"/>
        <v>38.971516961804525</v>
      </c>
      <c r="M838" s="45"/>
    </row>
    <row r="839" spans="1:13" x14ac:dyDescent="0.25">
      <c r="A839" s="16">
        <v>17.600000000000001</v>
      </c>
      <c r="B839" s="45">
        <f t="shared" si="101"/>
        <v>17600</v>
      </c>
      <c r="C839" s="16">
        <f t="shared" si="102"/>
        <v>30.87719298245614</v>
      </c>
      <c r="D839" s="15">
        <f t="shared" si="103"/>
        <v>5.4307925408000003E+20</v>
      </c>
      <c r="E839" s="15">
        <f>FORECAST($C839, OFFSET('De Vaucouleurs Deprojection'!$F$3:$F$126, MATCH($C839, 'De Vaucouleurs Deprojection'!$A$3:$A$126,1)-1,0,2), OFFSET('De Vaucouleurs Deprojection'!$A$3:$A$126, MATCH($C839, 'De Vaucouleurs Deprojection'!$A$3:$A$126,1)-1,0,2))*LCDMTotalBulgeMass</f>
        <v>1.8609330254712277E+40</v>
      </c>
      <c r="F839" s="15">
        <f t="shared" si="96"/>
        <v>3.9781999999780058E+39</v>
      </c>
      <c r="G839" s="15">
        <f t="shared" si="97"/>
        <v>1.6141980831976107E+41</v>
      </c>
      <c r="H839" s="15">
        <f t="shared" si="98"/>
        <v>1.8400733857445133E+41</v>
      </c>
      <c r="I839" s="16">
        <v>156.60873000000001</v>
      </c>
      <c r="J839" s="45">
        <v>1</v>
      </c>
      <c r="K839" s="19">
        <f t="shared" si="99"/>
        <v>150.37708764031279</v>
      </c>
      <c r="L839" s="16">
        <f t="shared" si="100"/>
        <v>38.833366499048033</v>
      </c>
      <c r="M839" s="45"/>
    </row>
    <row r="840" spans="1:13" x14ac:dyDescent="0.25">
      <c r="A840" s="16">
        <v>17.649999999999999</v>
      </c>
      <c r="B840" s="45">
        <f t="shared" si="101"/>
        <v>17650</v>
      </c>
      <c r="C840" s="16">
        <f t="shared" si="102"/>
        <v>30.964912280701753</v>
      </c>
      <c r="D840" s="15">
        <f t="shared" si="103"/>
        <v>5.4462209286999998E+20</v>
      </c>
      <c r="E840" s="15">
        <f>FORECAST($C840, OFFSET('De Vaucouleurs Deprojection'!$F$3:$F$126, MATCH($C840, 'De Vaucouleurs Deprojection'!$A$3:$A$126,1)-1,0,2), OFFSET('De Vaucouleurs Deprojection'!$A$3:$A$126, MATCH($C840, 'De Vaucouleurs Deprojection'!$A$3:$A$126,1)-1,0,2))*LCDMTotalBulgeMass</f>
        <v>1.8609914142803505E+40</v>
      </c>
      <c r="F840" s="15">
        <f t="shared" si="96"/>
        <v>3.9781999999797092E+39</v>
      </c>
      <c r="G840" s="15">
        <f t="shared" si="97"/>
        <v>1.6189906867379153E+41</v>
      </c>
      <c r="H840" s="15">
        <f t="shared" si="98"/>
        <v>1.8448718281657475E+41</v>
      </c>
      <c r="I840" s="16">
        <v>156.57307</v>
      </c>
      <c r="J840" s="45">
        <v>1</v>
      </c>
      <c r="K840" s="19">
        <f t="shared" si="99"/>
        <v>150.35960502942888</v>
      </c>
      <c r="L840" s="16">
        <f t="shared" si="100"/>
        <v>38.607146940514419</v>
      </c>
      <c r="M840" s="45"/>
    </row>
    <row r="841" spans="1:13" x14ac:dyDescent="0.25">
      <c r="A841" s="16">
        <v>17.7</v>
      </c>
      <c r="B841" s="45">
        <f t="shared" si="101"/>
        <v>17700</v>
      </c>
      <c r="C841" s="16">
        <f t="shared" si="102"/>
        <v>31.05263157894737</v>
      </c>
      <c r="D841" s="15">
        <f t="shared" si="103"/>
        <v>5.4616493166E+20</v>
      </c>
      <c r="E841" s="15">
        <f>FORECAST($C841, OFFSET('De Vaucouleurs Deprojection'!$F$3:$F$126, MATCH($C841, 'De Vaucouleurs Deprojection'!$A$3:$A$126,1)-1,0,2), OFFSET('De Vaucouleurs Deprojection'!$A$3:$A$126, MATCH($C841, 'De Vaucouleurs Deprojection'!$A$3:$A$126,1)-1,0,2))*LCDMTotalBulgeMass</f>
        <v>1.8610498030894735E+40</v>
      </c>
      <c r="F841" s="15">
        <f t="shared" si="96"/>
        <v>3.9781999999812808E+39</v>
      </c>
      <c r="G841" s="15">
        <f t="shared" si="97"/>
        <v>1.6237790194234668E+41</v>
      </c>
      <c r="H841" s="15">
        <f t="shared" si="98"/>
        <v>1.849665999732227E+41</v>
      </c>
      <c r="I841" s="16">
        <v>156.53020000000001</v>
      </c>
      <c r="J841" s="45">
        <v>1</v>
      </c>
      <c r="K841" s="19">
        <f t="shared" si="99"/>
        <v>150.34204560576637</v>
      </c>
      <c r="L841" s="16">
        <f t="shared" si="100"/>
        <v>38.293254806873044</v>
      </c>
      <c r="M841" s="45"/>
    </row>
    <row r="842" spans="1:13" x14ac:dyDescent="0.25">
      <c r="A842" s="16">
        <v>17.75</v>
      </c>
      <c r="B842" s="45">
        <f t="shared" si="101"/>
        <v>17750</v>
      </c>
      <c r="C842" s="16">
        <f t="shared" si="102"/>
        <v>31.140350877192983</v>
      </c>
      <c r="D842" s="15">
        <f t="shared" si="103"/>
        <v>5.4770777045000002E+20</v>
      </c>
      <c r="E842" s="15">
        <f>FORECAST($C842, OFFSET('De Vaucouleurs Deprojection'!$F$3:$F$126, MATCH($C842, 'De Vaucouleurs Deprojection'!$A$3:$A$126,1)-1,0,2), OFFSET('De Vaucouleurs Deprojection'!$A$3:$A$126, MATCH($C842, 'De Vaucouleurs Deprojection'!$A$3:$A$126,1)-1,0,2))*LCDMTotalBulgeMass</f>
        <v>1.8611081918985962E+40</v>
      </c>
      <c r="F842" s="15">
        <f t="shared" si="96"/>
        <v>3.9781999999827297E+39</v>
      </c>
      <c r="G842" s="15">
        <f t="shared" si="97"/>
        <v>1.6285630798944007E+41</v>
      </c>
      <c r="H842" s="15">
        <f t="shared" si="98"/>
        <v>1.8544558990840877E+41</v>
      </c>
      <c r="I842" s="16">
        <v>156.48105000000001</v>
      </c>
      <c r="J842" s="45">
        <v>1</v>
      </c>
      <c r="K842" s="19">
        <f t="shared" si="99"/>
        <v>150.32440991930804</v>
      </c>
      <c r="L842" s="16">
        <f t="shared" si="100"/>
        <v>37.90421708318285</v>
      </c>
      <c r="M842" s="45"/>
    </row>
    <row r="843" spans="1:13" x14ac:dyDescent="0.25">
      <c r="A843" s="16">
        <v>17.8</v>
      </c>
      <c r="B843" s="45">
        <f t="shared" si="101"/>
        <v>17800</v>
      </c>
      <c r="C843" s="16">
        <f t="shared" si="102"/>
        <v>31.228070175438596</v>
      </c>
      <c r="D843" s="15">
        <f t="shared" si="103"/>
        <v>5.4925060924000004E+20</v>
      </c>
      <c r="E843" s="15">
        <f>FORECAST($C843, OFFSET('De Vaucouleurs Deprojection'!$F$3:$F$126, MATCH($C843, 'De Vaucouleurs Deprojection'!$A$3:$A$126,1)-1,0,2), OFFSET('De Vaucouleurs Deprojection'!$A$3:$A$126, MATCH($C843, 'De Vaucouleurs Deprojection'!$A$3:$A$126,1)-1,0,2))*LCDMTotalBulgeMass</f>
        <v>1.861166580707719E+40</v>
      </c>
      <c r="F843" s="15">
        <f t="shared" si="96"/>
        <v>3.9781999999840673E+39</v>
      </c>
      <c r="G843" s="15">
        <f t="shared" si="97"/>
        <v>1.6333428668940047E+41</v>
      </c>
      <c r="H843" s="15">
        <f t="shared" si="98"/>
        <v>1.8592415249646171E+41</v>
      </c>
      <c r="I843" s="16">
        <v>156.42738</v>
      </c>
      <c r="J843" s="45">
        <v>1</v>
      </c>
      <c r="K843" s="19">
        <f t="shared" si="99"/>
        <v>150.30669851786467</v>
      </c>
      <c r="L843" s="16">
        <f t="shared" si="100"/>
        <v>37.462741805754277</v>
      </c>
      <c r="M843" s="45"/>
    </row>
    <row r="844" spans="1:13" x14ac:dyDescent="0.25">
      <c r="A844" s="16">
        <v>17.850000000000001</v>
      </c>
      <c r="B844" s="45">
        <f t="shared" si="101"/>
        <v>17850</v>
      </c>
      <c r="C844" s="16">
        <f t="shared" si="102"/>
        <v>31.315789473684209</v>
      </c>
      <c r="D844" s="15">
        <f t="shared" si="103"/>
        <v>5.5079344803000005E+20</v>
      </c>
      <c r="E844" s="15">
        <f>FORECAST($C844, OFFSET('De Vaucouleurs Deprojection'!$F$3:$F$126, MATCH($C844, 'De Vaucouleurs Deprojection'!$A$3:$A$126,1)-1,0,2), OFFSET('De Vaucouleurs Deprojection'!$A$3:$A$126, MATCH($C844, 'De Vaucouleurs Deprojection'!$A$3:$A$126,1)-1,0,2))*LCDMTotalBulgeMass</f>
        <v>1.8612249695168417E+40</v>
      </c>
      <c r="F844" s="15">
        <f t="shared" si="96"/>
        <v>3.978199999985301E+39</v>
      </c>
      <c r="G844" s="15">
        <f t="shared" si="97"/>
        <v>1.6381183792672442E+41</v>
      </c>
      <c r="H844" s="15">
        <f t="shared" si="98"/>
        <v>1.8640228762187815E+41</v>
      </c>
      <c r="I844" s="16">
        <v>156.37137999999999</v>
      </c>
      <c r="J844" s="45">
        <v>1</v>
      </c>
      <c r="K844" s="19">
        <f t="shared" si="99"/>
        <v>150.28891194705</v>
      </c>
      <c r="L844" s="16">
        <f t="shared" si="100"/>
        <v>36.996417615157263</v>
      </c>
      <c r="M844" s="45"/>
    </row>
    <row r="845" spans="1:13" x14ac:dyDescent="0.25">
      <c r="A845" s="16">
        <v>17.899999999999999</v>
      </c>
      <c r="B845" s="45">
        <f t="shared" si="101"/>
        <v>17900</v>
      </c>
      <c r="C845" s="16">
        <f t="shared" si="102"/>
        <v>31.403508771929825</v>
      </c>
      <c r="D845" s="15">
        <f t="shared" si="103"/>
        <v>5.5233628681999994E+20</v>
      </c>
      <c r="E845" s="15">
        <f>FORECAST($C845, OFFSET('De Vaucouleurs Deprojection'!$F$3:$F$126, MATCH($C845, 'De Vaucouleurs Deprojection'!$A$3:$A$126,1)-1,0,2), OFFSET('De Vaucouleurs Deprojection'!$A$3:$A$126, MATCH($C845, 'De Vaucouleurs Deprojection'!$A$3:$A$126,1)-1,0,2))*LCDMTotalBulgeMass</f>
        <v>1.8612833583259645E+40</v>
      </c>
      <c r="F845" s="15">
        <f t="shared" si="96"/>
        <v>3.9781999999864405E+39</v>
      </c>
      <c r="G845" s="15">
        <f t="shared" si="97"/>
        <v>1.6428896159593202E+41</v>
      </c>
      <c r="H845" s="15">
        <f t="shared" si="98"/>
        <v>1.8687999517917809E+41</v>
      </c>
      <c r="I845" s="16">
        <v>156.31503000000001</v>
      </c>
      <c r="J845" s="45">
        <v>1</v>
      </c>
      <c r="K845" s="19">
        <f t="shared" si="99"/>
        <v>150.27105075025636</v>
      </c>
      <c r="L845" s="16">
        <f t="shared" si="100"/>
        <v>36.529685171331728</v>
      </c>
      <c r="M845" s="45"/>
    </row>
    <row r="846" spans="1:13" x14ac:dyDescent="0.25">
      <c r="A846" s="16">
        <v>17.95</v>
      </c>
      <c r="B846" s="45">
        <f t="shared" si="101"/>
        <v>17950</v>
      </c>
      <c r="C846" s="16">
        <f t="shared" si="102"/>
        <v>31.491228070175438</v>
      </c>
      <c r="D846" s="15">
        <f t="shared" si="103"/>
        <v>5.5387912560999996E+20</v>
      </c>
      <c r="E846" s="15">
        <f>FORECAST($C846, OFFSET('De Vaucouleurs Deprojection'!$F$3:$F$126, MATCH($C846, 'De Vaucouleurs Deprojection'!$A$3:$A$126,1)-1,0,2), OFFSET('De Vaucouleurs Deprojection'!$A$3:$A$126, MATCH($C846, 'De Vaucouleurs Deprojection'!$A$3:$A$126,1)-1,0,2))*LCDMTotalBulgeMass</f>
        <v>1.8613417471350875E+40</v>
      </c>
      <c r="F846" s="15">
        <f t="shared" si="96"/>
        <v>3.9781999999874904E+39</v>
      </c>
      <c r="G846" s="15">
        <f t="shared" si="97"/>
        <v>1.6476565760142338E+41</v>
      </c>
      <c r="H846" s="15">
        <f t="shared" si="98"/>
        <v>1.8735727507276173E+41</v>
      </c>
      <c r="I846" s="16">
        <v>156.26008999999999</v>
      </c>
      <c r="J846" s="45">
        <v>1</v>
      </c>
      <c r="K846" s="19">
        <f t="shared" si="99"/>
        <v>150.25311546863199</v>
      </c>
      <c r="L846" s="16">
        <f t="shared" si="100"/>
        <v>36.083743020503825</v>
      </c>
      <c r="M846" s="45"/>
    </row>
    <row r="847" spans="1:13" x14ac:dyDescent="0.25">
      <c r="A847" s="16">
        <v>18</v>
      </c>
      <c r="B847" s="45">
        <f t="shared" si="101"/>
        <v>18000</v>
      </c>
      <c r="C847" s="16">
        <f t="shared" si="102"/>
        <v>31.578947368421051</v>
      </c>
      <c r="D847" s="15">
        <f t="shared" si="103"/>
        <v>5.5542196439999998E+20</v>
      </c>
      <c r="E847" s="15">
        <f>FORECAST($C847, OFFSET('De Vaucouleurs Deprojection'!$F$3:$F$126, MATCH($C847, 'De Vaucouleurs Deprojection'!$A$3:$A$126,1)-1,0,2), OFFSET('De Vaucouleurs Deprojection'!$A$3:$A$126, MATCH($C847, 'De Vaucouleurs Deprojection'!$A$3:$A$126,1)-1,0,2))*LCDMTotalBulgeMass</f>
        <v>1.8614001359442102E+40</v>
      </c>
      <c r="F847" s="15">
        <f t="shared" si="96"/>
        <v>3.9781999999884594E+39</v>
      </c>
      <c r="G847" s="15">
        <f t="shared" si="97"/>
        <v>1.6524192585733765E+41</v>
      </c>
      <c r="H847" s="15">
        <f t="shared" si="98"/>
        <v>1.8783412721676822E+41</v>
      </c>
      <c r="I847" s="16">
        <v>156.20818</v>
      </c>
      <c r="J847" s="45">
        <v>1</v>
      </c>
      <c r="K847" s="19">
        <f t="shared" si="99"/>
        <v>150.23510664105885</v>
      </c>
      <c r="L847" s="16">
        <f t="shared" si="100"/>
        <v>35.677605351292513</v>
      </c>
      <c r="M847" s="45"/>
    </row>
    <row r="848" spans="1:13" x14ac:dyDescent="0.25">
      <c r="A848" s="16">
        <v>18.05</v>
      </c>
      <c r="B848" s="45">
        <f t="shared" si="101"/>
        <v>18050</v>
      </c>
      <c r="C848" s="16">
        <f t="shared" si="102"/>
        <v>31.666666666666668</v>
      </c>
      <c r="D848" s="15">
        <f t="shared" si="103"/>
        <v>5.5696480318999999E+20</v>
      </c>
      <c r="E848" s="15">
        <f>FORECAST($C848, OFFSET('De Vaucouleurs Deprojection'!$F$3:$F$126, MATCH($C848, 'De Vaucouleurs Deprojection'!$A$3:$A$126,1)-1,0,2), OFFSET('De Vaucouleurs Deprojection'!$A$3:$A$126, MATCH($C848, 'De Vaucouleurs Deprojection'!$A$3:$A$126,1)-1,0,2))*LCDMTotalBulgeMass</f>
        <v>1.861458524753333E+40</v>
      </c>
      <c r="F848" s="15">
        <f t="shared" si="96"/>
        <v>3.9781999999893534E+39</v>
      </c>
      <c r="G848" s="15">
        <f t="shared" si="97"/>
        <v>1.6571776628741448E+41</v>
      </c>
      <c r="H848" s="15">
        <f t="shared" si="98"/>
        <v>1.8831055153493716E+41</v>
      </c>
      <c r="I848" s="16">
        <v>156.16095999999999</v>
      </c>
      <c r="J848" s="45">
        <v>1</v>
      </c>
      <c r="K848" s="19">
        <f t="shared" si="99"/>
        <v>150.21702480413219</v>
      </c>
      <c r="L848" s="16">
        <f t="shared" si="100"/>
        <v>35.330365612675919</v>
      </c>
      <c r="M848" s="45"/>
    </row>
    <row r="849" spans="1:13" x14ac:dyDescent="0.25">
      <c r="A849" s="16">
        <v>18.100000000000001</v>
      </c>
      <c r="B849" s="45">
        <f t="shared" si="101"/>
        <v>18100</v>
      </c>
      <c r="C849" s="16">
        <f t="shared" si="102"/>
        <v>31.754385964912281</v>
      </c>
      <c r="D849" s="15">
        <f t="shared" si="103"/>
        <v>5.5850764198000008E+20</v>
      </c>
      <c r="E849" s="15">
        <f>FORECAST($C849, OFFSET('De Vaucouleurs Deprojection'!$F$3:$F$126, MATCH($C849, 'De Vaucouleurs Deprojection'!$A$3:$A$126,1)-1,0,2), OFFSET('De Vaucouleurs Deprojection'!$A$3:$A$126, MATCH($C849, 'De Vaucouleurs Deprojection'!$A$3:$A$126,1)-1,0,2))*LCDMTotalBulgeMass</f>
        <v>1.8615169135624557E+40</v>
      </c>
      <c r="F849" s="15">
        <f t="shared" si="96"/>
        <v>3.9781999999901791E+39</v>
      </c>
      <c r="G849" s="15">
        <f t="shared" si="97"/>
        <v>1.6619317882485592E+41</v>
      </c>
      <c r="H849" s="15">
        <f t="shared" si="98"/>
        <v>1.8878654796047067E+41</v>
      </c>
      <c r="I849" s="16">
        <v>156.11994999999999</v>
      </c>
      <c r="J849" s="45">
        <v>1</v>
      </c>
      <c r="K849" s="19">
        <f t="shared" si="99"/>
        <v>150.19887049214071</v>
      </c>
      <c r="L849" s="16">
        <f t="shared" si="100"/>
        <v>35.059182538391035</v>
      </c>
      <c r="M849" s="45"/>
    </row>
    <row r="850" spans="1:13" x14ac:dyDescent="0.25">
      <c r="A850" s="16">
        <v>18.149999999999999</v>
      </c>
      <c r="B850" s="45">
        <f t="shared" si="101"/>
        <v>18150</v>
      </c>
      <c r="C850" s="16">
        <f t="shared" si="102"/>
        <v>31.842105263157894</v>
      </c>
      <c r="D850" s="15">
        <f t="shared" si="103"/>
        <v>5.6005048076999996E+20</v>
      </c>
      <c r="E850" s="15">
        <f>FORECAST($C850, OFFSET('De Vaucouleurs Deprojection'!$F$3:$F$126, MATCH($C850, 'De Vaucouleurs Deprojection'!$A$3:$A$126,1)-1,0,2), OFFSET('De Vaucouleurs Deprojection'!$A$3:$A$126, MATCH($C850, 'De Vaucouleurs Deprojection'!$A$3:$A$126,1)-1,0,2))*LCDMTotalBulgeMass</f>
        <v>1.8615753023715785E+40</v>
      </c>
      <c r="F850" s="15">
        <f t="shared" si="96"/>
        <v>3.9781999999909407E+39</v>
      </c>
      <c r="G850" s="15">
        <f t="shared" si="97"/>
        <v>1.6666816341219184E+41</v>
      </c>
      <c r="H850" s="15">
        <f t="shared" si="98"/>
        <v>1.8926211643589857E+41</v>
      </c>
      <c r="I850" s="16">
        <v>156.08606</v>
      </c>
      <c r="J850" s="45">
        <v>1</v>
      </c>
      <c r="K850" s="19">
        <f t="shared" si="99"/>
        <v>150.18064423704791</v>
      </c>
      <c r="L850" s="16">
        <f t="shared" si="100"/>
        <v>34.873935333322997</v>
      </c>
      <c r="M850" s="45"/>
    </row>
    <row r="851" spans="1:13" x14ac:dyDescent="0.25">
      <c r="A851" s="16">
        <v>18.2</v>
      </c>
      <c r="B851" s="45">
        <f t="shared" si="101"/>
        <v>18200</v>
      </c>
      <c r="C851" s="16">
        <f t="shared" si="102"/>
        <v>31.92982456140351</v>
      </c>
      <c r="D851" s="15">
        <f t="shared" si="103"/>
        <v>5.6159331955999998E+20</v>
      </c>
      <c r="E851" s="15">
        <f>FORECAST($C851, OFFSET('De Vaucouleurs Deprojection'!$F$3:$F$126, MATCH($C851, 'De Vaucouleurs Deprojection'!$A$3:$A$126,1)-1,0,2), OFFSET('De Vaucouleurs Deprojection'!$A$3:$A$126, MATCH($C851, 'De Vaucouleurs Deprojection'!$A$3:$A$126,1)-1,0,2))*LCDMTotalBulgeMass</f>
        <v>1.8616336911807015E+40</v>
      </c>
      <c r="F851" s="15">
        <f t="shared" si="96"/>
        <v>3.9781999999916419E+39</v>
      </c>
      <c r="G851" s="15">
        <f t="shared" si="97"/>
        <v>1.6714272000114631E+41</v>
      </c>
      <c r="H851" s="15">
        <f t="shared" si="98"/>
        <v>1.8973725691294495E+41</v>
      </c>
      <c r="I851" s="16">
        <v>156.05930000000001</v>
      </c>
      <c r="J851" s="45">
        <v>1</v>
      </c>
      <c r="K851" s="19">
        <f t="shared" si="99"/>
        <v>150.16234656847462</v>
      </c>
      <c r="L851" s="16">
        <f t="shared" si="100"/>
        <v>34.774059773579069</v>
      </c>
      <c r="M851" s="45"/>
    </row>
    <row r="852" spans="1:13" x14ac:dyDescent="0.25">
      <c r="A852" s="16">
        <v>18.25</v>
      </c>
      <c r="B852" s="45">
        <f t="shared" si="101"/>
        <v>18250</v>
      </c>
      <c r="C852" s="16">
        <f t="shared" si="102"/>
        <v>32.017543859649123</v>
      </c>
      <c r="D852" s="15">
        <f t="shared" si="103"/>
        <v>5.6313615835E+20</v>
      </c>
      <c r="E852" s="15">
        <f>FORECAST($C852, OFFSET('De Vaucouleurs Deprojection'!$F$3:$F$126, MATCH($C852, 'De Vaucouleurs Deprojection'!$A$3:$A$126,1)-1,0,2), OFFSET('De Vaucouleurs Deprojection'!$A$3:$A$126, MATCH($C852, 'De Vaucouleurs Deprojection'!$A$3:$A$126,1)-1,0,2))*LCDMTotalBulgeMass</f>
        <v>1.8616920799898242E+40</v>
      </c>
      <c r="F852" s="15">
        <f t="shared" si="96"/>
        <v>3.9781999999922898E+39</v>
      </c>
      <c r="G852" s="15">
        <f t="shared" si="97"/>
        <v>1.6761684855250559E+41</v>
      </c>
      <c r="H852" s="15">
        <f t="shared" si="98"/>
        <v>1.9021196935239614E+41</v>
      </c>
      <c r="I852" s="16">
        <v>156.03899000000001</v>
      </c>
      <c r="J852" s="45">
        <v>1</v>
      </c>
      <c r="K852" s="19">
        <f t="shared" si="99"/>
        <v>150.14397801368222</v>
      </c>
      <c r="L852" s="16">
        <f t="shared" si="100"/>
        <v>34.751166318830506</v>
      </c>
      <c r="M852" s="45"/>
    </row>
    <row r="853" spans="1:13" x14ac:dyDescent="0.25">
      <c r="A853" s="16">
        <v>18.3</v>
      </c>
      <c r="B853" s="45">
        <f t="shared" si="101"/>
        <v>18300</v>
      </c>
      <c r="C853" s="16">
        <f t="shared" si="102"/>
        <v>32.10526315789474</v>
      </c>
      <c r="D853" s="15">
        <f t="shared" si="103"/>
        <v>5.6467899714000001E+20</v>
      </c>
      <c r="E853" s="15">
        <f>FORECAST($C853, OFFSET('De Vaucouleurs Deprojection'!$F$3:$F$126, MATCH($C853, 'De Vaucouleurs Deprojection'!$A$3:$A$126,1)-1,0,2), OFFSET('De Vaucouleurs Deprojection'!$A$3:$A$126, MATCH($C853, 'De Vaucouleurs Deprojection'!$A$3:$A$126,1)-1,0,2))*LCDMTotalBulgeMass</f>
        <v>1.861750468798947E+40</v>
      </c>
      <c r="F853" s="15">
        <f t="shared" si="96"/>
        <v>3.978199999992887E+39</v>
      </c>
      <c r="G853" s="15">
        <f t="shared" si="97"/>
        <v>1.6809054903598847E+41</v>
      </c>
      <c r="H853" s="15">
        <f t="shared" si="98"/>
        <v>1.9068625372397084E+41</v>
      </c>
      <c r="I853" s="16">
        <v>156.02412000000001</v>
      </c>
      <c r="J853" s="45">
        <v>1</v>
      </c>
      <c r="K853" s="19">
        <f t="shared" si="99"/>
        <v>150.12553909755687</v>
      </c>
      <c r="L853" s="16">
        <f t="shared" si="100"/>
        <v>34.79325666266697</v>
      </c>
      <c r="M853" s="45"/>
    </row>
    <row r="854" spans="1:13" x14ac:dyDescent="0.25">
      <c r="A854" s="16">
        <v>18.350000000000001</v>
      </c>
      <c r="B854" s="45">
        <f t="shared" si="101"/>
        <v>18350</v>
      </c>
      <c r="C854" s="16">
        <f t="shared" si="102"/>
        <v>32.192982456140349</v>
      </c>
      <c r="D854" s="15">
        <f t="shared" si="103"/>
        <v>5.6622183593000003E+20</v>
      </c>
      <c r="E854" s="15">
        <f>FORECAST($C854, OFFSET('De Vaucouleurs Deprojection'!$F$3:$F$126, MATCH($C854, 'De Vaucouleurs Deprojection'!$A$3:$A$126,1)-1,0,2), OFFSET('De Vaucouleurs Deprojection'!$A$3:$A$126, MATCH($C854, 'De Vaucouleurs Deprojection'!$A$3:$A$126,1)-1,0,2))*LCDMTotalBulgeMass</f>
        <v>1.8618088576080697E+40</v>
      </c>
      <c r="F854" s="15">
        <f t="shared" si="96"/>
        <v>3.9781999999934389E+39</v>
      </c>
      <c r="G854" s="15">
        <f t="shared" si="97"/>
        <v>1.6856382143011805E+41</v>
      </c>
      <c r="H854" s="15">
        <f t="shared" si="98"/>
        <v>1.9116011000619219E+41</v>
      </c>
      <c r="I854" s="16">
        <v>156.01375999999999</v>
      </c>
      <c r="J854" s="45">
        <v>1</v>
      </c>
      <c r="K854" s="19">
        <f t="shared" si="99"/>
        <v>150.10703034259492</v>
      </c>
      <c r="L854" s="16">
        <f t="shared" si="100"/>
        <v>34.889455245668564</v>
      </c>
      <c r="M854" s="45"/>
    </row>
    <row r="855" spans="1:13" x14ac:dyDescent="0.25">
      <c r="A855" s="16">
        <v>18.399999999999999</v>
      </c>
      <c r="B855" s="45">
        <f t="shared" si="101"/>
        <v>18400</v>
      </c>
      <c r="C855" s="16">
        <f t="shared" si="102"/>
        <v>32.280701754385966</v>
      </c>
      <c r="D855" s="15">
        <f t="shared" si="103"/>
        <v>5.6776467471999998E+20</v>
      </c>
      <c r="E855" s="15">
        <f>FORECAST($C855, OFFSET('De Vaucouleurs Deprojection'!$F$3:$F$126, MATCH($C855, 'De Vaucouleurs Deprojection'!$A$3:$A$126,1)-1,0,2), OFFSET('De Vaucouleurs Deprojection'!$A$3:$A$126, MATCH($C855, 'De Vaucouleurs Deprojection'!$A$3:$A$126,1)-1,0,2))*LCDMTotalBulgeMass</f>
        <v>1.8618672464171925E+40</v>
      </c>
      <c r="F855" s="15">
        <f t="shared" si="96"/>
        <v>3.9781999999939479E+39</v>
      </c>
      <c r="G855" s="15">
        <f t="shared" si="97"/>
        <v>1.6903666572209547E+41</v>
      </c>
      <c r="H855" s="15">
        <f t="shared" si="98"/>
        <v>1.9163353818626135E+41</v>
      </c>
      <c r="I855" s="16">
        <v>156.00708</v>
      </c>
      <c r="J855" s="45">
        <v>1</v>
      </c>
      <c r="K855" s="19">
        <f t="shared" si="99"/>
        <v>150.08845226888883</v>
      </c>
      <c r="L855" s="16">
        <f t="shared" si="100"/>
        <v>35.030154219478185</v>
      </c>
      <c r="M855" s="45"/>
    </row>
    <row r="856" spans="1:13" x14ac:dyDescent="0.25">
      <c r="A856" s="16">
        <v>18.45</v>
      </c>
      <c r="B856" s="45">
        <f t="shared" si="101"/>
        <v>18450</v>
      </c>
      <c r="C856" s="16">
        <f t="shared" si="102"/>
        <v>32.368421052631582</v>
      </c>
      <c r="D856" s="15">
        <f t="shared" si="103"/>
        <v>5.6930751351E+20</v>
      </c>
      <c r="E856" s="15">
        <f>FORECAST($C856, OFFSET('De Vaucouleurs Deprojection'!$F$3:$F$126, MATCH($C856, 'De Vaucouleurs Deprojection'!$A$3:$A$126,1)-1,0,2), OFFSET('De Vaucouleurs Deprojection'!$A$3:$A$126, MATCH($C856, 'De Vaucouleurs Deprojection'!$A$3:$A$126,1)-1,0,2))*LCDMTotalBulgeMass</f>
        <v>1.8619256352263155E+40</v>
      </c>
      <c r="F856" s="15">
        <f t="shared" si="96"/>
        <v>3.9781999999944163E+39</v>
      </c>
      <c r="G856" s="15">
        <f t="shared" si="97"/>
        <v>1.6950908190767501E+41</v>
      </c>
      <c r="H856" s="15">
        <f t="shared" si="98"/>
        <v>1.9210653825993257E+41</v>
      </c>
      <c r="I856" s="16">
        <v>156.00318999999999</v>
      </c>
      <c r="J856" s="45">
        <v>1</v>
      </c>
      <c r="K856" s="19">
        <f t="shared" si="99"/>
        <v>150.06980539411418</v>
      </c>
      <c r="L856" s="16">
        <f t="shared" si="100"/>
        <v>35.205052881362661</v>
      </c>
      <c r="M856" s="45"/>
    </row>
    <row r="857" spans="1:13" x14ac:dyDescent="0.25">
      <c r="A857" s="16">
        <v>18.5</v>
      </c>
      <c r="B857" s="45">
        <f t="shared" si="101"/>
        <v>18500</v>
      </c>
      <c r="C857" s="16">
        <f t="shared" si="102"/>
        <v>32.456140350877192</v>
      </c>
      <c r="D857" s="15">
        <f t="shared" si="103"/>
        <v>5.7085035230000002E+20</v>
      </c>
      <c r="E857" s="15">
        <f>FORECAST($C857, OFFSET('De Vaucouleurs Deprojection'!$F$3:$F$126, MATCH($C857, 'De Vaucouleurs Deprojection'!$A$3:$A$126,1)-1,0,2), OFFSET('De Vaucouleurs Deprojection'!$A$3:$A$126, MATCH($C857, 'De Vaucouleurs Deprojection'!$A$3:$A$126,1)-1,0,2))*LCDMTotalBulgeMass</f>
        <v>1.8619840240354382E+40</v>
      </c>
      <c r="F857" s="15">
        <f t="shared" si="96"/>
        <v>3.9781999999948497E+39</v>
      </c>
      <c r="G857" s="15">
        <f t="shared" si="97"/>
        <v>1.699810699910412E+41</v>
      </c>
      <c r="H857" s="15">
        <f t="shared" si="98"/>
        <v>1.9257911023139045E+41</v>
      </c>
      <c r="I857" s="16">
        <v>156.00117</v>
      </c>
      <c r="J857" s="45">
        <v>1</v>
      </c>
      <c r="K857" s="19">
        <f t="shared" si="99"/>
        <v>150.0510902335175</v>
      </c>
      <c r="L857" s="16">
        <f t="shared" si="100"/>
        <v>35.403449227504474</v>
      </c>
      <c r="M857" s="45"/>
    </row>
    <row r="858" spans="1:13" x14ac:dyDescent="0.25">
      <c r="A858" s="16">
        <v>18.55</v>
      </c>
      <c r="B858" s="45">
        <f t="shared" si="101"/>
        <v>18550</v>
      </c>
      <c r="C858" s="16">
        <f t="shared" si="102"/>
        <v>32.543859649122808</v>
      </c>
      <c r="D858" s="15">
        <f t="shared" si="103"/>
        <v>5.7239319109000004E+20</v>
      </c>
      <c r="E858" s="15">
        <f>FORECAST($C858, OFFSET('De Vaucouleurs Deprojection'!$F$3:$F$126, MATCH($C858, 'De Vaucouleurs Deprojection'!$A$3:$A$126,1)-1,0,2), OFFSET('De Vaucouleurs Deprojection'!$A$3:$A$126, MATCH($C858, 'De Vaucouleurs Deprojection'!$A$3:$A$126,1)-1,0,2))*LCDMTotalBulgeMass</f>
        <v>1.862042412844561E+40</v>
      </c>
      <c r="F858" s="15">
        <f t="shared" si="96"/>
        <v>3.9781999999952487E+39</v>
      </c>
      <c r="G858" s="15">
        <f t="shared" si="97"/>
        <v>1.704526299846878E+41</v>
      </c>
      <c r="H858" s="15">
        <f t="shared" si="98"/>
        <v>1.9305125411312866E+41</v>
      </c>
      <c r="I858" s="16">
        <v>156.00008</v>
      </c>
      <c r="J858" s="45">
        <v>1</v>
      </c>
      <c r="K858" s="19">
        <f t="shared" si="99"/>
        <v>150.03230729990509</v>
      </c>
      <c r="L858" s="16">
        <f t="shared" si="100"/>
        <v>35.614310999998118</v>
      </c>
      <c r="M858" s="45"/>
    </row>
    <row r="859" spans="1:13" x14ac:dyDescent="0.25">
      <c r="A859" s="16">
        <v>18.600000000000001</v>
      </c>
      <c r="B859" s="45">
        <f t="shared" si="101"/>
        <v>18600</v>
      </c>
      <c r="C859" s="16">
        <f t="shared" si="102"/>
        <v>32.631578947368418</v>
      </c>
      <c r="D859" s="15">
        <f t="shared" si="103"/>
        <v>5.7393602988000005E+20</v>
      </c>
      <c r="E859" s="15">
        <f>FORECAST($C859, OFFSET('De Vaucouleurs Deprojection'!$F$3:$F$126, MATCH($C859, 'De Vaucouleurs Deprojection'!$A$3:$A$126,1)-1,0,2), OFFSET('De Vaucouleurs Deprojection'!$A$3:$A$126, MATCH($C859, 'De Vaucouleurs Deprojection'!$A$3:$A$126,1)-1,0,2))*LCDMTotalBulgeMass</f>
        <v>1.8621008016536837E+40</v>
      </c>
      <c r="F859" s="15">
        <f t="shared" si="96"/>
        <v>3.9781999999956174E+39</v>
      </c>
      <c r="G859" s="15">
        <f t="shared" si="97"/>
        <v>1.7092376190929711E+41</v>
      </c>
      <c r="H859" s="15">
        <f t="shared" si="98"/>
        <v>1.9352296992582954E+41</v>
      </c>
      <c r="I859" s="16">
        <v>155.99896000000001</v>
      </c>
      <c r="J859" s="45">
        <v>1</v>
      </c>
      <c r="K859" s="19">
        <f t="shared" si="99"/>
        <v>150.01345710363185</v>
      </c>
      <c r="L859" s="16">
        <f t="shared" si="100"/>
        <v>35.826244922431641</v>
      </c>
      <c r="M859" s="45"/>
    </row>
    <row r="860" spans="1:13" x14ac:dyDescent="0.25">
      <c r="A860" s="16">
        <v>18.649999999999999</v>
      </c>
      <c r="B860" s="45">
        <f t="shared" si="101"/>
        <v>18650</v>
      </c>
      <c r="C860" s="16">
        <f t="shared" si="102"/>
        <v>32.719298245614034</v>
      </c>
      <c r="D860" s="15">
        <f t="shared" si="103"/>
        <v>5.7547886866999994E+20</v>
      </c>
      <c r="E860" s="15">
        <f>FORECAST($C860, OFFSET('De Vaucouleurs Deprojection'!$F$3:$F$126, MATCH($C860, 'De Vaucouleurs Deprojection'!$A$3:$A$126,1)-1,0,2), OFFSET('De Vaucouleurs Deprojection'!$A$3:$A$126, MATCH($C860, 'De Vaucouleurs Deprojection'!$A$3:$A$126,1)-1,0,2))*LCDMTotalBulgeMass</f>
        <v>1.8621591904628067E+40</v>
      </c>
      <c r="F860" s="15">
        <f t="shared" si="96"/>
        <v>3.9781999999959571E+39</v>
      </c>
      <c r="G860" s="15">
        <f t="shared" si="97"/>
        <v>1.7139446579362286E+41</v>
      </c>
      <c r="H860" s="15">
        <f t="shared" si="98"/>
        <v>1.9399425769824688E+41</v>
      </c>
      <c r="I860" s="16">
        <v>155.99666999999999</v>
      </c>
      <c r="J860" s="45">
        <v>1</v>
      </c>
      <c r="K860" s="19">
        <f t="shared" si="99"/>
        <v>149.99454015259207</v>
      </c>
      <c r="L860" s="16">
        <f t="shared" si="100"/>
        <v>36.025562705145127</v>
      </c>
      <c r="M860" s="45"/>
    </row>
    <row r="861" spans="1:13" x14ac:dyDescent="0.25">
      <c r="A861" s="16">
        <v>18.7</v>
      </c>
      <c r="B861" s="45">
        <f t="shared" si="101"/>
        <v>18700</v>
      </c>
      <c r="C861" s="16">
        <f t="shared" si="102"/>
        <v>32.807017543859651</v>
      </c>
      <c r="D861" s="15">
        <f t="shared" si="103"/>
        <v>5.7702170745999996E+20</v>
      </c>
      <c r="E861" s="15">
        <f>FORECAST($C861, OFFSET('De Vaucouleurs Deprojection'!$F$3:$F$126, MATCH($C861, 'De Vaucouleurs Deprojection'!$A$3:$A$126,1)-1,0,2), OFFSET('De Vaucouleurs Deprojection'!$A$3:$A$126, MATCH($C861, 'De Vaucouleurs Deprojection'!$A$3:$A$126,1)-1,0,2))*LCDMTotalBulgeMass</f>
        <v>1.8622175792719295E+40</v>
      </c>
      <c r="F861" s="15">
        <f t="shared" si="96"/>
        <v>3.9781999999962708E+39</v>
      </c>
      <c r="G861" s="15">
        <f t="shared" si="97"/>
        <v>1.7186474167437349E+41</v>
      </c>
      <c r="H861" s="15">
        <f t="shared" si="98"/>
        <v>1.9446511746708905E+41</v>
      </c>
      <c r="I861" s="16">
        <v>155.99184</v>
      </c>
      <c r="J861" s="45">
        <v>1</v>
      </c>
      <c r="K861" s="19">
        <f t="shared" si="99"/>
        <v>149.9755569522101</v>
      </c>
      <c r="L861" s="16">
        <f t="shared" si="100"/>
        <v>36.195661711124103</v>
      </c>
      <c r="M861" s="45"/>
    </row>
    <row r="862" spans="1:13" x14ac:dyDescent="0.25">
      <c r="A862" s="16">
        <v>18.75</v>
      </c>
      <c r="B862" s="45">
        <f t="shared" si="101"/>
        <v>18750</v>
      </c>
      <c r="C862" s="16">
        <f t="shared" si="102"/>
        <v>32.89473684210526</v>
      </c>
      <c r="D862" s="15">
        <f t="shared" si="103"/>
        <v>5.7856454624999997E+20</v>
      </c>
      <c r="E862" s="15">
        <f>FORECAST($C862, OFFSET('De Vaucouleurs Deprojection'!$F$3:$F$126, MATCH($C862, 'De Vaucouleurs Deprojection'!$A$3:$A$126,1)-1,0,2), OFFSET('De Vaucouleurs Deprojection'!$A$3:$A$126, MATCH($C862, 'De Vaucouleurs Deprojection'!$A$3:$A$126,1)-1,0,2))*LCDMTotalBulgeMass</f>
        <v>1.8622759680810522E+40</v>
      </c>
      <c r="F862" s="15">
        <f t="shared" si="96"/>
        <v>3.9781999999965604E+39</v>
      </c>
      <c r="G862" s="15">
        <f t="shared" si="97"/>
        <v>1.7233458959609669E+41</v>
      </c>
      <c r="H862" s="15">
        <f t="shared" si="98"/>
        <v>1.9493554927690378E+41</v>
      </c>
      <c r="I862" s="16">
        <v>155.98276999999999</v>
      </c>
      <c r="J862" s="45">
        <v>1</v>
      </c>
      <c r="K862" s="19">
        <f t="shared" si="99"/>
        <v>149.95650800543174</v>
      </c>
      <c r="L862" s="16">
        <f t="shared" si="100"/>
        <v>36.315833627177639</v>
      </c>
      <c r="M862" s="45"/>
    </row>
    <row r="863" spans="1:13" x14ac:dyDescent="0.25">
      <c r="A863" s="16">
        <v>18.8</v>
      </c>
      <c r="B863" s="45">
        <f t="shared" si="101"/>
        <v>18800</v>
      </c>
      <c r="C863" s="16">
        <f t="shared" si="102"/>
        <v>32.982456140350877</v>
      </c>
      <c r="D863" s="15">
        <f t="shared" si="103"/>
        <v>5.8010738503999999E+20</v>
      </c>
      <c r="E863" s="15">
        <f>FORECAST($C863, OFFSET('De Vaucouleurs Deprojection'!$F$3:$F$126, MATCH($C863, 'De Vaucouleurs Deprojection'!$A$3:$A$126,1)-1,0,2), OFFSET('De Vaucouleurs Deprojection'!$A$3:$A$126, MATCH($C863, 'De Vaucouleurs Deprojection'!$A$3:$A$126,1)-1,0,2))*LCDMTotalBulgeMass</f>
        <v>1.8623343568901752E+40</v>
      </c>
      <c r="F863" s="15">
        <f t="shared" si="96"/>
        <v>3.9781999999968269E+39</v>
      </c>
      <c r="G863" s="15">
        <f t="shared" si="97"/>
        <v>1.7280400961106671E+41</v>
      </c>
      <c r="H863" s="15">
        <f t="shared" si="98"/>
        <v>1.9540555317996529E+41</v>
      </c>
      <c r="I863" s="16">
        <v>155.96802</v>
      </c>
      <c r="J863" s="45">
        <v>1</v>
      </c>
      <c r="K863" s="19">
        <f t="shared" si="99"/>
        <v>149.93739381271718</v>
      </c>
      <c r="L863" s="16">
        <f t="shared" si="100"/>
        <v>36.368452210741324</v>
      </c>
      <c r="M863" s="45"/>
    </row>
    <row r="864" spans="1:13" x14ac:dyDescent="0.25">
      <c r="A864" s="16">
        <v>18.850000000000001</v>
      </c>
      <c r="B864" s="45">
        <f t="shared" si="101"/>
        <v>18850</v>
      </c>
      <c r="C864" s="16">
        <f t="shared" si="102"/>
        <v>33.070175438596493</v>
      </c>
      <c r="D864" s="15">
        <f t="shared" si="103"/>
        <v>5.8165022383000007E+20</v>
      </c>
      <c r="E864" s="15">
        <f>FORECAST($C864, OFFSET('De Vaucouleurs Deprojection'!$F$3:$F$126, MATCH($C864, 'De Vaucouleurs Deprojection'!$A$3:$A$126,1)-1,0,2), OFFSET('De Vaucouleurs Deprojection'!$A$3:$A$126, MATCH($C864, 'De Vaucouleurs Deprojection'!$A$3:$A$126,1)-1,0,2))*LCDMTotalBulgeMass</f>
        <v>1.862392745699298E+40</v>
      </c>
      <c r="F864" s="15">
        <f t="shared" si="96"/>
        <v>3.978199999997073E+39</v>
      </c>
      <c r="G864" s="15">
        <f t="shared" si="97"/>
        <v>1.7327300177917172E+41</v>
      </c>
      <c r="H864" s="15">
        <f t="shared" si="98"/>
        <v>1.9587512923616176E+41</v>
      </c>
      <c r="I864" s="16">
        <v>155.94658000000001</v>
      </c>
      <c r="J864" s="45">
        <v>1</v>
      </c>
      <c r="K864" s="19">
        <f t="shared" si="99"/>
        <v>149.91821487203322</v>
      </c>
      <c r="L864" s="16">
        <f t="shared" si="100"/>
        <v>36.341186116086092</v>
      </c>
      <c r="M864" s="45"/>
    </row>
    <row r="865" spans="1:13" x14ac:dyDescent="0.25">
      <c r="A865" s="16">
        <v>18.899999999999999</v>
      </c>
      <c r="B865" s="45">
        <f t="shared" si="101"/>
        <v>18900</v>
      </c>
      <c r="C865" s="16">
        <f t="shared" si="102"/>
        <v>33.157894736842103</v>
      </c>
      <c r="D865" s="15">
        <f t="shared" si="103"/>
        <v>5.8319306261999996E+20</v>
      </c>
      <c r="E865" s="15">
        <f>FORECAST($C865, OFFSET('De Vaucouleurs Deprojection'!$F$3:$F$126, MATCH($C865, 'De Vaucouleurs Deprojection'!$A$3:$A$126,1)-1,0,2), OFFSET('De Vaucouleurs Deprojection'!$A$3:$A$126, MATCH($C865, 'De Vaucouleurs Deprojection'!$A$3:$A$126,1)-1,0,2))*LCDMTotalBulgeMass</f>
        <v>1.8624511345084207E+40</v>
      </c>
      <c r="F865" s="15">
        <f t="shared" si="96"/>
        <v>3.9781999999973008E+39</v>
      </c>
      <c r="G865" s="15">
        <f t="shared" si="97"/>
        <v>1.7374156616780415E+41</v>
      </c>
      <c r="H865" s="15">
        <f t="shared" si="98"/>
        <v>1.9634427751288564E+41</v>
      </c>
      <c r="I865" s="16">
        <v>155.91808</v>
      </c>
      <c r="J865" s="45">
        <v>1</v>
      </c>
      <c r="K865" s="19">
        <f t="shared" si="99"/>
        <v>149.89897167884757</v>
      </c>
      <c r="L865" s="16">
        <f t="shared" si="100"/>
        <v>36.229664981766426</v>
      </c>
      <c r="M865" s="45"/>
    </row>
    <row r="866" spans="1:13" x14ac:dyDescent="0.25">
      <c r="A866" s="16">
        <v>18.95</v>
      </c>
      <c r="B866" s="45">
        <f t="shared" si="101"/>
        <v>18950</v>
      </c>
      <c r="C866" s="16">
        <f t="shared" si="102"/>
        <v>33.245614035087719</v>
      </c>
      <c r="D866" s="15">
        <f t="shared" si="103"/>
        <v>5.8473590140999998E+20</v>
      </c>
      <c r="E866" s="15">
        <f>FORECAST($C866, OFFSET('De Vaucouleurs Deprojection'!$F$3:$F$126, MATCH($C866, 'De Vaucouleurs Deprojection'!$A$3:$A$126,1)-1,0,2), OFFSET('De Vaucouleurs Deprojection'!$A$3:$A$126, MATCH($C866, 'De Vaucouleurs Deprojection'!$A$3:$A$126,1)-1,0,2))*LCDMTotalBulgeMass</f>
        <v>1.8625095233175437E+40</v>
      </c>
      <c r="F866" s="15">
        <f t="shared" si="96"/>
        <v>3.97819999999751E+39</v>
      </c>
      <c r="G866" s="15">
        <f t="shared" si="97"/>
        <v>1.7420970285175152E+41</v>
      </c>
      <c r="H866" s="15">
        <f t="shared" si="98"/>
        <v>1.9681299808492448E+41</v>
      </c>
      <c r="I866" s="16">
        <v>155.88246000000001</v>
      </c>
      <c r="J866" s="45">
        <v>1</v>
      </c>
      <c r="K866" s="19">
        <f t="shared" si="99"/>
        <v>149.87966472612291</v>
      </c>
      <c r="L866" s="16">
        <f t="shared" si="100"/>
        <v>36.033551100081219</v>
      </c>
      <c r="M866" s="45"/>
    </row>
    <row r="867" spans="1:13" x14ac:dyDescent="0.25">
      <c r="A867" s="16">
        <v>19</v>
      </c>
      <c r="B867" s="45">
        <f t="shared" si="101"/>
        <v>19000</v>
      </c>
      <c r="C867" s="16">
        <f t="shared" si="102"/>
        <v>33.333333333333336</v>
      </c>
      <c r="D867" s="15">
        <f t="shared" si="103"/>
        <v>5.862787402E+20</v>
      </c>
      <c r="E867" s="15">
        <f>FORECAST($C867, OFFSET('De Vaucouleurs Deprojection'!$F$3:$F$126, MATCH($C867, 'De Vaucouleurs Deprojection'!$A$3:$A$126,1)-1,0,2), OFFSET('De Vaucouleurs Deprojection'!$A$3:$A$126, MATCH($C867, 'De Vaucouleurs Deprojection'!$A$3:$A$126,1)-1,0,2))*LCDMTotalBulgeMass</f>
        <v>1.8625679121266665E+40</v>
      </c>
      <c r="F867" s="15">
        <f t="shared" si="96"/>
        <v>3.9781999999977028E+39</v>
      </c>
      <c r="G867" s="15">
        <f t="shared" si="97"/>
        <v>1.7467741191308869E+41</v>
      </c>
      <c r="H867" s="15">
        <f t="shared" si="98"/>
        <v>1.9728129103435306E+41</v>
      </c>
      <c r="I867" s="16">
        <v>155.8398</v>
      </c>
      <c r="J867" s="45">
        <v>1</v>
      </c>
      <c r="K867" s="19">
        <f t="shared" si="99"/>
        <v>149.86029450431167</v>
      </c>
      <c r="L867" s="16">
        <f t="shared" si="100"/>
        <v>35.754485972966933</v>
      </c>
      <c r="M867" s="45"/>
    </row>
    <row r="868" spans="1:13" x14ac:dyDescent="0.25">
      <c r="A868" s="16">
        <v>19.05</v>
      </c>
      <c r="B868" s="45">
        <f t="shared" si="101"/>
        <v>19050</v>
      </c>
      <c r="C868" s="16">
        <f t="shared" si="102"/>
        <v>33.421052631578945</v>
      </c>
      <c r="D868" s="15">
        <f t="shared" si="103"/>
        <v>5.8782157899000001E+20</v>
      </c>
      <c r="E868" s="15">
        <f>FORECAST($C868, OFFSET('De Vaucouleurs Deprojection'!$F$3:$F$126, MATCH($C868, 'De Vaucouleurs Deprojection'!$A$3:$A$126,1)-1,0,2), OFFSET('De Vaucouleurs Deprojection'!$A$3:$A$126, MATCH($C868, 'De Vaucouleurs Deprojection'!$A$3:$A$126,1)-1,0,2))*LCDMTotalBulgeMass</f>
        <v>1.8626263009357892E+40</v>
      </c>
      <c r="F868" s="15">
        <f t="shared" si="96"/>
        <v>3.9781999999978811E+39</v>
      </c>
      <c r="G868" s="15">
        <f t="shared" si="97"/>
        <v>1.7514469344107238E+41</v>
      </c>
      <c r="H868" s="15">
        <f t="shared" si="98"/>
        <v>1.9774915645042815E+41</v>
      </c>
      <c r="I868" s="16">
        <v>155.79041000000001</v>
      </c>
      <c r="J868" s="45">
        <v>1</v>
      </c>
      <c r="K868" s="19">
        <f t="shared" si="99"/>
        <v>149.84086150135175</v>
      </c>
      <c r="L868" s="16">
        <f t="shared" si="100"/>
        <v>35.397127337767706</v>
      </c>
      <c r="M868" s="45"/>
    </row>
    <row r="869" spans="1:13" x14ac:dyDescent="0.25">
      <c r="A869" s="16">
        <v>19.100000000000001</v>
      </c>
      <c r="B869" s="45">
        <f t="shared" si="101"/>
        <v>19100</v>
      </c>
      <c r="C869" s="16">
        <f t="shared" si="102"/>
        <v>33.508771929824562</v>
      </c>
      <c r="D869" s="15">
        <f t="shared" si="103"/>
        <v>5.8936441778000003E+20</v>
      </c>
      <c r="E869" s="15">
        <f>FORECAST($C869, OFFSET('De Vaucouleurs Deprojection'!$F$3:$F$126, MATCH($C869, 'De Vaucouleurs Deprojection'!$A$3:$A$126,1)-1,0,2), OFFSET('De Vaucouleurs Deprojection'!$A$3:$A$126, MATCH($C869, 'De Vaucouleurs Deprojection'!$A$3:$A$126,1)-1,0,2))*LCDMTotalBulgeMass</f>
        <v>1.862684689744912E+40</v>
      </c>
      <c r="F869" s="15">
        <f t="shared" si="96"/>
        <v>3.9781999999980461E+39</v>
      </c>
      <c r="G869" s="15">
        <f t="shared" si="97"/>
        <v>1.7561154753203621E+41</v>
      </c>
      <c r="H869" s="15">
        <f t="shared" si="98"/>
        <v>1.9821659442948337E+41</v>
      </c>
      <c r="I869" s="16">
        <v>155.73501999999999</v>
      </c>
      <c r="J869" s="45">
        <v>1</v>
      </c>
      <c r="K869" s="19">
        <f t="shared" si="99"/>
        <v>149.82136620266255</v>
      </c>
      <c r="L869" s="16">
        <f t="shared" si="100"/>
        <v>34.971301234763594</v>
      </c>
      <c r="M869" s="45"/>
    </row>
    <row r="870" spans="1:13" x14ac:dyDescent="0.25">
      <c r="A870" s="16">
        <v>19.149999999999999</v>
      </c>
      <c r="B870" s="45">
        <f t="shared" si="101"/>
        <v>19150</v>
      </c>
      <c r="C870" s="16">
        <f t="shared" si="102"/>
        <v>33.596491228070178</v>
      </c>
      <c r="D870" s="15">
        <f t="shared" si="103"/>
        <v>5.9090725656999992E+20</v>
      </c>
      <c r="E870" s="15">
        <f>FORECAST($C870, OFFSET('De Vaucouleurs Deprojection'!$F$3:$F$126, MATCH($C870, 'De Vaucouleurs Deprojection'!$A$3:$A$126,1)-1,0,2), OFFSET('De Vaucouleurs Deprojection'!$A$3:$A$126, MATCH($C870, 'De Vaucouleurs Deprojection'!$A$3:$A$126,1)-1,0,2))*LCDMTotalBulgeMass</f>
        <v>1.862743078554035E+40</v>
      </c>
      <c r="F870" s="15">
        <f t="shared" si="96"/>
        <v>3.9781999999981979E+39</v>
      </c>
      <c r="G870" s="15">
        <f t="shared" si="97"/>
        <v>1.7607797428928753E+41</v>
      </c>
      <c r="H870" s="15">
        <f t="shared" si="98"/>
        <v>1.9868360507482607E+41</v>
      </c>
      <c r="I870" s="16">
        <v>155.67496</v>
      </c>
      <c r="J870" s="45">
        <v>1</v>
      </c>
      <c r="K870" s="19">
        <f t="shared" si="99"/>
        <v>149.80180909114154</v>
      </c>
      <c r="L870" s="16">
        <f t="shared" si="100"/>
        <v>34.493901598224987</v>
      </c>
      <c r="M870" s="45"/>
    </row>
    <row r="871" spans="1:13" x14ac:dyDescent="0.25">
      <c r="A871" s="16">
        <v>19.2</v>
      </c>
      <c r="B871" s="45">
        <f t="shared" si="101"/>
        <v>19200</v>
      </c>
      <c r="C871" s="16">
        <f t="shared" si="102"/>
        <v>33.684210526315788</v>
      </c>
      <c r="D871" s="15">
        <f t="shared" si="103"/>
        <v>5.9245009536E+20</v>
      </c>
      <c r="E871" s="15">
        <f>FORECAST($C871, OFFSET('De Vaucouleurs Deprojection'!$F$3:$F$126, MATCH($C871, 'De Vaucouleurs Deprojection'!$A$3:$A$126,1)-1,0,2), OFFSET('De Vaucouleurs Deprojection'!$A$3:$A$126, MATCH($C871, 'De Vaucouleurs Deprojection'!$A$3:$A$126,1)-1,0,2))*LCDMTotalBulgeMass</f>
        <v>1.8628014673631577E+40</v>
      </c>
      <c r="F871" s="15">
        <f t="shared" si="96"/>
        <v>3.9781999999983369E+39</v>
      </c>
      <c r="G871" s="15">
        <f t="shared" si="97"/>
        <v>1.7654397382300587E+41</v>
      </c>
      <c r="H871" s="15">
        <f t="shared" si="98"/>
        <v>1.9915018849663578E+41</v>
      </c>
      <c r="I871" s="16">
        <v>155.61166</v>
      </c>
      <c r="J871" s="45">
        <v>1</v>
      </c>
      <c r="K871" s="19">
        <f t="shared" si="99"/>
        <v>149.7821906471614</v>
      </c>
      <c r="L871" s="16">
        <f t="shared" si="100"/>
        <v>33.982712935684489</v>
      </c>
      <c r="M871" s="45"/>
    </row>
    <row r="872" spans="1:13" x14ac:dyDescent="0.25">
      <c r="A872" s="16">
        <v>19.25</v>
      </c>
      <c r="B872" s="45">
        <f t="shared" si="101"/>
        <v>19250</v>
      </c>
      <c r="C872" s="16">
        <f t="shared" si="102"/>
        <v>33.771929824561404</v>
      </c>
      <c r="D872" s="15">
        <f t="shared" si="103"/>
        <v>5.9399293414999995E+20</v>
      </c>
      <c r="E872" s="15">
        <f>FORECAST($C872, OFFSET('De Vaucouleurs Deprojection'!$F$3:$F$126, MATCH($C872, 'De Vaucouleurs Deprojection'!$A$3:$A$126,1)-1,0,2), OFFSET('De Vaucouleurs Deprojection'!$A$3:$A$126, MATCH($C872, 'De Vaucouleurs Deprojection'!$A$3:$A$126,1)-1,0,2))*LCDMTotalBulgeMass</f>
        <v>1.8628598561722805E+40</v>
      </c>
      <c r="F872" s="15">
        <f t="shared" ref="F872:F935" si="104">2*PI()*LCDMDiskSurfaceDensity*LCDMScaleLength*(LCDMScaleLength-EXP(-RadiusPc/LCDMScaleLength)*(RadiusPc+LCDMScaleLength))*SolarMass</f>
        <v>3.9781999999984668E+39</v>
      </c>
      <c r="G872" s="15">
        <f t="shared" ref="G872:G935" si="105">4*PI()*LCDMHaloRepresentativeDensity*LCDMHaloScaleLengthPc^3*(LN(1+RadiusPc/LCDMHaloScaleLengthPc)-RadiusPc/(RadiusPc+LCDMHaloScaleLengthPc))*SolarMass</f>
        <v>1.7700954625014232E+41</v>
      </c>
      <c r="H872" s="15">
        <f t="shared" ref="H872:H935" si="106">BulgeMass+DiskMass+HaloMass</f>
        <v>1.9961634481186361E+41</v>
      </c>
      <c r="I872" s="16">
        <v>155.54633000000001</v>
      </c>
      <c r="J872" s="45">
        <v>1</v>
      </c>
      <c r="K872" s="19">
        <f t="shared" ref="K872:K935" si="107">SQRT(TotalMass*GravitationalConstant/RadiusKm)/km</f>
        <v>149.76251134856795</v>
      </c>
      <c r="L872" s="16">
        <f t="shared" ref="L872:L935" si="108">(ObservedVelocity-ModelVelocity)^2/(VelocityError)^2</f>
        <v>33.452558192653335</v>
      </c>
      <c r="M872" s="45"/>
    </row>
    <row r="873" spans="1:13" x14ac:dyDescent="0.25">
      <c r="A873" s="16">
        <v>19.3</v>
      </c>
      <c r="B873" s="45">
        <f t="shared" ref="B873:B936" si="109">A873*1000</f>
        <v>19300</v>
      </c>
      <c r="C873" s="16">
        <f t="shared" ref="C873:C936" si="110">B873/LCDMBulgeEffectiveRadius</f>
        <v>33.859649122807021</v>
      </c>
      <c r="D873" s="15">
        <f t="shared" ref="D873:D936" si="111">A873*kpc</f>
        <v>5.9553577294000003E+20</v>
      </c>
      <c r="E873" s="15">
        <f>FORECAST($C873, OFFSET('De Vaucouleurs Deprojection'!$F$3:$F$126, MATCH($C873, 'De Vaucouleurs Deprojection'!$A$3:$A$126,1)-1,0,2), OFFSET('De Vaucouleurs Deprojection'!$A$3:$A$126, MATCH($C873, 'De Vaucouleurs Deprojection'!$A$3:$A$126,1)-1,0,2))*LCDMTotalBulgeMass</f>
        <v>1.8629182449814032E+40</v>
      </c>
      <c r="F873" s="15">
        <f t="shared" si="104"/>
        <v>3.9781999999985859E+39</v>
      </c>
      <c r="G873" s="15">
        <f t="shared" si="105"/>
        <v>1.7747469169432024E+41</v>
      </c>
      <c r="H873" s="15">
        <f t="shared" si="106"/>
        <v>2.0008207414413287E+41</v>
      </c>
      <c r="I873" s="16">
        <v>155.47931</v>
      </c>
      <c r="J873" s="45">
        <v>1</v>
      </c>
      <c r="K873" s="19">
        <f t="shared" si="107"/>
        <v>149.74277167067825</v>
      </c>
      <c r="L873" s="16">
        <f t="shared" si="108"/>
        <v>32.907872003777534</v>
      </c>
      <c r="M873" s="45"/>
    </row>
    <row r="874" spans="1:13" x14ac:dyDescent="0.25">
      <c r="A874" s="16">
        <v>19.350000000000001</v>
      </c>
      <c r="B874" s="45">
        <f t="shared" si="109"/>
        <v>19350</v>
      </c>
      <c r="C874" s="16">
        <f t="shared" si="110"/>
        <v>33.94736842105263</v>
      </c>
      <c r="D874" s="15">
        <f t="shared" si="111"/>
        <v>5.9707861172999999E+20</v>
      </c>
      <c r="E874" s="15">
        <f>FORECAST($C874, OFFSET('De Vaucouleurs Deprojection'!$F$3:$F$126, MATCH($C874, 'De Vaucouleurs Deprojection'!$A$3:$A$126,1)-1,0,2), OFFSET('De Vaucouleurs Deprojection'!$A$3:$A$126, MATCH($C874, 'De Vaucouleurs Deprojection'!$A$3:$A$126,1)-1,0,2))*LCDMTotalBulgeMass</f>
        <v>1.862976633790526E+40</v>
      </c>
      <c r="F874" s="15">
        <f t="shared" si="104"/>
        <v>3.9781999999986953E+39</v>
      </c>
      <c r="G874" s="15">
        <f t="shared" si="105"/>
        <v>1.7793941028573782E+41</v>
      </c>
      <c r="H874" s="15">
        <f t="shared" si="106"/>
        <v>2.0054737662364178E+41</v>
      </c>
      <c r="I874" s="16">
        <v>155.41016999999999</v>
      </c>
      <c r="J874" s="45">
        <v>1</v>
      </c>
      <c r="K874" s="19">
        <f t="shared" si="107"/>
        <v>149.72297208627924</v>
      </c>
      <c r="L874" s="16">
        <f t="shared" si="108"/>
        <v>32.344220109829671</v>
      </c>
      <c r="M874" s="45"/>
    </row>
    <row r="875" spans="1:13" x14ac:dyDescent="0.25">
      <c r="A875" s="16">
        <v>19.399999999999999</v>
      </c>
      <c r="B875" s="45">
        <f t="shared" si="109"/>
        <v>19400</v>
      </c>
      <c r="C875" s="16">
        <f t="shared" si="110"/>
        <v>34.035087719298247</v>
      </c>
      <c r="D875" s="15">
        <f t="shared" si="111"/>
        <v>5.9862145051999994E+20</v>
      </c>
      <c r="E875" s="15">
        <f>FORECAST($C875, OFFSET('De Vaucouleurs Deprojection'!$F$3:$F$126, MATCH($C875, 'De Vaucouleurs Deprojection'!$A$3:$A$126,1)-1,0,2), OFFSET('De Vaucouleurs Deprojection'!$A$3:$A$126, MATCH($C875, 'De Vaucouleurs Deprojection'!$A$3:$A$126,1)-1,0,2))*LCDMTotalBulgeMass</f>
        <v>1.863035022599649E+40</v>
      </c>
      <c r="F875" s="15">
        <f t="shared" si="104"/>
        <v>3.9781999999987969E+39</v>
      </c>
      <c r="G875" s="15">
        <f t="shared" si="105"/>
        <v>1.7840370216107143E+41</v>
      </c>
      <c r="H875" s="15">
        <f t="shared" si="106"/>
        <v>2.010122523870667E+41</v>
      </c>
      <c r="I875" s="16">
        <v>155.33770999999999</v>
      </c>
      <c r="J875" s="45">
        <v>1</v>
      </c>
      <c r="K875" s="19">
        <f t="shared" si="107"/>
        <v>149.70311306562704</v>
      </c>
      <c r="L875" s="16">
        <f t="shared" si="108"/>
        <v>31.748682612845055</v>
      </c>
      <c r="M875" s="45"/>
    </row>
    <row r="876" spans="1:13" x14ac:dyDescent="0.25">
      <c r="A876" s="16">
        <v>19.45</v>
      </c>
      <c r="B876" s="45">
        <f t="shared" si="109"/>
        <v>19450</v>
      </c>
      <c r="C876" s="16">
        <f t="shared" si="110"/>
        <v>34.122807017543863</v>
      </c>
      <c r="D876" s="15">
        <f t="shared" si="111"/>
        <v>6.0016428931000002E+20</v>
      </c>
      <c r="E876" s="15">
        <f>FORECAST($C876, OFFSET('De Vaucouleurs Deprojection'!$F$3:$F$126, MATCH($C876, 'De Vaucouleurs Deprojection'!$A$3:$A$126,1)-1,0,2), OFFSET('De Vaucouleurs Deprojection'!$A$3:$A$126, MATCH($C876, 'De Vaucouleurs Deprojection'!$A$3:$A$126,1)-1,0,2))*LCDMTotalBulgeMass</f>
        <v>1.8630934114087717E+40</v>
      </c>
      <c r="F876" s="15">
        <f t="shared" si="104"/>
        <v>3.9781999999988906E+39</v>
      </c>
      <c r="G876" s="15">
        <f t="shared" si="105"/>
        <v>1.7886756746338019E+41</v>
      </c>
      <c r="H876" s="15">
        <f t="shared" si="106"/>
        <v>2.014767015774668E+41</v>
      </c>
      <c r="I876" s="16">
        <v>155.26043999999999</v>
      </c>
      <c r="J876" s="45">
        <v>1</v>
      </c>
      <c r="K876" s="19">
        <f t="shared" si="107"/>
        <v>149.68319507644654</v>
      </c>
      <c r="L876" s="16">
        <f t="shared" si="108"/>
        <v>31.105660937302737</v>
      </c>
      <c r="M876" s="45"/>
    </row>
    <row r="877" spans="1:13" x14ac:dyDescent="0.25">
      <c r="A877" s="16">
        <v>19.5</v>
      </c>
      <c r="B877" s="45">
        <f t="shared" si="109"/>
        <v>19500</v>
      </c>
      <c r="C877" s="16">
        <f t="shared" si="110"/>
        <v>34.210526315789473</v>
      </c>
      <c r="D877" s="15">
        <f t="shared" si="111"/>
        <v>6.0170712809999997E+20</v>
      </c>
      <c r="E877" s="15">
        <f>FORECAST($C877, OFFSET('De Vaucouleurs Deprojection'!$F$3:$F$126, MATCH($C877, 'De Vaucouleurs Deprojection'!$A$3:$A$126,1)-1,0,2), OFFSET('De Vaucouleurs Deprojection'!$A$3:$A$126, MATCH($C877, 'De Vaucouleurs Deprojection'!$A$3:$A$126,1)-1,0,2))*LCDMTotalBulgeMass</f>
        <v>1.8631518002178945E+40</v>
      </c>
      <c r="F877" s="15">
        <f t="shared" si="104"/>
        <v>3.9781999999989764E+39</v>
      </c>
      <c r="G877" s="15">
        <f t="shared" si="105"/>
        <v>1.7933100634201224E+41</v>
      </c>
      <c r="H877" s="15">
        <f t="shared" si="106"/>
        <v>2.0194072434419014E+41</v>
      </c>
      <c r="I877" s="16">
        <v>155.17712</v>
      </c>
      <c r="J877" s="45">
        <v>1</v>
      </c>
      <c r="K877" s="19">
        <f t="shared" si="107"/>
        <v>149.6632185839315</v>
      </c>
      <c r="L877" s="16">
        <f t="shared" si="108"/>
        <v>30.403108826122281</v>
      </c>
      <c r="M877" s="45"/>
    </row>
    <row r="878" spans="1:13" x14ac:dyDescent="0.25">
      <c r="A878" s="16">
        <v>19.55</v>
      </c>
      <c r="B878" s="45">
        <f t="shared" si="109"/>
        <v>19550</v>
      </c>
      <c r="C878" s="16">
        <f t="shared" si="110"/>
        <v>34.298245614035089</v>
      </c>
      <c r="D878" s="15">
        <f t="shared" si="111"/>
        <v>6.0324996689000006E+20</v>
      </c>
      <c r="E878" s="15">
        <f>FORECAST($C878, OFFSET('De Vaucouleurs Deprojection'!$F$3:$F$126, MATCH($C878, 'De Vaucouleurs Deprojection'!$A$3:$A$126,1)-1,0,2), OFFSET('De Vaucouleurs Deprojection'!$A$3:$A$126, MATCH($C878, 'De Vaucouleurs Deprojection'!$A$3:$A$126,1)-1,0,2))*LCDMTotalBulgeMass</f>
        <v>1.8632101890270172E+40</v>
      </c>
      <c r="F878" s="15">
        <f t="shared" si="104"/>
        <v>3.9781999999990556E+39</v>
      </c>
      <c r="G878" s="15">
        <f t="shared" si="105"/>
        <v>1.7979401895251222E+41</v>
      </c>
      <c r="H878" s="15">
        <f t="shared" si="106"/>
        <v>2.0240432084278147E+41</v>
      </c>
      <c r="I878" s="16">
        <v>155.08707000000001</v>
      </c>
      <c r="J878" s="45">
        <v>1</v>
      </c>
      <c r="K878" s="19">
        <f t="shared" si="107"/>
        <v>149.64318405074522</v>
      </c>
      <c r="L878" s="16">
        <f t="shared" si="108"/>
        <v>29.635894228493747</v>
      </c>
      <c r="M878" s="45"/>
    </row>
    <row r="879" spans="1:13" x14ac:dyDescent="0.25">
      <c r="A879" s="16">
        <v>19.600000000000001</v>
      </c>
      <c r="B879" s="45">
        <f t="shared" si="109"/>
        <v>19600</v>
      </c>
      <c r="C879" s="16">
        <f t="shared" si="110"/>
        <v>34.385964912280699</v>
      </c>
      <c r="D879" s="15">
        <f t="shared" si="111"/>
        <v>6.0479280568000001E+20</v>
      </c>
      <c r="E879" s="15">
        <f>FORECAST($C879, OFFSET('De Vaucouleurs Deprojection'!$F$3:$F$126, MATCH($C879, 'De Vaucouleurs Deprojection'!$A$3:$A$126,1)-1,0,2), OFFSET('De Vaucouleurs Deprojection'!$A$3:$A$126, MATCH($C879, 'De Vaucouleurs Deprojection'!$A$3:$A$126,1)-1,0,2))*LCDMTotalBulgeMass</f>
        <v>1.8632685778361402E+40</v>
      </c>
      <c r="F879" s="15">
        <f t="shared" si="104"/>
        <v>3.9781999999991293E+39</v>
      </c>
      <c r="G879" s="15">
        <f t="shared" si="105"/>
        <v>1.8025660545652954E+41</v>
      </c>
      <c r="H879" s="15">
        <f t="shared" si="106"/>
        <v>2.0286749123489008E+41</v>
      </c>
      <c r="I879" s="16">
        <v>154.98997</v>
      </c>
      <c r="J879" s="45">
        <v>1</v>
      </c>
      <c r="K879" s="19">
        <f t="shared" si="107"/>
        <v>149.62309193702129</v>
      </c>
      <c r="L879" s="16">
        <f t="shared" si="108"/>
        <v>28.803380142882148</v>
      </c>
      <c r="M879" s="45"/>
    </row>
    <row r="880" spans="1:13" x14ac:dyDescent="0.25">
      <c r="A880" s="16">
        <v>19.649999999999999</v>
      </c>
      <c r="B880" s="45">
        <f t="shared" si="109"/>
        <v>19650</v>
      </c>
      <c r="C880" s="16">
        <f t="shared" si="110"/>
        <v>34.473684210526315</v>
      </c>
      <c r="D880" s="15">
        <f t="shared" si="111"/>
        <v>6.0633564446999996E+20</v>
      </c>
      <c r="E880" s="15">
        <f>FORECAST($C880, OFFSET('De Vaucouleurs Deprojection'!$F$3:$F$126, MATCH($C880, 'De Vaucouleurs Deprojection'!$A$3:$A$126,1)-1,0,2), OFFSET('De Vaucouleurs Deprojection'!$A$3:$A$126, MATCH($C880, 'De Vaucouleurs Deprojection'!$A$3:$A$126,1)-1,0,2))*LCDMTotalBulgeMass</f>
        <v>1.863326966645263E+40</v>
      </c>
      <c r="F880" s="15">
        <f t="shared" si="104"/>
        <v>3.9781999999991964E+39</v>
      </c>
      <c r="G880" s="15">
        <f t="shared" si="105"/>
        <v>1.8071876602172789E+41</v>
      </c>
      <c r="H880" s="15">
        <f t="shared" si="106"/>
        <v>2.0333023568817969E+41</v>
      </c>
      <c r="I880" s="16">
        <v>154.88576</v>
      </c>
      <c r="J880" s="45">
        <v>1</v>
      </c>
      <c r="K880" s="19">
        <f t="shared" si="107"/>
        <v>149.60294270036505</v>
      </c>
      <c r="L880" s="16">
        <f t="shared" si="108"/>
        <v>27.908158621322375</v>
      </c>
      <c r="M880" s="45"/>
    </row>
    <row r="881" spans="1:13" x14ac:dyDescent="0.25">
      <c r="A881" s="16">
        <v>19.7</v>
      </c>
      <c r="B881" s="45">
        <f t="shared" si="109"/>
        <v>19700</v>
      </c>
      <c r="C881" s="16">
        <f t="shared" si="110"/>
        <v>34.561403508771932</v>
      </c>
      <c r="D881" s="15">
        <f t="shared" si="111"/>
        <v>6.0787848326000004E+20</v>
      </c>
      <c r="E881" s="15">
        <f>FORECAST($C881, OFFSET('De Vaucouleurs Deprojection'!$F$3:$F$126, MATCH($C881, 'De Vaucouleurs Deprojection'!$A$3:$A$126,1)-1,0,2), OFFSET('De Vaucouleurs Deprojection'!$A$3:$A$126, MATCH($C881, 'De Vaucouleurs Deprojection'!$A$3:$A$126,1)-1,0,2))*LCDMTotalBulgeMass</f>
        <v>1.8633853554543857E+40</v>
      </c>
      <c r="F881" s="15">
        <f t="shared" si="104"/>
        <v>3.9781999999992593E+39</v>
      </c>
      <c r="G881" s="15">
        <f t="shared" si="105"/>
        <v>1.8118050082169679E+41</v>
      </c>
      <c r="H881" s="15">
        <f t="shared" si="106"/>
        <v>2.037925543762399E+41</v>
      </c>
      <c r="I881" s="16">
        <v>154.77448000000001</v>
      </c>
      <c r="J881" s="45">
        <v>1</v>
      </c>
      <c r="K881" s="19">
        <f t="shared" si="107"/>
        <v>149.58273679585525</v>
      </c>
      <c r="L881" s="16">
        <f t="shared" si="108"/>
        <v>26.954197497783266</v>
      </c>
      <c r="M881" s="45"/>
    </row>
    <row r="882" spans="1:13" x14ac:dyDescent="0.25">
      <c r="A882" s="16">
        <v>19.75</v>
      </c>
      <c r="B882" s="45">
        <f t="shared" si="109"/>
        <v>19750</v>
      </c>
      <c r="C882" s="16">
        <f t="shared" si="110"/>
        <v>34.649122807017541</v>
      </c>
      <c r="D882" s="15">
        <f t="shared" si="111"/>
        <v>6.0942132204999999E+20</v>
      </c>
      <c r="E882" s="15">
        <f>FORECAST($C882, OFFSET('De Vaucouleurs Deprojection'!$F$3:$F$126, MATCH($C882, 'De Vaucouleurs Deprojection'!$A$3:$A$126,1)-1,0,2), OFFSET('De Vaucouleurs Deprojection'!$A$3:$A$126, MATCH($C882, 'De Vaucouleurs Deprojection'!$A$3:$A$126,1)-1,0,2))*LCDMTotalBulgeMass</f>
        <v>1.8634437442635085E+40</v>
      </c>
      <c r="F882" s="15">
        <f t="shared" si="104"/>
        <v>3.9781999999993167E+39</v>
      </c>
      <c r="G882" s="15">
        <f t="shared" si="105"/>
        <v>1.8164181003586328E+41</v>
      </c>
      <c r="H882" s="15">
        <f t="shared" si="106"/>
        <v>2.0425444747849769E+41</v>
      </c>
      <c r="I882" s="16">
        <v>154.65652</v>
      </c>
      <c r="J882" s="45">
        <v>1</v>
      </c>
      <c r="K882" s="19">
        <f t="shared" si="107"/>
        <v>149.56247467604649</v>
      </c>
      <c r="L882" s="16">
        <f t="shared" si="108"/>
        <v>25.949297762492609</v>
      </c>
      <c r="M882" s="45"/>
    </row>
    <row r="883" spans="1:13" x14ac:dyDescent="0.25">
      <c r="A883" s="16">
        <v>19.8</v>
      </c>
      <c r="B883" s="45">
        <f t="shared" si="109"/>
        <v>19800</v>
      </c>
      <c r="C883" s="16">
        <f t="shared" si="110"/>
        <v>34.736842105263158</v>
      </c>
      <c r="D883" s="15">
        <f t="shared" si="111"/>
        <v>6.1096416084000008E+20</v>
      </c>
      <c r="E883" s="15">
        <f>FORECAST($C883, OFFSET('De Vaucouleurs Deprojection'!$F$3:$F$126, MATCH($C883, 'De Vaucouleurs Deprojection'!$A$3:$A$126,1)-1,0,2), OFFSET('De Vaucouleurs Deprojection'!$A$3:$A$126, MATCH($C883, 'De Vaucouleurs Deprojection'!$A$3:$A$126,1)-1,0,2))*LCDMTotalBulgeMass</f>
        <v>1.8635021330726312E+40</v>
      </c>
      <c r="F883" s="15">
        <f t="shared" si="104"/>
        <v>3.9781999999993699E+39</v>
      </c>
      <c r="G883" s="15">
        <f t="shared" si="105"/>
        <v>1.8210269384940508E+41</v>
      </c>
      <c r="H883" s="15">
        <f t="shared" si="106"/>
        <v>2.0471591518013075E+41</v>
      </c>
      <c r="I883" s="16">
        <v>154.53294</v>
      </c>
      <c r="J883" s="45">
        <v>1</v>
      </c>
      <c r="K883" s="19">
        <f t="shared" si="107"/>
        <v>149.54215679097112</v>
      </c>
      <c r="L883" s="16">
        <f t="shared" si="108"/>
        <v>24.90791703952457</v>
      </c>
      <c r="M883" s="45"/>
    </row>
    <row r="884" spans="1:13" x14ac:dyDescent="0.25">
      <c r="A884" s="16">
        <v>19.850000000000001</v>
      </c>
      <c r="B884" s="45">
        <f t="shared" si="109"/>
        <v>19850</v>
      </c>
      <c r="C884" s="16">
        <f t="shared" si="110"/>
        <v>34.824561403508774</v>
      </c>
      <c r="D884" s="15">
        <f t="shared" si="111"/>
        <v>6.1250699963000003E+20</v>
      </c>
      <c r="E884" s="15">
        <f>FORECAST($C884, OFFSET('De Vaucouleurs Deprojection'!$F$3:$F$126, MATCH($C884, 'De Vaucouleurs Deprojection'!$A$3:$A$126,1)-1,0,2), OFFSET('De Vaucouleurs Deprojection'!$A$3:$A$126, MATCH($C884, 'De Vaucouleurs Deprojection'!$A$3:$A$126,1)-1,0,2))*LCDMTotalBulgeMass</f>
        <v>1.8635605218817542E+40</v>
      </c>
      <c r="F884" s="15">
        <f t="shared" si="104"/>
        <v>3.9781999999994189E+39</v>
      </c>
      <c r="G884" s="15">
        <f t="shared" si="105"/>
        <v>1.8256315245316566E+41</v>
      </c>
      <c r="H884" s="15">
        <f t="shared" si="106"/>
        <v>2.0517695767198262E+41</v>
      </c>
      <c r="I884" s="16">
        <v>154.40522999999999</v>
      </c>
      <c r="J884" s="45">
        <v>1</v>
      </c>
      <c r="K884" s="19">
        <f t="shared" si="107"/>
        <v>149.5217835881428</v>
      </c>
      <c r="L884" s="16">
        <f t="shared" si="108"/>
        <v>23.848048857480894</v>
      </c>
      <c r="M884" s="45"/>
    </row>
    <row r="885" spans="1:13" x14ac:dyDescent="0.25">
      <c r="A885" s="16">
        <v>19.899999999999999</v>
      </c>
      <c r="B885" s="45">
        <f t="shared" si="109"/>
        <v>19900</v>
      </c>
      <c r="C885" s="16">
        <f t="shared" si="110"/>
        <v>34.912280701754383</v>
      </c>
      <c r="D885" s="15">
        <f t="shared" si="111"/>
        <v>6.1404983841999998E+20</v>
      </c>
      <c r="E885" s="15">
        <f>FORECAST($C885, OFFSET('De Vaucouleurs Deprojection'!$F$3:$F$126, MATCH($C885, 'De Vaucouleurs Deprojection'!$A$3:$A$126,1)-1,0,2), OFFSET('De Vaucouleurs Deprojection'!$A$3:$A$126, MATCH($C885, 'De Vaucouleurs Deprojection'!$A$3:$A$126,1)-1,0,2))*LCDMTotalBulgeMass</f>
        <v>1.863618910690877E+40</v>
      </c>
      <c r="F885" s="15">
        <f t="shared" si="104"/>
        <v>3.9781999999994636E+39</v>
      </c>
      <c r="G885" s="15">
        <f t="shared" si="105"/>
        <v>1.8302318604356891E+41</v>
      </c>
      <c r="H885" s="15">
        <f t="shared" si="106"/>
        <v>2.0563757515047714E+41</v>
      </c>
      <c r="I885" s="16">
        <v>154.27494999999999</v>
      </c>
      <c r="J885" s="45">
        <v>1</v>
      </c>
      <c r="K885" s="19">
        <f t="shared" si="107"/>
        <v>149.50135551255906</v>
      </c>
      <c r="L885" s="16">
        <f t="shared" si="108"/>
        <v>22.787204330526446</v>
      </c>
      <c r="M885" s="45"/>
    </row>
    <row r="886" spans="1:13" x14ac:dyDescent="0.25">
      <c r="A886" s="16">
        <v>19.95</v>
      </c>
      <c r="B886" s="45">
        <f t="shared" si="109"/>
        <v>19950</v>
      </c>
      <c r="C886" s="16">
        <f t="shared" si="110"/>
        <v>35</v>
      </c>
      <c r="D886" s="15">
        <f t="shared" si="111"/>
        <v>6.1559267720999993E+20</v>
      </c>
      <c r="E886" s="15">
        <f>FORECAST($C886, OFFSET('De Vaucouleurs Deprojection'!$F$3:$F$126, MATCH($C886, 'De Vaucouleurs Deprojection'!$A$3:$A$126,1)-1,0,2), OFFSET('De Vaucouleurs Deprojection'!$A$3:$A$126, MATCH($C886, 'De Vaucouleurs Deprojection'!$A$3:$A$126,1)-1,0,2))*LCDMTotalBulgeMass</f>
        <v>1.8636772994999997E+40</v>
      </c>
      <c r="F886" s="15">
        <f t="shared" si="104"/>
        <v>3.9781999999995059E+39</v>
      </c>
      <c r="G886" s="15">
        <f t="shared" si="105"/>
        <v>1.8348279482253665E+41</v>
      </c>
      <c r="H886" s="15">
        <f t="shared" si="106"/>
        <v>2.0609776781753614E+41</v>
      </c>
      <c r="I886" s="16">
        <v>154.14324999999999</v>
      </c>
      <c r="J886" s="45">
        <v>1</v>
      </c>
      <c r="K886" s="19">
        <f t="shared" si="107"/>
        <v>149.48087300670534</v>
      </c>
      <c r="L886" s="16">
        <f t="shared" si="108"/>
        <v>21.737759227603327</v>
      </c>
      <c r="M886" s="45"/>
    </row>
    <row r="887" spans="1:13" x14ac:dyDescent="0.25">
      <c r="A887" s="16">
        <v>20</v>
      </c>
      <c r="B887" s="45">
        <f t="shared" si="109"/>
        <v>20000</v>
      </c>
      <c r="C887" s="16">
        <f t="shared" si="110"/>
        <v>35.087719298245617</v>
      </c>
      <c r="D887" s="15">
        <f t="shared" si="111"/>
        <v>6.1713551600000002E+20</v>
      </c>
      <c r="E887" s="15">
        <f>FORECAST($C887, OFFSET('De Vaucouleurs Deprojection'!$F$3:$F$126, MATCH($C887, 'De Vaucouleurs Deprojection'!$A$3:$A$126,1)-1,0,2), OFFSET('De Vaucouleurs Deprojection'!$A$3:$A$126, MATCH($C887, 'De Vaucouleurs Deprojection'!$A$3:$A$126,1)-1,0,2))*LCDMTotalBulgeMass</f>
        <v>1.863712398390877E+40</v>
      </c>
      <c r="F887" s="15">
        <f t="shared" si="104"/>
        <v>3.978199999999544E+39</v>
      </c>
      <c r="G887" s="15">
        <f t="shared" si="105"/>
        <v>1.8394197899740579E+41</v>
      </c>
      <c r="H887" s="15">
        <f t="shared" si="106"/>
        <v>2.0655730298131411E+41</v>
      </c>
      <c r="I887" s="16">
        <v>154.01067</v>
      </c>
      <c r="J887" s="45">
        <v>1</v>
      </c>
      <c r="K887" s="19">
        <f t="shared" si="107"/>
        <v>149.46025225025809</v>
      </c>
      <c r="L887" s="16">
        <f t="shared" si="108"/>
        <v>20.706301697166236</v>
      </c>
      <c r="M887" s="45"/>
    </row>
    <row r="888" spans="1:13" x14ac:dyDescent="0.25">
      <c r="A888" s="16">
        <v>20.05</v>
      </c>
      <c r="B888" s="45">
        <f t="shared" si="109"/>
        <v>20050</v>
      </c>
      <c r="C888" s="16">
        <f t="shared" si="110"/>
        <v>35.175438596491226</v>
      </c>
      <c r="D888" s="15">
        <f t="shared" si="111"/>
        <v>6.1867835478999997E+20</v>
      </c>
      <c r="E888" s="15">
        <f>FORECAST($C888, OFFSET('De Vaucouleurs Deprojection'!$F$3:$F$126, MATCH($C888, 'De Vaucouleurs Deprojection'!$A$3:$A$126,1)-1,0,2), OFFSET('De Vaucouleurs Deprojection'!$A$3:$A$126, MATCH($C888, 'De Vaucouleurs Deprojection'!$A$3:$A$126,1)-1,0,2))*LCDMTotalBulgeMass</f>
        <v>1.8637474972817541E+40</v>
      </c>
      <c r="F888" s="15">
        <f t="shared" si="104"/>
        <v>3.9781999999995791E+39</v>
      </c>
      <c r="G888" s="15">
        <f t="shared" si="105"/>
        <v>1.8440073878084732E+41</v>
      </c>
      <c r="H888" s="15">
        <f t="shared" si="106"/>
        <v>2.0701641375366443E+41</v>
      </c>
      <c r="I888" s="16">
        <v>153.87711999999999</v>
      </c>
      <c r="J888" s="45">
        <v>1</v>
      </c>
      <c r="K888" s="19">
        <f t="shared" si="107"/>
        <v>149.43957833803259</v>
      </c>
      <c r="L888" s="16">
        <f t="shared" si="108"/>
        <v>19.691776001696407</v>
      </c>
      <c r="M888" s="45"/>
    </row>
    <row r="889" spans="1:13" x14ac:dyDescent="0.25">
      <c r="A889" s="16">
        <v>20.100000000000001</v>
      </c>
      <c r="B889" s="45">
        <f t="shared" si="109"/>
        <v>20100</v>
      </c>
      <c r="C889" s="16">
        <f t="shared" si="110"/>
        <v>35.263157894736842</v>
      </c>
      <c r="D889" s="15">
        <f t="shared" si="111"/>
        <v>6.2022119358000005E+20</v>
      </c>
      <c r="E889" s="15">
        <f>FORECAST($C889, OFFSET('De Vaucouleurs Deprojection'!$F$3:$F$126, MATCH($C889, 'De Vaucouleurs Deprojection'!$A$3:$A$126,1)-1,0,2), OFFSET('De Vaucouleurs Deprojection'!$A$3:$A$126, MATCH($C889, 'De Vaucouleurs Deprojection'!$A$3:$A$126,1)-1,0,2))*LCDMTotalBulgeMass</f>
        <v>1.8637825961726313E+40</v>
      </c>
      <c r="F889" s="15">
        <f t="shared" si="104"/>
        <v>3.9781999999996117E+39</v>
      </c>
      <c r="G889" s="15">
        <f t="shared" si="105"/>
        <v>1.8485907439078649E+41</v>
      </c>
      <c r="H889" s="15">
        <f t="shared" si="106"/>
        <v>2.074751003525124E+41</v>
      </c>
      <c r="I889" s="16">
        <v>153.74225999999999</v>
      </c>
      <c r="J889" s="45">
        <v>1</v>
      </c>
      <c r="K889" s="19">
        <f t="shared" si="107"/>
        <v>149.41885170193973</v>
      </c>
      <c r="L889" s="16">
        <f t="shared" si="108"/>
        <v>18.691859311736295</v>
      </c>
      <c r="M889" s="45"/>
    </row>
    <row r="890" spans="1:13" x14ac:dyDescent="0.25">
      <c r="A890" s="16">
        <v>20.149999999999999</v>
      </c>
      <c r="B890" s="45">
        <f t="shared" si="109"/>
        <v>20150</v>
      </c>
      <c r="C890" s="16">
        <f t="shared" si="110"/>
        <v>35.350877192982459</v>
      </c>
      <c r="D890" s="15">
        <f t="shared" si="111"/>
        <v>6.2176403237E+20</v>
      </c>
      <c r="E890" s="15">
        <f>FORECAST($C890, OFFSET('De Vaucouleurs Deprojection'!$F$3:$F$126, MATCH($C890, 'De Vaucouleurs Deprojection'!$A$3:$A$126,1)-1,0,2), OFFSET('De Vaucouleurs Deprojection'!$A$3:$A$126, MATCH($C890, 'De Vaucouleurs Deprojection'!$A$3:$A$126,1)-1,0,2))*LCDMTotalBulgeMass</f>
        <v>1.8638176950635084E+40</v>
      </c>
      <c r="F890" s="15">
        <f t="shared" si="104"/>
        <v>3.9781999999996419E+39</v>
      </c>
      <c r="G890" s="15">
        <f t="shared" si="105"/>
        <v>1.8531698605032363E+41</v>
      </c>
      <c r="H890" s="15">
        <f t="shared" si="106"/>
        <v>2.0793336300095837E+41</v>
      </c>
      <c r="I890" s="16">
        <v>153.60563999999999</v>
      </c>
      <c r="J890" s="45">
        <v>1</v>
      </c>
      <c r="K890" s="19">
        <f t="shared" si="107"/>
        <v>149.39807277142651</v>
      </c>
      <c r="L890" s="16">
        <f t="shared" si="108"/>
        <v>17.703621982965526</v>
      </c>
      <c r="M890" s="45"/>
    </row>
    <row r="891" spans="1:13" x14ac:dyDescent="0.25">
      <c r="A891" s="16">
        <v>20.2</v>
      </c>
      <c r="B891" s="45">
        <f t="shared" si="109"/>
        <v>20200</v>
      </c>
      <c r="C891" s="16">
        <f t="shared" si="110"/>
        <v>35.438596491228068</v>
      </c>
      <c r="D891" s="15">
        <f t="shared" si="111"/>
        <v>6.2330687115999995E+20</v>
      </c>
      <c r="E891" s="15">
        <f>FORECAST($C891, OFFSET('De Vaucouleurs Deprojection'!$F$3:$F$126, MATCH($C891, 'De Vaucouleurs Deprojection'!$A$3:$A$126,1)-1,0,2), OFFSET('De Vaucouleurs Deprojection'!$A$3:$A$126, MATCH($C891, 'De Vaucouleurs Deprojection'!$A$3:$A$126,1)-1,0,2))*LCDMTotalBulgeMass</f>
        <v>1.8638527939543857E+40</v>
      </c>
      <c r="F891" s="15">
        <f t="shared" si="104"/>
        <v>3.9781999999996697E+39</v>
      </c>
      <c r="G891" s="15">
        <f t="shared" si="105"/>
        <v>1.8577447398765615E+41</v>
      </c>
      <c r="H891" s="15">
        <f t="shared" si="106"/>
        <v>2.0839120192719969E+41</v>
      </c>
      <c r="I891" s="16">
        <v>153.46696</v>
      </c>
      <c r="J891" s="45">
        <v>1</v>
      </c>
      <c r="K891" s="19">
        <f t="shared" si="107"/>
        <v>149.37724197348061</v>
      </c>
      <c r="L891" s="16">
        <f t="shared" si="108"/>
        <v>16.725793536437674</v>
      </c>
      <c r="M891" s="45"/>
    </row>
    <row r="892" spans="1:13" x14ac:dyDescent="0.25">
      <c r="A892" s="16">
        <v>20.25</v>
      </c>
      <c r="B892" s="45">
        <f t="shared" si="109"/>
        <v>20250</v>
      </c>
      <c r="C892" s="16">
        <f t="shared" si="110"/>
        <v>35.526315789473685</v>
      </c>
      <c r="D892" s="15">
        <f t="shared" si="111"/>
        <v>6.2484970995000004E+20</v>
      </c>
      <c r="E892" s="15">
        <f>FORECAST($C892, OFFSET('De Vaucouleurs Deprojection'!$F$3:$F$126, MATCH($C892, 'De Vaucouleurs Deprojection'!$A$3:$A$126,1)-1,0,2), OFFSET('De Vaucouleurs Deprojection'!$A$3:$A$126, MATCH($C892, 'De Vaucouleurs Deprojection'!$A$3:$A$126,1)-1,0,2))*LCDMTotalBulgeMass</f>
        <v>1.8638878928452629E+40</v>
      </c>
      <c r="F892" s="15">
        <f t="shared" si="104"/>
        <v>3.9781999999996951E+39</v>
      </c>
      <c r="G892" s="15">
        <f t="shared" si="105"/>
        <v>1.862315384360012E+41</v>
      </c>
      <c r="H892" s="15">
        <f t="shared" si="106"/>
        <v>2.0884861736445354E+41</v>
      </c>
      <c r="I892" s="16">
        <v>153.32623000000001</v>
      </c>
      <c r="J892" s="45">
        <v>1</v>
      </c>
      <c r="K892" s="19">
        <f t="shared" si="107"/>
        <v>149.35635973263521</v>
      </c>
      <c r="L892" s="16">
        <f t="shared" si="108"/>
        <v>15.759869939707047</v>
      </c>
      <c r="M892" s="45"/>
    </row>
    <row r="893" spans="1:13" x14ac:dyDescent="0.25">
      <c r="A893" s="16">
        <v>20.3</v>
      </c>
      <c r="B893" s="45">
        <f t="shared" si="109"/>
        <v>20300</v>
      </c>
      <c r="C893" s="16">
        <f t="shared" si="110"/>
        <v>35.614035087719301</v>
      </c>
      <c r="D893" s="15">
        <f t="shared" si="111"/>
        <v>6.2639254873999999E+20</v>
      </c>
      <c r="E893" s="15">
        <f>FORECAST($C893, OFFSET('De Vaucouleurs Deprojection'!$F$3:$F$126, MATCH($C893, 'De Vaucouleurs Deprojection'!$A$3:$A$126,1)-1,0,2), OFFSET('De Vaucouleurs Deprojection'!$A$3:$A$126, MATCH($C893, 'De Vaucouleurs Deprojection'!$A$3:$A$126,1)-1,0,2))*LCDMTotalBulgeMass</f>
        <v>1.86392299173614E+40</v>
      </c>
      <c r="F893" s="15">
        <f t="shared" si="104"/>
        <v>3.9781999999997193E+39</v>
      </c>
      <c r="G893" s="15">
        <f t="shared" si="105"/>
        <v>1.8668817963352065E+41</v>
      </c>
      <c r="H893" s="15">
        <f t="shared" si="106"/>
        <v>2.0930560955088178E+41</v>
      </c>
      <c r="I893" s="16">
        <v>153.18358000000001</v>
      </c>
      <c r="J893" s="45">
        <v>1</v>
      </c>
      <c r="K893" s="19">
        <f t="shared" si="107"/>
        <v>149.33542647097443</v>
      </c>
      <c r="L893" s="16">
        <f t="shared" si="108"/>
        <v>14.808285582952029</v>
      </c>
      <c r="M893" s="45"/>
    </row>
    <row r="894" spans="1:13" x14ac:dyDescent="0.25">
      <c r="A894" s="16">
        <v>20.350000000000001</v>
      </c>
      <c r="B894" s="45">
        <f t="shared" si="109"/>
        <v>20350</v>
      </c>
      <c r="C894" s="16">
        <f t="shared" si="110"/>
        <v>35.701754385964911</v>
      </c>
      <c r="D894" s="15">
        <f t="shared" si="111"/>
        <v>6.2793538753000007E+20</v>
      </c>
      <c r="E894" s="15">
        <f>FORECAST($C894, OFFSET('De Vaucouleurs Deprojection'!$F$3:$F$126, MATCH($C894, 'De Vaucouleurs Deprojection'!$A$3:$A$126,1)-1,0,2), OFFSET('De Vaucouleurs Deprojection'!$A$3:$A$126, MATCH($C894, 'De Vaucouleurs Deprojection'!$A$3:$A$126,1)-1,0,2))*LCDMTotalBulgeMass</f>
        <v>1.8639580906270172E+40</v>
      </c>
      <c r="F894" s="15">
        <f t="shared" si="104"/>
        <v>3.9781999999997411E+39</v>
      </c>
      <c r="G894" s="15">
        <f t="shared" si="105"/>
        <v>1.8714439782324523E+41</v>
      </c>
      <c r="H894" s="15">
        <f t="shared" si="106"/>
        <v>2.0976217872951515E+41</v>
      </c>
      <c r="I894" s="16">
        <v>153.03912</v>
      </c>
      <c r="J894" s="45">
        <v>1</v>
      </c>
      <c r="K894" s="19">
        <f t="shared" si="107"/>
        <v>149.31444260813839</v>
      </c>
      <c r="L894" s="16">
        <f t="shared" si="108"/>
        <v>13.873221673444963</v>
      </c>
      <c r="M894" s="45"/>
    </row>
    <row r="895" spans="1:13" x14ac:dyDescent="0.25">
      <c r="A895" s="16">
        <v>20.399999999999999</v>
      </c>
      <c r="B895" s="45">
        <f t="shared" si="109"/>
        <v>20400</v>
      </c>
      <c r="C895" s="16">
        <f t="shared" si="110"/>
        <v>35.789473684210527</v>
      </c>
      <c r="D895" s="15">
        <f t="shared" si="111"/>
        <v>6.2947822631999989E+20</v>
      </c>
      <c r="E895" s="15">
        <f>FORECAST($C895, OFFSET('De Vaucouleurs Deprojection'!$F$3:$F$126, MATCH($C895, 'De Vaucouleurs Deprojection'!$A$3:$A$126,1)-1,0,2), OFFSET('De Vaucouleurs Deprojection'!$A$3:$A$126, MATCH($C895, 'De Vaucouleurs Deprojection'!$A$3:$A$126,1)-1,0,2))*LCDMTotalBulgeMass</f>
        <v>1.8639931895178945E+40</v>
      </c>
      <c r="F895" s="15">
        <f t="shared" si="104"/>
        <v>3.978199999999761E+39</v>
      </c>
      <c r="G895" s="15">
        <f t="shared" si="105"/>
        <v>1.8760019325300097E+41</v>
      </c>
      <c r="H895" s="15">
        <f t="shared" si="106"/>
        <v>2.1021832514817969E+41</v>
      </c>
      <c r="I895" s="16">
        <v>152.89265</v>
      </c>
      <c r="J895" s="45">
        <v>1</v>
      </c>
      <c r="K895" s="19">
        <f t="shared" si="107"/>
        <v>149.29340856132922</v>
      </c>
      <c r="L895" s="16">
        <f t="shared" si="108"/>
        <v>12.954538933844962</v>
      </c>
      <c r="M895" s="45"/>
    </row>
    <row r="896" spans="1:13" x14ac:dyDescent="0.25">
      <c r="A896" s="16">
        <v>20.45</v>
      </c>
      <c r="B896" s="45">
        <f t="shared" si="109"/>
        <v>20450</v>
      </c>
      <c r="C896" s="16">
        <f t="shared" si="110"/>
        <v>35.877192982456137</v>
      </c>
      <c r="D896" s="15">
        <f t="shared" si="111"/>
        <v>6.3102106510999998E+20</v>
      </c>
      <c r="E896" s="15">
        <f>FORECAST($C896, OFFSET('De Vaucouleurs Deprojection'!$F$3:$F$126, MATCH($C896, 'De Vaucouleurs Deprojection'!$A$3:$A$126,1)-1,0,2), OFFSET('De Vaucouleurs Deprojection'!$A$3:$A$126, MATCH($C896, 'De Vaucouleurs Deprojection'!$A$3:$A$126,1)-1,0,2))*LCDMTotalBulgeMass</f>
        <v>1.8640282884087716E+40</v>
      </c>
      <c r="F896" s="15">
        <f t="shared" si="104"/>
        <v>3.9781999999997797E+39</v>
      </c>
      <c r="G896" s="15">
        <f t="shared" si="105"/>
        <v>1.8805556617533619E+41</v>
      </c>
      <c r="H896" s="15">
        <f t="shared" si="106"/>
        <v>2.106740490594237E+41</v>
      </c>
      <c r="I896" s="16">
        <v>152.74341999999999</v>
      </c>
      <c r="J896" s="45">
        <v>1</v>
      </c>
      <c r="K896" s="19">
        <f t="shared" si="107"/>
        <v>149.27232474531658</v>
      </c>
      <c r="L896" s="16">
        <f t="shared" si="108"/>
        <v>12.048502267085652</v>
      </c>
      <c r="M896" s="45"/>
    </row>
    <row r="897" spans="1:13" x14ac:dyDescent="0.25">
      <c r="A897" s="16">
        <v>20.5</v>
      </c>
      <c r="B897" s="45">
        <f t="shared" si="109"/>
        <v>20500</v>
      </c>
      <c r="C897" s="16">
        <f t="shared" si="110"/>
        <v>35.964912280701753</v>
      </c>
      <c r="D897" s="15">
        <f t="shared" si="111"/>
        <v>6.3256390390000006E+20</v>
      </c>
      <c r="E897" s="15">
        <f>FORECAST($C897, OFFSET('De Vaucouleurs Deprojection'!$F$3:$F$126, MATCH($C897, 'De Vaucouleurs Deprojection'!$A$3:$A$126,1)-1,0,2), OFFSET('De Vaucouleurs Deprojection'!$A$3:$A$126, MATCH($C897, 'De Vaucouleurs Deprojection'!$A$3:$A$126,1)-1,0,2))*LCDMTotalBulgeMass</f>
        <v>1.8640633872996488E+40</v>
      </c>
      <c r="F897" s="15">
        <f t="shared" si="104"/>
        <v>3.9781999999997973E+39</v>
      </c>
      <c r="G897" s="15">
        <f t="shared" si="105"/>
        <v>1.8851051684744942E+41</v>
      </c>
      <c r="H897" s="15">
        <f t="shared" si="106"/>
        <v>2.1112935072044573E+41</v>
      </c>
      <c r="I897" s="16">
        <v>152.58996999999999</v>
      </c>
      <c r="J897" s="45">
        <v>1</v>
      </c>
      <c r="K897" s="19">
        <f t="shared" si="107"/>
        <v>149.25119157244413</v>
      </c>
      <c r="L897" s="16">
        <f t="shared" si="108"/>
        <v>11.147441388312419</v>
      </c>
      <c r="M897" s="45"/>
    </row>
    <row r="898" spans="1:13" x14ac:dyDescent="0.25">
      <c r="A898" s="16">
        <v>20.55</v>
      </c>
      <c r="B898" s="45">
        <f t="shared" si="109"/>
        <v>20550</v>
      </c>
      <c r="C898" s="16">
        <f t="shared" si="110"/>
        <v>36.05263157894737</v>
      </c>
      <c r="D898" s="15">
        <f t="shared" si="111"/>
        <v>6.3410674269000001E+20</v>
      </c>
      <c r="E898" s="15">
        <f>FORECAST($C898, OFFSET('De Vaucouleurs Deprojection'!$F$3:$F$126, MATCH($C898, 'De Vaucouleurs Deprojection'!$A$3:$A$126,1)-1,0,2), OFFSET('De Vaucouleurs Deprojection'!$A$3:$A$126, MATCH($C898, 'De Vaucouleurs Deprojection'!$A$3:$A$126,1)-1,0,2))*LCDMTotalBulgeMass</f>
        <v>1.8640984861905261E+40</v>
      </c>
      <c r="F898" s="15">
        <f t="shared" si="104"/>
        <v>3.978199999999813E+39</v>
      </c>
      <c r="G898" s="15">
        <f t="shared" si="105"/>
        <v>1.8896504553111824E+41</v>
      </c>
      <c r="H898" s="15">
        <f t="shared" si="106"/>
        <v>2.115842303930233E+41</v>
      </c>
      <c r="I898" s="16">
        <v>152.43020999999999</v>
      </c>
      <c r="J898" s="45">
        <v>1</v>
      </c>
      <c r="K898" s="19">
        <f t="shared" si="107"/>
        <v>149.23000945263573</v>
      </c>
      <c r="L898" s="16">
        <f t="shared" si="108"/>
        <v>10.241283543350518</v>
      </c>
      <c r="M898" s="45"/>
    </row>
    <row r="899" spans="1:13" x14ac:dyDescent="0.25">
      <c r="A899" s="16">
        <v>20.6</v>
      </c>
      <c r="B899" s="45">
        <f t="shared" si="109"/>
        <v>20600</v>
      </c>
      <c r="C899" s="16">
        <f t="shared" si="110"/>
        <v>36.140350877192979</v>
      </c>
      <c r="D899" s="15">
        <f t="shared" si="111"/>
        <v>6.3564958148000009E+20</v>
      </c>
      <c r="E899" s="15">
        <f>FORECAST($C899, OFFSET('De Vaucouleurs Deprojection'!$F$3:$F$126, MATCH($C899, 'De Vaucouleurs Deprojection'!$A$3:$A$126,1)-1,0,2), OFFSET('De Vaucouleurs Deprojection'!$A$3:$A$126, MATCH($C899, 'De Vaucouleurs Deprojection'!$A$3:$A$126,1)-1,0,2))*LCDMTotalBulgeMass</f>
        <v>1.8641335850814032E+40</v>
      </c>
      <c r="F899" s="15">
        <f t="shared" si="104"/>
        <v>3.9781999999998269E+39</v>
      </c>
      <c r="G899" s="15">
        <f t="shared" si="105"/>
        <v>1.8941915249262913E+41</v>
      </c>
      <c r="H899" s="15">
        <f t="shared" si="106"/>
        <v>2.1203868834344298E+41</v>
      </c>
      <c r="I899" s="16">
        <v>152.26186000000001</v>
      </c>
      <c r="J899" s="45">
        <v>1</v>
      </c>
      <c r="K899" s="19">
        <f t="shared" si="107"/>
        <v>149.20877879340182</v>
      </c>
      <c r="L899" s="16">
        <f t="shared" si="108"/>
        <v>9.3213048540830812</v>
      </c>
      <c r="M899" s="45"/>
    </row>
    <row r="900" spans="1:13" x14ac:dyDescent="0.25">
      <c r="A900" s="16">
        <v>20.65</v>
      </c>
      <c r="B900" s="45">
        <f t="shared" si="109"/>
        <v>20650</v>
      </c>
      <c r="C900" s="16">
        <f t="shared" si="110"/>
        <v>36.228070175438596</v>
      </c>
      <c r="D900" s="15">
        <f t="shared" si="111"/>
        <v>6.3719242026999992E+20</v>
      </c>
      <c r="E900" s="15">
        <f>FORECAST($C900, OFFSET('De Vaucouleurs Deprojection'!$F$3:$F$126, MATCH($C900, 'De Vaucouleurs Deprojection'!$A$3:$A$126,1)-1,0,2), OFFSET('De Vaucouleurs Deprojection'!$A$3:$A$126, MATCH($C900, 'De Vaucouleurs Deprojection'!$A$3:$A$126,1)-1,0,2))*LCDMTotalBulgeMass</f>
        <v>1.8641686839722804E+40</v>
      </c>
      <c r="F900" s="15">
        <f t="shared" si="104"/>
        <v>3.9781999999998408E+39</v>
      </c>
      <c r="G900" s="15">
        <f t="shared" si="105"/>
        <v>1.8987283800270842E+41</v>
      </c>
      <c r="H900" s="15">
        <f t="shared" si="106"/>
        <v>2.1249272484243107E+41</v>
      </c>
      <c r="I900" s="16">
        <v>152.08278999999999</v>
      </c>
      <c r="J900" s="45">
        <v>1</v>
      </c>
      <c r="K900" s="19">
        <f t="shared" si="107"/>
        <v>149.18749999984666</v>
      </c>
      <c r="L900" s="16">
        <f t="shared" si="108"/>
        <v>8.3827041849878334</v>
      </c>
      <c r="M900" s="45"/>
    </row>
    <row r="901" spans="1:13" x14ac:dyDescent="0.25">
      <c r="A901" s="16">
        <v>20.7</v>
      </c>
      <c r="B901" s="45">
        <f t="shared" si="109"/>
        <v>20700</v>
      </c>
      <c r="C901" s="16">
        <f t="shared" si="110"/>
        <v>36.315789473684212</v>
      </c>
      <c r="D901" s="15">
        <f t="shared" si="111"/>
        <v>6.3873525906E+20</v>
      </c>
      <c r="E901" s="15">
        <f>FORECAST($C901, OFFSET('De Vaucouleurs Deprojection'!$F$3:$F$126, MATCH($C901, 'De Vaucouleurs Deprojection'!$A$3:$A$126,1)-1,0,2), OFFSET('De Vaucouleurs Deprojection'!$A$3:$A$126, MATCH($C901, 'De Vaucouleurs Deprojection'!$A$3:$A$126,1)-1,0,2))*LCDMTotalBulgeMass</f>
        <v>1.8642037828631577E+40</v>
      </c>
      <c r="F901" s="15">
        <f t="shared" si="104"/>
        <v>3.9781999999998529E+39</v>
      </c>
      <c r="G901" s="15">
        <f t="shared" si="105"/>
        <v>1.9032610233645364E+41</v>
      </c>
      <c r="H901" s="15">
        <f t="shared" si="106"/>
        <v>2.1294634016508508E+41</v>
      </c>
      <c r="I901" s="16">
        <v>151.89116999999999</v>
      </c>
      <c r="J901" s="45">
        <v>1</v>
      </c>
      <c r="K901" s="19">
        <f t="shared" si="107"/>
        <v>149.16617347467465</v>
      </c>
      <c r="L901" s="16">
        <f t="shared" si="108"/>
        <v>7.4256060630351648</v>
      </c>
      <c r="M901" s="45"/>
    </row>
    <row r="902" spans="1:13" x14ac:dyDescent="0.25">
      <c r="A902" s="16">
        <v>20.75</v>
      </c>
      <c r="B902" s="45">
        <f t="shared" si="109"/>
        <v>20750</v>
      </c>
      <c r="C902" s="16">
        <f t="shared" si="110"/>
        <v>36.403508771929822</v>
      </c>
      <c r="D902" s="15">
        <f t="shared" si="111"/>
        <v>6.4027809784999995E+20</v>
      </c>
      <c r="E902" s="15">
        <f>FORECAST($C902, OFFSET('De Vaucouleurs Deprojection'!$F$3:$F$126, MATCH($C902, 'De Vaucouleurs Deprojection'!$A$3:$A$126,1)-1,0,2), OFFSET('De Vaucouleurs Deprojection'!$A$3:$A$126, MATCH($C902, 'De Vaucouleurs Deprojection'!$A$3:$A$126,1)-1,0,2))*LCDMTotalBulgeMass</f>
        <v>1.8642388817540348E+40</v>
      </c>
      <c r="F902" s="15">
        <f t="shared" si="104"/>
        <v>3.9781999999998644E+39</v>
      </c>
      <c r="G902" s="15">
        <f t="shared" si="105"/>
        <v>1.9077894577326626E+41</v>
      </c>
      <c r="H902" s="15">
        <f t="shared" si="106"/>
        <v>2.1339953459080646E+41</v>
      </c>
      <c r="I902" s="16">
        <v>151.68507</v>
      </c>
      <c r="J902" s="45">
        <v>1</v>
      </c>
      <c r="K902" s="19">
        <f t="shared" si="107"/>
        <v>149.14479961819805</v>
      </c>
      <c r="L902" s="16">
        <f t="shared" si="108"/>
        <v>6.4529736126602053</v>
      </c>
      <c r="M902" s="45"/>
    </row>
    <row r="903" spans="1:13" x14ac:dyDescent="0.25">
      <c r="A903" s="16">
        <v>20.8</v>
      </c>
      <c r="B903" s="45">
        <f t="shared" si="109"/>
        <v>20800</v>
      </c>
      <c r="C903" s="16">
        <f t="shared" si="110"/>
        <v>36.491228070175438</v>
      </c>
      <c r="D903" s="15">
        <f t="shared" si="111"/>
        <v>6.4182093664000003E+20</v>
      </c>
      <c r="E903" s="15">
        <f>FORECAST($C903, OFFSET('De Vaucouleurs Deprojection'!$F$3:$F$126, MATCH($C903, 'De Vaucouleurs Deprojection'!$A$3:$A$126,1)-1,0,2), OFFSET('De Vaucouleurs Deprojection'!$A$3:$A$126, MATCH($C903, 'De Vaucouleurs Deprojection'!$A$3:$A$126,1)-1,0,2))*LCDMTotalBulgeMass</f>
        <v>1.864273980644912E+40</v>
      </c>
      <c r="F903" s="15">
        <f t="shared" si="104"/>
        <v>3.9781999999998752E+39</v>
      </c>
      <c r="G903" s="15">
        <f t="shared" si="105"/>
        <v>1.9123136859678488E+41</v>
      </c>
      <c r="H903" s="15">
        <f t="shared" si="106"/>
        <v>2.1385230840323387E+41</v>
      </c>
      <c r="I903" s="16">
        <v>151.46259000000001</v>
      </c>
      <c r="J903" s="45">
        <v>1</v>
      </c>
      <c r="K903" s="19">
        <f t="shared" si="107"/>
        <v>149.12337882834385</v>
      </c>
      <c r="L903" s="16">
        <f t="shared" si="108"/>
        <v>5.4719089056009853</v>
      </c>
      <c r="M903" s="45"/>
    </row>
    <row r="904" spans="1:13" x14ac:dyDescent="0.25">
      <c r="A904" s="16">
        <v>20.85</v>
      </c>
      <c r="B904" s="45">
        <f t="shared" si="109"/>
        <v>20850</v>
      </c>
      <c r="C904" s="16">
        <f t="shared" si="110"/>
        <v>36.578947368421055</v>
      </c>
      <c r="D904" s="15">
        <f t="shared" si="111"/>
        <v>6.4336377542999998E+20</v>
      </c>
      <c r="E904" s="15">
        <f>FORECAST($C904, OFFSET('De Vaucouleurs Deprojection'!$F$3:$F$126, MATCH($C904, 'De Vaucouleurs Deprojection'!$A$3:$A$126,1)-1,0,2), OFFSET('De Vaucouleurs Deprojection'!$A$3:$A$126, MATCH($C904, 'De Vaucouleurs Deprojection'!$A$3:$A$126,1)-1,0,2))*LCDMTotalBulgeMass</f>
        <v>1.8643090795357891E+40</v>
      </c>
      <c r="F904" s="15">
        <f t="shared" si="104"/>
        <v>3.9781999999998843E+39</v>
      </c>
      <c r="G904" s="15">
        <f t="shared" si="105"/>
        <v>1.916833710948202E+41</v>
      </c>
      <c r="H904" s="15">
        <f t="shared" si="106"/>
        <v>2.1430466189017799E+41</v>
      </c>
      <c r="I904" s="16">
        <v>151.22234</v>
      </c>
      <c r="J904" s="45">
        <v>1</v>
      </c>
      <c r="K904" s="19">
        <f t="shared" si="107"/>
        <v>149.10191150066183</v>
      </c>
      <c r="L904" s="16">
        <f t="shared" si="108"/>
        <v>4.4962170208055436</v>
      </c>
      <c r="M904" s="45"/>
    </row>
    <row r="905" spans="1:13" x14ac:dyDescent="0.25">
      <c r="A905" s="16">
        <v>20.9</v>
      </c>
      <c r="B905" s="45">
        <f t="shared" si="109"/>
        <v>20900</v>
      </c>
      <c r="C905" s="16">
        <f t="shared" si="110"/>
        <v>36.666666666666664</v>
      </c>
      <c r="D905" s="15">
        <f t="shared" si="111"/>
        <v>6.4490661421999994E+20</v>
      </c>
      <c r="E905" s="15">
        <f>FORECAST($C905, OFFSET('De Vaucouleurs Deprojection'!$F$3:$F$126, MATCH($C905, 'De Vaucouleurs Deprojection'!$A$3:$A$126,1)-1,0,2), OFFSET('De Vaucouleurs Deprojection'!$A$3:$A$126, MATCH($C905, 'De Vaucouleurs Deprojection'!$A$3:$A$126,1)-1,0,2))*LCDMTotalBulgeMass</f>
        <v>1.8643441784266664E+40</v>
      </c>
      <c r="F905" s="15">
        <f t="shared" si="104"/>
        <v>3.9781999999998934E+39</v>
      </c>
      <c r="G905" s="15">
        <f t="shared" si="105"/>
        <v>1.9213495355928915E+41</v>
      </c>
      <c r="H905" s="15">
        <f t="shared" si="106"/>
        <v>2.1475659534355569E+41</v>
      </c>
      <c r="I905" s="16">
        <v>150.96474000000001</v>
      </c>
      <c r="J905" s="45">
        <v>1</v>
      </c>
      <c r="K905" s="19">
        <f t="shared" si="107"/>
        <v>149.0803980283315</v>
      </c>
      <c r="L905" s="16">
        <f t="shared" si="108"/>
        <v>3.550744666191548</v>
      </c>
      <c r="M905" s="45"/>
    </row>
    <row r="906" spans="1:13" x14ac:dyDescent="0.25">
      <c r="A906" s="16">
        <v>20.95</v>
      </c>
      <c r="B906" s="45">
        <f t="shared" si="109"/>
        <v>20950</v>
      </c>
      <c r="C906" s="16">
        <f t="shared" si="110"/>
        <v>36.754385964912281</v>
      </c>
      <c r="D906" s="15">
        <f t="shared" si="111"/>
        <v>6.4644945301000002E+20</v>
      </c>
      <c r="E906" s="15">
        <f>FORECAST($C906, OFFSET('De Vaucouleurs Deprojection'!$F$3:$F$126, MATCH($C906, 'De Vaucouleurs Deprojection'!$A$3:$A$126,1)-1,0,2), OFFSET('De Vaucouleurs Deprojection'!$A$3:$A$126, MATCH($C906, 'De Vaucouleurs Deprojection'!$A$3:$A$126,1)-1,0,2))*LCDMTotalBulgeMass</f>
        <v>1.8643792773175436E+40</v>
      </c>
      <c r="F906" s="15">
        <f t="shared" si="104"/>
        <v>3.9781999999999018E+39</v>
      </c>
      <c r="G906" s="15">
        <f t="shared" si="105"/>
        <v>1.9258611628615178E+41</v>
      </c>
      <c r="H906" s="15">
        <f t="shared" si="106"/>
        <v>2.1520810905932712E+41</v>
      </c>
      <c r="I906" s="16">
        <v>150.69211999999999</v>
      </c>
      <c r="J906" s="45">
        <v>1</v>
      </c>
      <c r="K906" s="19">
        <f t="shared" si="107"/>
        <v>149.05883880217058</v>
      </c>
      <c r="L906" s="16">
        <f t="shared" si="108"/>
        <v>2.6676074711830546</v>
      </c>
      <c r="M906" s="45"/>
    </row>
    <row r="907" spans="1:13" x14ac:dyDescent="0.25">
      <c r="A907" s="16">
        <v>21</v>
      </c>
      <c r="B907" s="45">
        <f t="shared" si="109"/>
        <v>21000</v>
      </c>
      <c r="C907" s="16">
        <f t="shared" si="110"/>
        <v>36.842105263157897</v>
      </c>
      <c r="D907" s="15">
        <f t="shared" si="111"/>
        <v>6.4799229179999997E+20</v>
      </c>
      <c r="E907" s="15">
        <f>FORECAST($C907, OFFSET('De Vaucouleurs Deprojection'!$F$3:$F$126, MATCH($C907, 'De Vaucouleurs Deprojection'!$A$3:$A$126,1)-1,0,2), OFFSET('De Vaucouleurs Deprojection'!$A$3:$A$126, MATCH($C907, 'De Vaucouleurs Deprojection'!$A$3:$A$126,1)-1,0,2))*LCDMTotalBulgeMass</f>
        <v>1.8644143762084209E+40</v>
      </c>
      <c r="F907" s="15">
        <f t="shared" si="104"/>
        <v>3.9781999999999097E+39</v>
      </c>
      <c r="G907" s="15">
        <f t="shared" si="105"/>
        <v>1.9303685957534747E+41</v>
      </c>
      <c r="H907" s="15">
        <f t="shared" si="106"/>
        <v>2.156592033374316E+41</v>
      </c>
      <c r="I907" s="16">
        <v>150.40822</v>
      </c>
      <c r="J907" s="45">
        <v>1</v>
      </c>
      <c r="K907" s="19">
        <f t="shared" si="107"/>
        <v>149.03723421064262</v>
      </c>
      <c r="L907" s="16">
        <f t="shared" si="108"/>
        <v>1.8796020346198699</v>
      </c>
      <c r="M907" s="45"/>
    </row>
    <row r="908" spans="1:13" x14ac:dyDescent="0.25">
      <c r="A908" s="16">
        <v>21.05</v>
      </c>
      <c r="B908" s="45">
        <f t="shared" si="109"/>
        <v>21050</v>
      </c>
      <c r="C908" s="16">
        <f t="shared" si="110"/>
        <v>36.929824561403507</v>
      </c>
      <c r="D908" s="15">
        <f t="shared" si="111"/>
        <v>6.4953513059000005E+20</v>
      </c>
      <c r="E908" s="15">
        <f>FORECAST($C908, OFFSET('De Vaucouleurs Deprojection'!$F$3:$F$126, MATCH($C908, 'De Vaucouleurs Deprojection'!$A$3:$A$126,1)-1,0,2), OFFSET('De Vaucouleurs Deprojection'!$A$3:$A$126, MATCH($C908, 'De Vaucouleurs Deprojection'!$A$3:$A$126,1)-1,0,2))*LCDMTotalBulgeMass</f>
        <v>1.864449475099298E+40</v>
      </c>
      <c r="F908" s="15">
        <f t="shared" si="104"/>
        <v>3.9781999999999176E+39</v>
      </c>
      <c r="G908" s="15">
        <f t="shared" si="105"/>
        <v>1.9348718373073324E+41</v>
      </c>
      <c r="H908" s="15">
        <f t="shared" si="106"/>
        <v>2.1610987848172613E+41</v>
      </c>
      <c r="I908" s="16">
        <v>150.11685</v>
      </c>
      <c r="J908" s="45">
        <v>1</v>
      </c>
      <c r="K908" s="19">
        <f t="shared" si="107"/>
        <v>149.01558463986532</v>
      </c>
      <c r="L908" s="16">
        <f t="shared" si="108"/>
        <v>1.2127853934325568</v>
      </c>
      <c r="M908" s="45"/>
    </row>
    <row r="909" spans="1:13" x14ac:dyDescent="0.25">
      <c r="A909" s="16">
        <v>21.1</v>
      </c>
      <c r="B909" s="45">
        <f t="shared" si="109"/>
        <v>21100</v>
      </c>
      <c r="C909" s="16">
        <f t="shared" si="110"/>
        <v>37.017543859649123</v>
      </c>
      <c r="D909" s="15">
        <f t="shared" si="111"/>
        <v>6.5107796938000001E+20</v>
      </c>
      <c r="E909" s="15">
        <f>FORECAST($C909, OFFSET('De Vaucouleurs Deprojection'!$F$3:$F$126, MATCH($C909, 'De Vaucouleurs Deprojection'!$A$3:$A$126,1)-1,0,2), OFFSET('De Vaucouleurs Deprojection'!$A$3:$A$126, MATCH($C909, 'De Vaucouleurs Deprojection'!$A$3:$A$126,1)-1,0,2))*LCDMTotalBulgeMass</f>
        <v>1.864484573990175E+40</v>
      </c>
      <c r="F909" s="15">
        <f t="shared" si="104"/>
        <v>3.978199999999923E+39</v>
      </c>
      <c r="G909" s="15">
        <f t="shared" si="105"/>
        <v>1.9393708906002159E+41</v>
      </c>
      <c r="H909" s="15">
        <f t="shared" si="106"/>
        <v>2.1656013479992328E+41</v>
      </c>
      <c r="I909" s="16">
        <v>149.82121000000001</v>
      </c>
      <c r="J909" s="45">
        <v>1</v>
      </c>
      <c r="K909" s="19">
        <f t="shared" si="107"/>
        <v>148.99389047361873</v>
      </c>
      <c r="L909" s="16">
        <f t="shared" si="108"/>
        <v>0.68445759873173517</v>
      </c>
      <c r="M909" s="45"/>
    </row>
    <row r="910" spans="1:13" x14ac:dyDescent="0.25">
      <c r="A910" s="16">
        <v>21.15</v>
      </c>
      <c r="B910" s="45">
        <f t="shared" si="109"/>
        <v>21150</v>
      </c>
      <c r="C910" s="16">
        <f t="shared" si="110"/>
        <v>37.10526315789474</v>
      </c>
      <c r="D910" s="15">
        <f t="shared" si="111"/>
        <v>6.5262080816999996E+20</v>
      </c>
      <c r="E910" s="15">
        <f>FORECAST($C910, OFFSET('De Vaucouleurs Deprojection'!$F$3:$F$126, MATCH($C910, 'De Vaucouleurs Deprojection'!$A$3:$A$126,1)-1,0,2), OFFSET('De Vaucouleurs Deprojection'!$A$3:$A$126, MATCH($C910, 'De Vaucouleurs Deprojection'!$A$3:$A$126,1)-1,0,2))*LCDMTotalBulgeMass</f>
        <v>1.8645196728810523E+40</v>
      </c>
      <c r="F910" s="15">
        <f t="shared" si="104"/>
        <v>3.978199999999929E+39</v>
      </c>
      <c r="G910" s="15">
        <f t="shared" si="105"/>
        <v>1.9438657587471996E+41</v>
      </c>
      <c r="H910" s="15">
        <f t="shared" si="106"/>
        <v>2.170099726035304E+41</v>
      </c>
      <c r="I910" s="16">
        <v>149.52387999999999</v>
      </c>
      <c r="J910" s="45">
        <v>1</v>
      </c>
      <c r="K910" s="19">
        <f t="shared" si="107"/>
        <v>148.97215209335354</v>
      </c>
      <c r="L910" s="16">
        <f t="shared" si="108"/>
        <v>0.30440368297247189</v>
      </c>
      <c r="M910" s="45"/>
    </row>
    <row r="911" spans="1:13" x14ac:dyDescent="0.25">
      <c r="A911" s="16">
        <v>21.2</v>
      </c>
      <c r="B911" s="45">
        <f t="shared" si="109"/>
        <v>21200</v>
      </c>
      <c r="C911" s="16">
        <f t="shared" si="110"/>
        <v>37.192982456140349</v>
      </c>
      <c r="D911" s="15">
        <f t="shared" si="111"/>
        <v>6.5416364696000004E+20</v>
      </c>
      <c r="E911" s="15">
        <f>FORECAST($C911, OFFSET('De Vaucouleurs Deprojection'!$F$3:$F$126, MATCH($C911, 'De Vaucouleurs Deprojection'!$A$3:$A$126,1)-1,0,2), OFFSET('De Vaucouleurs Deprojection'!$A$3:$A$126, MATCH($C911, 'De Vaucouleurs Deprojection'!$A$3:$A$126,1)-1,0,2))*LCDMTotalBulgeMass</f>
        <v>1.8645547717719296E+40</v>
      </c>
      <c r="F911" s="15">
        <f t="shared" si="104"/>
        <v>3.9781999999999345E+39</v>
      </c>
      <c r="G911" s="15">
        <f t="shared" si="105"/>
        <v>1.94835644490071E+41</v>
      </c>
      <c r="H911" s="15">
        <f t="shared" si="106"/>
        <v>2.1745939220779024E+41</v>
      </c>
      <c r="I911" s="16">
        <v>149.22703999999999</v>
      </c>
      <c r="J911" s="45">
        <v>1</v>
      </c>
      <c r="K911" s="19">
        <f t="shared" si="107"/>
        <v>148.95036987819989</v>
      </c>
      <c r="L911" s="16">
        <f t="shared" si="108"/>
        <v>7.6546356296879212E-2</v>
      </c>
      <c r="M911" s="45"/>
    </row>
    <row r="912" spans="1:13" x14ac:dyDescent="0.25">
      <c r="A912" s="16">
        <v>21.25</v>
      </c>
      <c r="B912" s="45">
        <f t="shared" si="109"/>
        <v>21250</v>
      </c>
      <c r="C912" s="16">
        <f t="shared" si="110"/>
        <v>37.280701754385966</v>
      </c>
      <c r="D912" s="15">
        <f t="shared" si="111"/>
        <v>6.5570648574999999E+20</v>
      </c>
      <c r="E912" s="15">
        <f>FORECAST($C912, OFFSET('De Vaucouleurs Deprojection'!$F$3:$F$126, MATCH($C912, 'De Vaucouleurs Deprojection'!$A$3:$A$126,1)-1,0,2), OFFSET('De Vaucouleurs Deprojection'!$A$3:$A$126, MATCH($C912, 'De Vaucouleurs Deprojection'!$A$3:$A$126,1)-1,0,2))*LCDMTotalBulgeMass</f>
        <v>1.8645898706628068E+40</v>
      </c>
      <c r="F912" s="15">
        <f t="shared" si="104"/>
        <v>3.9781999999999393E+39</v>
      </c>
      <c r="G912" s="15">
        <f t="shared" si="105"/>
        <v>1.9528429522499334E+41</v>
      </c>
      <c r="H912" s="15">
        <f t="shared" si="106"/>
        <v>2.1790839393162133E+41</v>
      </c>
      <c r="I912" s="16">
        <v>148.93271999999999</v>
      </c>
      <c r="J912" s="45">
        <v>1</v>
      </c>
      <c r="K912" s="19">
        <f t="shared" si="107"/>
        <v>148.92854420497591</v>
      </c>
      <c r="L912" s="16">
        <f t="shared" si="108"/>
        <v>1.743726408314935E-5</v>
      </c>
      <c r="M912" s="45"/>
    </row>
    <row r="913" spans="1:13" x14ac:dyDescent="0.25">
      <c r="A913" s="16">
        <v>21.3</v>
      </c>
      <c r="B913" s="45">
        <f t="shared" si="109"/>
        <v>21300</v>
      </c>
      <c r="C913" s="16">
        <f t="shared" si="110"/>
        <v>37.368421052631582</v>
      </c>
      <c r="D913" s="15">
        <f t="shared" si="111"/>
        <v>6.5724932454000008E+20</v>
      </c>
      <c r="E913" s="15">
        <f>FORECAST($C913, OFFSET('De Vaucouleurs Deprojection'!$F$3:$F$126, MATCH($C913, 'De Vaucouleurs Deprojection'!$A$3:$A$126,1)-1,0,2), OFFSET('De Vaucouleurs Deprojection'!$A$3:$A$126, MATCH($C913, 'De Vaucouleurs Deprojection'!$A$3:$A$126,1)-1,0,2))*LCDMTotalBulgeMass</f>
        <v>1.8646249695536839E+40</v>
      </c>
      <c r="F913" s="15">
        <f t="shared" si="104"/>
        <v>3.9781999999999442E+39</v>
      </c>
      <c r="G913" s="15">
        <f t="shared" si="105"/>
        <v>1.9573252840202284E+41</v>
      </c>
      <c r="H913" s="15">
        <f t="shared" si="106"/>
        <v>2.1835697809755963E+41</v>
      </c>
      <c r="I913" s="16">
        <v>148.64246</v>
      </c>
      <c r="J913" s="45">
        <v>1</v>
      </c>
      <c r="K913" s="19">
        <f t="shared" si="107"/>
        <v>148.90667544819638</v>
      </c>
      <c r="L913" s="16">
        <f t="shared" si="108"/>
        <v>6.9809803065614726E-2</v>
      </c>
      <c r="M913" s="45"/>
    </row>
    <row r="914" spans="1:13" x14ac:dyDescent="0.25">
      <c r="A914" s="16">
        <v>21.35</v>
      </c>
      <c r="B914" s="45">
        <f t="shared" si="109"/>
        <v>21350</v>
      </c>
      <c r="C914" s="16">
        <f t="shared" si="110"/>
        <v>37.456140350877192</v>
      </c>
      <c r="D914" s="15">
        <f t="shared" si="111"/>
        <v>6.5879216333000003E+20</v>
      </c>
      <c r="E914" s="15">
        <f>FORECAST($C914, OFFSET('De Vaucouleurs Deprojection'!$F$3:$F$126, MATCH($C914, 'De Vaucouleurs Deprojection'!$A$3:$A$126,1)-1,0,2), OFFSET('De Vaucouleurs Deprojection'!$A$3:$A$126, MATCH($C914, 'De Vaucouleurs Deprojection'!$A$3:$A$126,1)-1,0,2))*LCDMTotalBulgeMass</f>
        <v>1.8646600684445611E+40</v>
      </c>
      <c r="F914" s="15">
        <f t="shared" si="104"/>
        <v>3.9781999999999484E+39</v>
      </c>
      <c r="G914" s="15">
        <f t="shared" si="105"/>
        <v>1.9618034434725571E+41</v>
      </c>
      <c r="H914" s="15">
        <f t="shared" si="106"/>
        <v>2.1880514503170129E+41</v>
      </c>
      <c r="I914" s="16">
        <v>148.35688999999999</v>
      </c>
      <c r="J914" s="45">
        <v>1</v>
      </c>
      <c r="K914" s="19">
        <f t="shared" si="107"/>
        <v>148.88476398008203</v>
      </c>
      <c r="L914" s="16">
        <f t="shared" si="108"/>
        <v>0.27865093884764836</v>
      </c>
      <c r="M914" s="45"/>
    </row>
    <row r="915" spans="1:13" x14ac:dyDescent="0.25">
      <c r="A915" s="16">
        <v>21.4</v>
      </c>
      <c r="B915" s="45">
        <f t="shared" si="109"/>
        <v>21400</v>
      </c>
      <c r="C915" s="16">
        <f t="shared" si="110"/>
        <v>37.543859649122808</v>
      </c>
      <c r="D915" s="15">
        <f t="shared" si="111"/>
        <v>6.6033500211999998E+20</v>
      </c>
      <c r="E915" s="15">
        <f>FORECAST($C915, OFFSET('De Vaucouleurs Deprojection'!$F$3:$F$126, MATCH($C915, 'De Vaucouleurs Deprojection'!$A$3:$A$126,1)-1,0,2), OFFSET('De Vaucouleurs Deprojection'!$A$3:$A$126, MATCH($C915, 'De Vaucouleurs Deprojection'!$A$3:$A$126,1)-1,0,2))*LCDMTotalBulgeMass</f>
        <v>1.8646951673354382E+40</v>
      </c>
      <c r="F915" s="15">
        <f t="shared" si="104"/>
        <v>3.9781999999999526E+39</v>
      </c>
      <c r="G915" s="15">
        <f t="shared" si="105"/>
        <v>1.9662774339029065E+41</v>
      </c>
      <c r="H915" s="15">
        <f t="shared" si="106"/>
        <v>2.1925289506364499E+41</v>
      </c>
      <c r="I915" s="16">
        <v>148.07578000000001</v>
      </c>
      <c r="J915" s="45">
        <v>1</v>
      </c>
      <c r="K915" s="19">
        <f t="shared" si="107"/>
        <v>148.862810170568</v>
      </c>
      <c r="L915" s="16">
        <f t="shared" si="108"/>
        <v>0.61941648938427607</v>
      </c>
      <c r="M915" s="45"/>
    </row>
    <row r="916" spans="1:13" x14ac:dyDescent="0.25">
      <c r="A916" s="16">
        <v>21.45</v>
      </c>
      <c r="B916" s="45">
        <f t="shared" si="109"/>
        <v>21450</v>
      </c>
      <c r="C916" s="16">
        <f t="shared" si="110"/>
        <v>37.631578947368418</v>
      </c>
      <c r="D916" s="15">
        <f t="shared" si="111"/>
        <v>6.6187784090999993E+20</v>
      </c>
      <c r="E916" s="15">
        <f>FORECAST($C916, OFFSET('De Vaucouleurs Deprojection'!$F$3:$F$126, MATCH($C916, 'De Vaucouleurs Deprojection'!$A$3:$A$126,1)-1,0,2), OFFSET('De Vaucouleurs Deprojection'!$A$3:$A$126, MATCH($C916, 'De Vaucouleurs Deprojection'!$A$3:$A$126,1)-1,0,2))*LCDMTotalBulgeMass</f>
        <v>1.8647302662263155E+40</v>
      </c>
      <c r="F916" s="15">
        <f t="shared" si="104"/>
        <v>3.9781999999999562E+39</v>
      </c>
      <c r="G916" s="15">
        <f t="shared" si="105"/>
        <v>1.9707472586417342E+41</v>
      </c>
      <c r="H916" s="15">
        <f t="shared" si="106"/>
        <v>2.1970022852643651E+41</v>
      </c>
      <c r="I916" s="16">
        <v>147.79826</v>
      </c>
      <c r="J916" s="45">
        <v>1</v>
      </c>
      <c r="K916" s="19">
        <f t="shared" si="107"/>
        <v>148.84081438731332</v>
      </c>
      <c r="L916" s="16">
        <f t="shared" si="108"/>
        <v>1.0869196505062448</v>
      </c>
      <c r="M916" s="45"/>
    </row>
    <row r="917" spans="1:13" x14ac:dyDescent="0.25">
      <c r="A917" s="16">
        <v>21.5</v>
      </c>
      <c r="B917" s="45">
        <f t="shared" si="109"/>
        <v>21500</v>
      </c>
      <c r="C917" s="16">
        <f t="shared" si="110"/>
        <v>37.719298245614034</v>
      </c>
      <c r="D917" s="15">
        <f t="shared" si="111"/>
        <v>6.6342067970000001E+20</v>
      </c>
      <c r="E917" s="15">
        <f>FORECAST($C917, OFFSET('De Vaucouleurs Deprojection'!$F$3:$F$126, MATCH($C917, 'De Vaucouleurs Deprojection'!$A$3:$A$126,1)-1,0,2), OFFSET('De Vaucouleurs Deprojection'!$A$3:$A$126, MATCH($C917, 'De Vaucouleurs Deprojection'!$A$3:$A$126,1)-1,0,2))*LCDMTotalBulgeMass</f>
        <v>1.8647653651171927E+40</v>
      </c>
      <c r="F917" s="15">
        <f t="shared" si="104"/>
        <v>3.9781999999999599E+39</v>
      </c>
      <c r="G917" s="15">
        <f t="shared" si="105"/>
        <v>1.9752129210534138E+41</v>
      </c>
      <c r="H917" s="15">
        <f t="shared" si="106"/>
        <v>2.2014714575651327E+41</v>
      </c>
      <c r="I917" s="16">
        <v>147.52343999999999</v>
      </c>
      <c r="J917" s="45">
        <v>1</v>
      </c>
      <c r="K917" s="19">
        <f t="shared" si="107"/>
        <v>148.81877699571015</v>
      </c>
      <c r="L917" s="16">
        <f t="shared" si="108"/>
        <v>1.6778979324554195</v>
      </c>
      <c r="M917" s="45"/>
    </row>
    <row r="918" spans="1:13" x14ac:dyDescent="0.25">
      <c r="A918" s="16">
        <v>21.55</v>
      </c>
      <c r="B918" s="45">
        <f t="shared" si="109"/>
        <v>21550</v>
      </c>
      <c r="C918" s="16">
        <f t="shared" si="110"/>
        <v>37.807017543859651</v>
      </c>
      <c r="D918" s="15">
        <f t="shared" si="111"/>
        <v>6.6496351848999997E+20</v>
      </c>
      <c r="E918" s="15">
        <f>FORECAST($C918, OFFSET('De Vaucouleurs Deprojection'!$F$3:$F$126, MATCH($C918, 'De Vaucouleurs Deprojection'!$A$3:$A$126,1)-1,0,2), OFFSET('De Vaucouleurs Deprojection'!$A$3:$A$126, MATCH($C918, 'De Vaucouleurs Deprojection'!$A$3:$A$126,1)-1,0,2))*LCDMTotalBulgeMass</f>
        <v>1.86480046400807E+40</v>
      </c>
      <c r="F918" s="15">
        <f t="shared" si="104"/>
        <v>3.9781999999999635E+39</v>
      </c>
      <c r="G918" s="15">
        <f t="shared" si="105"/>
        <v>1.9796744245356841E+41</v>
      </c>
      <c r="H918" s="15">
        <f t="shared" si="106"/>
        <v>2.2059364709364906E+41</v>
      </c>
      <c r="I918" s="16">
        <v>147.25055</v>
      </c>
      <c r="J918" s="45">
        <v>1</v>
      </c>
      <c r="K918" s="19">
        <f t="shared" si="107"/>
        <v>148.79669835889297</v>
      </c>
      <c r="L918" s="16">
        <f t="shared" si="108"/>
        <v>2.3905747477074053</v>
      </c>
      <c r="M918" s="45"/>
    </row>
    <row r="919" spans="1:13" x14ac:dyDescent="0.25">
      <c r="A919" s="16">
        <v>21.6</v>
      </c>
      <c r="B919" s="45">
        <f t="shared" si="109"/>
        <v>21600</v>
      </c>
      <c r="C919" s="16">
        <f t="shared" si="110"/>
        <v>37.89473684210526</v>
      </c>
      <c r="D919" s="15">
        <f t="shared" si="111"/>
        <v>6.6650635728000005E+20</v>
      </c>
      <c r="E919" s="15">
        <f>FORECAST($C919, OFFSET('De Vaucouleurs Deprojection'!$F$3:$F$126, MATCH($C919, 'De Vaucouleurs Deprojection'!$A$3:$A$126,1)-1,0,2), OFFSET('De Vaucouleurs Deprojection'!$A$3:$A$126, MATCH($C919, 'De Vaucouleurs Deprojection'!$A$3:$A$126,1)-1,0,2))*LCDMTotalBulgeMass</f>
        <v>1.8648355628989471E+40</v>
      </c>
      <c r="F919" s="15">
        <f t="shared" si="104"/>
        <v>3.9781999999999659E+39</v>
      </c>
      <c r="G919" s="15">
        <f t="shared" si="105"/>
        <v>1.9841317725191103E+41</v>
      </c>
      <c r="H919" s="15">
        <f t="shared" si="106"/>
        <v>2.2103973288090047E+41</v>
      </c>
      <c r="I919" s="16">
        <v>146.97914</v>
      </c>
      <c r="J919" s="45">
        <v>1</v>
      </c>
      <c r="K919" s="19">
        <f t="shared" si="107"/>
        <v>148.7745788377479</v>
      </c>
      <c r="L919" s="16">
        <f t="shared" si="108"/>
        <v>3.2236006200935119</v>
      </c>
      <c r="M919" s="45"/>
    </row>
    <row r="920" spans="1:13" x14ac:dyDescent="0.25">
      <c r="A920" s="16">
        <v>21.65</v>
      </c>
      <c r="B920" s="45">
        <f t="shared" si="109"/>
        <v>21650</v>
      </c>
      <c r="C920" s="16">
        <f t="shared" si="110"/>
        <v>37.982456140350877</v>
      </c>
      <c r="D920" s="15">
        <f t="shared" si="111"/>
        <v>6.6804919607E+20</v>
      </c>
      <c r="E920" s="15">
        <f>FORECAST($C920, OFFSET('De Vaucouleurs Deprojection'!$F$3:$F$126, MATCH($C920, 'De Vaucouleurs Deprojection'!$A$3:$A$126,1)-1,0,2), OFFSET('De Vaucouleurs Deprojection'!$A$3:$A$126, MATCH($C920, 'De Vaucouleurs Deprojection'!$A$3:$A$126,1)-1,0,2))*LCDMTotalBulgeMass</f>
        <v>1.8648706617898243E+40</v>
      </c>
      <c r="F920" s="15">
        <f t="shared" si="104"/>
        <v>3.9781999999999683E+39</v>
      </c>
      <c r="G920" s="15">
        <f t="shared" si="105"/>
        <v>1.9885849684665554E+41</v>
      </c>
      <c r="H920" s="15">
        <f t="shared" si="106"/>
        <v>2.2148540346455373E+41</v>
      </c>
      <c r="I920" s="16">
        <v>146.70904999999999</v>
      </c>
      <c r="J920" s="45">
        <v>1</v>
      </c>
      <c r="K920" s="19">
        <f t="shared" si="107"/>
        <v>148.75241879092241</v>
      </c>
      <c r="L920" s="16">
        <f t="shared" si="108"/>
        <v>4.1753560157157308</v>
      </c>
      <c r="M920" s="45"/>
    </row>
    <row r="921" spans="1:13" x14ac:dyDescent="0.25">
      <c r="A921" s="16">
        <v>21.7</v>
      </c>
      <c r="B921" s="45">
        <f t="shared" si="109"/>
        <v>21700</v>
      </c>
      <c r="C921" s="16">
        <f t="shared" si="110"/>
        <v>38.070175438596493</v>
      </c>
      <c r="D921" s="15">
        <f t="shared" si="111"/>
        <v>6.6959203485999995E+20</v>
      </c>
      <c r="E921" s="15">
        <f>FORECAST($C921, OFFSET('De Vaucouleurs Deprojection'!$F$3:$F$126, MATCH($C921, 'De Vaucouleurs Deprojection'!$A$3:$A$126,1)-1,0,2), OFFSET('De Vaucouleurs Deprojection'!$A$3:$A$126, MATCH($C921, 'De Vaucouleurs Deprojection'!$A$3:$A$126,1)-1,0,2))*LCDMTotalBulgeMass</f>
        <v>1.8649057606807014E+40</v>
      </c>
      <c r="F921" s="15">
        <f t="shared" si="104"/>
        <v>3.9781999999999701E+39</v>
      </c>
      <c r="G921" s="15">
        <f t="shared" si="105"/>
        <v>1.9930340158726485E+41</v>
      </c>
      <c r="H921" s="15">
        <f t="shared" si="106"/>
        <v>2.2193065919407184E+41</v>
      </c>
      <c r="I921" s="16">
        <v>146.44023000000001</v>
      </c>
      <c r="J921" s="45">
        <v>1</v>
      </c>
      <c r="K921" s="19">
        <f t="shared" si="107"/>
        <v>148.73021857483479</v>
      </c>
      <c r="L921" s="16">
        <f t="shared" si="108"/>
        <v>5.2440476728738261</v>
      </c>
      <c r="M921" s="45"/>
    </row>
    <row r="922" spans="1:13" x14ac:dyDescent="0.25">
      <c r="A922" s="16">
        <v>21.75</v>
      </c>
      <c r="B922" s="45">
        <f t="shared" si="109"/>
        <v>21750</v>
      </c>
      <c r="C922" s="16">
        <f t="shared" si="110"/>
        <v>38.157894736842103</v>
      </c>
      <c r="D922" s="15">
        <f t="shared" si="111"/>
        <v>6.7113487365000004E+20</v>
      </c>
      <c r="E922" s="15">
        <f>FORECAST($C922, OFFSET('De Vaucouleurs Deprojection'!$F$3:$F$126, MATCH($C922, 'De Vaucouleurs Deprojection'!$A$3:$A$126,1)-1,0,2), OFFSET('De Vaucouleurs Deprojection'!$A$3:$A$126, MATCH($C922, 'De Vaucouleurs Deprojection'!$A$3:$A$126,1)-1,0,2))*LCDMTotalBulgeMass</f>
        <v>1.8649408595715787E+40</v>
      </c>
      <c r="F922" s="15">
        <f t="shared" si="104"/>
        <v>3.9781999999999726E+39</v>
      </c>
      <c r="G922" s="15">
        <f t="shared" si="105"/>
        <v>1.9974789182632686E+41</v>
      </c>
      <c r="H922" s="15">
        <f t="shared" si="106"/>
        <v>2.223755004220426E+41</v>
      </c>
      <c r="I922" s="16">
        <v>146.17287999999999</v>
      </c>
      <c r="J922" s="45">
        <v>1</v>
      </c>
      <c r="K922" s="19">
        <f t="shared" si="107"/>
        <v>148.70797854368365</v>
      </c>
      <c r="L922" s="16">
        <f t="shared" si="108"/>
        <v>6.4267246261870117</v>
      </c>
      <c r="M922" s="45"/>
    </row>
    <row r="923" spans="1:13" x14ac:dyDescent="0.25">
      <c r="A923" s="16">
        <v>21.8</v>
      </c>
      <c r="B923" s="45">
        <f t="shared" si="109"/>
        <v>21800</v>
      </c>
      <c r="C923" s="16">
        <f t="shared" si="110"/>
        <v>38.245614035087719</v>
      </c>
      <c r="D923" s="15">
        <f t="shared" si="111"/>
        <v>6.7267771243999999E+20</v>
      </c>
      <c r="E923" s="15">
        <f>FORECAST($C923, OFFSET('De Vaucouleurs Deprojection'!$F$3:$F$126, MATCH($C923, 'De Vaucouleurs Deprojection'!$A$3:$A$126,1)-1,0,2), OFFSET('De Vaucouleurs Deprojection'!$A$3:$A$126, MATCH($C923, 'De Vaucouleurs Deprojection'!$A$3:$A$126,1)-1,0,2))*LCDMTotalBulgeMass</f>
        <v>1.8649759584624559E+40</v>
      </c>
      <c r="F923" s="15">
        <f t="shared" si="104"/>
        <v>3.978199999999975E+39</v>
      </c>
      <c r="G923" s="15">
        <f t="shared" si="105"/>
        <v>2.0019196791950304E+41</v>
      </c>
      <c r="H923" s="15">
        <f t="shared" si="106"/>
        <v>2.2281992750412758E+41</v>
      </c>
      <c r="I923" s="16">
        <v>145.90737999999999</v>
      </c>
      <c r="J923" s="45">
        <v>1</v>
      </c>
      <c r="K923" s="19">
        <f t="shared" si="107"/>
        <v>148.68569904945792</v>
      </c>
      <c r="L923" s="16">
        <f t="shared" si="108"/>
        <v>7.7190567405808403</v>
      </c>
      <c r="M923" s="45"/>
    </row>
    <row r="924" spans="1:13" x14ac:dyDescent="0.25">
      <c r="A924" s="16">
        <v>21.85</v>
      </c>
      <c r="B924" s="45">
        <f t="shared" si="109"/>
        <v>21850</v>
      </c>
      <c r="C924" s="16">
        <f t="shared" si="110"/>
        <v>38.333333333333336</v>
      </c>
      <c r="D924" s="15">
        <f t="shared" si="111"/>
        <v>6.7422055123000007E+20</v>
      </c>
      <c r="E924" s="15">
        <f>FORECAST($C924, OFFSET('De Vaucouleurs Deprojection'!$F$3:$F$126, MATCH($C924, 'De Vaucouleurs Deprojection'!$A$3:$A$126,1)-1,0,2), OFFSET('De Vaucouleurs Deprojection'!$A$3:$A$126, MATCH($C924, 'De Vaucouleurs Deprojection'!$A$3:$A$126,1)-1,0,2))*LCDMTotalBulgeMass</f>
        <v>1.865011057353333E+40</v>
      </c>
      <c r="F924" s="15">
        <f t="shared" si="104"/>
        <v>3.9781999999999774E+39</v>
      </c>
      <c r="G924" s="15">
        <f t="shared" si="105"/>
        <v>2.0063563022547833E+41</v>
      </c>
      <c r="H924" s="15">
        <f t="shared" si="106"/>
        <v>2.2326394079901163E+41</v>
      </c>
      <c r="I924" s="16">
        <v>145.64438999999999</v>
      </c>
      <c r="J924" s="45">
        <v>1</v>
      </c>
      <c r="K924" s="19">
        <f t="shared" si="107"/>
        <v>148.66338044194646</v>
      </c>
      <c r="L924" s="16">
        <f t="shared" si="108"/>
        <v>9.1143032885641482</v>
      </c>
      <c r="M924" s="45"/>
    </row>
    <row r="925" spans="1:13" x14ac:dyDescent="0.25">
      <c r="A925" s="16">
        <v>21.9</v>
      </c>
      <c r="B925" s="45">
        <f t="shared" si="109"/>
        <v>21900</v>
      </c>
      <c r="C925" s="16">
        <f t="shared" si="110"/>
        <v>38.421052631578945</v>
      </c>
      <c r="D925" s="15">
        <f t="shared" si="111"/>
        <v>6.7576339001999989E+20</v>
      </c>
      <c r="E925" s="15">
        <f>FORECAST($C925, OFFSET('De Vaucouleurs Deprojection'!$F$3:$F$126, MATCH($C925, 'De Vaucouleurs Deprojection'!$A$3:$A$126,1)-1,0,2), OFFSET('De Vaucouleurs Deprojection'!$A$3:$A$126, MATCH($C925, 'De Vaucouleurs Deprojection'!$A$3:$A$126,1)-1,0,2))*LCDMTotalBulgeMass</f>
        <v>1.8650461562442103E+40</v>
      </c>
      <c r="F925" s="15">
        <f t="shared" si="104"/>
        <v>3.9781999999999792E+39</v>
      </c>
      <c r="G925" s="15">
        <f t="shared" si="105"/>
        <v>2.0107887910591033E+41</v>
      </c>
      <c r="H925" s="15">
        <f t="shared" si="106"/>
        <v>2.2370754066835242E+41</v>
      </c>
      <c r="I925" s="16">
        <v>145.38487000000001</v>
      </c>
      <c r="J925" s="45">
        <v>1</v>
      </c>
      <c r="K925" s="19">
        <f t="shared" si="107"/>
        <v>148.64102306874796</v>
      </c>
      <c r="L925" s="16">
        <f t="shared" si="108"/>
        <v>10.602532807116685</v>
      </c>
      <c r="M925" s="45"/>
    </row>
    <row r="926" spans="1:13" x14ac:dyDescent="0.25">
      <c r="A926" s="16">
        <v>21.95</v>
      </c>
      <c r="B926" s="45">
        <f t="shared" si="109"/>
        <v>21950</v>
      </c>
      <c r="C926" s="16">
        <f t="shared" si="110"/>
        <v>38.508771929824562</v>
      </c>
      <c r="D926" s="15">
        <f t="shared" si="111"/>
        <v>6.7730622880999997E+20</v>
      </c>
      <c r="E926" s="15">
        <f>FORECAST($C926, OFFSET('De Vaucouleurs Deprojection'!$F$3:$F$126, MATCH($C926, 'De Vaucouleurs Deprojection'!$A$3:$A$126,1)-1,0,2), OFFSET('De Vaucouleurs Deprojection'!$A$3:$A$126, MATCH($C926, 'De Vaucouleurs Deprojection'!$A$3:$A$126,1)-1,0,2))*LCDMTotalBulgeMass</f>
        <v>1.8650812551350875E+40</v>
      </c>
      <c r="F926" s="15">
        <f t="shared" si="104"/>
        <v>3.9781999999999804E+39</v>
      </c>
      <c r="G926" s="15">
        <f t="shared" si="105"/>
        <v>2.0152171492538066E+41</v>
      </c>
      <c r="H926" s="15">
        <f t="shared" si="106"/>
        <v>2.241507274767315E+41</v>
      </c>
      <c r="I926" s="16">
        <v>145.12984</v>
      </c>
      <c r="J926" s="45">
        <v>1</v>
      </c>
      <c r="K926" s="19">
        <f t="shared" si="107"/>
        <v>148.6186272752806</v>
      </c>
      <c r="L926" s="16">
        <f t="shared" si="108"/>
        <v>12.171636652159837</v>
      </c>
      <c r="M926" s="45"/>
    </row>
    <row r="927" spans="1:13" x14ac:dyDescent="0.25">
      <c r="A927" s="16">
        <v>22</v>
      </c>
      <c r="B927" s="45">
        <f t="shared" si="109"/>
        <v>22000</v>
      </c>
      <c r="C927" s="16">
        <f t="shared" si="110"/>
        <v>38.596491228070178</v>
      </c>
      <c r="D927" s="15">
        <f t="shared" si="111"/>
        <v>6.7884906760000006E+20</v>
      </c>
      <c r="E927" s="15">
        <f>FORECAST($C927, OFFSET('De Vaucouleurs Deprojection'!$F$3:$F$126, MATCH($C927, 'De Vaucouleurs Deprojection'!$A$3:$A$126,1)-1,0,2), OFFSET('De Vaucouleurs Deprojection'!$A$3:$A$126, MATCH($C927, 'De Vaucouleurs Deprojection'!$A$3:$A$126,1)-1,0,2))*LCDMTotalBulgeMass</f>
        <v>1.8651163540259648E+40</v>
      </c>
      <c r="F927" s="15">
        <f t="shared" si="104"/>
        <v>3.9781999999999816E+39</v>
      </c>
      <c r="G927" s="15">
        <f t="shared" si="105"/>
        <v>2.0196413805134648E+41</v>
      </c>
      <c r="H927" s="15">
        <f t="shared" si="106"/>
        <v>2.2459350159160612E+41</v>
      </c>
      <c r="I927" s="16">
        <v>144.8801</v>
      </c>
      <c r="J927" s="45">
        <v>1</v>
      </c>
      <c r="K927" s="19">
        <f t="shared" si="107"/>
        <v>148.59619340479267</v>
      </c>
      <c r="L927" s="16">
        <f t="shared" si="108"/>
        <v>13.809350193143601</v>
      </c>
      <c r="M927" s="45"/>
    </row>
    <row r="928" spans="1:13" x14ac:dyDescent="0.25">
      <c r="A928" s="16">
        <v>22.05</v>
      </c>
      <c r="B928" s="45">
        <f t="shared" si="109"/>
        <v>22050</v>
      </c>
      <c r="C928" s="16">
        <f t="shared" si="110"/>
        <v>38.684210526315788</v>
      </c>
      <c r="D928" s="15">
        <f t="shared" si="111"/>
        <v>6.8039190639000001E+20</v>
      </c>
      <c r="E928" s="15">
        <f>FORECAST($C928, OFFSET('De Vaucouleurs Deprojection'!$F$3:$F$126, MATCH($C928, 'De Vaucouleurs Deprojection'!$A$3:$A$126,1)-1,0,2), OFFSET('De Vaucouleurs Deprojection'!$A$3:$A$126, MATCH($C928, 'De Vaucouleurs Deprojection'!$A$3:$A$126,1)-1,0,2))*LCDMTotalBulgeMass</f>
        <v>1.8651514529168419E+40</v>
      </c>
      <c r="F928" s="15">
        <f t="shared" si="104"/>
        <v>3.9781999999999834E+39</v>
      </c>
      <c r="G928" s="15">
        <f t="shared" si="105"/>
        <v>2.0240614885409186E+41</v>
      </c>
      <c r="H928" s="15">
        <f t="shared" si="106"/>
        <v>2.2503586338326026E+41</v>
      </c>
      <c r="I928" s="16">
        <v>144.63607999999999</v>
      </c>
      <c r="J928" s="45">
        <v>1</v>
      </c>
      <c r="K928" s="19">
        <f t="shared" si="107"/>
        <v>148.57372179837196</v>
      </c>
      <c r="L928" s="16">
        <f t="shared" si="108"/>
        <v>15.505022932286046</v>
      </c>
      <c r="M928" s="45"/>
    </row>
    <row r="929" spans="1:13" x14ac:dyDescent="0.25">
      <c r="A929" s="16">
        <v>22.1</v>
      </c>
      <c r="B929" s="45">
        <f t="shared" si="109"/>
        <v>22100</v>
      </c>
      <c r="C929" s="16">
        <f t="shared" si="110"/>
        <v>38.771929824561404</v>
      </c>
      <c r="D929" s="15">
        <f t="shared" si="111"/>
        <v>6.8193474518000009E+20</v>
      </c>
      <c r="E929" s="15">
        <f>FORECAST($C929, OFFSET('De Vaucouleurs Deprojection'!$F$3:$F$126, MATCH($C929, 'De Vaucouleurs Deprojection'!$A$3:$A$126,1)-1,0,2), OFFSET('De Vaucouleurs Deprojection'!$A$3:$A$126, MATCH($C929, 'De Vaucouleurs Deprojection'!$A$3:$A$126,1)-1,0,2))*LCDMTotalBulgeMass</f>
        <v>1.8651865518077189E+40</v>
      </c>
      <c r="F929" s="15">
        <f t="shared" si="104"/>
        <v>3.9781999999999853E+39</v>
      </c>
      <c r="G929" s="15">
        <f t="shared" si="105"/>
        <v>2.0284774770668065E+41</v>
      </c>
      <c r="H929" s="15">
        <f t="shared" si="106"/>
        <v>2.2547781322475784E+41</v>
      </c>
      <c r="I929" s="16">
        <v>144.39793</v>
      </c>
      <c r="J929" s="45">
        <v>1</v>
      </c>
      <c r="K929" s="19">
        <f t="shared" si="107"/>
        <v>148.55121279495606</v>
      </c>
      <c r="L929" s="16">
        <f t="shared" si="108"/>
        <v>17.249757974877983</v>
      </c>
      <c r="M929" s="45"/>
    </row>
    <row r="930" spans="1:13" x14ac:dyDescent="0.25">
      <c r="A930" s="16">
        <v>22.15</v>
      </c>
      <c r="B930" s="45">
        <f t="shared" si="109"/>
        <v>22150</v>
      </c>
      <c r="C930" s="16">
        <f t="shared" si="110"/>
        <v>38.859649122807021</v>
      </c>
      <c r="D930" s="15">
        <f t="shared" si="111"/>
        <v>6.8347758396999991E+20</v>
      </c>
      <c r="E930" s="15">
        <f>FORECAST($C930, OFFSET('De Vaucouleurs Deprojection'!$F$3:$F$126, MATCH($C930, 'De Vaucouleurs Deprojection'!$A$3:$A$126,1)-1,0,2), OFFSET('De Vaucouleurs Deprojection'!$A$3:$A$126, MATCH($C930, 'De Vaucouleurs Deprojection'!$A$3:$A$126,1)-1,0,2))*LCDMTotalBulgeMass</f>
        <v>1.8652216506985962E+40</v>
      </c>
      <c r="F930" s="15">
        <f t="shared" si="104"/>
        <v>3.9781999999999853E+39</v>
      </c>
      <c r="G930" s="15">
        <f t="shared" si="105"/>
        <v>2.032889349849098E+41</v>
      </c>
      <c r="H930" s="15">
        <f t="shared" si="106"/>
        <v>2.2591935149189574E+41</v>
      </c>
      <c r="I930" s="16">
        <v>144.16565</v>
      </c>
      <c r="J930" s="45">
        <v>1</v>
      </c>
      <c r="K930" s="19">
        <f t="shared" si="107"/>
        <v>148.52866673134255</v>
      </c>
      <c r="L930" s="16">
        <f t="shared" si="108"/>
        <v>19.03591499797507</v>
      </c>
      <c r="M930" s="45"/>
    </row>
    <row r="931" spans="1:13" x14ac:dyDescent="0.25">
      <c r="A931" s="16">
        <v>22.2</v>
      </c>
      <c r="B931" s="45">
        <f t="shared" si="109"/>
        <v>22200</v>
      </c>
      <c r="C931" s="16">
        <f t="shared" si="110"/>
        <v>38.94736842105263</v>
      </c>
      <c r="D931" s="15">
        <f t="shared" si="111"/>
        <v>6.8502042276E+20</v>
      </c>
      <c r="E931" s="15">
        <f>FORECAST($C931, OFFSET('De Vaucouleurs Deprojection'!$F$3:$F$126, MATCH($C931, 'De Vaucouleurs Deprojection'!$A$3:$A$126,1)-1,0,2), OFFSET('De Vaucouleurs Deprojection'!$A$3:$A$126, MATCH($C931, 'De Vaucouleurs Deprojection'!$A$3:$A$126,1)-1,0,2))*LCDMTotalBulgeMass</f>
        <v>1.8652567495894734E+40</v>
      </c>
      <c r="F931" s="15">
        <f t="shared" si="104"/>
        <v>3.9781999999999871E+39</v>
      </c>
      <c r="G931" s="15">
        <f t="shared" si="105"/>
        <v>2.0372971106726312E+41</v>
      </c>
      <c r="H931" s="15">
        <f t="shared" si="106"/>
        <v>2.2636047856315782E+41</v>
      </c>
      <c r="I931" s="16">
        <v>143.93896000000001</v>
      </c>
      <c r="J931" s="45">
        <v>1</v>
      </c>
      <c r="K931" s="19">
        <f t="shared" si="107"/>
        <v>148.5060839421991</v>
      </c>
      <c r="L931" s="16">
        <f t="shared" si="108"/>
        <v>20.858621103408147</v>
      </c>
      <c r="M931" s="45"/>
    </row>
    <row r="932" spans="1:13" x14ac:dyDescent="0.25">
      <c r="A932" s="16">
        <v>22.25</v>
      </c>
      <c r="B932" s="45">
        <f t="shared" si="109"/>
        <v>22250</v>
      </c>
      <c r="C932" s="16">
        <f t="shared" si="110"/>
        <v>39.035087719298247</v>
      </c>
      <c r="D932" s="15">
        <f t="shared" si="111"/>
        <v>6.8656326154999995E+20</v>
      </c>
      <c r="E932" s="15">
        <f>FORECAST($C932, OFFSET('De Vaucouleurs Deprojection'!$F$3:$F$126, MATCH($C932, 'De Vaucouleurs Deprojection'!$A$3:$A$126,1)-1,0,2), OFFSET('De Vaucouleurs Deprojection'!$A$3:$A$126, MATCH($C932, 'De Vaucouleurs Deprojection'!$A$3:$A$126,1)-1,0,2))*LCDMTotalBulgeMass</f>
        <v>1.8652918484803507E+40</v>
      </c>
      <c r="F932" s="15">
        <f t="shared" si="104"/>
        <v>3.9781999999999877E+39</v>
      </c>
      <c r="G932" s="15">
        <f t="shared" si="105"/>
        <v>2.0417007633486564E+41</v>
      </c>
      <c r="H932" s="15">
        <f t="shared" si="106"/>
        <v>2.2680119481966913E+41</v>
      </c>
      <c r="I932" s="16">
        <v>143.71706</v>
      </c>
      <c r="J932" s="45">
        <v>1</v>
      </c>
      <c r="K932" s="19">
        <f t="shared" si="107"/>
        <v>148.48346476007373</v>
      </c>
      <c r="L932" s="16">
        <f t="shared" si="108"/>
        <v>22.718614336853477</v>
      </c>
      <c r="M932" s="45"/>
    </row>
    <row r="933" spans="1:13" x14ac:dyDescent="0.25">
      <c r="A933" s="16">
        <v>22.3</v>
      </c>
      <c r="B933" s="45">
        <f t="shared" si="109"/>
        <v>22300</v>
      </c>
      <c r="C933" s="16">
        <f t="shared" si="110"/>
        <v>39.122807017543863</v>
      </c>
      <c r="D933" s="15">
        <f t="shared" si="111"/>
        <v>6.8810610034000003E+20</v>
      </c>
      <c r="E933" s="15">
        <f>FORECAST($C933, OFFSET('De Vaucouleurs Deprojection'!$F$3:$F$126, MATCH($C933, 'De Vaucouleurs Deprojection'!$A$3:$A$126,1)-1,0,2), OFFSET('De Vaucouleurs Deprojection'!$A$3:$A$126, MATCH($C933, 'De Vaucouleurs Deprojection'!$A$3:$A$126,1)-1,0,2))*LCDMTotalBulgeMass</f>
        <v>1.865326947371228E+40</v>
      </c>
      <c r="F933" s="15">
        <f t="shared" si="104"/>
        <v>3.9781999999999889E+39</v>
      </c>
      <c r="G933" s="15">
        <f t="shared" si="105"/>
        <v>2.0461003117143857E+41</v>
      </c>
      <c r="H933" s="15">
        <f t="shared" si="106"/>
        <v>2.2724150064515082E+41</v>
      </c>
      <c r="I933" s="16">
        <v>143.49821</v>
      </c>
      <c r="J933" s="45">
        <v>1</v>
      </c>
      <c r="K933" s="19">
        <f t="shared" si="107"/>
        <v>148.46080951540492</v>
      </c>
      <c r="L933" s="16">
        <f t="shared" si="108"/>
        <v>24.627393950297126</v>
      </c>
      <c r="M933" s="45"/>
    </row>
    <row r="934" spans="1:13" x14ac:dyDescent="0.25">
      <c r="A934" s="16">
        <v>22.35</v>
      </c>
      <c r="B934" s="45">
        <f t="shared" si="109"/>
        <v>22350</v>
      </c>
      <c r="C934" s="16">
        <f t="shared" si="110"/>
        <v>39.210526315789473</v>
      </c>
      <c r="D934" s="15">
        <f t="shared" si="111"/>
        <v>6.8964893912999998E+20</v>
      </c>
      <c r="E934" s="15">
        <f>FORECAST($C934, OFFSET('De Vaucouleurs Deprojection'!$F$3:$F$126, MATCH($C934, 'De Vaucouleurs Deprojection'!$A$3:$A$126,1)-1,0,2), OFFSET('De Vaucouleurs Deprojection'!$A$3:$A$126, MATCH($C934, 'De Vaucouleurs Deprojection'!$A$3:$A$126,1)-1,0,2))*LCDMTotalBulgeMass</f>
        <v>1.8653620462621048E+40</v>
      </c>
      <c r="F934" s="15">
        <f t="shared" si="104"/>
        <v>3.9781999999999901E+39</v>
      </c>
      <c r="G934" s="15">
        <f t="shared" si="105"/>
        <v>2.0504957596325514E+41</v>
      </c>
      <c r="H934" s="15">
        <f t="shared" si="106"/>
        <v>2.2768139642587619E+41</v>
      </c>
      <c r="I934" s="16">
        <v>143.28001</v>
      </c>
      <c r="J934" s="45">
        <v>1</v>
      </c>
      <c r="K934" s="19">
        <f t="shared" si="107"/>
        <v>148.43811853653224</v>
      </c>
      <c r="L934" s="16">
        <f t="shared" si="108"/>
        <v>26.606083674646761</v>
      </c>
      <c r="M934" s="45"/>
    </row>
    <row r="935" spans="1:13" x14ac:dyDescent="0.25">
      <c r="A935" s="16">
        <v>22.4</v>
      </c>
      <c r="B935" s="45">
        <f t="shared" si="109"/>
        <v>22400</v>
      </c>
      <c r="C935" s="16">
        <f t="shared" si="110"/>
        <v>39.298245614035089</v>
      </c>
      <c r="D935" s="15">
        <f t="shared" si="111"/>
        <v>6.9119177791999993E+20</v>
      </c>
      <c r="E935" s="15">
        <f>FORECAST($C935, OFFSET('De Vaucouleurs Deprojection'!$F$3:$F$126, MATCH($C935, 'De Vaucouleurs Deprojection'!$A$3:$A$126,1)-1,0,2), OFFSET('De Vaucouleurs Deprojection'!$A$3:$A$126, MATCH($C935, 'De Vaucouleurs Deprojection'!$A$3:$A$126,1)-1,0,2))*LCDMTotalBulgeMass</f>
        <v>1.8653971451529821E+40</v>
      </c>
      <c r="F935" s="15">
        <f t="shared" si="104"/>
        <v>3.9781999999999907E+39</v>
      </c>
      <c r="G935" s="15">
        <f t="shared" si="105"/>
        <v>2.0548871109909623E+41</v>
      </c>
      <c r="H935" s="15">
        <f t="shared" si="106"/>
        <v>2.2812088255062604E+41</v>
      </c>
      <c r="I935" s="16">
        <v>143.05998</v>
      </c>
      <c r="J935" s="45">
        <v>1</v>
      </c>
      <c r="K935" s="19">
        <f t="shared" si="107"/>
        <v>148.41539214970612</v>
      </c>
      <c r="L935" s="16">
        <f t="shared" si="108"/>
        <v>28.68043929321999</v>
      </c>
      <c r="M935" s="45"/>
    </row>
    <row r="936" spans="1:13" x14ac:dyDescent="0.25">
      <c r="A936" s="16">
        <v>22.45</v>
      </c>
      <c r="B936" s="45">
        <f t="shared" si="109"/>
        <v>22450</v>
      </c>
      <c r="C936" s="16">
        <f t="shared" si="110"/>
        <v>39.385964912280699</v>
      </c>
      <c r="D936" s="15">
        <f t="shared" si="111"/>
        <v>6.9273461671000002E+20</v>
      </c>
      <c r="E936" s="15">
        <f>FORECAST($C936, OFFSET('De Vaucouleurs Deprojection'!$F$3:$F$126, MATCH($C936, 'De Vaucouleurs Deprojection'!$A$3:$A$126,1)-1,0,2), OFFSET('De Vaucouleurs Deprojection'!$A$3:$A$126, MATCH($C936, 'De Vaucouleurs Deprojection'!$A$3:$A$126,1)-1,0,2))*LCDMTotalBulgeMass</f>
        <v>1.8654322440438594E+40</v>
      </c>
      <c r="F936" s="15">
        <f t="shared" ref="F936:F953" si="112">2*PI()*LCDMDiskSurfaceDensity*LCDMScaleLength*(LCDMScaleLength-EXP(-RadiusPc/LCDMScaleLength)*(RadiusPc+LCDMScaleLength))*SolarMass</f>
        <v>3.9781999999999919E+39</v>
      </c>
      <c r="G936" s="15">
        <f t="shared" ref="G936:G953" si="113">4*PI()*LCDMHaloRepresentativeDensity*LCDMHaloScaleLengthPc^3*(LN(1+RadiusPc/LCDMHaloScaleLengthPc)-RadiusPc/(RadiusPc+LCDMHaloScaleLengthPc))*SolarMass</f>
        <v>2.0592743697020765E+41</v>
      </c>
      <c r="H936" s="15">
        <f t="shared" ref="H936:H953" si="114">BulgeMass+DiskMass+HaloMass</f>
        <v>2.2855995941064625E+41</v>
      </c>
      <c r="I936" s="16">
        <v>142.83636000000001</v>
      </c>
      <c r="J936" s="45">
        <v>1</v>
      </c>
      <c r="K936" s="19">
        <f t="shared" ref="K936:K953" si="115">SQRT(TotalMass*GravitationalConstant/RadiusKm)/km</f>
        <v>148.39263067909872</v>
      </c>
      <c r="L936" s="16">
        <f t="shared" ref="L936:L953" si="116">(ObservedVelocity-ModelVelocity)^2/(VelocityError)^2</f>
        <v>30.872143859411953</v>
      </c>
      <c r="M936" s="45"/>
    </row>
    <row r="937" spans="1:13" x14ac:dyDescent="0.25">
      <c r="A937" s="16">
        <v>22.5</v>
      </c>
      <c r="B937" s="45">
        <f t="shared" ref="B937:B953" si="117">A937*1000</f>
        <v>22500</v>
      </c>
      <c r="C937" s="16">
        <f t="shared" ref="C937:C953" si="118">B937/LCDMBulgeEffectiveRadius</f>
        <v>39.473684210526315</v>
      </c>
      <c r="D937" s="15">
        <f t="shared" ref="D937:D953" si="119">A937*kpc</f>
        <v>6.9427745549999997E+20</v>
      </c>
      <c r="E937" s="15">
        <f>FORECAST($C937, OFFSET('De Vaucouleurs Deprojection'!$F$3:$F$126, MATCH($C937, 'De Vaucouleurs Deprojection'!$A$3:$A$126,1)-1,0,2), OFFSET('De Vaucouleurs Deprojection'!$A$3:$A$126, MATCH($C937, 'De Vaucouleurs Deprojection'!$A$3:$A$126,1)-1,0,2))*LCDMTotalBulgeMass</f>
        <v>1.8654673429347366E+40</v>
      </c>
      <c r="F937" s="15">
        <f t="shared" si="112"/>
        <v>3.9781999999999919E+39</v>
      </c>
      <c r="G937" s="15">
        <f t="shared" si="113"/>
        <v>2.0636575397025699E+41</v>
      </c>
      <c r="H937" s="15">
        <f t="shared" si="114"/>
        <v>2.2899862739960434E+41</v>
      </c>
      <c r="I937" s="16">
        <v>142.60873000000001</v>
      </c>
      <c r="J937" s="45">
        <v>1</v>
      </c>
      <c r="K937" s="19">
        <f t="shared" si="115"/>
        <v>148.36983444681397</v>
      </c>
      <c r="L937" s="16">
        <f t="shared" si="116"/>
        <v>33.190324447099577</v>
      </c>
      <c r="M937" s="45"/>
    </row>
    <row r="938" spans="1:13" x14ac:dyDescent="0.25">
      <c r="A938" s="16">
        <v>22.55</v>
      </c>
      <c r="B938" s="45">
        <f t="shared" si="117"/>
        <v>22550</v>
      </c>
      <c r="C938" s="16">
        <f t="shared" si="118"/>
        <v>39.561403508771932</v>
      </c>
      <c r="D938" s="15">
        <f t="shared" si="119"/>
        <v>6.9582029429000005E+20</v>
      </c>
      <c r="E938" s="15">
        <f>FORECAST($C938, OFFSET('De Vaucouleurs Deprojection'!$F$3:$F$126, MATCH($C938, 'De Vaucouleurs Deprojection'!$A$3:$A$126,1)-1,0,2), OFFSET('De Vaucouleurs Deprojection'!$A$3:$A$126, MATCH($C938, 'De Vaucouleurs Deprojection'!$A$3:$A$126,1)-1,0,2))*LCDMTotalBulgeMass</f>
        <v>1.8655024418256139E+40</v>
      </c>
      <c r="F938" s="15">
        <f t="shared" si="112"/>
        <v>3.9781999999999919E+39</v>
      </c>
      <c r="G938" s="15">
        <f t="shared" si="113"/>
        <v>2.068036624952919E+41</v>
      </c>
      <c r="H938" s="15">
        <f t="shared" si="114"/>
        <v>2.2943688691354801E+41</v>
      </c>
      <c r="I938" s="16">
        <v>142.37781000000001</v>
      </c>
      <c r="J938" s="45">
        <v>1</v>
      </c>
      <c r="K938" s="19">
        <f t="shared" si="115"/>
        <v>148.34700377289815</v>
      </c>
      <c r="L938" s="16">
        <f t="shared" si="116"/>
        <v>35.631274298405899</v>
      </c>
      <c r="M938" s="45"/>
    </row>
    <row r="939" spans="1:13" x14ac:dyDescent="0.25">
      <c r="A939" s="16">
        <v>22.6</v>
      </c>
      <c r="B939" s="45">
        <f t="shared" si="117"/>
        <v>22600</v>
      </c>
      <c r="C939" s="16">
        <f t="shared" si="118"/>
        <v>39.649122807017541</v>
      </c>
      <c r="D939" s="15">
        <f t="shared" si="119"/>
        <v>6.9736313308E+20</v>
      </c>
      <c r="E939" s="15">
        <f>FORECAST($C939, OFFSET('De Vaucouleurs Deprojection'!$F$3:$F$126, MATCH($C939, 'De Vaucouleurs Deprojection'!$A$3:$A$126,1)-1,0,2), OFFSET('De Vaucouleurs Deprojection'!$A$3:$A$126, MATCH($C939, 'De Vaucouleurs Deprojection'!$A$3:$A$126,1)-1,0,2))*LCDMTotalBulgeMass</f>
        <v>1.865537540716491E+40</v>
      </c>
      <c r="F939" s="15">
        <f t="shared" si="112"/>
        <v>3.9781999999999931E+39</v>
      </c>
      <c r="G939" s="15">
        <f t="shared" si="113"/>
        <v>2.0724116294369791E+41</v>
      </c>
      <c r="H939" s="15">
        <f t="shared" si="114"/>
        <v>2.2987473835086281E+41</v>
      </c>
      <c r="I939" s="16">
        <v>142.14508000000001</v>
      </c>
      <c r="J939" s="45">
        <v>1</v>
      </c>
      <c r="K939" s="19">
        <f t="shared" si="115"/>
        <v>148.32413897535028</v>
      </c>
      <c r="L939" s="16">
        <f t="shared" si="116"/>
        <v>38.180769820856767</v>
      </c>
      <c r="M939" s="45"/>
    </row>
    <row r="940" spans="1:13" x14ac:dyDescent="0.25">
      <c r="A940" s="16">
        <v>22.65</v>
      </c>
      <c r="B940" s="45">
        <f t="shared" si="117"/>
        <v>22650</v>
      </c>
      <c r="C940" s="16">
        <f t="shared" si="118"/>
        <v>39.736842105263158</v>
      </c>
      <c r="D940" s="15">
        <f t="shared" si="119"/>
        <v>6.9890597186999996E+20</v>
      </c>
      <c r="E940" s="15">
        <f>FORECAST($C940, OFFSET('De Vaucouleurs Deprojection'!$F$3:$F$126, MATCH($C940, 'De Vaucouleurs Deprojection'!$A$3:$A$126,1)-1,0,2), OFFSET('De Vaucouleurs Deprojection'!$A$3:$A$126, MATCH($C940, 'De Vaucouleurs Deprojection'!$A$3:$A$126,1)-1,0,2))*LCDMTotalBulgeMass</f>
        <v>1.865572639607368E+40</v>
      </c>
      <c r="F940" s="15">
        <f t="shared" si="112"/>
        <v>3.9781999999999943E+39</v>
      </c>
      <c r="G940" s="15">
        <f t="shared" si="113"/>
        <v>2.0767825571615782E+41</v>
      </c>
      <c r="H940" s="15">
        <f t="shared" si="114"/>
        <v>2.3031218211223148E+41</v>
      </c>
      <c r="I940" s="16">
        <v>141.91230999999999</v>
      </c>
      <c r="J940" s="45">
        <v>1</v>
      </c>
      <c r="K940" s="19">
        <f t="shared" si="115"/>
        <v>148.30124037013238</v>
      </c>
      <c r="L940" s="16">
        <f t="shared" si="116"/>
        <v>40.818431274399941</v>
      </c>
      <c r="M940" s="45"/>
    </row>
    <row r="941" spans="1:13" x14ac:dyDescent="0.25">
      <c r="A941" s="16">
        <v>22.7</v>
      </c>
      <c r="B941" s="45">
        <f t="shared" si="117"/>
        <v>22700</v>
      </c>
      <c r="C941" s="16">
        <f t="shared" si="118"/>
        <v>39.824561403508774</v>
      </c>
      <c r="D941" s="15">
        <f t="shared" si="119"/>
        <v>7.0044881066000004E+20</v>
      </c>
      <c r="E941" s="15">
        <f>FORECAST($C941, OFFSET('De Vaucouleurs Deprojection'!$F$3:$F$126, MATCH($C941, 'De Vaucouleurs Deprojection'!$A$3:$A$126,1)-1,0,2), OFFSET('De Vaucouleurs Deprojection'!$A$3:$A$126, MATCH($C941, 'De Vaucouleurs Deprojection'!$A$3:$A$126,1)-1,0,2))*LCDMTotalBulgeMass</f>
        <v>1.8656077384982453E+40</v>
      </c>
      <c r="F941" s="15">
        <f t="shared" si="112"/>
        <v>3.9781999999999943E+39</v>
      </c>
      <c r="G941" s="15">
        <f t="shared" si="113"/>
        <v>2.0811494121561074E+41</v>
      </c>
      <c r="H941" s="15">
        <f t="shared" si="114"/>
        <v>2.307492186005932E+41</v>
      </c>
      <c r="I941" s="16">
        <v>141.68143000000001</v>
      </c>
      <c r="J941" s="45">
        <v>1</v>
      </c>
      <c r="K941" s="19">
        <f t="shared" si="115"/>
        <v>148.27830827118018</v>
      </c>
      <c r="L941" s="16">
        <f t="shared" si="116"/>
        <v>43.518802924769119</v>
      </c>
      <c r="M941" s="45"/>
    </row>
    <row r="942" spans="1:13" x14ac:dyDescent="0.25">
      <c r="A942" s="16">
        <v>22.75</v>
      </c>
      <c r="B942" s="45">
        <f t="shared" si="117"/>
        <v>22750</v>
      </c>
      <c r="C942" s="16">
        <f t="shared" si="118"/>
        <v>39.912280701754383</v>
      </c>
      <c r="D942" s="15">
        <f t="shared" si="119"/>
        <v>7.0199164944999999E+20</v>
      </c>
      <c r="E942" s="15">
        <f>FORECAST($C942, OFFSET('De Vaucouleurs Deprojection'!$F$3:$F$126, MATCH($C942, 'De Vaucouleurs Deprojection'!$A$3:$A$126,1)-1,0,2), OFFSET('De Vaucouleurs Deprojection'!$A$3:$A$126, MATCH($C942, 'De Vaucouleurs Deprojection'!$A$3:$A$126,1)-1,0,2))*LCDMTotalBulgeMass</f>
        <v>1.8656428373891226E+40</v>
      </c>
      <c r="F942" s="15">
        <f t="shared" si="112"/>
        <v>3.9781999999999943E+39</v>
      </c>
      <c r="G942" s="15">
        <f t="shared" si="113"/>
        <v>2.0855121984721233E+41</v>
      </c>
      <c r="H942" s="15">
        <f t="shared" si="114"/>
        <v>2.3118584822110354E+41</v>
      </c>
      <c r="I942" s="16">
        <v>141.45466999999999</v>
      </c>
      <c r="J942" s="45">
        <v>1</v>
      </c>
      <c r="K942" s="19">
        <f t="shared" si="115"/>
        <v>148.25534299041337</v>
      </c>
      <c r="L942" s="16">
        <f t="shared" si="116"/>
        <v>46.249153122537997</v>
      </c>
      <c r="M942" s="45"/>
    </row>
    <row r="943" spans="1:13" x14ac:dyDescent="0.25">
      <c r="A943" s="16">
        <v>22.8</v>
      </c>
      <c r="B943" s="45">
        <f t="shared" si="117"/>
        <v>22800</v>
      </c>
      <c r="C943" s="16">
        <f t="shared" si="118"/>
        <v>40</v>
      </c>
      <c r="D943" s="15">
        <f t="shared" si="119"/>
        <v>7.0353448824000007E+20</v>
      </c>
      <c r="E943" s="15">
        <f>FORECAST($C943, OFFSET('De Vaucouleurs Deprojection'!$F$3:$F$126, MATCH($C943, 'De Vaucouleurs Deprojection'!$A$3:$A$126,1)-1,0,2), OFFSET('De Vaucouleurs Deprojection'!$A$3:$A$126, MATCH($C943, 'De Vaucouleurs Deprojection'!$A$3:$A$126,1)-1,0,2))*LCDMTotalBulgeMass</f>
        <v>1.8656779362799998E+40</v>
      </c>
      <c r="F943" s="15">
        <f t="shared" si="112"/>
        <v>3.9781999999999955E+39</v>
      </c>
      <c r="G943" s="15">
        <f t="shared" si="113"/>
        <v>2.0898709201829523E+41</v>
      </c>
      <c r="H943" s="15">
        <f t="shared" si="114"/>
        <v>2.3162207138109523E+41</v>
      </c>
      <c r="I943" s="16">
        <v>141.23473000000001</v>
      </c>
      <c r="J943" s="45">
        <v>1</v>
      </c>
      <c r="K943" s="19">
        <f t="shared" si="115"/>
        <v>148.23234483774635</v>
      </c>
      <c r="L943" s="16">
        <f t="shared" si="116"/>
        <v>48.966613417447739</v>
      </c>
      <c r="M943" s="45"/>
    </row>
    <row r="944" spans="1:13" x14ac:dyDescent="0.25">
      <c r="A944" s="16">
        <v>22.85</v>
      </c>
      <c r="B944" s="45">
        <f t="shared" si="117"/>
        <v>22850</v>
      </c>
      <c r="C944" s="16">
        <f t="shared" si="118"/>
        <v>40.087719298245617</v>
      </c>
      <c r="D944" s="15">
        <f t="shared" si="119"/>
        <v>7.0507732703000003E+20</v>
      </c>
      <c r="E944" s="15">
        <f>FORECAST($C944, OFFSET('De Vaucouleurs Deprojection'!$F$3:$F$126, MATCH($C944, 'De Vaucouleurs Deprojection'!$A$3:$A$126,1)-1,0,2), OFFSET('De Vaucouleurs Deprojection'!$A$3:$A$126, MATCH($C944, 'De Vaucouleurs Deprojection'!$A$3:$A$126,1)-1,0,2))*LCDMTotalBulgeMass</f>
        <v>1.8656999140901754E+40</v>
      </c>
      <c r="F944" s="15">
        <f t="shared" si="112"/>
        <v>3.9781999999999955E+39</v>
      </c>
      <c r="G944" s="15">
        <f t="shared" si="113"/>
        <v>2.094225581383298E+41</v>
      </c>
      <c r="H944" s="15">
        <f t="shared" si="114"/>
        <v>2.3205775727923156E+41</v>
      </c>
      <c r="I944" s="16">
        <v>141.02440999999999</v>
      </c>
      <c r="J944" s="45">
        <v>1</v>
      </c>
      <c r="K944" s="19">
        <f t="shared" si="115"/>
        <v>148.20927222063426</v>
      </c>
      <c r="L944" s="16">
        <f t="shared" si="116"/>
        <v>51.622245129497649</v>
      </c>
      <c r="M944" s="45"/>
    </row>
    <row r="945" spans="1:13" x14ac:dyDescent="0.25">
      <c r="A945" s="16">
        <v>22.9</v>
      </c>
      <c r="B945" s="45">
        <f t="shared" si="117"/>
        <v>22900</v>
      </c>
      <c r="C945" s="16">
        <f t="shared" si="118"/>
        <v>40.175438596491226</v>
      </c>
      <c r="D945" s="15">
        <f t="shared" si="119"/>
        <v>7.0662016581999998E+20</v>
      </c>
      <c r="E945" s="15">
        <f>FORECAST($C945, OFFSET('De Vaucouleurs Deprojection'!$F$3:$F$126, MATCH($C945, 'De Vaucouleurs Deprojection'!$A$3:$A$126,1)-1,0,2), OFFSET('De Vaucouleurs Deprojection'!$A$3:$A$126, MATCH($C945, 'De Vaucouleurs Deprojection'!$A$3:$A$126,1)-1,0,2))*LCDMTotalBulgeMass</f>
        <v>1.8657218919003507E+40</v>
      </c>
      <c r="F945" s="15">
        <f t="shared" si="112"/>
        <v>3.9781999999999961E+39</v>
      </c>
      <c r="G945" s="15">
        <f t="shared" si="113"/>
        <v>2.0985761861888604E+41</v>
      </c>
      <c r="H945" s="15">
        <f t="shared" si="114"/>
        <v>2.3249303753788955E+41</v>
      </c>
      <c r="I945" s="16">
        <v>140.82584</v>
      </c>
      <c r="J945" s="45">
        <v>1</v>
      </c>
      <c r="K945" s="19">
        <f t="shared" si="115"/>
        <v>148.18616751542194</v>
      </c>
      <c r="L945" s="16">
        <f t="shared" si="116"/>
        <v>54.174421134277353</v>
      </c>
      <c r="M945" s="45"/>
    </row>
    <row r="946" spans="1:13" x14ac:dyDescent="0.25">
      <c r="A946" s="16">
        <v>22.95</v>
      </c>
      <c r="B946" s="45">
        <f t="shared" si="117"/>
        <v>22950</v>
      </c>
      <c r="C946" s="16">
        <f t="shared" si="118"/>
        <v>40.263157894736842</v>
      </c>
      <c r="D946" s="15">
        <f t="shared" si="119"/>
        <v>7.0816300460999993E+20</v>
      </c>
      <c r="E946" s="15">
        <f>FORECAST($C946, OFFSET('De Vaucouleurs Deprojection'!$F$3:$F$126, MATCH($C946, 'De Vaucouleurs Deprojection'!$A$3:$A$126,1)-1,0,2), OFFSET('De Vaucouleurs Deprojection'!$A$3:$A$126, MATCH($C946, 'De Vaucouleurs Deprojection'!$A$3:$A$126,1)-1,0,2))*LCDMTotalBulgeMass</f>
        <v>1.8657438697105263E+40</v>
      </c>
      <c r="F946" s="15">
        <f t="shared" si="112"/>
        <v>3.9781999999999961E+39</v>
      </c>
      <c r="G946" s="15">
        <f t="shared" si="113"/>
        <v>2.1029227387359497E+41</v>
      </c>
      <c r="H946" s="15">
        <f t="shared" si="114"/>
        <v>2.3292791257070023E+41</v>
      </c>
      <c r="I946" s="16">
        <v>140.63964999999999</v>
      </c>
      <c r="J946" s="45">
        <v>1</v>
      </c>
      <c r="K946" s="19">
        <f t="shared" si="115"/>
        <v>148.16303102492648</v>
      </c>
      <c r="L946" s="16">
        <f t="shared" si="116"/>
        <v>56.601262046224015</v>
      </c>
      <c r="M946" s="45"/>
    </row>
    <row r="947" spans="1:13" x14ac:dyDescent="0.25">
      <c r="A947" s="16">
        <v>23</v>
      </c>
      <c r="B947" s="45">
        <f t="shared" si="117"/>
        <v>23000</v>
      </c>
      <c r="C947" s="16">
        <f t="shared" si="118"/>
        <v>40.350877192982459</v>
      </c>
      <c r="D947" s="15">
        <f t="shared" si="119"/>
        <v>7.0970584340000001E+20</v>
      </c>
      <c r="E947" s="15">
        <f>FORECAST($C947, OFFSET('De Vaucouleurs Deprojection'!$F$3:$F$126, MATCH($C947, 'De Vaucouleurs Deprojection'!$A$3:$A$126,1)-1,0,2), OFFSET('De Vaucouleurs Deprojection'!$A$3:$A$126, MATCH($C947, 'De Vaucouleurs Deprojection'!$A$3:$A$126,1)-1,0,2))*LCDMTotalBulgeMass</f>
        <v>1.8657658475207016E+40</v>
      </c>
      <c r="F947" s="15">
        <f t="shared" si="112"/>
        <v>3.9781999999999961E+39</v>
      </c>
      <c r="G947" s="15">
        <f t="shared" si="113"/>
        <v>2.1072652431811189E+41</v>
      </c>
      <c r="H947" s="15">
        <f t="shared" si="114"/>
        <v>2.3336238279331889E+41</v>
      </c>
      <c r="I947" s="16">
        <v>140.46526</v>
      </c>
      <c r="J947" s="45">
        <v>1</v>
      </c>
      <c r="K947" s="19">
        <f t="shared" si="115"/>
        <v>148.13986305001185</v>
      </c>
      <c r="L947" s="16">
        <f t="shared" si="116"/>
        <v>58.899531975251243</v>
      </c>
      <c r="M947" s="45"/>
    </row>
    <row r="948" spans="1:13" x14ac:dyDescent="0.25">
      <c r="A948" s="16">
        <v>23.05</v>
      </c>
      <c r="B948" s="45">
        <f t="shared" si="117"/>
        <v>23050</v>
      </c>
      <c r="C948" s="16">
        <f t="shared" si="118"/>
        <v>40.438596491228068</v>
      </c>
      <c r="D948" s="15">
        <f t="shared" si="119"/>
        <v>7.1124868218999996E+20</v>
      </c>
      <c r="E948" s="15">
        <f>FORECAST($C948, OFFSET('De Vaucouleurs Deprojection'!$F$3:$F$126, MATCH($C948, 'De Vaucouleurs Deprojection'!$A$3:$A$126,1)-1,0,2), OFFSET('De Vaucouleurs Deprojection'!$A$3:$A$126, MATCH($C948, 'De Vaucouleurs Deprojection'!$A$3:$A$126,1)-1,0,2))*LCDMTotalBulgeMass</f>
        <v>1.8657878253308769E+40</v>
      </c>
      <c r="F948" s="15">
        <f t="shared" si="112"/>
        <v>3.9781999999999967E+39</v>
      </c>
      <c r="G948" s="15">
        <f t="shared" si="113"/>
        <v>2.1116037037007831E+41</v>
      </c>
      <c r="H948" s="15">
        <f t="shared" si="114"/>
        <v>2.3379644862338706E+41</v>
      </c>
      <c r="I948" s="16">
        <v>140.30127999999999</v>
      </c>
      <c r="J948" s="45">
        <v>1</v>
      </c>
      <c r="K948" s="19">
        <f t="shared" si="115"/>
        <v>148.11666388959915</v>
      </c>
      <c r="L948" s="16">
        <f t="shared" si="116"/>
        <v>61.080225341806113</v>
      </c>
      <c r="M948" s="45"/>
    </row>
    <row r="949" spans="1:13" x14ac:dyDescent="0.25">
      <c r="A949" s="16">
        <v>23.1</v>
      </c>
      <c r="B949" s="45">
        <f t="shared" si="117"/>
        <v>23100</v>
      </c>
      <c r="C949" s="16">
        <f t="shared" si="118"/>
        <v>40.526315789473685</v>
      </c>
      <c r="D949" s="15">
        <f t="shared" si="119"/>
        <v>7.1279152098000005E+20</v>
      </c>
      <c r="E949" s="15">
        <f>FORECAST($C949, OFFSET('De Vaucouleurs Deprojection'!$F$3:$F$126, MATCH($C949, 'De Vaucouleurs Deprojection'!$A$3:$A$126,1)-1,0,2), OFFSET('De Vaucouleurs Deprojection'!$A$3:$A$126, MATCH($C949, 'De Vaucouleurs Deprojection'!$A$3:$A$126,1)-1,0,2))*LCDMTotalBulgeMass</f>
        <v>1.8658098031410528E+40</v>
      </c>
      <c r="F949" s="15">
        <f t="shared" si="112"/>
        <v>3.9781999999999967E+39</v>
      </c>
      <c r="G949" s="15">
        <f t="shared" si="113"/>
        <v>2.1159381244908646E+41</v>
      </c>
      <c r="H949" s="15">
        <f t="shared" si="114"/>
        <v>2.3423011048049697E+41</v>
      </c>
      <c r="I949" s="16">
        <v>140.14632</v>
      </c>
      <c r="J949" s="45">
        <v>1</v>
      </c>
      <c r="K949" s="19">
        <f t="shared" si="115"/>
        <v>148.09343384067714</v>
      </c>
      <c r="L949" s="16">
        <f t="shared" si="116"/>
        <v>63.156618396682056</v>
      </c>
      <c r="M949" s="45"/>
    </row>
    <row r="950" spans="1:13" x14ac:dyDescent="0.25">
      <c r="A950" s="16">
        <v>23.15</v>
      </c>
      <c r="B950" s="45">
        <f t="shared" si="117"/>
        <v>23150</v>
      </c>
      <c r="C950" s="16">
        <f t="shared" si="118"/>
        <v>40.614035087719301</v>
      </c>
      <c r="D950" s="15">
        <f t="shared" si="119"/>
        <v>7.1433435977E+20</v>
      </c>
      <c r="E950" s="15">
        <f>FORECAST($C950, OFFSET('De Vaucouleurs Deprojection'!$F$3:$F$126, MATCH($C950, 'De Vaucouleurs Deprojection'!$A$3:$A$126,1)-1,0,2), OFFSET('De Vaucouleurs Deprojection'!$A$3:$A$126, MATCH($C950, 'De Vaucouleurs Deprojection'!$A$3:$A$126,1)-1,0,2))*LCDMTotalBulgeMass</f>
        <v>1.8658317809512281E+40</v>
      </c>
      <c r="F950" s="15">
        <f t="shared" si="112"/>
        <v>3.9781999999999967E+39</v>
      </c>
      <c r="G950" s="15">
        <f t="shared" si="113"/>
        <v>2.1202685097664232E+41</v>
      </c>
      <c r="H950" s="15">
        <f t="shared" si="114"/>
        <v>2.3466336878615459E+41</v>
      </c>
      <c r="I950" s="16">
        <v>139.99892</v>
      </c>
      <c r="J950" s="45">
        <v>1</v>
      </c>
      <c r="K950" s="19">
        <f t="shared" si="115"/>
        <v>148.07017319831246</v>
      </c>
      <c r="L950" s="16">
        <f t="shared" si="116"/>
        <v>65.145128191269151</v>
      </c>
      <c r="M950" s="45"/>
    </row>
    <row r="951" spans="1:13" x14ac:dyDescent="0.25">
      <c r="A951" s="16">
        <v>23.2</v>
      </c>
      <c r="B951" s="45">
        <f t="shared" si="117"/>
        <v>23200</v>
      </c>
      <c r="C951" s="16">
        <f t="shared" si="118"/>
        <v>40.701754385964911</v>
      </c>
      <c r="D951" s="15">
        <f t="shared" si="119"/>
        <v>7.1587719855999995E+20</v>
      </c>
      <c r="E951" s="15">
        <f>FORECAST($C951, OFFSET('De Vaucouleurs Deprojection'!$F$3:$F$126, MATCH($C951, 'De Vaucouleurs Deprojection'!$A$3:$A$126,1)-1,0,2), OFFSET('De Vaucouleurs Deprojection'!$A$3:$A$126, MATCH($C951, 'De Vaucouleurs Deprojection'!$A$3:$A$126,1)-1,0,2))*LCDMTotalBulgeMass</f>
        <v>1.8658537587614034E+40</v>
      </c>
      <c r="F951" s="15">
        <f t="shared" si="112"/>
        <v>3.9781999999999979E+39</v>
      </c>
      <c r="G951" s="15">
        <f t="shared" si="113"/>
        <v>2.1245948637613063E+41</v>
      </c>
      <c r="H951" s="15">
        <f t="shared" si="114"/>
        <v>2.3509622396374468E+41</v>
      </c>
      <c r="I951" s="16">
        <v>139.85748000000001</v>
      </c>
      <c r="J951" s="45">
        <v>1</v>
      </c>
      <c r="K951" s="19">
        <f t="shared" si="115"/>
        <v>148.04688225566028</v>
      </c>
      <c r="L951" s="16">
        <f t="shared" si="116"/>
        <v>67.066309305013505</v>
      </c>
      <c r="M951" s="45"/>
    </row>
    <row r="952" spans="1:13" x14ac:dyDescent="0.25">
      <c r="A952" s="16">
        <v>23.25</v>
      </c>
      <c r="B952" s="45">
        <f t="shared" si="117"/>
        <v>23250</v>
      </c>
      <c r="C952" s="16">
        <f t="shared" si="118"/>
        <v>40.789473684210527</v>
      </c>
      <c r="D952" s="15">
        <f t="shared" si="119"/>
        <v>7.1742003735000003E+20</v>
      </c>
      <c r="E952" s="15">
        <f>FORECAST($C952, OFFSET('De Vaucouleurs Deprojection'!$F$3:$F$126, MATCH($C952, 'De Vaucouleurs Deprojection'!$A$3:$A$126,1)-1,0,2), OFFSET('De Vaucouleurs Deprojection'!$A$3:$A$126, MATCH($C952, 'De Vaucouleurs Deprojection'!$A$3:$A$126,1)-1,0,2))*LCDMTotalBulgeMass</f>
        <v>1.865875736571579E+40</v>
      </c>
      <c r="F952" s="15">
        <f t="shared" si="112"/>
        <v>3.9781999999999979E+39</v>
      </c>
      <c r="G952" s="15">
        <f t="shared" si="113"/>
        <v>2.1289171907277904E+41</v>
      </c>
      <c r="H952" s="15">
        <f t="shared" si="114"/>
        <v>2.3552867643849484E+41</v>
      </c>
      <c r="I952" s="16">
        <v>139.72020000000001</v>
      </c>
      <c r="J952" s="45">
        <v>1</v>
      </c>
      <c r="K952" s="19">
        <f t="shared" si="115"/>
        <v>148.02356130397442</v>
      </c>
      <c r="L952" s="16">
        <f t="shared" si="116"/>
        <v>68.94580894433966</v>
      </c>
      <c r="M952" s="45"/>
    </row>
    <row r="953" spans="1:13" x14ac:dyDescent="0.25">
      <c r="A953" s="16">
        <v>23.3</v>
      </c>
      <c r="B953" s="45">
        <f t="shared" si="117"/>
        <v>23300</v>
      </c>
      <c r="C953" s="16">
        <f t="shared" si="118"/>
        <v>40.877192982456137</v>
      </c>
      <c r="D953" s="15">
        <f t="shared" si="119"/>
        <v>7.1896287613999999E+20</v>
      </c>
      <c r="E953" s="15">
        <f>FORECAST($C953, OFFSET('De Vaucouleurs Deprojection'!$F$3:$F$126, MATCH($C953, 'De Vaucouleurs Deprojection'!$A$3:$A$126,1)-1,0,2), OFFSET('De Vaucouleurs Deprojection'!$A$3:$A$126, MATCH($C953, 'De Vaucouleurs Deprojection'!$A$3:$A$126,1)-1,0,2))*LCDMTotalBulgeMass</f>
        <v>1.8658977143817543E+40</v>
      </c>
      <c r="F953" s="15">
        <f t="shared" si="112"/>
        <v>3.9781999999999979E+39</v>
      </c>
      <c r="G953" s="15">
        <f t="shared" si="113"/>
        <v>2.1332354949362396E+41</v>
      </c>
      <c r="H953" s="15">
        <f t="shared" si="114"/>
        <v>2.3596072663744151E+41</v>
      </c>
      <c r="I953" s="16">
        <v>139.58499</v>
      </c>
      <c r="J953" s="45">
        <v>1</v>
      </c>
      <c r="K953" s="19">
        <f t="shared" si="115"/>
        <v>148.00021063261789</v>
      </c>
      <c r="L953" s="16">
        <f t="shared" si="116"/>
        <v>70.815938295637821</v>
      </c>
      <c r="M953" s="45"/>
    </row>
    <row r="954" spans="1:13" x14ac:dyDescent="0.25">
      <c r="H954" s="15"/>
      <c r="K954" s="45"/>
      <c r="L954" s="16">
        <f>SUM(L488:L953)/(COUNT(L488:L953)-6)</f>
        <v>25.327661765033309</v>
      </c>
      <c r="M954" s="45"/>
    </row>
    <row r="955" spans="1:13" x14ac:dyDescent="0.25">
      <c r="H955" s="15"/>
      <c r="K955" s="45"/>
      <c r="M955" s="45"/>
    </row>
    <row r="956" spans="1:13" x14ac:dyDescent="0.25">
      <c r="J956" s="45"/>
    </row>
    <row r="957" spans="1:13" x14ac:dyDescent="0.25">
      <c r="J957" s="45"/>
    </row>
    <row r="958" spans="1:13" x14ac:dyDescent="0.25">
      <c r="J958" s="45"/>
    </row>
    <row r="959" spans="1:13" x14ac:dyDescent="0.25">
      <c r="J959" s="45"/>
    </row>
    <row r="960" spans="1:13" x14ac:dyDescent="0.25">
      <c r="J960" s="45"/>
    </row>
    <row r="961" spans="1:27" x14ac:dyDescent="0.25">
      <c r="J961" s="45"/>
    </row>
    <row r="962" spans="1:27" x14ac:dyDescent="0.25">
      <c r="J962" s="45"/>
    </row>
    <row r="963" spans="1:27" s="17" customFormat="1" x14ac:dyDescent="0.25">
      <c r="A963" s="16"/>
      <c r="B963" s="45"/>
      <c r="C963" s="16"/>
      <c r="D963" s="15"/>
      <c r="E963" s="15"/>
      <c r="F963" s="15"/>
      <c r="G963" s="15"/>
      <c r="H963" s="18"/>
      <c r="I963" s="16"/>
      <c r="J963" s="45"/>
      <c r="K963" s="19"/>
      <c r="L963" s="16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s="17" customFormat="1" x14ac:dyDescent="0.25">
      <c r="A964" s="16"/>
      <c r="B964" s="45"/>
      <c r="C964" s="16"/>
      <c r="D964" s="15"/>
      <c r="E964" s="15"/>
      <c r="F964" s="15"/>
      <c r="G964" s="15"/>
      <c r="H964" s="18"/>
      <c r="I964" s="16"/>
      <c r="J964" s="45"/>
      <c r="K964" s="19"/>
      <c r="L964" s="16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s="17" customFormat="1" x14ac:dyDescent="0.25">
      <c r="A965" s="16"/>
      <c r="B965" s="45"/>
      <c r="C965" s="16"/>
      <c r="D965" s="15"/>
      <c r="E965" s="15"/>
      <c r="F965" s="15"/>
      <c r="G965" s="15"/>
      <c r="H965" s="18"/>
      <c r="I965" s="16"/>
      <c r="J965" s="45"/>
      <c r="K965" s="19"/>
      <c r="L965" s="16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s="17" customFormat="1" x14ac:dyDescent="0.25">
      <c r="A966" s="16"/>
      <c r="B966" s="45"/>
      <c r="C966" s="16"/>
      <c r="D966" s="15"/>
      <c r="E966" s="15"/>
      <c r="F966" s="15"/>
      <c r="G966" s="15"/>
      <c r="H966" s="18"/>
      <c r="I966" s="16"/>
      <c r="J966" s="45"/>
      <c r="K966" s="19"/>
      <c r="L966" s="16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s="17" customFormat="1" x14ac:dyDescent="0.25">
      <c r="A967" s="16"/>
      <c r="B967" s="45"/>
      <c r="C967" s="16"/>
      <c r="D967" s="15"/>
      <c r="E967" s="15"/>
      <c r="F967" s="15"/>
      <c r="G967" s="15"/>
      <c r="H967" s="18"/>
      <c r="I967" s="16"/>
      <c r="J967" s="45"/>
      <c r="K967" s="19"/>
      <c r="L967" s="16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s="17" customFormat="1" x14ac:dyDescent="0.25">
      <c r="A968" s="16"/>
      <c r="B968" s="45"/>
      <c r="C968" s="16"/>
      <c r="D968" s="15"/>
      <c r="E968" s="15"/>
      <c r="F968" s="15"/>
      <c r="G968" s="15"/>
      <c r="H968" s="18"/>
      <c r="I968" s="16"/>
      <c r="J968" s="45"/>
      <c r="K968" s="19"/>
      <c r="L968" s="16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s="17" customFormat="1" x14ac:dyDescent="0.25">
      <c r="A969" s="16"/>
      <c r="B969" s="45"/>
      <c r="C969" s="16"/>
      <c r="D969" s="15"/>
      <c r="E969" s="15"/>
      <c r="F969" s="15"/>
      <c r="G969" s="15"/>
      <c r="H969" s="18"/>
      <c r="I969" s="16"/>
      <c r="J969" s="45"/>
      <c r="K969" s="19"/>
      <c r="L969" s="16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s="17" customFormat="1" x14ac:dyDescent="0.25">
      <c r="A970" s="16"/>
      <c r="B970" s="45"/>
      <c r="C970" s="16"/>
      <c r="D970" s="15"/>
      <c r="E970" s="15"/>
      <c r="F970" s="15"/>
      <c r="G970" s="15"/>
      <c r="H970" s="18"/>
      <c r="I970" s="16"/>
      <c r="J970" s="45"/>
      <c r="K970" s="19"/>
      <c r="L970" s="16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s="17" customFormat="1" x14ac:dyDescent="0.25">
      <c r="A971" s="16"/>
      <c r="B971" s="45"/>
      <c r="C971" s="16"/>
      <c r="D971" s="15"/>
      <c r="E971" s="15"/>
      <c r="F971" s="15"/>
      <c r="G971" s="15"/>
      <c r="H971" s="18"/>
      <c r="I971" s="16"/>
      <c r="J971" s="45"/>
      <c r="K971" s="19"/>
      <c r="L971" s="16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s="17" customFormat="1" x14ac:dyDescent="0.25">
      <c r="A972" s="16"/>
      <c r="B972" s="45"/>
      <c r="C972" s="16"/>
      <c r="D972" s="15"/>
      <c r="E972" s="15"/>
      <c r="F972" s="15"/>
      <c r="G972" s="15"/>
      <c r="H972" s="18"/>
      <c r="I972" s="16"/>
      <c r="J972" s="45"/>
      <c r="K972" s="19"/>
      <c r="L972" s="16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s="17" customFormat="1" x14ac:dyDescent="0.25">
      <c r="A973" s="16"/>
      <c r="B973" s="45"/>
      <c r="C973" s="16"/>
      <c r="D973" s="15"/>
      <c r="E973" s="15"/>
      <c r="F973" s="15"/>
      <c r="G973" s="15"/>
      <c r="H973" s="18"/>
      <c r="I973" s="16"/>
      <c r="J973" s="45"/>
      <c r="K973" s="19"/>
      <c r="L973" s="16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s="17" customFormat="1" x14ac:dyDescent="0.25">
      <c r="A974" s="16"/>
      <c r="B974" s="45"/>
      <c r="C974" s="16"/>
      <c r="D974" s="15"/>
      <c r="E974" s="15"/>
      <c r="F974" s="15"/>
      <c r="G974" s="15"/>
      <c r="H974" s="18"/>
      <c r="I974" s="16"/>
      <c r="J974" s="45"/>
      <c r="K974" s="19"/>
      <c r="L974" s="16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s="17" customFormat="1" x14ac:dyDescent="0.25">
      <c r="A975" s="16"/>
      <c r="B975" s="45"/>
      <c r="C975" s="16"/>
      <c r="D975" s="15"/>
      <c r="E975" s="15"/>
      <c r="F975" s="15"/>
      <c r="G975" s="15"/>
      <c r="H975" s="18"/>
      <c r="I975" s="16"/>
      <c r="J975" s="45"/>
      <c r="K975" s="19"/>
      <c r="L975" s="16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s="17" customFormat="1" x14ac:dyDescent="0.25">
      <c r="A976" s="16"/>
      <c r="B976" s="45"/>
      <c r="C976" s="16"/>
      <c r="D976" s="15"/>
      <c r="E976" s="15"/>
      <c r="F976" s="15"/>
      <c r="G976" s="15"/>
      <c r="H976" s="18"/>
      <c r="I976" s="16"/>
      <c r="J976" s="45"/>
      <c r="K976" s="19"/>
      <c r="L976" s="16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s="17" customFormat="1" x14ac:dyDescent="0.25">
      <c r="A977" s="16"/>
      <c r="B977" s="45"/>
      <c r="C977" s="16"/>
      <c r="D977" s="15"/>
      <c r="E977" s="15"/>
      <c r="F977" s="15"/>
      <c r="G977" s="15"/>
      <c r="H977" s="18"/>
      <c r="I977" s="16"/>
      <c r="J977" s="45"/>
      <c r="K977" s="19"/>
      <c r="L977" s="16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s="17" customFormat="1" x14ac:dyDescent="0.25">
      <c r="A978" s="16"/>
      <c r="B978" s="45"/>
      <c r="C978" s="16"/>
      <c r="D978" s="15"/>
      <c r="E978" s="15"/>
      <c r="F978" s="15"/>
      <c r="G978" s="15"/>
      <c r="H978" s="18"/>
      <c r="I978" s="16"/>
      <c r="J978" s="45"/>
      <c r="K978" s="19"/>
      <c r="L978" s="16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s="17" customFormat="1" x14ac:dyDescent="0.25">
      <c r="A979" s="16"/>
      <c r="B979" s="45"/>
      <c r="C979" s="16"/>
      <c r="D979" s="15"/>
      <c r="E979" s="15"/>
      <c r="F979" s="15"/>
      <c r="G979" s="15"/>
      <c r="H979" s="18"/>
      <c r="I979" s="16"/>
      <c r="J979" s="45"/>
      <c r="K979" s="19"/>
      <c r="L979" s="16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s="17" customFormat="1" x14ac:dyDescent="0.25">
      <c r="A980" s="16"/>
      <c r="B980" s="45"/>
      <c r="C980" s="16"/>
      <c r="D980" s="15"/>
      <c r="E980" s="15"/>
      <c r="F980" s="15"/>
      <c r="G980" s="15"/>
      <c r="H980" s="18"/>
      <c r="I980" s="16"/>
      <c r="J980" s="45"/>
      <c r="K980" s="19"/>
      <c r="L980" s="16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s="17" customFormat="1" x14ac:dyDescent="0.25">
      <c r="A981" s="16"/>
      <c r="B981" s="45"/>
      <c r="C981" s="16"/>
      <c r="D981" s="15"/>
      <c r="E981" s="15"/>
      <c r="F981" s="15"/>
      <c r="G981" s="15"/>
      <c r="H981" s="18"/>
      <c r="I981" s="16"/>
      <c r="J981" s="45"/>
      <c r="K981" s="19"/>
      <c r="L981" s="16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s="17" customFormat="1" x14ac:dyDescent="0.25">
      <c r="A982" s="16"/>
      <c r="B982" s="45"/>
      <c r="C982" s="16"/>
      <c r="D982" s="15"/>
      <c r="E982" s="15"/>
      <c r="F982" s="15"/>
      <c r="G982" s="15"/>
      <c r="H982" s="18"/>
      <c r="I982" s="16"/>
      <c r="J982" s="45"/>
      <c r="K982" s="19"/>
      <c r="L982" s="16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s="17" customFormat="1" x14ac:dyDescent="0.25">
      <c r="A983" s="16"/>
      <c r="B983" s="45"/>
      <c r="C983" s="16"/>
      <c r="D983" s="15"/>
      <c r="E983" s="15"/>
      <c r="F983" s="15"/>
      <c r="G983" s="15"/>
      <c r="H983" s="18"/>
      <c r="I983" s="16"/>
      <c r="J983" s="45"/>
      <c r="K983" s="19"/>
      <c r="L983" s="16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s="17" customFormat="1" x14ac:dyDescent="0.25">
      <c r="A984" s="16"/>
      <c r="B984" s="45"/>
      <c r="C984" s="16"/>
      <c r="D984" s="15"/>
      <c r="E984" s="15"/>
      <c r="F984" s="15"/>
      <c r="G984" s="15"/>
      <c r="H984" s="18"/>
      <c r="I984" s="16"/>
      <c r="J984" s="45"/>
      <c r="K984" s="19"/>
      <c r="L984" s="16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s="17" customFormat="1" x14ac:dyDescent="0.25">
      <c r="A985" s="16"/>
      <c r="B985" s="45"/>
      <c r="C985" s="16"/>
      <c r="D985" s="15"/>
      <c r="E985" s="15"/>
      <c r="F985" s="15"/>
      <c r="G985" s="15"/>
      <c r="H985" s="18"/>
      <c r="I985" s="16"/>
      <c r="J985" s="45"/>
      <c r="K985" s="19"/>
      <c r="L985" s="16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s="17" customFormat="1" x14ac:dyDescent="0.25">
      <c r="A986" s="16"/>
      <c r="B986" s="45"/>
      <c r="C986" s="16"/>
      <c r="D986" s="15"/>
      <c r="E986" s="15"/>
      <c r="F986" s="15"/>
      <c r="G986" s="15"/>
      <c r="H986" s="18"/>
      <c r="I986" s="16"/>
      <c r="J986" s="45"/>
      <c r="K986" s="19"/>
      <c r="L986" s="16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s="17" customFormat="1" x14ac:dyDescent="0.25">
      <c r="A987" s="16"/>
      <c r="B987" s="45"/>
      <c r="C987" s="16"/>
      <c r="D987" s="15"/>
      <c r="E987" s="15"/>
      <c r="F987" s="15"/>
      <c r="G987" s="15"/>
      <c r="H987" s="18"/>
      <c r="I987" s="16"/>
      <c r="J987" s="45"/>
      <c r="K987" s="19"/>
      <c r="L987" s="16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s="17" customFormat="1" x14ac:dyDescent="0.25">
      <c r="A988" s="16"/>
      <c r="B988" s="45"/>
      <c r="C988" s="16"/>
      <c r="D988" s="15"/>
      <c r="E988" s="15"/>
      <c r="F988" s="15"/>
      <c r="G988" s="15"/>
      <c r="H988" s="18"/>
      <c r="I988" s="16"/>
      <c r="J988" s="45"/>
      <c r="K988" s="19"/>
      <c r="L988" s="16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s="17" customFormat="1" x14ac:dyDescent="0.25">
      <c r="A989" s="16"/>
      <c r="B989" s="45"/>
      <c r="C989" s="16"/>
      <c r="D989" s="15"/>
      <c r="E989" s="15"/>
      <c r="F989" s="15"/>
      <c r="G989" s="15"/>
      <c r="H989" s="18"/>
      <c r="I989" s="16"/>
      <c r="J989" s="45"/>
      <c r="K989" s="19"/>
      <c r="L989" s="16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s="17" customFormat="1" x14ac:dyDescent="0.25">
      <c r="A990" s="16"/>
      <c r="B990" s="45"/>
      <c r="C990" s="16"/>
      <c r="D990" s="15"/>
      <c r="E990" s="15"/>
      <c r="F990" s="15"/>
      <c r="G990" s="15"/>
      <c r="H990" s="18"/>
      <c r="I990" s="16"/>
      <c r="J990" s="45"/>
      <c r="K990" s="19"/>
      <c r="L990" s="16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s="17" customFormat="1" x14ac:dyDescent="0.25">
      <c r="A991" s="16"/>
      <c r="B991" s="45"/>
      <c r="C991" s="16"/>
      <c r="D991" s="15"/>
      <c r="E991" s="15"/>
      <c r="F991" s="15"/>
      <c r="G991" s="15"/>
      <c r="H991" s="18"/>
      <c r="I991" s="16"/>
      <c r="J991" s="45"/>
      <c r="K991" s="19"/>
      <c r="L991" s="16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s="17" customFormat="1" x14ac:dyDescent="0.25">
      <c r="A992" s="16"/>
      <c r="B992" s="45"/>
      <c r="C992" s="16"/>
      <c r="D992" s="15"/>
      <c r="E992" s="15"/>
      <c r="F992" s="15"/>
      <c r="G992" s="15"/>
      <c r="H992" s="18"/>
      <c r="I992" s="16"/>
      <c r="J992" s="45"/>
      <c r="K992" s="19"/>
      <c r="L992" s="16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s="17" customFormat="1" x14ac:dyDescent="0.25">
      <c r="A993" s="16"/>
      <c r="B993" s="45"/>
      <c r="C993" s="16"/>
      <c r="D993" s="15"/>
      <c r="E993" s="15"/>
      <c r="F993" s="15"/>
      <c r="G993" s="15"/>
      <c r="H993" s="18"/>
      <c r="I993" s="16"/>
      <c r="J993" s="45"/>
      <c r="K993" s="19"/>
      <c r="L993" s="16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s="17" customFormat="1" x14ac:dyDescent="0.25">
      <c r="A994" s="16"/>
      <c r="B994" s="45"/>
      <c r="C994" s="16"/>
      <c r="D994" s="15"/>
      <c r="E994" s="15"/>
      <c r="F994" s="15"/>
      <c r="G994" s="15"/>
      <c r="H994" s="18"/>
      <c r="I994" s="16"/>
      <c r="J994" s="45"/>
      <c r="K994" s="19"/>
      <c r="L994" s="16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  <row r="995" spans="1:27" s="17" customFormat="1" x14ac:dyDescent="0.25">
      <c r="A995" s="16"/>
      <c r="B995" s="45"/>
      <c r="C995" s="16"/>
      <c r="D995" s="15"/>
      <c r="E995" s="15"/>
      <c r="F995" s="15"/>
      <c r="G995" s="15"/>
      <c r="H995" s="18"/>
      <c r="I995" s="16"/>
      <c r="J995" s="45"/>
      <c r="K995" s="19"/>
      <c r="L995" s="16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</row>
    <row r="996" spans="1:27" s="17" customFormat="1" x14ac:dyDescent="0.25">
      <c r="A996" s="16"/>
      <c r="B996" s="45"/>
      <c r="C996" s="16"/>
      <c r="D996" s="15"/>
      <c r="E996" s="15"/>
      <c r="F996" s="15"/>
      <c r="G996" s="15"/>
      <c r="H996" s="18"/>
      <c r="I996" s="16"/>
      <c r="J996" s="45"/>
      <c r="K996" s="19"/>
      <c r="L996" s="16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</row>
    <row r="997" spans="1:27" s="17" customFormat="1" x14ac:dyDescent="0.25">
      <c r="A997" s="16"/>
      <c r="B997" s="45"/>
      <c r="C997" s="16"/>
      <c r="D997" s="15"/>
      <c r="E997" s="15"/>
      <c r="F997" s="15"/>
      <c r="G997" s="15"/>
      <c r="H997" s="18"/>
      <c r="I997" s="16"/>
      <c r="J997" s="45"/>
      <c r="K997" s="19"/>
      <c r="L997" s="16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</row>
    <row r="998" spans="1:27" s="17" customFormat="1" x14ac:dyDescent="0.25">
      <c r="A998" s="16"/>
      <c r="B998" s="45"/>
      <c r="C998" s="16"/>
      <c r="D998" s="15"/>
      <c r="E998" s="15"/>
      <c r="F998" s="15"/>
      <c r="G998" s="15"/>
      <c r="H998" s="18"/>
      <c r="I998" s="16"/>
      <c r="J998" s="45"/>
      <c r="K998" s="19"/>
      <c r="L998" s="16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</row>
    <row r="999" spans="1:27" s="17" customFormat="1" x14ac:dyDescent="0.25">
      <c r="A999" s="16"/>
      <c r="B999" s="45"/>
      <c r="C999" s="16"/>
      <c r="D999" s="15"/>
      <c r="E999" s="15"/>
      <c r="F999" s="15"/>
      <c r="G999" s="15"/>
      <c r="H999" s="18"/>
      <c r="I999" s="16"/>
      <c r="J999" s="45"/>
      <c r="K999" s="19"/>
      <c r="L999" s="16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</row>
    <row r="1000" spans="1:27" s="17" customFormat="1" x14ac:dyDescent="0.25">
      <c r="A1000" s="16"/>
      <c r="B1000" s="45"/>
      <c r="C1000" s="16"/>
      <c r="D1000" s="15"/>
      <c r="E1000" s="15"/>
      <c r="F1000" s="15"/>
      <c r="G1000" s="15"/>
      <c r="H1000" s="18"/>
      <c r="I1000" s="16"/>
      <c r="J1000" s="45"/>
      <c r="K1000" s="19"/>
      <c r="L1000" s="16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</row>
    <row r="1001" spans="1:27" s="17" customFormat="1" x14ac:dyDescent="0.25">
      <c r="A1001" s="16"/>
      <c r="B1001" s="45"/>
      <c r="C1001" s="16"/>
      <c r="D1001" s="15"/>
      <c r="E1001" s="15"/>
      <c r="F1001" s="15"/>
      <c r="G1001" s="15"/>
      <c r="H1001" s="18"/>
      <c r="I1001" s="16"/>
      <c r="J1001" s="45"/>
      <c r="K1001" s="19"/>
      <c r="L1001" s="16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</row>
    <row r="1002" spans="1:27" s="17" customFormat="1" x14ac:dyDescent="0.25">
      <c r="A1002" s="16"/>
      <c r="B1002" s="45"/>
      <c r="C1002" s="16"/>
      <c r="D1002" s="15"/>
      <c r="E1002" s="15"/>
      <c r="F1002" s="15"/>
      <c r="G1002" s="15"/>
      <c r="H1002" s="18"/>
      <c r="I1002" s="16"/>
      <c r="J1002" s="45"/>
      <c r="K1002" s="19"/>
      <c r="L1002" s="16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</row>
    <row r="1003" spans="1:27" s="17" customFormat="1" x14ac:dyDescent="0.25">
      <c r="A1003" s="16"/>
      <c r="B1003" s="45"/>
      <c r="C1003" s="16"/>
      <c r="D1003" s="15"/>
      <c r="E1003" s="15"/>
      <c r="F1003" s="15"/>
      <c r="G1003" s="15"/>
      <c r="H1003" s="18"/>
      <c r="I1003" s="16"/>
      <c r="J1003" s="15"/>
      <c r="K1003" s="19"/>
      <c r="L1003" s="16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</row>
    <row r="1004" spans="1:27" s="17" customFormat="1" x14ac:dyDescent="0.25">
      <c r="A1004" s="16"/>
      <c r="B1004" s="45"/>
      <c r="C1004" s="16"/>
      <c r="D1004" s="15"/>
      <c r="E1004" s="15"/>
      <c r="F1004" s="15"/>
      <c r="G1004" s="15"/>
      <c r="H1004" s="18"/>
      <c r="I1004" s="16"/>
      <c r="J1004" s="15"/>
      <c r="K1004" s="19"/>
      <c r="L1004" s="16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</row>
    <row r="1005" spans="1:27" s="17" customFormat="1" x14ac:dyDescent="0.25">
      <c r="A1005" s="16"/>
      <c r="B1005" s="45"/>
      <c r="C1005" s="16"/>
      <c r="D1005" s="15"/>
      <c r="E1005" s="15"/>
      <c r="F1005" s="15"/>
      <c r="G1005" s="15"/>
      <c r="H1005" s="18"/>
      <c r="I1005" s="16"/>
      <c r="J1005" s="15"/>
      <c r="K1005" s="19"/>
      <c r="L1005" s="16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</row>
    <row r="1006" spans="1:27" s="17" customFormat="1" x14ac:dyDescent="0.25">
      <c r="A1006" s="16"/>
      <c r="B1006" s="45"/>
      <c r="C1006" s="16"/>
      <c r="D1006" s="15"/>
      <c r="E1006" s="15"/>
      <c r="F1006" s="15"/>
      <c r="G1006" s="15"/>
      <c r="H1006" s="18"/>
      <c r="I1006" s="16"/>
      <c r="J1006" s="15"/>
      <c r="K1006" s="19"/>
      <c r="L1006" s="16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</row>
    <row r="1007" spans="1:27" s="17" customFormat="1" x14ac:dyDescent="0.25">
      <c r="A1007" s="16"/>
      <c r="B1007" s="45"/>
      <c r="C1007" s="16"/>
      <c r="D1007" s="15"/>
      <c r="E1007" s="15"/>
      <c r="F1007" s="15"/>
      <c r="G1007" s="15"/>
      <c r="H1007" s="18"/>
      <c r="I1007" s="16"/>
      <c r="J1007" s="15"/>
      <c r="K1007" s="19"/>
      <c r="L1007" s="16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</row>
    <row r="1008" spans="1:27" s="17" customFormat="1" x14ac:dyDescent="0.25">
      <c r="A1008" s="16"/>
      <c r="B1008" s="45"/>
      <c r="C1008" s="16"/>
      <c r="D1008" s="15"/>
      <c r="E1008" s="15"/>
      <c r="F1008" s="15"/>
      <c r="G1008" s="15"/>
      <c r="H1008" s="18"/>
      <c r="I1008" s="16"/>
      <c r="J1008" s="15"/>
      <c r="K1008" s="19"/>
      <c r="L1008" s="16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</row>
    <row r="1009" spans="1:27" s="17" customFormat="1" x14ac:dyDescent="0.25">
      <c r="A1009" s="16"/>
      <c r="B1009" s="45"/>
      <c r="C1009" s="16"/>
      <c r="D1009" s="15"/>
      <c r="E1009" s="15"/>
      <c r="F1009" s="15"/>
      <c r="G1009" s="15"/>
      <c r="H1009" s="18"/>
      <c r="I1009" s="16"/>
      <c r="J1009" s="15"/>
      <c r="K1009" s="19"/>
      <c r="L1009" s="16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</row>
    <row r="1010" spans="1:27" s="17" customFormat="1" x14ac:dyDescent="0.25">
      <c r="A1010" s="16"/>
      <c r="B1010" s="45"/>
      <c r="C1010" s="16"/>
      <c r="D1010" s="15"/>
      <c r="E1010" s="15"/>
      <c r="F1010" s="15"/>
      <c r="G1010" s="15"/>
      <c r="H1010" s="18"/>
      <c r="I1010" s="16"/>
      <c r="J1010" s="15"/>
      <c r="K1010" s="19"/>
      <c r="L1010" s="16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</row>
    <row r="1011" spans="1:27" s="17" customFormat="1" x14ac:dyDescent="0.25">
      <c r="A1011" s="16"/>
      <c r="B1011" s="45"/>
      <c r="C1011" s="16"/>
      <c r="D1011" s="15"/>
      <c r="E1011" s="15"/>
      <c r="F1011" s="15"/>
      <c r="G1011" s="15"/>
      <c r="H1011" s="18"/>
      <c r="I1011" s="16"/>
      <c r="J1011" s="15"/>
      <c r="K1011" s="19"/>
      <c r="L1011" s="16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</row>
    <row r="1012" spans="1:27" s="17" customFormat="1" x14ac:dyDescent="0.25">
      <c r="A1012" s="16"/>
      <c r="B1012" s="45"/>
      <c r="C1012" s="16"/>
      <c r="D1012" s="15"/>
      <c r="E1012" s="15"/>
      <c r="F1012" s="15"/>
      <c r="G1012" s="15"/>
      <c r="H1012" s="18"/>
      <c r="I1012" s="16"/>
      <c r="J1012" s="15"/>
      <c r="K1012" s="19"/>
      <c r="L1012" s="16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</row>
    <row r="1013" spans="1:27" s="17" customFormat="1" x14ac:dyDescent="0.25">
      <c r="A1013" s="16"/>
      <c r="B1013" s="45"/>
      <c r="C1013" s="16"/>
      <c r="D1013" s="15"/>
      <c r="E1013" s="15"/>
      <c r="F1013" s="15"/>
      <c r="G1013" s="15"/>
      <c r="H1013" s="18"/>
      <c r="I1013" s="16"/>
      <c r="J1013" s="15"/>
      <c r="K1013" s="19"/>
      <c r="L1013" s="16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</row>
    <row r="1014" spans="1:27" s="17" customFormat="1" x14ac:dyDescent="0.25">
      <c r="A1014" s="16"/>
      <c r="B1014" s="45"/>
      <c r="C1014" s="16"/>
      <c r="D1014" s="15"/>
      <c r="E1014" s="15"/>
      <c r="F1014" s="15"/>
      <c r="G1014" s="15"/>
      <c r="H1014" s="18"/>
      <c r="I1014" s="16"/>
      <c r="J1014" s="15"/>
      <c r="K1014" s="19"/>
      <c r="L1014" s="16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</row>
    <row r="1015" spans="1:27" s="17" customFormat="1" x14ac:dyDescent="0.25">
      <c r="A1015" s="16"/>
      <c r="B1015" s="45"/>
      <c r="C1015" s="16"/>
      <c r="D1015" s="15"/>
      <c r="E1015" s="15"/>
      <c r="F1015" s="15"/>
      <c r="G1015" s="15"/>
      <c r="H1015" s="18"/>
      <c r="I1015" s="16"/>
      <c r="J1015" s="15"/>
      <c r="K1015" s="19"/>
      <c r="L1015" s="16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</row>
    <row r="1016" spans="1:27" s="17" customFormat="1" x14ac:dyDescent="0.25">
      <c r="A1016" s="16"/>
      <c r="B1016" s="45"/>
      <c r="C1016" s="16"/>
      <c r="D1016" s="15"/>
      <c r="E1016" s="15"/>
      <c r="F1016" s="15"/>
      <c r="G1016" s="15"/>
      <c r="H1016" s="18"/>
      <c r="I1016" s="16"/>
      <c r="J1016" s="15"/>
      <c r="K1016" s="19"/>
      <c r="L1016" s="16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</row>
    <row r="1017" spans="1:27" s="17" customFormat="1" x14ac:dyDescent="0.25">
      <c r="A1017" s="16"/>
      <c r="B1017" s="45"/>
      <c r="C1017" s="16"/>
      <c r="D1017" s="15"/>
      <c r="E1017" s="15"/>
      <c r="F1017" s="15"/>
      <c r="G1017" s="15"/>
      <c r="H1017" s="18"/>
      <c r="I1017" s="16"/>
      <c r="J1017" s="15"/>
      <c r="K1017" s="19"/>
      <c r="L1017" s="16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</row>
    <row r="1018" spans="1:27" s="17" customFormat="1" x14ac:dyDescent="0.25">
      <c r="A1018" s="16"/>
      <c r="B1018" s="45"/>
      <c r="C1018" s="16"/>
      <c r="D1018" s="15"/>
      <c r="E1018" s="15"/>
      <c r="F1018" s="15"/>
      <c r="G1018" s="15"/>
      <c r="H1018" s="18"/>
      <c r="I1018" s="16"/>
      <c r="J1018" s="15"/>
      <c r="K1018" s="19"/>
      <c r="L1018" s="16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</row>
    <row r="1019" spans="1:27" s="17" customFormat="1" x14ac:dyDescent="0.25">
      <c r="A1019" s="16"/>
      <c r="B1019" s="45"/>
      <c r="C1019" s="16"/>
      <c r="D1019" s="15"/>
      <c r="E1019" s="15"/>
      <c r="F1019" s="15"/>
      <c r="G1019" s="15"/>
      <c r="H1019" s="18"/>
      <c r="I1019" s="16"/>
      <c r="J1019" s="15"/>
      <c r="K1019" s="19"/>
      <c r="L1019" s="16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</row>
    <row r="1020" spans="1:27" s="17" customFormat="1" x14ac:dyDescent="0.25">
      <c r="A1020" s="16"/>
      <c r="B1020" s="45"/>
      <c r="C1020" s="16"/>
      <c r="D1020" s="15"/>
      <c r="E1020" s="15"/>
      <c r="F1020" s="15"/>
      <c r="G1020" s="15"/>
      <c r="H1020" s="18"/>
      <c r="I1020" s="16"/>
      <c r="J1020" s="15"/>
      <c r="K1020" s="19"/>
      <c r="L1020" s="16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</row>
    <row r="1021" spans="1:27" s="17" customFormat="1" x14ac:dyDescent="0.25">
      <c r="A1021" s="16"/>
      <c r="B1021" s="45"/>
      <c r="C1021" s="16"/>
      <c r="D1021" s="15"/>
      <c r="E1021" s="15"/>
      <c r="F1021" s="15"/>
      <c r="G1021" s="15"/>
      <c r="H1021" s="18"/>
      <c r="I1021" s="16"/>
      <c r="J1021" s="15"/>
      <c r="K1021" s="19"/>
      <c r="L1021" s="16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</row>
    <row r="1022" spans="1:27" s="17" customFormat="1" x14ac:dyDescent="0.25">
      <c r="A1022" s="16"/>
      <c r="B1022" s="45"/>
      <c r="C1022" s="16"/>
      <c r="D1022" s="15"/>
      <c r="E1022" s="15"/>
      <c r="F1022" s="15"/>
      <c r="G1022" s="15"/>
      <c r="H1022" s="18"/>
      <c r="I1022" s="16"/>
      <c r="J1022" s="15"/>
      <c r="K1022" s="19"/>
      <c r="L1022" s="16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</row>
    <row r="1023" spans="1:27" s="17" customFormat="1" x14ac:dyDescent="0.25">
      <c r="A1023" s="16"/>
      <c r="B1023" s="45"/>
      <c r="C1023" s="16"/>
      <c r="D1023" s="15"/>
      <c r="E1023" s="15"/>
      <c r="F1023" s="15"/>
      <c r="G1023" s="15"/>
      <c r="H1023" s="18"/>
      <c r="I1023" s="16"/>
      <c r="J1023" s="15"/>
      <c r="K1023" s="19"/>
      <c r="L1023" s="16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</row>
    <row r="1024" spans="1:27" s="17" customFormat="1" x14ac:dyDescent="0.25">
      <c r="A1024" s="16"/>
      <c r="B1024" s="45"/>
      <c r="C1024" s="16"/>
      <c r="D1024" s="15"/>
      <c r="E1024" s="15"/>
      <c r="F1024" s="15"/>
      <c r="G1024" s="15"/>
      <c r="H1024" s="18"/>
      <c r="I1024" s="16"/>
      <c r="J1024" s="15"/>
      <c r="K1024" s="19"/>
      <c r="L1024" s="16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</row>
    <row r="1025" spans="1:27" s="17" customFormat="1" x14ac:dyDescent="0.25">
      <c r="A1025" s="16"/>
      <c r="B1025" s="45"/>
      <c r="C1025" s="16"/>
      <c r="D1025" s="15"/>
      <c r="E1025" s="15"/>
      <c r="F1025" s="15"/>
      <c r="G1025" s="15"/>
      <c r="H1025" s="18"/>
      <c r="I1025" s="16"/>
      <c r="J1025" s="15"/>
      <c r="K1025" s="19"/>
      <c r="L1025" s="16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</row>
    <row r="1026" spans="1:27" s="17" customFormat="1" x14ac:dyDescent="0.25">
      <c r="A1026" s="16"/>
      <c r="B1026" s="45"/>
      <c r="C1026" s="16"/>
      <c r="D1026" s="15"/>
      <c r="E1026" s="15"/>
      <c r="F1026" s="15"/>
      <c r="G1026" s="15"/>
      <c r="H1026" s="18"/>
      <c r="I1026" s="16"/>
      <c r="J1026" s="15"/>
      <c r="K1026" s="19"/>
      <c r="L1026" s="16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</row>
    <row r="1027" spans="1:27" s="17" customFormat="1" x14ac:dyDescent="0.25">
      <c r="A1027" s="16"/>
      <c r="B1027" s="45"/>
      <c r="C1027" s="16"/>
      <c r="D1027" s="15"/>
      <c r="E1027" s="15"/>
      <c r="F1027" s="15"/>
      <c r="G1027" s="15"/>
      <c r="H1027" s="18"/>
      <c r="I1027" s="16"/>
      <c r="J1027" s="15"/>
      <c r="K1027" s="19"/>
      <c r="L1027" s="16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</row>
    <row r="1028" spans="1:27" s="17" customFormat="1" x14ac:dyDescent="0.25">
      <c r="A1028" s="16"/>
      <c r="B1028" s="45"/>
      <c r="C1028" s="16"/>
      <c r="D1028" s="15"/>
      <c r="E1028" s="15"/>
      <c r="F1028" s="15"/>
      <c r="G1028" s="15"/>
      <c r="H1028" s="18"/>
      <c r="I1028" s="16"/>
      <c r="J1028" s="15"/>
      <c r="K1028" s="19"/>
      <c r="L1028" s="16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</row>
    <row r="1029" spans="1:27" s="17" customFormat="1" x14ac:dyDescent="0.25">
      <c r="A1029" s="16"/>
      <c r="B1029" s="45"/>
      <c r="C1029" s="16"/>
      <c r="D1029" s="15"/>
      <c r="E1029" s="15"/>
      <c r="F1029" s="15"/>
      <c r="G1029" s="15"/>
      <c r="H1029" s="18"/>
      <c r="I1029" s="16"/>
      <c r="J1029" s="15"/>
      <c r="K1029" s="19"/>
      <c r="L1029" s="16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</row>
    <row r="1030" spans="1:27" s="17" customFormat="1" x14ac:dyDescent="0.25">
      <c r="A1030" s="16"/>
      <c r="B1030" s="45"/>
      <c r="C1030" s="16"/>
      <c r="D1030" s="15"/>
      <c r="E1030" s="15"/>
      <c r="F1030" s="15"/>
      <c r="G1030" s="15"/>
      <c r="H1030" s="18"/>
      <c r="I1030" s="16"/>
      <c r="J1030" s="15"/>
      <c r="K1030" s="19"/>
      <c r="L1030" s="16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</row>
    <row r="1031" spans="1:27" s="17" customFormat="1" x14ac:dyDescent="0.25">
      <c r="A1031" s="16"/>
      <c r="B1031" s="45"/>
      <c r="C1031" s="16"/>
      <c r="D1031" s="15"/>
      <c r="E1031" s="15"/>
      <c r="F1031" s="15"/>
      <c r="G1031" s="15"/>
      <c r="H1031" s="18"/>
      <c r="I1031" s="16"/>
      <c r="J1031" s="15"/>
      <c r="K1031" s="19"/>
      <c r="L1031" s="16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</row>
    <row r="1032" spans="1:27" s="17" customFormat="1" x14ac:dyDescent="0.25">
      <c r="A1032" s="16"/>
      <c r="B1032" s="45"/>
      <c r="C1032" s="16"/>
      <c r="D1032" s="15"/>
      <c r="E1032" s="15"/>
      <c r="F1032" s="15"/>
      <c r="G1032" s="15"/>
      <c r="H1032" s="18"/>
      <c r="I1032" s="16"/>
      <c r="J1032" s="15"/>
      <c r="K1032" s="19"/>
      <c r="L1032" s="16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</row>
    <row r="1033" spans="1:27" s="17" customFormat="1" x14ac:dyDescent="0.25">
      <c r="A1033" s="16"/>
      <c r="B1033" s="45"/>
      <c r="C1033" s="16"/>
      <c r="D1033" s="15"/>
      <c r="E1033" s="15"/>
      <c r="F1033" s="15"/>
      <c r="G1033" s="15"/>
      <c r="H1033" s="18"/>
      <c r="I1033" s="16"/>
      <c r="J1033" s="15"/>
      <c r="K1033" s="19"/>
      <c r="L1033" s="16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</row>
    <row r="1034" spans="1:27" s="17" customFormat="1" x14ac:dyDescent="0.25">
      <c r="A1034" s="16"/>
      <c r="B1034" s="45"/>
      <c r="C1034" s="16"/>
      <c r="D1034" s="15"/>
      <c r="E1034" s="15"/>
      <c r="F1034" s="15"/>
      <c r="G1034" s="15"/>
      <c r="H1034" s="18"/>
      <c r="I1034" s="16"/>
      <c r="J1034" s="15"/>
      <c r="K1034" s="19"/>
      <c r="L1034" s="16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</row>
    <row r="1035" spans="1:27" s="17" customFormat="1" x14ac:dyDescent="0.25">
      <c r="A1035" s="16"/>
      <c r="B1035" s="45"/>
      <c r="C1035" s="16"/>
      <c r="D1035" s="15"/>
      <c r="E1035" s="15"/>
      <c r="F1035" s="15"/>
      <c r="G1035" s="15"/>
      <c r="H1035" s="18"/>
      <c r="I1035" s="16"/>
      <c r="J1035" s="15"/>
      <c r="K1035" s="19"/>
      <c r="L1035" s="16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</row>
    <row r="1036" spans="1:27" s="17" customFormat="1" x14ac:dyDescent="0.25">
      <c r="A1036" s="16"/>
      <c r="B1036" s="45"/>
      <c r="C1036" s="16"/>
      <c r="D1036" s="15"/>
      <c r="E1036" s="15"/>
      <c r="F1036" s="15"/>
      <c r="G1036" s="15"/>
      <c r="H1036" s="18"/>
      <c r="I1036" s="16"/>
      <c r="J1036" s="15"/>
      <c r="K1036" s="19"/>
      <c r="L1036" s="16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</row>
    <row r="1037" spans="1:27" s="17" customFormat="1" x14ac:dyDescent="0.25">
      <c r="A1037" s="16"/>
      <c r="B1037" s="45"/>
      <c r="C1037" s="16"/>
      <c r="D1037" s="15"/>
      <c r="E1037" s="15"/>
      <c r="F1037" s="15"/>
      <c r="G1037" s="15"/>
      <c r="H1037" s="18"/>
      <c r="I1037" s="16"/>
      <c r="J1037" s="15"/>
      <c r="K1037" s="19"/>
      <c r="L1037" s="16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</row>
    <row r="1038" spans="1:27" s="17" customFormat="1" x14ac:dyDescent="0.25">
      <c r="A1038" s="16"/>
      <c r="B1038" s="45"/>
      <c r="C1038" s="16"/>
      <c r="D1038" s="15"/>
      <c r="E1038" s="15"/>
      <c r="F1038" s="15"/>
      <c r="G1038" s="15"/>
      <c r="H1038" s="18"/>
      <c r="I1038" s="16"/>
      <c r="J1038" s="15"/>
      <c r="K1038" s="19"/>
      <c r="L1038" s="16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</row>
    <row r="1039" spans="1:27" s="17" customFormat="1" x14ac:dyDescent="0.25">
      <c r="A1039" s="16"/>
      <c r="B1039" s="45"/>
      <c r="C1039" s="16"/>
      <c r="D1039" s="15"/>
      <c r="E1039" s="15"/>
      <c r="F1039" s="15"/>
      <c r="G1039" s="15"/>
      <c r="H1039" s="18"/>
      <c r="I1039" s="16"/>
      <c r="J1039" s="15"/>
      <c r="K1039" s="19"/>
      <c r="L1039" s="16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</row>
    <row r="1040" spans="1:27" s="17" customFormat="1" x14ac:dyDescent="0.25">
      <c r="A1040" s="16"/>
      <c r="B1040" s="45"/>
      <c r="C1040" s="16"/>
      <c r="D1040" s="15"/>
      <c r="E1040" s="15"/>
      <c r="F1040" s="15"/>
      <c r="G1040" s="15"/>
      <c r="H1040" s="18"/>
      <c r="I1040" s="16"/>
      <c r="J1040" s="15"/>
      <c r="K1040" s="19"/>
      <c r="L1040" s="16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</row>
    <row r="1041" spans="1:27" s="17" customFormat="1" x14ac:dyDescent="0.25">
      <c r="A1041" s="16"/>
      <c r="B1041" s="45"/>
      <c r="C1041" s="16"/>
      <c r="D1041" s="15"/>
      <c r="E1041" s="15"/>
      <c r="F1041" s="15"/>
      <c r="G1041" s="15"/>
      <c r="H1041" s="18"/>
      <c r="I1041" s="16"/>
      <c r="J1041" s="15"/>
      <c r="K1041" s="19"/>
      <c r="L1041" s="16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</row>
    <row r="1042" spans="1:27" s="17" customFormat="1" x14ac:dyDescent="0.25">
      <c r="A1042" s="16"/>
      <c r="B1042" s="45"/>
      <c r="C1042" s="16"/>
      <c r="D1042" s="15"/>
      <c r="E1042" s="15"/>
      <c r="F1042" s="15"/>
      <c r="G1042" s="15"/>
      <c r="H1042" s="18"/>
      <c r="I1042" s="16"/>
      <c r="J1042" s="15"/>
      <c r="K1042" s="19"/>
      <c r="L1042" s="16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</row>
    <row r="1043" spans="1:27" s="17" customFormat="1" x14ac:dyDescent="0.25">
      <c r="A1043" s="16"/>
      <c r="B1043" s="45"/>
      <c r="C1043" s="16"/>
      <c r="D1043" s="15"/>
      <c r="E1043" s="15"/>
      <c r="F1043" s="15"/>
      <c r="G1043" s="15"/>
      <c r="H1043" s="18"/>
      <c r="I1043" s="16"/>
      <c r="J1043" s="15"/>
      <c r="K1043" s="19"/>
      <c r="L1043" s="16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</row>
    <row r="1044" spans="1:27" s="17" customFormat="1" x14ac:dyDescent="0.25">
      <c r="A1044" s="16"/>
      <c r="B1044" s="45"/>
      <c r="C1044" s="16"/>
      <c r="D1044" s="15"/>
      <c r="E1044" s="15"/>
      <c r="F1044" s="15"/>
      <c r="G1044" s="15"/>
      <c r="H1044" s="18"/>
      <c r="I1044" s="16"/>
      <c r="J1044" s="15"/>
      <c r="K1044" s="19"/>
      <c r="L1044" s="16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</row>
    <row r="1045" spans="1:27" s="17" customFormat="1" x14ac:dyDescent="0.25">
      <c r="A1045" s="16"/>
      <c r="B1045" s="45"/>
      <c r="C1045" s="16"/>
      <c r="D1045" s="15"/>
      <c r="E1045" s="15"/>
      <c r="F1045" s="15"/>
      <c r="G1045" s="15"/>
      <c r="H1045" s="18"/>
      <c r="I1045" s="16"/>
      <c r="J1045" s="15"/>
      <c r="K1045" s="19"/>
      <c r="L1045" s="16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</row>
    <row r="1046" spans="1:27" s="17" customFormat="1" x14ac:dyDescent="0.25">
      <c r="A1046" s="16"/>
      <c r="B1046" s="45"/>
      <c r="C1046" s="16"/>
      <c r="D1046" s="15"/>
      <c r="E1046" s="15"/>
      <c r="F1046" s="15"/>
      <c r="G1046" s="15"/>
      <c r="H1046" s="18"/>
      <c r="I1046" s="16"/>
      <c r="J1046" s="15"/>
      <c r="K1046" s="19"/>
      <c r="L1046" s="16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</row>
    <row r="1047" spans="1:27" s="17" customFormat="1" x14ac:dyDescent="0.25">
      <c r="A1047" s="16"/>
      <c r="B1047" s="45"/>
      <c r="C1047" s="16"/>
      <c r="D1047" s="15"/>
      <c r="E1047" s="15"/>
      <c r="F1047" s="15"/>
      <c r="G1047" s="15"/>
      <c r="H1047" s="18"/>
      <c r="I1047" s="16"/>
      <c r="J1047" s="15"/>
      <c r="K1047" s="19"/>
      <c r="L1047" s="16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</row>
    <row r="1048" spans="1:27" s="17" customFormat="1" x14ac:dyDescent="0.25">
      <c r="A1048" s="16"/>
      <c r="B1048" s="45"/>
      <c r="C1048" s="16"/>
      <c r="D1048" s="15"/>
      <c r="E1048" s="15"/>
      <c r="F1048" s="15"/>
      <c r="G1048" s="15"/>
      <c r="H1048" s="18"/>
      <c r="I1048" s="16"/>
      <c r="J1048" s="15"/>
      <c r="K1048" s="19"/>
      <c r="L1048" s="16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</row>
    <row r="1049" spans="1:27" s="17" customFormat="1" x14ac:dyDescent="0.25">
      <c r="A1049" s="16"/>
      <c r="B1049" s="45"/>
      <c r="C1049" s="16"/>
      <c r="D1049" s="15"/>
      <c r="E1049" s="15"/>
      <c r="F1049" s="15"/>
      <c r="G1049" s="15"/>
      <c r="H1049" s="18"/>
      <c r="I1049" s="16"/>
      <c r="J1049" s="15"/>
      <c r="K1049" s="19"/>
      <c r="L1049" s="16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</row>
    <row r="1050" spans="1:27" s="17" customFormat="1" x14ac:dyDescent="0.25">
      <c r="A1050" s="16"/>
      <c r="B1050" s="45"/>
      <c r="C1050" s="16"/>
      <c r="D1050" s="15"/>
      <c r="E1050" s="15"/>
      <c r="F1050" s="15"/>
      <c r="G1050" s="15"/>
      <c r="H1050" s="18"/>
      <c r="I1050" s="16"/>
      <c r="J1050" s="15"/>
      <c r="K1050" s="19"/>
      <c r="L1050" s="16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</row>
    <row r="1051" spans="1:27" s="17" customFormat="1" x14ac:dyDescent="0.25">
      <c r="A1051" s="16"/>
      <c r="B1051" s="45"/>
      <c r="C1051" s="16"/>
      <c r="D1051" s="15"/>
      <c r="E1051" s="15"/>
      <c r="F1051" s="15"/>
      <c r="G1051" s="15"/>
      <c r="H1051" s="18"/>
      <c r="I1051" s="16"/>
      <c r="J1051" s="15"/>
      <c r="K1051" s="19"/>
      <c r="L1051" s="16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</row>
    <row r="1052" spans="1:27" s="17" customFormat="1" x14ac:dyDescent="0.25">
      <c r="A1052" s="16"/>
      <c r="B1052" s="45"/>
      <c r="C1052" s="16"/>
      <c r="D1052" s="15"/>
      <c r="E1052" s="15"/>
      <c r="F1052" s="15"/>
      <c r="G1052" s="15"/>
      <c r="H1052" s="18"/>
      <c r="I1052" s="16"/>
      <c r="J1052" s="15"/>
      <c r="K1052" s="19"/>
      <c r="L1052" s="16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</row>
    <row r="1053" spans="1:27" s="17" customFormat="1" x14ac:dyDescent="0.25">
      <c r="A1053" s="16"/>
      <c r="B1053" s="45"/>
      <c r="C1053" s="16"/>
      <c r="D1053" s="15"/>
      <c r="E1053" s="15"/>
      <c r="F1053" s="15"/>
      <c r="G1053" s="15"/>
      <c r="H1053" s="18"/>
      <c r="I1053" s="16"/>
      <c r="J1053" s="15"/>
      <c r="K1053" s="19"/>
      <c r="L1053" s="16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</row>
    <row r="1054" spans="1:27" s="17" customFormat="1" x14ac:dyDescent="0.25">
      <c r="A1054" s="16"/>
      <c r="B1054" s="45"/>
      <c r="C1054" s="16"/>
      <c r="D1054" s="15"/>
      <c r="E1054" s="15"/>
      <c r="F1054" s="15"/>
      <c r="G1054" s="15"/>
      <c r="H1054" s="18"/>
      <c r="I1054" s="16"/>
      <c r="J1054" s="15"/>
      <c r="K1054" s="19"/>
      <c r="L1054" s="16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</row>
    <row r="1055" spans="1:27" s="17" customFormat="1" x14ac:dyDescent="0.25">
      <c r="A1055" s="16"/>
      <c r="B1055" s="45"/>
      <c r="C1055" s="16"/>
      <c r="D1055" s="15"/>
      <c r="E1055" s="15"/>
      <c r="F1055" s="15"/>
      <c r="G1055" s="15"/>
      <c r="H1055" s="18"/>
      <c r="I1055" s="16"/>
      <c r="J1055" s="15"/>
      <c r="K1055" s="19"/>
      <c r="L1055" s="16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</row>
    <row r="1056" spans="1:27" s="17" customFormat="1" x14ac:dyDescent="0.25">
      <c r="A1056" s="16"/>
      <c r="B1056" s="45"/>
      <c r="C1056" s="16"/>
      <c r="D1056" s="15"/>
      <c r="E1056" s="15"/>
      <c r="F1056" s="15"/>
      <c r="G1056" s="15"/>
      <c r="H1056" s="18"/>
      <c r="I1056" s="16"/>
      <c r="J1056" s="15"/>
      <c r="K1056" s="19"/>
      <c r="L1056" s="16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</row>
    <row r="1057" spans="1:27" s="17" customFormat="1" x14ac:dyDescent="0.25">
      <c r="A1057" s="16"/>
      <c r="B1057" s="45"/>
      <c r="C1057" s="16"/>
      <c r="D1057" s="15"/>
      <c r="E1057" s="15"/>
      <c r="F1057" s="15"/>
      <c r="G1057" s="15"/>
      <c r="H1057" s="18"/>
      <c r="I1057" s="16"/>
      <c r="J1057" s="15"/>
      <c r="K1057" s="19"/>
      <c r="L1057" s="16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</row>
    <row r="1058" spans="1:27" s="17" customFormat="1" x14ac:dyDescent="0.25">
      <c r="A1058" s="16"/>
      <c r="B1058" s="45"/>
      <c r="C1058" s="16"/>
      <c r="D1058" s="15"/>
      <c r="E1058" s="15"/>
      <c r="F1058" s="15"/>
      <c r="G1058" s="15"/>
      <c r="H1058" s="18"/>
      <c r="I1058" s="16"/>
      <c r="J1058" s="15"/>
      <c r="K1058" s="19"/>
      <c r="L1058" s="16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</row>
    <row r="1059" spans="1:27" s="17" customFormat="1" x14ac:dyDescent="0.25">
      <c r="A1059" s="16"/>
      <c r="B1059" s="45"/>
      <c r="C1059" s="16"/>
      <c r="D1059" s="15"/>
      <c r="E1059" s="15"/>
      <c r="F1059" s="15"/>
      <c r="G1059" s="15"/>
      <c r="H1059" s="18"/>
      <c r="I1059" s="16"/>
      <c r="J1059" s="15"/>
      <c r="K1059" s="19"/>
      <c r="L1059" s="16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</row>
    <row r="1060" spans="1:27" s="17" customFormat="1" x14ac:dyDescent="0.25">
      <c r="A1060" s="16"/>
      <c r="B1060" s="45"/>
      <c r="C1060" s="16"/>
      <c r="D1060" s="15"/>
      <c r="E1060" s="15"/>
      <c r="F1060" s="15"/>
      <c r="G1060" s="15"/>
      <c r="H1060" s="18"/>
      <c r="I1060" s="16"/>
      <c r="J1060" s="15"/>
      <c r="K1060" s="19"/>
      <c r="L1060" s="16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</row>
    <row r="1061" spans="1:27" s="17" customFormat="1" x14ac:dyDescent="0.25">
      <c r="A1061" s="16"/>
      <c r="B1061" s="45"/>
      <c r="C1061" s="16"/>
      <c r="D1061" s="15"/>
      <c r="E1061" s="15"/>
      <c r="F1061" s="15"/>
      <c r="G1061" s="15"/>
      <c r="H1061" s="18"/>
      <c r="I1061" s="16"/>
      <c r="J1061" s="15"/>
      <c r="K1061" s="19"/>
      <c r="L1061" s="16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</row>
    <row r="1062" spans="1:27" s="17" customFormat="1" x14ac:dyDescent="0.25">
      <c r="A1062" s="16"/>
      <c r="B1062" s="45"/>
      <c r="C1062" s="16"/>
      <c r="D1062" s="15"/>
      <c r="E1062" s="15"/>
      <c r="F1062" s="15"/>
      <c r="G1062" s="15"/>
      <c r="H1062" s="18"/>
      <c r="I1062" s="16"/>
      <c r="J1062" s="15"/>
      <c r="K1062" s="19"/>
      <c r="L1062" s="16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</row>
    <row r="1063" spans="1:27" s="17" customFormat="1" x14ac:dyDescent="0.25">
      <c r="A1063" s="16"/>
      <c r="B1063" s="45"/>
      <c r="C1063" s="16"/>
      <c r="D1063" s="15"/>
      <c r="E1063" s="15"/>
      <c r="F1063" s="15"/>
      <c r="G1063" s="15"/>
      <c r="H1063" s="18"/>
      <c r="I1063" s="16"/>
      <c r="J1063" s="15"/>
      <c r="K1063" s="19"/>
      <c r="L1063" s="16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</row>
    <row r="1064" spans="1:27" s="17" customFormat="1" x14ac:dyDescent="0.25">
      <c r="A1064" s="16"/>
      <c r="B1064" s="45"/>
      <c r="C1064" s="16"/>
      <c r="D1064" s="15"/>
      <c r="E1064" s="15"/>
      <c r="F1064" s="15"/>
      <c r="G1064" s="15"/>
      <c r="H1064" s="18"/>
      <c r="I1064" s="16"/>
      <c r="J1064" s="15"/>
      <c r="K1064" s="19"/>
      <c r="L1064" s="16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</row>
    <row r="1065" spans="1:27" s="17" customFormat="1" x14ac:dyDescent="0.25">
      <c r="A1065" s="16"/>
      <c r="B1065" s="45"/>
      <c r="C1065" s="16"/>
      <c r="D1065" s="15"/>
      <c r="E1065" s="15"/>
      <c r="F1065" s="15"/>
      <c r="G1065" s="15"/>
      <c r="H1065" s="18"/>
      <c r="I1065" s="16"/>
      <c r="J1065" s="15"/>
      <c r="K1065" s="19"/>
      <c r="L1065" s="16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</row>
    <row r="1066" spans="1:27" s="17" customFormat="1" x14ac:dyDescent="0.25">
      <c r="A1066" s="16"/>
      <c r="B1066" s="45"/>
      <c r="C1066" s="16"/>
      <c r="D1066" s="15"/>
      <c r="E1066" s="15"/>
      <c r="F1066" s="15"/>
      <c r="G1066" s="15"/>
      <c r="H1066" s="18"/>
      <c r="I1066" s="16"/>
      <c r="J1066" s="15"/>
      <c r="K1066" s="19"/>
      <c r="L1066" s="16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</row>
    <row r="1067" spans="1:27" s="17" customFormat="1" x14ac:dyDescent="0.25">
      <c r="A1067" s="16"/>
      <c r="B1067" s="45"/>
      <c r="C1067" s="16"/>
      <c r="D1067" s="15"/>
      <c r="E1067" s="15"/>
      <c r="F1067" s="15"/>
      <c r="G1067" s="15"/>
      <c r="H1067" s="18"/>
      <c r="I1067" s="16"/>
      <c r="J1067" s="15"/>
      <c r="K1067" s="19"/>
      <c r="L1067" s="16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</row>
    <row r="1068" spans="1:27" s="17" customFormat="1" x14ac:dyDescent="0.25">
      <c r="A1068" s="16"/>
      <c r="B1068" s="45"/>
      <c r="C1068" s="16"/>
      <c r="D1068" s="15"/>
      <c r="E1068" s="15"/>
      <c r="F1068" s="15"/>
      <c r="G1068" s="15"/>
      <c r="H1068" s="18"/>
      <c r="I1068" s="16"/>
      <c r="J1068" s="15"/>
      <c r="K1068" s="19"/>
      <c r="L1068" s="16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</row>
    <row r="1069" spans="1:27" s="17" customFormat="1" x14ac:dyDescent="0.25">
      <c r="A1069" s="16"/>
      <c r="B1069" s="45"/>
      <c r="C1069" s="16"/>
      <c r="D1069" s="15"/>
      <c r="E1069" s="15"/>
      <c r="F1069" s="15"/>
      <c r="G1069" s="15"/>
      <c r="H1069" s="18"/>
      <c r="I1069" s="16"/>
      <c r="J1069" s="15"/>
      <c r="K1069" s="19"/>
      <c r="L1069" s="16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</row>
    <row r="1070" spans="1:27" s="17" customFormat="1" x14ac:dyDescent="0.25">
      <c r="A1070" s="16"/>
      <c r="B1070" s="45"/>
      <c r="C1070" s="16"/>
      <c r="D1070" s="15"/>
      <c r="E1070" s="15"/>
      <c r="F1070" s="15"/>
      <c r="G1070" s="15"/>
      <c r="H1070" s="18"/>
      <c r="I1070" s="16"/>
      <c r="J1070" s="15"/>
      <c r="K1070" s="19"/>
      <c r="L1070" s="16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</row>
    <row r="1071" spans="1:27" s="17" customFormat="1" x14ac:dyDescent="0.25">
      <c r="A1071" s="16"/>
      <c r="B1071" s="45"/>
      <c r="C1071" s="16"/>
      <c r="D1071" s="15"/>
      <c r="E1071" s="15"/>
      <c r="F1071" s="15"/>
      <c r="G1071" s="15"/>
      <c r="H1071" s="18"/>
      <c r="I1071" s="16"/>
      <c r="J1071" s="15"/>
      <c r="K1071" s="19"/>
      <c r="L1071" s="16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</row>
    <row r="1072" spans="1:27" s="17" customFormat="1" x14ac:dyDescent="0.25">
      <c r="A1072" s="16"/>
      <c r="B1072" s="45"/>
      <c r="C1072" s="16"/>
      <c r="D1072" s="15"/>
      <c r="E1072" s="15"/>
      <c r="F1072" s="15"/>
      <c r="G1072" s="15"/>
      <c r="H1072" s="18"/>
      <c r="I1072" s="16"/>
      <c r="J1072" s="15"/>
      <c r="K1072" s="19"/>
      <c r="L1072" s="16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</row>
    <row r="1073" spans="1:27" s="17" customFormat="1" x14ac:dyDescent="0.25">
      <c r="A1073" s="16"/>
      <c r="B1073" s="45"/>
      <c r="C1073" s="16"/>
      <c r="D1073" s="15"/>
      <c r="E1073" s="15"/>
      <c r="F1073" s="15"/>
      <c r="G1073" s="15"/>
      <c r="H1073" s="18"/>
      <c r="I1073" s="16"/>
      <c r="J1073" s="15"/>
      <c r="K1073" s="19"/>
      <c r="L1073" s="16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</row>
    <row r="1074" spans="1:27" s="17" customFormat="1" x14ac:dyDescent="0.25">
      <c r="A1074" s="16"/>
      <c r="B1074" s="45"/>
      <c r="C1074" s="16"/>
      <c r="D1074" s="15"/>
      <c r="E1074" s="15"/>
      <c r="F1074" s="15"/>
      <c r="G1074" s="15"/>
      <c r="H1074" s="18"/>
      <c r="I1074" s="16"/>
      <c r="J1074" s="15"/>
      <c r="K1074" s="19"/>
      <c r="L1074" s="16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</row>
    <row r="1075" spans="1:27" s="17" customFormat="1" x14ac:dyDescent="0.25">
      <c r="A1075" s="16"/>
      <c r="B1075" s="45"/>
      <c r="C1075" s="16"/>
      <c r="D1075" s="15"/>
      <c r="E1075" s="15"/>
      <c r="F1075" s="15"/>
      <c r="G1075" s="15"/>
      <c r="H1075" s="18"/>
      <c r="I1075" s="16"/>
      <c r="J1075" s="15"/>
      <c r="K1075" s="19"/>
      <c r="L1075" s="16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</row>
    <row r="1076" spans="1:27" s="17" customFormat="1" x14ac:dyDescent="0.25">
      <c r="A1076" s="16"/>
      <c r="B1076" s="45"/>
      <c r="C1076" s="16"/>
      <c r="D1076" s="15"/>
      <c r="E1076" s="15"/>
      <c r="F1076" s="15"/>
      <c r="G1076" s="15"/>
      <c r="H1076" s="18"/>
      <c r="I1076" s="16"/>
      <c r="J1076" s="15"/>
      <c r="K1076" s="19"/>
      <c r="L1076" s="16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</row>
    <row r="1077" spans="1:27" s="17" customFormat="1" x14ac:dyDescent="0.25">
      <c r="A1077" s="16"/>
      <c r="B1077" s="45"/>
      <c r="C1077" s="16"/>
      <c r="D1077" s="15"/>
      <c r="E1077" s="15"/>
      <c r="F1077" s="15"/>
      <c r="G1077" s="15"/>
      <c r="H1077" s="18"/>
      <c r="I1077" s="16"/>
      <c r="J1077" s="15"/>
      <c r="K1077" s="19"/>
      <c r="L1077" s="16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</row>
    <row r="1078" spans="1:27" s="17" customFormat="1" x14ac:dyDescent="0.25">
      <c r="A1078" s="16"/>
      <c r="B1078" s="45"/>
      <c r="C1078" s="16"/>
      <c r="D1078" s="15"/>
      <c r="E1078" s="15"/>
      <c r="F1078" s="15"/>
      <c r="G1078" s="15"/>
      <c r="H1078" s="18"/>
      <c r="I1078" s="16"/>
      <c r="J1078" s="15"/>
      <c r="K1078" s="19"/>
      <c r="L1078" s="16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</row>
    <row r="1079" spans="1:27" s="17" customFormat="1" x14ac:dyDescent="0.25">
      <c r="A1079" s="16"/>
      <c r="B1079" s="45"/>
      <c r="C1079" s="16"/>
      <c r="D1079" s="15"/>
      <c r="E1079" s="15"/>
      <c r="F1079" s="15"/>
      <c r="G1079" s="15"/>
      <c r="H1079" s="18"/>
      <c r="I1079" s="16"/>
      <c r="J1079" s="15"/>
      <c r="K1079" s="19"/>
      <c r="L1079" s="16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</row>
    <row r="1080" spans="1:27" s="17" customFormat="1" x14ac:dyDescent="0.25">
      <c r="A1080" s="16"/>
      <c r="B1080" s="45"/>
      <c r="C1080" s="16"/>
      <c r="D1080" s="15"/>
      <c r="E1080" s="15"/>
      <c r="F1080" s="15"/>
      <c r="G1080" s="15"/>
      <c r="H1080" s="18"/>
      <c r="I1080" s="16"/>
      <c r="J1080" s="15"/>
      <c r="K1080" s="19"/>
      <c r="L1080" s="16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</row>
    <row r="1081" spans="1:27" s="17" customFormat="1" x14ac:dyDescent="0.25">
      <c r="A1081" s="16"/>
      <c r="B1081" s="45"/>
      <c r="C1081" s="16"/>
      <c r="D1081" s="15"/>
      <c r="E1081" s="15"/>
      <c r="F1081" s="15"/>
      <c r="G1081" s="15"/>
      <c r="H1081" s="18"/>
      <c r="I1081" s="16"/>
      <c r="J1081" s="15"/>
      <c r="K1081" s="19"/>
      <c r="L1081" s="16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</row>
    <row r="1082" spans="1:27" s="17" customFormat="1" x14ac:dyDescent="0.25">
      <c r="A1082" s="16"/>
      <c r="B1082" s="45"/>
      <c r="C1082" s="16"/>
      <c r="D1082" s="15"/>
      <c r="E1082" s="15"/>
      <c r="F1082" s="15"/>
      <c r="G1082" s="15"/>
      <c r="H1082" s="18"/>
      <c r="I1082" s="16"/>
      <c r="J1082" s="15"/>
      <c r="K1082" s="19"/>
      <c r="L1082" s="16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</row>
    <row r="1083" spans="1:27" s="17" customFormat="1" x14ac:dyDescent="0.25">
      <c r="A1083" s="16"/>
      <c r="B1083" s="45"/>
      <c r="C1083" s="16"/>
      <c r="D1083" s="15"/>
      <c r="E1083" s="15"/>
      <c r="F1083" s="15"/>
      <c r="G1083" s="15"/>
      <c r="H1083" s="18"/>
      <c r="I1083" s="16"/>
      <c r="J1083" s="15"/>
      <c r="K1083" s="19"/>
      <c r="L1083" s="16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</row>
    <row r="1084" spans="1:27" s="17" customFormat="1" x14ac:dyDescent="0.25">
      <c r="A1084" s="16"/>
      <c r="B1084" s="45"/>
      <c r="C1084" s="16"/>
      <c r="D1084" s="15"/>
      <c r="E1084" s="15"/>
      <c r="F1084" s="15"/>
      <c r="G1084" s="15"/>
      <c r="H1084" s="18"/>
      <c r="I1084" s="16"/>
      <c r="J1084" s="15"/>
      <c r="K1084" s="19"/>
      <c r="L1084" s="16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</row>
    <row r="1085" spans="1:27" s="17" customFormat="1" x14ac:dyDescent="0.25">
      <c r="A1085" s="16"/>
      <c r="B1085" s="45"/>
      <c r="C1085" s="16"/>
      <c r="D1085" s="15"/>
      <c r="E1085" s="15"/>
      <c r="F1085" s="15"/>
      <c r="G1085" s="15"/>
      <c r="H1085" s="18"/>
      <c r="I1085" s="16"/>
      <c r="J1085" s="15"/>
      <c r="K1085" s="19"/>
      <c r="L1085" s="16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</row>
    <row r="1086" spans="1:27" s="17" customFormat="1" x14ac:dyDescent="0.25">
      <c r="A1086" s="16"/>
      <c r="B1086" s="45"/>
      <c r="C1086" s="16"/>
      <c r="D1086" s="15"/>
      <c r="E1086" s="15"/>
      <c r="F1086" s="15"/>
      <c r="G1086" s="15"/>
      <c r="H1086" s="18"/>
      <c r="I1086" s="16"/>
      <c r="J1086" s="15"/>
      <c r="K1086" s="19"/>
      <c r="L1086" s="16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</row>
    <row r="1087" spans="1:27" s="17" customFormat="1" x14ac:dyDescent="0.25">
      <c r="A1087" s="16"/>
      <c r="B1087" s="45"/>
      <c r="C1087" s="16"/>
      <c r="D1087" s="15"/>
      <c r="E1087" s="15"/>
      <c r="F1087" s="15"/>
      <c r="G1087" s="15"/>
      <c r="H1087" s="18"/>
      <c r="I1087" s="16"/>
      <c r="J1087" s="15"/>
      <c r="K1087" s="19"/>
      <c r="L1087" s="16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</row>
    <row r="1088" spans="1:27" s="17" customFormat="1" x14ac:dyDescent="0.25">
      <c r="A1088" s="16"/>
      <c r="B1088" s="45"/>
      <c r="C1088" s="16"/>
      <c r="D1088" s="15"/>
      <c r="E1088" s="15"/>
      <c r="F1088" s="15"/>
      <c r="G1088" s="15"/>
      <c r="H1088" s="18"/>
      <c r="I1088" s="16"/>
      <c r="J1088" s="15"/>
      <c r="K1088" s="19"/>
      <c r="L1088" s="16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</row>
    <row r="1089" spans="1:27" s="17" customFormat="1" x14ac:dyDescent="0.25">
      <c r="A1089" s="16"/>
      <c r="B1089" s="45"/>
      <c r="C1089" s="16"/>
      <c r="D1089" s="15"/>
      <c r="E1089" s="15"/>
      <c r="F1089" s="15"/>
      <c r="G1089" s="15"/>
      <c r="H1089" s="18"/>
      <c r="I1089" s="16"/>
      <c r="J1089" s="15"/>
      <c r="K1089" s="19"/>
      <c r="L1089" s="16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</row>
    <row r="1090" spans="1:27" s="17" customFormat="1" x14ac:dyDescent="0.25">
      <c r="A1090" s="16"/>
      <c r="B1090" s="45"/>
      <c r="C1090" s="16"/>
      <c r="D1090" s="15"/>
      <c r="E1090" s="15"/>
      <c r="F1090" s="15"/>
      <c r="G1090" s="15"/>
      <c r="H1090" s="18"/>
      <c r="I1090" s="16"/>
      <c r="J1090" s="15"/>
      <c r="K1090" s="19"/>
      <c r="L1090" s="16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</row>
    <row r="1091" spans="1:27" s="17" customFormat="1" x14ac:dyDescent="0.25">
      <c r="A1091" s="16"/>
      <c r="B1091" s="45"/>
      <c r="C1091" s="16"/>
      <c r="D1091" s="15"/>
      <c r="E1091" s="15"/>
      <c r="F1091" s="15"/>
      <c r="G1091" s="15"/>
      <c r="H1091" s="18"/>
      <c r="I1091" s="16"/>
      <c r="J1091" s="15"/>
      <c r="K1091" s="19"/>
      <c r="L1091" s="16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</row>
    <row r="1092" spans="1:27" s="17" customFormat="1" x14ac:dyDescent="0.25">
      <c r="A1092" s="16"/>
      <c r="B1092" s="45"/>
      <c r="C1092" s="16"/>
      <c r="D1092" s="15"/>
      <c r="E1092" s="15"/>
      <c r="F1092" s="15"/>
      <c r="G1092" s="15"/>
      <c r="H1092" s="18"/>
      <c r="I1092" s="16"/>
      <c r="J1092" s="15"/>
      <c r="K1092" s="19"/>
      <c r="L1092" s="16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</row>
    <row r="1093" spans="1:27" s="17" customFormat="1" x14ac:dyDescent="0.25">
      <c r="A1093" s="16"/>
      <c r="B1093" s="45"/>
      <c r="C1093" s="16"/>
      <c r="D1093" s="15"/>
      <c r="E1093" s="15"/>
      <c r="F1093" s="15"/>
      <c r="G1093" s="15"/>
      <c r="H1093" s="18"/>
      <c r="I1093" s="16"/>
      <c r="J1093" s="15"/>
      <c r="K1093" s="19"/>
      <c r="L1093" s="16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</row>
    <row r="1094" spans="1:27" s="17" customFormat="1" x14ac:dyDescent="0.25">
      <c r="A1094" s="16"/>
      <c r="B1094" s="45"/>
      <c r="C1094" s="16"/>
      <c r="D1094" s="15"/>
      <c r="E1094" s="15"/>
      <c r="F1094" s="15"/>
      <c r="G1094" s="15"/>
      <c r="H1094" s="18"/>
      <c r="I1094" s="16"/>
      <c r="J1094" s="15"/>
      <c r="K1094" s="19"/>
      <c r="L1094" s="16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</row>
    <row r="1095" spans="1:27" s="17" customFormat="1" x14ac:dyDescent="0.25">
      <c r="A1095" s="16"/>
      <c r="B1095" s="45"/>
      <c r="C1095" s="16"/>
      <c r="D1095" s="15"/>
      <c r="E1095" s="15"/>
      <c r="F1095" s="15"/>
      <c r="G1095" s="15"/>
      <c r="H1095" s="18"/>
      <c r="I1095" s="16"/>
      <c r="J1095" s="15"/>
      <c r="K1095" s="19"/>
      <c r="L1095" s="16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</row>
    <row r="1096" spans="1:27" s="17" customFormat="1" x14ac:dyDescent="0.25">
      <c r="A1096" s="16"/>
      <c r="B1096" s="45"/>
      <c r="C1096" s="16"/>
      <c r="D1096" s="15"/>
      <c r="E1096" s="15"/>
      <c r="F1096" s="15"/>
      <c r="G1096" s="15"/>
      <c r="H1096" s="18"/>
      <c r="I1096" s="16"/>
      <c r="J1096" s="15"/>
      <c r="K1096" s="19"/>
      <c r="L1096" s="16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</row>
    <row r="1097" spans="1:27" s="17" customFormat="1" x14ac:dyDescent="0.25">
      <c r="A1097" s="16"/>
      <c r="B1097" s="45"/>
      <c r="C1097" s="16"/>
      <c r="D1097" s="15"/>
      <c r="E1097" s="15"/>
      <c r="F1097" s="15"/>
      <c r="G1097" s="15"/>
      <c r="H1097" s="18"/>
      <c r="I1097" s="16"/>
      <c r="J1097" s="15"/>
      <c r="K1097" s="19"/>
      <c r="L1097" s="16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</row>
    <row r="1098" spans="1:27" s="17" customFormat="1" x14ac:dyDescent="0.25">
      <c r="A1098" s="16"/>
      <c r="B1098" s="45"/>
      <c r="C1098" s="16"/>
      <c r="D1098" s="15"/>
      <c r="E1098" s="15"/>
      <c r="F1098" s="15"/>
      <c r="G1098" s="15"/>
      <c r="H1098" s="18"/>
      <c r="I1098" s="16"/>
      <c r="J1098" s="15"/>
      <c r="K1098" s="19"/>
      <c r="L1098" s="16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</row>
    <row r="1099" spans="1:27" s="17" customFormat="1" x14ac:dyDescent="0.25">
      <c r="A1099" s="16"/>
      <c r="B1099" s="45"/>
      <c r="C1099" s="16"/>
      <c r="D1099" s="15"/>
      <c r="E1099" s="15"/>
      <c r="F1099" s="15"/>
      <c r="G1099" s="15"/>
      <c r="H1099" s="18"/>
      <c r="I1099" s="16"/>
      <c r="J1099" s="15"/>
      <c r="K1099" s="19"/>
      <c r="L1099" s="16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</row>
    <row r="1100" spans="1:27" s="17" customFormat="1" x14ac:dyDescent="0.25">
      <c r="A1100" s="16"/>
      <c r="B1100" s="45"/>
      <c r="C1100" s="16"/>
      <c r="D1100" s="15"/>
      <c r="E1100" s="15"/>
      <c r="F1100" s="15"/>
      <c r="G1100" s="15"/>
      <c r="H1100" s="18"/>
      <c r="I1100" s="16"/>
      <c r="J1100" s="15"/>
      <c r="K1100" s="19"/>
      <c r="L1100" s="16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</row>
    <row r="1101" spans="1:27" s="17" customFormat="1" x14ac:dyDescent="0.25">
      <c r="A1101" s="16"/>
      <c r="B1101" s="45"/>
      <c r="C1101" s="16"/>
      <c r="D1101" s="15"/>
      <c r="E1101" s="15"/>
      <c r="F1101" s="15"/>
      <c r="G1101" s="15"/>
      <c r="H1101" s="18"/>
      <c r="I1101" s="16"/>
      <c r="J1101" s="15"/>
      <c r="K1101" s="19"/>
      <c r="L1101" s="16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</row>
    <row r="1102" spans="1:27" s="17" customFormat="1" x14ac:dyDescent="0.25">
      <c r="A1102" s="16"/>
      <c r="B1102" s="45"/>
      <c r="C1102" s="16"/>
      <c r="D1102" s="15"/>
      <c r="E1102" s="15"/>
      <c r="F1102" s="15"/>
      <c r="G1102" s="15"/>
      <c r="H1102" s="18"/>
      <c r="I1102" s="16"/>
      <c r="J1102" s="15"/>
      <c r="K1102" s="19"/>
      <c r="L1102" s="16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</row>
    <row r="1103" spans="1:27" s="17" customFormat="1" x14ac:dyDescent="0.25">
      <c r="A1103" s="16"/>
      <c r="B1103" s="45"/>
      <c r="C1103" s="16"/>
      <c r="D1103" s="15"/>
      <c r="E1103" s="15"/>
      <c r="F1103" s="15"/>
      <c r="G1103" s="15"/>
      <c r="H1103" s="18"/>
      <c r="I1103" s="16"/>
      <c r="J1103" s="15"/>
      <c r="K1103" s="19"/>
      <c r="L1103" s="16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</row>
    <row r="1104" spans="1:27" s="17" customFormat="1" x14ac:dyDescent="0.25">
      <c r="A1104" s="16"/>
      <c r="B1104" s="45"/>
      <c r="C1104" s="16"/>
      <c r="D1104" s="15"/>
      <c r="E1104" s="15"/>
      <c r="F1104" s="15"/>
      <c r="G1104" s="15"/>
      <c r="H1104" s="18"/>
      <c r="I1104" s="16"/>
      <c r="J1104" s="15"/>
      <c r="K1104" s="19"/>
      <c r="L1104" s="16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</row>
    <row r="1105" spans="1:27" s="17" customFormat="1" x14ac:dyDescent="0.25">
      <c r="A1105" s="16"/>
      <c r="B1105" s="45"/>
      <c r="C1105" s="16"/>
      <c r="D1105" s="15"/>
      <c r="E1105" s="15"/>
      <c r="F1105" s="15"/>
      <c r="G1105" s="15"/>
      <c r="H1105" s="18"/>
      <c r="I1105" s="16"/>
      <c r="J1105" s="15"/>
      <c r="K1105" s="19"/>
      <c r="L1105" s="16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</row>
    <row r="1106" spans="1:27" s="17" customFormat="1" x14ac:dyDescent="0.25">
      <c r="A1106" s="16"/>
      <c r="B1106" s="45"/>
      <c r="C1106" s="16"/>
      <c r="D1106" s="15"/>
      <c r="E1106" s="15"/>
      <c r="F1106" s="15"/>
      <c r="G1106" s="15"/>
      <c r="H1106" s="18"/>
      <c r="I1106" s="16"/>
      <c r="J1106" s="15"/>
      <c r="K1106" s="19"/>
      <c r="L1106" s="16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</row>
    <row r="1107" spans="1:27" s="17" customFormat="1" x14ac:dyDescent="0.25">
      <c r="A1107" s="16"/>
      <c r="B1107" s="45"/>
      <c r="C1107" s="16"/>
      <c r="D1107" s="15"/>
      <c r="E1107" s="15"/>
      <c r="F1107" s="15"/>
      <c r="G1107" s="15"/>
      <c r="H1107" s="18"/>
      <c r="I1107" s="16"/>
      <c r="J1107" s="15"/>
      <c r="K1107" s="19"/>
      <c r="L1107" s="16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</row>
    <row r="1108" spans="1:27" s="17" customFormat="1" x14ac:dyDescent="0.25">
      <c r="A1108" s="16"/>
      <c r="B1108" s="45"/>
      <c r="C1108" s="16"/>
      <c r="D1108" s="15"/>
      <c r="E1108" s="15"/>
      <c r="F1108" s="15"/>
      <c r="G1108" s="15"/>
      <c r="H1108" s="18"/>
      <c r="I1108" s="16"/>
      <c r="J1108" s="15"/>
      <c r="K1108" s="19"/>
      <c r="L1108" s="16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</row>
    <row r="1109" spans="1:27" s="17" customFormat="1" x14ac:dyDescent="0.25">
      <c r="A1109" s="16"/>
      <c r="B1109" s="45"/>
      <c r="C1109" s="16"/>
      <c r="D1109" s="15"/>
      <c r="E1109" s="15"/>
      <c r="F1109" s="15"/>
      <c r="G1109" s="15"/>
      <c r="H1109" s="18"/>
      <c r="I1109" s="16"/>
      <c r="J1109" s="15"/>
      <c r="K1109" s="19"/>
      <c r="L1109" s="16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</row>
    <row r="1110" spans="1:27" s="17" customFormat="1" x14ac:dyDescent="0.25">
      <c r="A1110" s="16"/>
      <c r="B1110" s="45"/>
      <c r="C1110" s="16"/>
      <c r="D1110" s="15"/>
      <c r="E1110" s="15"/>
      <c r="F1110" s="15"/>
      <c r="G1110" s="15"/>
      <c r="H1110" s="18"/>
      <c r="I1110" s="16"/>
      <c r="J1110" s="15"/>
      <c r="K1110" s="19"/>
      <c r="L1110" s="16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</row>
    <row r="1111" spans="1:27" s="17" customFormat="1" x14ac:dyDescent="0.25">
      <c r="A1111" s="16"/>
      <c r="B1111" s="45"/>
      <c r="C1111" s="16"/>
      <c r="D1111" s="15"/>
      <c r="E1111" s="15"/>
      <c r="F1111" s="15"/>
      <c r="G1111" s="15"/>
      <c r="H1111" s="18"/>
      <c r="I1111" s="16"/>
      <c r="J1111" s="15"/>
      <c r="K1111" s="19"/>
      <c r="L1111" s="16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</row>
    <row r="1112" spans="1:27" s="17" customFormat="1" x14ac:dyDescent="0.25">
      <c r="A1112" s="16"/>
      <c r="B1112" s="45"/>
      <c r="C1112" s="16"/>
      <c r="D1112" s="15"/>
      <c r="E1112" s="15"/>
      <c r="F1112" s="15"/>
      <c r="G1112" s="15"/>
      <c r="H1112" s="18"/>
      <c r="I1112" s="16"/>
      <c r="J1112" s="15"/>
      <c r="K1112" s="19"/>
      <c r="L1112" s="16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</row>
    <row r="1113" spans="1:27" s="17" customFormat="1" x14ac:dyDescent="0.25">
      <c r="A1113" s="16"/>
      <c r="B1113" s="45"/>
      <c r="C1113" s="16"/>
      <c r="D1113" s="15"/>
      <c r="E1113" s="15"/>
      <c r="F1113" s="15"/>
      <c r="G1113" s="15"/>
      <c r="H1113" s="18"/>
      <c r="I1113" s="16"/>
      <c r="J1113" s="15"/>
      <c r="K1113" s="19"/>
      <c r="L1113" s="16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</row>
    <row r="1114" spans="1:27" s="17" customFormat="1" x14ac:dyDescent="0.25">
      <c r="A1114" s="16"/>
      <c r="B1114" s="45"/>
      <c r="C1114" s="16"/>
      <c r="D1114" s="15"/>
      <c r="E1114" s="15"/>
      <c r="F1114" s="15"/>
      <c r="G1114" s="15"/>
      <c r="H1114" s="18"/>
      <c r="I1114" s="16"/>
      <c r="J1114" s="15"/>
      <c r="K1114" s="19"/>
      <c r="L1114" s="16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</row>
    <row r="1115" spans="1:27" s="17" customFormat="1" x14ac:dyDescent="0.25">
      <c r="A1115" s="16"/>
      <c r="B1115" s="45"/>
      <c r="C1115" s="16"/>
      <c r="D1115" s="15"/>
      <c r="E1115" s="15"/>
      <c r="F1115" s="15"/>
      <c r="G1115" s="15"/>
      <c r="H1115" s="18"/>
      <c r="I1115" s="16"/>
      <c r="J1115" s="15"/>
      <c r="K1115" s="19"/>
      <c r="L1115" s="16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</row>
    <row r="1116" spans="1:27" s="17" customFormat="1" x14ac:dyDescent="0.25">
      <c r="A1116" s="16"/>
      <c r="B1116" s="45"/>
      <c r="C1116" s="16"/>
      <c r="D1116" s="15"/>
      <c r="E1116" s="15"/>
      <c r="F1116" s="15"/>
      <c r="G1116" s="15"/>
      <c r="H1116" s="18"/>
      <c r="I1116" s="16"/>
      <c r="J1116" s="15"/>
      <c r="K1116" s="19"/>
      <c r="L1116" s="16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</row>
    <row r="1117" spans="1:27" s="17" customFormat="1" x14ac:dyDescent="0.25">
      <c r="A1117" s="16"/>
      <c r="B1117" s="45"/>
      <c r="C1117" s="16"/>
      <c r="D1117" s="15"/>
      <c r="E1117" s="15"/>
      <c r="F1117" s="15"/>
      <c r="G1117" s="15"/>
      <c r="H1117" s="18"/>
      <c r="I1117" s="16"/>
      <c r="J1117" s="15"/>
      <c r="K1117" s="19"/>
      <c r="L1117" s="16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</row>
    <row r="1118" spans="1:27" s="17" customFormat="1" x14ac:dyDescent="0.25">
      <c r="A1118" s="16"/>
      <c r="B1118" s="45"/>
      <c r="C1118" s="16"/>
      <c r="D1118" s="15"/>
      <c r="E1118" s="15"/>
      <c r="F1118" s="15"/>
      <c r="G1118" s="15"/>
      <c r="H1118" s="18"/>
      <c r="I1118" s="16"/>
      <c r="J1118" s="15"/>
      <c r="K1118" s="19"/>
      <c r="L1118" s="16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</row>
    <row r="1119" spans="1:27" s="17" customFormat="1" x14ac:dyDescent="0.25">
      <c r="A1119" s="16"/>
      <c r="B1119" s="45"/>
      <c r="C1119" s="16"/>
      <c r="D1119" s="15"/>
      <c r="E1119" s="15"/>
      <c r="F1119" s="15"/>
      <c r="G1119" s="15"/>
      <c r="H1119" s="18"/>
      <c r="I1119" s="16"/>
      <c r="J1119" s="15"/>
      <c r="K1119" s="19"/>
      <c r="L1119" s="16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</row>
    <row r="1120" spans="1:27" s="17" customFormat="1" x14ac:dyDescent="0.25">
      <c r="A1120" s="16"/>
      <c r="B1120" s="45"/>
      <c r="C1120" s="16"/>
      <c r="D1120" s="15"/>
      <c r="E1120" s="15"/>
      <c r="F1120" s="15"/>
      <c r="G1120" s="15"/>
      <c r="H1120" s="18"/>
      <c r="I1120" s="16"/>
      <c r="J1120" s="15"/>
      <c r="K1120" s="19"/>
      <c r="L1120" s="16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</row>
    <row r="1121" spans="1:27" s="17" customFormat="1" x14ac:dyDescent="0.25">
      <c r="A1121" s="16"/>
      <c r="B1121" s="45"/>
      <c r="C1121" s="16"/>
      <c r="D1121" s="15"/>
      <c r="E1121" s="15"/>
      <c r="F1121" s="15"/>
      <c r="G1121" s="15"/>
      <c r="H1121" s="18"/>
      <c r="I1121" s="16"/>
      <c r="J1121" s="15"/>
      <c r="K1121" s="19"/>
      <c r="L1121" s="16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</row>
    <row r="1122" spans="1:27" s="17" customFormat="1" x14ac:dyDescent="0.25">
      <c r="A1122" s="16"/>
      <c r="B1122" s="45"/>
      <c r="C1122" s="16"/>
      <c r="D1122" s="15"/>
      <c r="E1122" s="15"/>
      <c r="F1122" s="15"/>
      <c r="G1122" s="15"/>
      <c r="H1122" s="18"/>
      <c r="I1122" s="16"/>
      <c r="J1122" s="15"/>
      <c r="K1122" s="19"/>
      <c r="L1122" s="16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</row>
    <row r="1123" spans="1:27" s="17" customFormat="1" x14ac:dyDescent="0.25">
      <c r="A1123" s="16"/>
      <c r="B1123" s="45"/>
      <c r="C1123" s="16"/>
      <c r="D1123" s="15"/>
      <c r="E1123" s="15"/>
      <c r="F1123" s="15"/>
      <c r="G1123" s="15"/>
      <c r="H1123" s="18"/>
      <c r="I1123" s="16"/>
      <c r="J1123" s="15"/>
      <c r="K1123" s="19"/>
      <c r="L1123" s="16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</row>
    <row r="1124" spans="1:27" s="17" customFormat="1" x14ac:dyDescent="0.25">
      <c r="A1124" s="16"/>
      <c r="B1124" s="45"/>
      <c r="C1124" s="16"/>
      <c r="D1124" s="15"/>
      <c r="E1124" s="15"/>
      <c r="F1124" s="15"/>
      <c r="G1124" s="15"/>
      <c r="H1124" s="18"/>
      <c r="I1124" s="16"/>
      <c r="J1124" s="15"/>
      <c r="K1124" s="19"/>
      <c r="L1124" s="16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</row>
    <row r="1125" spans="1:27" s="17" customFormat="1" x14ac:dyDescent="0.25">
      <c r="A1125" s="16"/>
      <c r="B1125" s="45"/>
      <c r="C1125" s="16"/>
      <c r="D1125" s="15"/>
      <c r="E1125" s="15"/>
      <c r="F1125" s="15"/>
      <c r="G1125" s="15"/>
      <c r="H1125" s="18"/>
      <c r="I1125" s="16"/>
      <c r="J1125" s="15"/>
      <c r="K1125" s="19"/>
      <c r="L1125" s="16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</row>
    <row r="1126" spans="1:27" s="17" customFormat="1" x14ac:dyDescent="0.25">
      <c r="A1126" s="16"/>
      <c r="B1126" s="45"/>
      <c r="C1126" s="16"/>
      <c r="D1126" s="15"/>
      <c r="E1126" s="15"/>
      <c r="F1126" s="15"/>
      <c r="G1126" s="15"/>
      <c r="H1126" s="18"/>
      <c r="I1126" s="16"/>
      <c r="J1126" s="15"/>
      <c r="K1126" s="19"/>
      <c r="L1126" s="16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</row>
    <row r="1127" spans="1:27" s="17" customFormat="1" x14ac:dyDescent="0.25">
      <c r="A1127" s="16"/>
      <c r="B1127" s="45"/>
      <c r="C1127" s="16"/>
      <c r="D1127" s="15"/>
      <c r="E1127" s="15"/>
      <c r="F1127" s="15"/>
      <c r="G1127" s="15"/>
      <c r="H1127" s="18"/>
      <c r="I1127" s="16"/>
      <c r="J1127" s="15"/>
      <c r="K1127" s="19"/>
      <c r="L1127" s="16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</row>
    <row r="1128" spans="1:27" s="17" customFormat="1" x14ac:dyDescent="0.25">
      <c r="A1128" s="16"/>
      <c r="B1128" s="45"/>
      <c r="C1128" s="16"/>
      <c r="D1128" s="15"/>
      <c r="E1128" s="15"/>
      <c r="F1128" s="15"/>
      <c r="G1128" s="15"/>
      <c r="H1128" s="18"/>
      <c r="I1128" s="16"/>
      <c r="J1128" s="15"/>
      <c r="K1128" s="19"/>
      <c r="L1128" s="16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</row>
    <row r="1129" spans="1:27" s="17" customFormat="1" x14ac:dyDescent="0.25">
      <c r="A1129" s="16"/>
      <c r="B1129" s="45"/>
      <c r="C1129" s="16"/>
      <c r="D1129" s="15"/>
      <c r="E1129" s="15"/>
      <c r="F1129" s="15"/>
      <c r="G1129" s="15"/>
      <c r="H1129" s="18"/>
      <c r="I1129" s="16"/>
      <c r="J1129" s="15"/>
      <c r="K1129" s="19"/>
      <c r="L1129" s="16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</row>
    <row r="1130" spans="1:27" s="17" customFormat="1" x14ac:dyDescent="0.25">
      <c r="A1130" s="16"/>
      <c r="B1130" s="45"/>
      <c r="C1130" s="16"/>
      <c r="D1130" s="15"/>
      <c r="E1130" s="15"/>
      <c r="F1130" s="15"/>
      <c r="G1130" s="15"/>
      <c r="H1130" s="18"/>
      <c r="I1130" s="16"/>
      <c r="J1130" s="15"/>
      <c r="K1130" s="19"/>
      <c r="L1130" s="16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</row>
    <row r="1131" spans="1:27" s="17" customFormat="1" x14ac:dyDescent="0.25">
      <c r="A1131" s="16"/>
      <c r="B1131" s="45"/>
      <c r="C1131" s="16"/>
      <c r="D1131" s="15"/>
      <c r="E1131" s="15"/>
      <c r="F1131" s="15"/>
      <c r="G1131" s="15"/>
      <c r="H1131" s="18"/>
      <c r="I1131" s="16"/>
      <c r="J1131" s="15"/>
      <c r="K1131" s="19"/>
      <c r="L1131" s="16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</row>
    <row r="1132" spans="1:27" s="17" customFormat="1" x14ac:dyDescent="0.25">
      <c r="A1132" s="16"/>
      <c r="B1132" s="45"/>
      <c r="C1132" s="16"/>
      <c r="D1132" s="15"/>
      <c r="E1132" s="15"/>
      <c r="F1132" s="15"/>
      <c r="G1132" s="15"/>
      <c r="H1132" s="18"/>
      <c r="I1132" s="16"/>
      <c r="J1132" s="15"/>
      <c r="K1132" s="19"/>
      <c r="L1132" s="16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</row>
    <row r="1133" spans="1:27" s="17" customFormat="1" x14ac:dyDescent="0.25">
      <c r="A1133" s="16"/>
      <c r="B1133" s="45"/>
      <c r="C1133" s="16"/>
      <c r="D1133" s="15"/>
      <c r="E1133" s="15"/>
      <c r="F1133" s="15"/>
      <c r="G1133" s="15"/>
      <c r="H1133" s="18"/>
      <c r="I1133" s="16"/>
      <c r="J1133" s="15"/>
      <c r="K1133" s="19"/>
      <c r="L1133" s="16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</row>
    <row r="1134" spans="1:27" s="17" customFormat="1" x14ac:dyDescent="0.25">
      <c r="A1134" s="16"/>
      <c r="B1134" s="45"/>
      <c r="C1134" s="16"/>
      <c r="D1134" s="15"/>
      <c r="E1134" s="15"/>
      <c r="F1134" s="15"/>
      <c r="G1134" s="15"/>
      <c r="H1134" s="18"/>
      <c r="I1134" s="16"/>
      <c r="J1134" s="15"/>
      <c r="K1134" s="19"/>
      <c r="L1134" s="16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</row>
    <row r="1135" spans="1:27" s="17" customFormat="1" x14ac:dyDescent="0.25">
      <c r="A1135" s="16"/>
      <c r="B1135" s="45"/>
      <c r="C1135" s="16"/>
      <c r="D1135" s="15"/>
      <c r="E1135" s="15"/>
      <c r="F1135" s="15"/>
      <c r="G1135" s="15"/>
      <c r="H1135" s="18"/>
      <c r="I1135" s="16"/>
      <c r="J1135" s="15"/>
      <c r="K1135" s="19"/>
      <c r="L1135" s="16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</row>
    <row r="1136" spans="1:27" s="17" customFormat="1" x14ac:dyDescent="0.25">
      <c r="A1136" s="16"/>
      <c r="B1136" s="45"/>
      <c r="C1136" s="16"/>
      <c r="D1136" s="15"/>
      <c r="E1136" s="15"/>
      <c r="F1136" s="15"/>
      <c r="G1136" s="15"/>
      <c r="H1136" s="18"/>
      <c r="I1136" s="16"/>
      <c r="J1136" s="15"/>
      <c r="K1136" s="19"/>
      <c r="L1136" s="16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</row>
    <row r="1137" spans="1:27" s="17" customFormat="1" x14ac:dyDescent="0.25">
      <c r="A1137" s="16"/>
      <c r="B1137" s="45"/>
      <c r="C1137" s="16"/>
      <c r="D1137" s="15"/>
      <c r="E1137" s="15"/>
      <c r="F1137" s="15"/>
      <c r="G1137" s="15"/>
      <c r="H1137" s="18"/>
      <c r="I1137" s="16"/>
      <c r="J1137" s="15"/>
      <c r="K1137" s="19"/>
      <c r="L1137" s="16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</row>
    <row r="1138" spans="1:27" s="17" customFormat="1" x14ac:dyDescent="0.25">
      <c r="A1138" s="16"/>
      <c r="B1138" s="45"/>
      <c r="C1138" s="16"/>
      <c r="D1138" s="15"/>
      <c r="E1138" s="15"/>
      <c r="F1138" s="15"/>
      <c r="G1138" s="15"/>
      <c r="H1138" s="18"/>
      <c r="I1138" s="16"/>
      <c r="J1138" s="15"/>
      <c r="K1138" s="19"/>
      <c r="L1138" s="16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</row>
    <row r="1139" spans="1:27" s="17" customFormat="1" x14ac:dyDescent="0.25">
      <c r="A1139" s="16"/>
      <c r="B1139" s="45"/>
      <c r="C1139" s="16"/>
      <c r="D1139" s="15"/>
      <c r="E1139" s="15"/>
      <c r="F1139" s="15"/>
      <c r="G1139" s="15"/>
      <c r="H1139" s="18"/>
      <c r="I1139" s="16"/>
      <c r="J1139" s="15"/>
      <c r="K1139" s="19"/>
      <c r="L1139" s="16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</row>
    <row r="1140" spans="1:27" s="17" customFormat="1" x14ac:dyDescent="0.25">
      <c r="A1140" s="16"/>
      <c r="B1140" s="45"/>
      <c r="C1140" s="16"/>
      <c r="D1140" s="15"/>
      <c r="E1140" s="15"/>
      <c r="F1140" s="15"/>
      <c r="G1140" s="15"/>
      <c r="H1140" s="18"/>
      <c r="I1140" s="16"/>
      <c r="J1140" s="15"/>
      <c r="K1140" s="19"/>
      <c r="L1140" s="16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</row>
    <row r="1141" spans="1:27" s="17" customFormat="1" x14ac:dyDescent="0.25">
      <c r="A1141" s="16"/>
      <c r="B1141" s="45"/>
      <c r="C1141" s="16"/>
      <c r="D1141" s="15"/>
      <c r="E1141" s="15"/>
      <c r="F1141" s="15"/>
      <c r="G1141" s="15"/>
      <c r="H1141" s="18"/>
      <c r="I1141" s="16"/>
      <c r="J1141" s="15"/>
      <c r="K1141" s="19"/>
      <c r="L1141" s="16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</row>
    <row r="1142" spans="1:27" s="17" customFormat="1" x14ac:dyDescent="0.25">
      <c r="A1142" s="16"/>
      <c r="B1142" s="45"/>
      <c r="C1142" s="16"/>
      <c r="D1142" s="15"/>
      <c r="E1142" s="15"/>
      <c r="F1142" s="15"/>
      <c r="G1142" s="15"/>
      <c r="H1142" s="18"/>
      <c r="I1142" s="16"/>
      <c r="J1142" s="15"/>
      <c r="K1142" s="19"/>
      <c r="L1142" s="16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</row>
    <row r="1143" spans="1:27" s="17" customFormat="1" x14ac:dyDescent="0.25">
      <c r="A1143" s="16"/>
      <c r="B1143" s="45"/>
      <c r="C1143" s="16"/>
      <c r="D1143" s="15"/>
      <c r="E1143" s="15"/>
      <c r="F1143" s="15"/>
      <c r="G1143" s="15"/>
      <c r="H1143" s="18"/>
      <c r="I1143" s="16"/>
      <c r="J1143" s="15"/>
      <c r="K1143" s="19"/>
      <c r="L1143" s="16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</row>
    <row r="1144" spans="1:27" s="17" customFormat="1" x14ac:dyDescent="0.25">
      <c r="A1144" s="16"/>
      <c r="B1144" s="45"/>
      <c r="C1144" s="16"/>
      <c r="D1144" s="15"/>
      <c r="E1144" s="15"/>
      <c r="F1144" s="15"/>
      <c r="G1144" s="15"/>
      <c r="H1144" s="18"/>
      <c r="I1144" s="16"/>
      <c r="J1144" s="15"/>
      <c r="K1144" s="19"/>
      <c r="L1144" s="16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</row>
    <row r="1145" spans="1:27" s="17" customFormat="1" x14ac:dyDescent="0.25">
      <c r="A1145" s="16"/>
      <c r="B1145" s="45"/>
      <c r="C1145" s="16"/>
      <c r="D1145" s="15"/>
      <c r="E1145" s="15"/>
      <c r="F1145" s="15"/>
      <c r="G1145" s="15"/>
      <c r="H1145" s="18"/>
      <c r="I1145" s="16"/>
      <c r="J1145" s="15"/>
      <c r="K1145" s="19"/>
      <c r="L1145" s="16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</row>
    <row r="1146" spans="1:27" s="17" customFormat="1" x14ac:dyDescent="0.25">
      <c r="A1146" s="16"/>
      <c r="B1146" s="45"/>
      <c r="C1146" s="16"/>
      <c r="D1146" s="15"/>
      <c r="E1146" s="15"/>
      <c r="F1146" s="15"/>
      <c r="G1146" s="15"/>
      <c r="H1146" s="18"/>
      <c r="I1146" s="16"/>
      <c r="J1146" s="15"/>
      <c r="K1146" s="19"/>
      <c r="L1146" s="16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</row>
    <row r="1147" spans="1:27" s="17" customFormat="1" x14ac:dyDescent="0.25">
      <c r="A1147" s="16"/>
      <c r="B1147" s="45"/>
      <c r="C1147" s="16"/>
      <c r="D1147" s="15"/>
      <c r="E1147" s="15"/>
      <c r="F1147" s="15"/>
      <c r="G1147" s="15"/>
      <c r="H1147" s="18"/>
      <c r="I1147" s="16"/>
      <c r="J1147" s="15"/>
      <c r="K1147" s="19"/>
      <c r="L1147" s="16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</row>
    <row r="1148" spans="1:27" s="17" customFormat="1" x14ac:dyDescent="0.25">
      <c r="A1148" s="16"/>
      <c r="B1148" s="45"/>
      <c r="C1148" s="16"/>
      <c r="D1148" s="15"/>
      <c r="E1148" s="15"/>
      <c r="F1148" s="15"/>
      <c r="G1148" s="15"/>
      <c r="H1148" s="18"/>
      <c r="I1148" s="16"/>
      <c r="J1148" s="15"/>
      <c r="K1148" s="19"/>
      <c r="L1148" s="16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</row>
    <row r="1149" spans="1:27" s="17" customFormat="1" x14ac:dyDescent="0.25">
      <c r="A1149" s="16"/>
      <c r="B1149" s="45"/>
      <c r="C1149" s="16"/>
      <c r="D1149" s="15"/>
      <c r="E1149" s="15"/>
      <c r="F1149" s="15"/>
      <c r="G1149" s="15"/>
      <c r="H1149" s="18"/>
      <c r="I1149" s="16"/>
      <c r="J1149" s="15"/>
      <c r="K1149" s="19"/>
      <c r="L1149" s="16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</row>
    <row r="1150" spans="1:27" s="17" customFormat="1" x14ac:dyDescent="0.25">
      <c r="A1150" s="16"/>
      <c r="B1150" s="45"/>
      <c r="C1150" s="16"/>
      <c r="D1150" s="15"/>
      <c r="E1150" s="15"/>
      <c r="F1150" s="15"/>
      <c r="G1150" s="15"/>
      <c r="H1150" s="18"/>
      <c r="I1150" s="16"/>
      <c r="J1150" s="15"/>
      <c r="K1150" s="19"/>
      <c r="L1150" s="16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</row>
    <row r="1151" spans="1:27" s="17" customFormat="1" x14ac:dyDescent="0.25">
      <c r="A1151" s="16"/>
      <c r="B1151" s="45"/>
      <c r="C1151" s="16"/>
      <c r="D1151" s="15"/>
      <c r="E1151" s="15"/>
      <c r="F1151" s="15"/>
      <c r="G1151" s="15"/>
      <c r="H1151" s="18"/>
      <c r="I1151" s="16"/>
      <c r="J1151" s="15"/>
      <c r="K1151" s="19"/>
      <c r="L1151" s="16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</row>
    <row r="1152" spans="1:27" s="17" customFormat="1" x14ac:dyDescent="0.25">
      <c r="A1152" s="16"/>
      <c r="B1152" s="45"/>
      <c r="C1152" s="16"/>
      <c r="D1152" s="15"/>
      <c r="E1152" s="15"/>
      <c r="F1152" s="15"/>
      <c r="G1152" s="15"/>
      <c r="H1152" s="18"/>
      <c r="I1152" s="16"/>
      <c r="J1152" s="15"/>
      <c r="K1152" s="19"/>
      <c r="L1152" s="16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</row>
    <row r="1153" spans="1:27" s="17" customFormat="1" x14ac:dyDescent="0.25">
      <c r="A1153" s="16"/>
      <c r="B1153" s="45"/>
      <c r="C1153" s="16"/>
      <c r="D1153" s="15"/>
      <c r="E1153" s="15"/>
      <c r="F1153" s="15"/>
      <c r="G1153" s="15"/>
      <c r="H1153" s="18"/>
      <c r="I1153" s="16"/>
      <c r="J1153" s="15"/>
      <c r="K1153" s="19"/>
      <c r="L1153" s="16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</row>
    <row r="1154" spans="1:27" s="17" customFormat="1" x14ac:dyDescent="0.25">
      <c r="A1154" s="16"/>
      <c r="B1154" s="45"/>
      <c r="C1154" s="16"/>
      <c r="D1154" s="15"/>
      <c r="E1154" s="15"/>
      <c r="F1154" s="15"/>
      <c r="G1154" s="15"/>
      <c r="H1154" s="18"/>
      <c r="I1154" s="16"/>
      <c r="J1154" s="15"/>
      <c r="K1154" s="19"/>
      <c r="L1154" s="16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</row>
    <row r="1155" spans="1:27" s="17" customFormat="1" x14ac:dyDescent="0.25">
      <c r="A1155" s="16"/>
      <c r="B1155" s="45"/>
      <c r="C1155" s="16"/>
      <c r="D1155" s="15"/>
      <c r="E1155" s="15"/>
      <c r="F1155" s="15"/>
      <c r="G1155" s="15"/>
      <c r="H1155" s="18"/>
      <c r="I1155" s="16"/>
      <c r="J1155" s="15"/>
      <c r="K1155" s="19"/>
      <c r="L1155" s="16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</row>
    <row r="1156" spans="1:27" s="17" customFormat="1" x14ac:dyDescent="0.25">
      <c r="A1156" s="16"/>
      <c r="B1156" s="45"/>
      <c r="C1156" s="16"/>
      <c r="D1156" s="15"/>
      <c r="E1156" s="15"/>
      <c r="F1156" s="15"/>
      <c r="G1156" s="15"/>
      <c r="H1156" s="18"/>
      <c r="I1156" s="16"/>
      <c r="J1156" s="15"/>
      <c r="K1156" s="19"/>
      <c r="L1156" s="16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</row>
    <row r="1157" spans="1:27" s="17" customFormat="1" x14ac:dyDescent="0.25">
      <c r="A1157" s="16"/>
      <c r="B1157" s="45"/>
      <c r="C1157" s="16"/>
      <c r="D1157" s="15"/>
      <c r="E1157" s="15"/>
      <c r="F1157" s="15"/>
      <c r="G1157" s="15"/>
      <c r="H1157" s="18"/>
      <c r="I1157" s="16"/>
      <c r="J1157" s="15"/>
      <c r="K1157" s="19"/>
      <c r="L1157" s="16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</row>
    <row r="1158" spans="1:27" s="17" customFormat="1" x14ac:dyDescent="0.25">
      <c r="A1158" s="16"/>
      <c r="B1158" s="45"/>
      <c r="C1158" s="16"/>
      <c r="D1158" s="15"/>
      <c r="E1158" s="15"/>
      <c r="F1158" s="15"/>
      <c r="G1158" s="15"/>
      <c r="H1158" s="18"/>
      <c r="I1158" s="16"/>
      <c r="J1158" s="15"/>
      <c r="K1158" s="19"/>
      <c r="L1158" s="16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</row>
    <row r="1159" spans="1:27" s="17" customFormat="1" x14ac:dyDescent="0.25">
      <c r="A1159" s="16"/>
      <c r="B1159" s="45"/>
      <c r="C1159" s="16"/>
      <c r="D1159" s="15"/>
      <c r="E1159" s="15"/>
      <c r="F1159" s="15"/>
      <c r="G1159" s="15"/>
      <c r="H1159" s="18"/>
      <c r="I1159" s="16"/>
      <c r="J1159" s="15"/>
      <c r="K1159" s="19"/>
      <c r="L1159" s="16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</row>
    <row r="1160" spans="1:27" s="17" customFormat="1" x14ac:dyDescent="0.25">
      <c r="A1160" s="16"/>
      <c r="B1160" s="45"/>
      <c r="C1160" s="16"/>
      <c r="D1160" s="15"/>
      <c r="E1160" s="15"/>
      <c r="F1160" s="15"/>
      <c r="G1160" s="15"/>
      <c r="H1160" s="18"/>
      <c r="I1160" s="16"/>
      <c r="J1160" s="15"/>
      <c r="K1160" s="19"/>
      <c r="L1160" s="16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</row>
    <row r="1161" spans="1:27" s="17" customFormat="1" x14ac:dyDescent="0.25">
      <c r="A1161" s="16"/>
      <c r="B1161" s="45"/>
      <c r="C1161" s="16"/>
      <c r="D1161" s="15"/>
      <c r="E1161" s="15"/>
      <c r="F1161" s="15"/>
      <c r="G1161" s="15"/>
      <c r="H1161" s="18"/>
      <c r="I1161" s="16"/>
      <c r="J1161" s="15"/>
      <c r="K1161" s="19"/>
      <c r="L1161" s="16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</row>
    <row r="1162" spans="1:27" s="17" customFormat="1" x14ac:dyDescent="0.25">
      <c r="A1162" s="16"/>
      <c r="B1162" s="45"/>
      <c r="C1162" s="16"/>
      <c r="D1162" s="15"/>
      <c r="E1162" s="15"/>
      <c r="F1162" s="15"/>
      <c r="G1162" s="15"/>
      <c r="H1162" s="18"/>
      <c r="I1162" s="16"/>
      <c r="J1162" s="15"/>
      <c r="K1162" s="19"/>
      <c r="L1162" s="16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</row>
    <row r="1163" spans="1:27" s="17" customFormat="1" x14ac:dyDescent="0.25">
      <c r="A1163" s="16"/>
      <c r="B1163" s="45"/>
      <c r="C1163" s="16"/>
      <c r="D1163" s="15"/>
      <c r="E1163" s="15"/>
      <c r="F1163" s="15"/>
      <c r="G1163" s="15"/>
      <c r="H1163" s="18"/>
      <c r="I1163" s="16"/>
      <c r="J1163" s="15"/>
      <c r="K1163" s="19"/>
      <c r="L1163" s="16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</row>
    <row r="1164" spans="1:27" s="17" customFormat="1" x14ac:dyDescent="0.25">
      <c r="A1164" s="16"/>
      <c r="B1164" s="45"/>
      <c r="C1164" s="16"/>
      <c r="D1164" s="15"/>
      <c r="E1164" s="15"/>
      <c r="F1164" s="15"/>
      <c r="G1164" s="15"/>
      <c r="H1164" s="18"/>
      <c r="I1164" s="16"/>
      <c r="J1164" s="15"/>
      <c r="K1164" s="19"/>
      <c r="L1164" s="16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</row>
    <row r="1165" spans="1:27" s="17" customFormat="1" x14ac:dyDescent="0.25">
      <c r="A1165" s="16"/>
      <c r="B1165" s="45"/>
      <c r="C1165" s="16"/>
      <c r="D1165" s="15"/>
      <c r="E1165" s="15"/>
      <c r="F1165" s="15"/>
      <c r="G1165" s="15"/>
      <c r="H1165" s="18"/>
      <c r="I1165" s="16"/>
      <c r="J1165" s="15"/>
      <c r="K1165" s="19"/>
      <c r="L1165" s="16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</row>
    <row r="1166" spans="1:27" s="17" customFormat="1" x14ac:dyDescent="0.25">
      <c r="A1166" s="16"/>
      <c r="B1166" s="45"/>
      <c r="C1166" s="16"/>
      <c r="D1166" s="15"/>
      <c r="E1166" s="15"/>
      <c r="F1166" s="15"/>
      <c r="G1166" s="15"/>
      <c r="H1166" s="18"/>
      <c r="I1166" s="16"/>
      <c r="J1166" s="15"/>
      <c r="K1166" s="19"/>
      <c r="L1166" s="16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</row>
    <row r="1167" spans="1:27" s="17" customFormat="1" x14ac:dyDescent="0.25">
      <c r="A1167" s="16"/>
      <c r="B1167" s="45"/>
      <c r="C1167" s="16"/>
      <c r="D1167" s="15"/>
      <c r="E1167" s="15"/>
      <c r="F1167" s="15"/>
      <c r="G1167" s="15"/>
      <c r="H1167" s="18"/>
      <c r="I1167" s="16"/>
      <c r="J1167" s="15"/>
      <c r="K1167" s="19"/>
      <c r="L1167" s="16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</row>
    <row r="1168" spans="1:27" s="17" customFormat="1" x14ac:dyDescent="0.25">
      <c r="A1168" s="16"/>
      <c r="B1168" s="45"/>
      <c r="C1168" s="16"/>
      <c r="D1168" s="15"/>
      <c r="E1168" s="15"/>
      <c r="F1168" s="15"/>
      <c r="G1168" s="15"/>
      <c r="H1168" s="18"/>
      <c r="I1168" s="16"/>
      <c r="J1168" s="15"/>
      <c r="K1168" s="19"/>
      <c r="L1168" s="16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</row>
    <row r="1169" spans="1:27" s="17" customFormat="1" x14ac:dyDescent="0.25">
      <c r="A1169" s="16"/>
      <c r="B1169" s="45"/>
      <c r="C1169" s="16"/>
      <c r="D1169" s="15"/>
      <c r="E1169" s="15"/>
      <c r="F1169" s="15"/>
      <c r="G1169" s="15"/>
      <c r="H1169" s="18"/>
      <c r="I1169" s="16"/>
      <c r="J1169" s="15"/>
      <c r="K1169" s="19"/>
      <c r="L1169" s="16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</row>
    <row r="1170" spans="1:27" s="17" customFormat="1" x14ac:dyDescent="0.25">
      <c r="A1170" s="16"/>
      <c r="B1170" s="45"/>
      <c r="C1170" s="16"/>
      <c r="D1170" s="15"/>
      <c r="E1170" s="15"/>
      <c r="F1170" s="15"/>
      <c r="G1170" s="15"/>
      <c r="H1170" s="18"/>
      <c r="I1170" s="16"/>
      <c r="J1170" s="15"/>
      <c r="K1170" s="19"/>
      <c r="L1170" s="16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</row>
    <row r="1171" spans="1:27" s="17" customFormat="1" x14ac:dyDescent="0.25">
      <c r="A1171" s="16"/>
      <c r="B1171" s="45"/>
      <c r="C1171" s="16"/>
      <c r="D1171" s="15"/>
      <c r="E1171" s="15"/>
      <c r="F1171" s="15"/>
      <c r="G1171" s="15"/>
      <c r="H1171" s="18"/>
      <c r="I1171" s="16"/>
      <c r="J1171" s="15"/>
      <c r="K1171" s="19"/>
      <c r="L1171" s="16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</row>
    <row r="1172" spans="1:27" s="17" customFormat="1" x14ac:dyDescent="0.25">
      <c r="A1172" s="16"/>
      <c r="B1172" s="45"/>
      <c r="C1172" s="16"/>
      <c r="D1172" s="15"/>
      <c r="E1172" s="15"/>
      <c r="F1172" s="15"/>
      <c r="G1172" s="15"/>
      <c r="H1172" s="18"/>
      <c r="I1172" s="16"/>
      <c r="J1172" s="15"/>
      <c r="K1172" s="19"/>
      <c r="L1172" s="16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</row>
    <row r="1173" spans="1:27" s="17" customFormat="1" x14ac:dyDescent="0.25">
      <c r="A1173" s="16"/>
      <c r="B1173" s="45"/>
      <c r="C1173" s="16"/>
      <c r="D1173" s="15"/>
      <c r="E1173" s="15"/>
      <c r="F1173" s="15"/>
      <c r="G1173" s="15"/>
      <c r="H1173" s="18"/>
      <c r="I1173" s="16"/>
      <c r="J1173" s="15"/>
      <c r="K1173" s="19"/>
      <c r="L1173" s="16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</row>
    <row r="1174" spans="1:27" s="17" customFormat="1" x14ac:dyDescent="0.25">
      <c r="A1174" s="16"/>
      <c r="B1174" s="45"/>
      <c r="C1174" s="16"/>
      <c r="D1174" s="15"/>
      <c r="E1174" s="15"/>
      <c r="F1174" s="15"/>
      <c r="G1174" s="15"/>
      <c r="H1174" s="18"/>
      <c r="I1174" s="16"/>
      <c r="J1174" s="15"/>
      <c r="K1174" s="19"/>
      <c r="L1174" s="16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</row>
    <row r="1175" spans="1:27" s="17" customFormat="1" x14ac:dyDescent="0.25">
      <c r="A1175" s="16"/>
      <c r="B1175" s="45"/>
      <c r="C1175" s="16"/>
      <c r="D1175" s="15"/>
      <c r="E1175" s="15"/>
      <c r="F1175" s="15"/>
      <c r="G1175" s="15"/>
      <c r="H1175" s="18"/>
      <c r="I1175" s="16"/>
      <c r="J1175" s="15"/>
      <c r="K1175" s="19"/>
      <c r="L1175" s="16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</row>
    <row r="1176" spans="1:27" s="17" customFormat="1" x14ac:dyDescent="0.25">
      <c r="A1176" s="16"/>
      <c r="B1176" s="45"/>
      <c r="C1176" s="16"/>
      <c r="D1176" s="15"/>
      <c r="E1176" s="15"/>
      <c r="F1176" s="15"/>
      <c r="G1176" s="15"/>
      <c r="H1176" s="18"/>
      <c r="I1176" s="16"/>
      <c r="J1176" s="15"/>
      <c r="K1176" s="19"/>
      <c r="L1176" s="16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</row>
    <row r="1177" spans="1:27" s="17" customFormat="1" x14ac:dyDescent="0.25">
      <c r="A1177" s="16"/>
      <c r="B1177" s="45"/>
      <c r="C1177" s="16"/>
      <c r="D1177" s="15"/>
      <c r="E1177" s="15"/>
      <c r="F1177" s="15"/>
      <c r="G1177" s="15"/>
      <c r="H1177" s="18"/>
      <c r="I1177" s="16"/>
      <c r="J1177" s="15"/>
      <c r="K1177" s="19"/>
      <c r="L1177" s="16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</row>
    <row r="1178" spans="1:27" s="17" customFormat="1" x14ac:dyDescent="0.25">
      <c r="A1178" s="16"/>
      <c r="B1178" s="45"/>
      <c r="C1178" s="16"/>
      <c r="D1178" s="15"/>
      <c r="E1178" s="15"/>
      <c r="F1178" s="15"/>
      <c r="G1178" s="15"/>
      <c r="H1178" s="18"/>
      <c r="I1178" s="16"/>
      <c r="J1178" s="15"/>
      <c r="K1178" s="19"/>
      <c r="L1178" s="16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</row>
    <row r="1179" spans="1:27" s="17" customFormat="1" x14ac:dyDescent="0.25">
      <c r="A1179" s="16"/>
      <c r="B1179" s="45"/>
      <c r="C1179" s="16"/>
      <c r="D1179" s="15"/>
      <c r="E1179" s="15"/>
      <c r="F1179" s="15"/>
      <c r="G1179" s="15"/>
      <c r="H1179" s="18"/>
      <c r="I1179" s="16"/>
      <c r="J1179" s="15"/>
      <c r="K1179" s="19"/>
      <c r="L1179" s="16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</row>
    <row r="1180" spans="1:27" s="17" customFormat="1" x14ac:dyDescent="0.25">
      <c r="A1180" s="16"/>
      <c r="B1180" s="45"/>
      <c r="C1180" s="16"/>
      <c r="D1180" s="15"/>
      <c r="E1180" s="15"/>
      <c r="F1180" s="15"/>
      <c r="G1180" s="15"/>
      <c r="H1180" s="18"/>
      <c r="I1180" s="16"/>
      <c r="J1180" s="15"/>
      <c r="K1180" s="19"/>
      <c r="L1180" s="16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</row>
    <row r="1181" spans="1:27" s="17" customFormat="1" x14ac:dyDescent="0.25">
      <c r="A1181" s="16"/>
      <c r="B1181" s="45"/>
      <c r="C1181" s="16"/>
      <c r="D1181" s="15"/>
      <c r="E1181" s="15"/>
      <c r="F1181" s="15"/>
      <c r="G1181" s="15"/>
      <c r="H1181" s="18"/>
      <c r="I1181" s="16"/>
      <c r="J1181" s="15"/>
      <c r="K1181" s="19"/>
      <c r="L1181" s="16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</row>
    <row r="1182" spans="1:27" s="17" customFormat="1" x14ac:dyDescent="0.25">
      <c r="A1182" s="16"/>
      <c r="B1182" s="45"/>
      <c r="C1182" s="16"/>
      <c r="D1182" s="15"/>
      <c r="E1182" s="15"/>
      <c r="F1182" s="15"/>
      <c r="G1182" s="15"/>
      <c r="H1182" s="18"/>
      <c r="I1182" s="16"/>
      <c r="J1182" s="15"/>
      <c r="K1182" s="19"/>
      <c r="L1182" s="16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</row>
    <row r="1183" spans="1:27" s="17" customFormat="1" x14ac:dyDescent="0.25">
      <c r="A1183" s="16"/>
      <c r="B1183" s="45"/>
      <c r="C1183" s="16"/>
      <c r="D1183" s="15"/>
      <c r="E1183" s="15"/>
      <c r="F1183" s="15"/>
      <c r="G1183" s="15"/>
      <c r="H1183" s="18"/>
      <c r="I1183" s="16"/>
      <c r="J1183" s="15"/>
      <c r="K1183" s="19"/>
      <c r="L1183" s="16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</row>
    <row r="1184" spans="1:27" s="17" customFormat="1" x14ac:dyDescent="0.25">
      <c r="A1184" s="16"/>
      <c r="B1184" s="45"/>
      <c r="C1184" s="16"/>
      <c r="D1184" s="15"/>
      <c r="E1184" s="15"/>
      <c r="F1184" s="15"/>
      <c r="G1184" s="15"/>
      <c r="H1184" s="18"/>
      <c r="I1184" s="16"/>
      <c r="J1184" s="15"/>
      <c r="K1184" s="19"/>
      <c r="L1184" s="16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</row>
    <row r="1185" spans="1:27" s="17" customFormat="1" x14ac:dyDescent="0.25">
      <c r="A1185" s="16"/>
      <c r="B1185" s="45"/>
      <c r="C1185" s="16"/>
      <c r="D1185" s="15"/>
      <c r="E1185" s="15"/>
      <c r="F1185" s="15"/>
      <c r="G1185" s="15"/>
      <c r="H1185" s="18"/>
      <c r="I1185" s="16"/>
      <c r="J1185" s="15"/>
      <c r="K1185" s="19"/>
      <c r="L1185" s="16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</row>
    <row r="1186" spans="1:27" s="17" customFormat="1" x14ac:dyDescent="0.25">
      <c r="A1186" s="16"/>
      <c r="B1186" s="45"/>
      <c r="C1186" s="16"/>
      <c r="D1186" s="15"/>
      <c r="E1186" s="15"/>
      <c r="F1186" s="15"/>
      <c r="G1186" s="15"/>
      <c r="H1186" s="18"/>
      <c r="I1186" s="16"/>
      <c r="J1186" s="15"/>
      <c r="K1186" s="19"/>
      <c r="L1186" s="16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</row>
    <row r="1187" spans="1:27" s="17" customFormat="1" x14ac:dyDescent="0.25">
      <c r="A1187" s="16"/>
      <c r="B1187" s="45"/>
      <c r="C1187" s="16"/>
      <c r="D1187" s="15"/>
      <c r="E1187" s="15"/>
      <c r="F1187" s="15"/>
      <c r="G1187" s="15"/>
      <c r="H1187" s="18"/>
      <c r="I1187" s="16"/>
      <c r="J1187" s="15"/>
      <c r="K1187" s="19"/>
      <c r="L1187" s="16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</row>
    <row r="1188" spans="1:27" s="17" customFormat="1" x14ac:dyDescent="0.25">
      <c r="A1188" s="16"/>
      <c r="B1188" s="45"/>
      <c r="C1188" s="16"/>
      <c r="D1188" s="15"/>
      <c r="E1188" s="15"/>
      <c r="F1188" s="15"/>
      <c r="G1188" s="15"/>
      <c r="H1188" s="18"/>
      <c r="I1188" s="16"/>
      <c r="J1188" s="15"/>
      <c r="K1188" s="19"/>
      <c r="L1188" s="16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</row>
    <row r="1189" spans="1:27" s="17" customFormat="1" x14ac:dyDescent="0.25">
      <c r="A1189" s="16"/>
      <c r="B1189" s="45"/>
      <c r="C1189" s="16"/>
      <c r="D1189" s="15"/>
      <c r="E1189" s="15"/>
      <c r="F1189" s="15"/>
      <c r="G1189" s="15"/>
      <c r="H1189" s="18"/>
      <c r="I1189" s="16"/>
      <c r="J1189" s="15"/>
      <c r="K1189" s="19"/>
      <c r="L1189" s="16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</row>
    <row r="1190" spans="1:27" s="17" customFormat="1" x14ac:dyDescent="0.25">
      <c r="A1190" s="16"/>
      <c r="B1190" s="45"/>
      <c r="C1190" s="16"/>
      <c r="D1190" s="15"/>
      <c r="E1190" s="15"/>
      <c r="F1190" s="15"/>
      <c r="G1190" s="15"/>
      <c r="H1190" s="18"/>
      <c r="I1190" s="16"/>
      <c r="J1190" s="15"/>
      <c r="K1190" s="19"/>
      <c r="L1190" s="16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</row>
    <row r="1191" spans="1:27" s="17" customFormat="1" x14ac:dyDescent="0.25">
      <c r="A1191" s="16"/>
      <c r="B1191" s="45"/>
      <c r="C1191" s="16"/>
      <c r="D1191" s="15"/>
      <c r="E1191" s="15"/>
      <c r="F1191" s="15"/>
      <c r="G1191" s="15"/>
      <c r="H1191" s="18"/>
      <c r="I1191" s="16"/>
      <c r="J1191" s="15"/>
      <c r="K1191" s="19"/>
      <c r="L1191" s="16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</row>
    <row r="1192" spans="1:27" s="17" customFormat="1" x14ac:dyDescent="0.25">
      <c r="A1192" s="16"/>
      <c r="B1192" s="45"/>
      <c r="C1192" s="16"/>
      <c r="D1192" s="15"/>
      <c r="E1192" s="15"/>
      <c r="F1192" s="15"/>
      <c r="G1192" s="15"/>
      <c r="H1192" s="18"/>
      <c r="I1192" s="16"/>
      <c r="J1192" s="15"/>
      <c r="K1192" s="19"/>
      <c r="L1192" s="16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</row>
    <row r="1193" spans="1:27" s="17" customFormat="1" x14ac:dyDescent="0.25">
      <c r="A1193" s="16"/>
      <c r="B1193" s="45"/>
      <c r="C1193" s="16"/>
      <c r="D1193" s="15"/>
      <c r="E1193" s="15"/>
      <c r="F1193" s="15"/>
      <c r="G1193" s="15"/>
      <c r="H1193" s="18"/>
      <c r="I1193" s="16"/>
      <c r="J1193" s="15"/>
      <c r="K1193" s="19"/>
      <c r="L1193" s="16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</row>
    <row r="1194" spans="1:27" s="17" customFormat="1" x14ac:dyDescent="0.25">
      <c r="A1194" s="16"/>
      <c r="B1194" s="45"/>
      <c r="C1194" s="16"/>
      <c r="D1194" s="15"/>
      <c r="E1194" s="15"/>
      <c r="F1194" s="15"/>
      <c r="G1194" s="15"/>
      <c r="H1194" s="18"/>
      <c r="I1194" s="16"/>
      <c r="J1194" s="15"/>
      <c r="K1194" s="19"/>
      <c r="L1194" s="16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</row>
    <row r="1195" spans="1:27" s="17" customFormat="1" x14ac:dyDescent="0.25">
      <c r="A1195" s="16"/>
      <c r="B1195" s="45"/>
      <c r="C1195" s="16"/>
      <c r="D1195" s="15"/>
      <c r="E1195" s="15"/>
      <c r="F1195" s="15"/>
      <c r="G1195" s="15"/>
      <c r="H1195" s="18"/>
      <c r="I1195" s="16"/>
      <c r="J1195" s="15"/>
      <c r="K1195" s="19"/>
      <c r="L1195" s="16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</row>
    <row r="1196" spans="1:27" s="17" customFormat="1" x14ac:dyDescent="0.25">
      <c r="A1196" s="16"/>
      <c r="B1196" s="45"/>
      <c r="C1196" s="16"/>
      <c r="D1196" s="15"/>
      <c r="E1196" s="15"/>
      <c r="F1196" s="15"/>
      <c r="G1196" s="15"/>
      <c r="H1196" s="18"/>
      <c r="I1196" s="16"/>
      <c r="J1196" s="15"/>
      <c r="K1196" s="19"/>
      <c r="L1196" s="16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</row>
    <row r="1197" spans="1:27" s="17" customFormat="1" x14ac:dyDescent="0.25">
      <c r="A1197" s="16"/>
      <c r="B1197" s="45"/>
      <c r="C1197" s="16"/>
      <c r="D1197" s="15"/>
      <c r="E1197" s="15"/>
      <c r="F1197" s="15"/>
      <c r="G1197" s="15"/>
      <c r="H1197" s="18"/>
      <c r="I1197" s="16"/>
      <c r="J1197" s="15"/>
      <c r="K1197" s="19"/>
      <c r="L1197" s="16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</row>
    <row r="1198" spans="1:27" s="17" customFormat="1" x14ac:dyDescent="0.25">
      <c r="A1198" s="16"/>
      <c r="B1198" s="45"/>
      <c r="C1198" s="16"/>
      <c r="D1198" s="15"/>
      <c r="E1198" s="15"/>
      <c r="F1198" s="15"/>
      <c r="G1198" s="15"/>
      <c r="H1198" s="18"/>
      <c r="I1198" s="16"/>
      <c r="J1198" s="15"/>
      <c r="K1198" s="19"/>
      <c r="L1198" s="16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</row>
    <row r="1199" spans="1:27" s="17" customFormat="1" x14ac:dyDescent="0.25">
      <c r="A1199" s="16"/>
      <c r="B1199" s="45"/>
      <c r="C1199" s="16"/>
      <c r="D1199" s="15"/>
      <c r="E1199" s="15"/>
      <c r="F1199" s="15"/>
      <c r="G1199" s="15"/>
      <c r="H1199" s="18"/>
      <c r="I1199" s="16"/>
      <c r="J1199" s="15"/>
      <c r="K1199" s="19"/>
      <c r="L1199" s="16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</row>
    <row r="1200" spans="1:27" s="17" customFormat="1" x14ac:dyDescent="0.25">
      <c r="A1200" s="16"/>
      <c r="B1200" s="45"/>
      <c r="C1200" s="16"/>
      <c r="D1200" s="15"/>
      <c r="E1200" s="15"/>
      <c r="F1200" s="15"/>
      <c r="G1200" s="15"/>
      <c r="H1200" s="18"/>
      <c r="I1200" s="16"/>
      <c r="J1200" s="15"/>
      <c r="K1200" s="19"/>
      <c r="L1200" s="16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</row>
    <row r="1201" spans="1:27" s="17" customFormat="1" x14ac:dyDescent="0.25">
      <c r="A1201" s="16"/>
      <c r="B1201" s="45"/>
      <c r="C1201" s="16"/>
      <c r="D1201" s="15"/>
      <c r="E1201" s="15"/>
      <c r="F1201" s="15"/>
      <c r="G1201" s="15"/>
      <c r="H1201" s="18"/>
      <c r="I1201" s="16"/>
      <c r="J1201" s="15"/>
      <c r="K1201" s="19"/>
      <c r="L1201" s="16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</row>
    <row r="1202" spans="1:27" s="17" customFormat="1" x14ac:dyDescent="0.25">
      <c r="A1202" s="16"/>
      <c r="B1202" s="45"/>
      <c r="C1202" s="16"/>
      <c r="D1202" s="15"/>
      <c r="E1202" s="15"/>
      <c r="F1202" s="15"/>
      <c r="G1202" s="15"/>
      <c r="H1202" s="18"/>
      <c r="I1202" s="16"/>
      <c r="J1202" s="15"/>
      <c r="K1202" s="19"/>
      <c r="L1202" s="16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</row>
    <row r="1203" spans="1:27" s="17" customFormat="1" x14ac:dyDescent="0.25">
      <c r="A1203" s="16"/>
      <c r="B1203" s="45"/>
      <c r="C1203" s="16"/>
      <c r="D1203" s="15"/>
      <c r="E1203" s="15"/>
      <c r="F1203" s="15"/>
      <c r="G1203" s="15"/>
      <c r="H1203" s="18"/>
      <c r="I1203" s="16"/>
      <c r="J1203" s="15"/>
      <c r="K1203" s="19"/>
      <c r="L1203" s="16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</row>
    <row r="1204" spans="1:27" s="17" customFormat="1" x14ac:dyDescent="0.25">
      <c r="A1204" s="16"/>
      <c r="B1204" s="45"/>
      <c r="C1204" s="16"/>
      <c r="D1204" s="15"/>
      <c r="E1204" s="15"/>
      <c r="F1204" s="15"/>
      <c r="G1204" s="15"/>
      <c r="H1204" s="18"/>
      <c r="I1204" s="16"/>
      <c r="J1204" s="15"/>
      <c r="K1204" s="19"/>
      <c r="L1204" s="16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</row>
    <row r="1205" spans="1:27" s="17" customFormat="1" x14ac:dyDescent="0.25">
      <c r="A1205" s="16"/>
      <c r="B1205" s="45"/>
      <c r="C1205" s="16"/>
      <c r="D1205" s="15"/>
      <c r="E1205" s="15"/>
      <c r="F1205" s="15"/>
      <c r="G1205" s="15"/>
      <c r="H1205" s="18"/>
      <c r="I1205" s="16"/>
      <c r="J1205" s="15"/>
      <c r="K1205" s="19"/>
      <c r="L1205" s="16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</row>
    <row r="1206" spans="1:27" s="17" customFormat="1" x14ac:dyDescent="0.25">
      <c r="A1206" s="16"/>
      <c r="B1206" s="45"/>
      <c r="C1206" s="16"/>
      <c r="D1206" s="15"/>
      <c r="E1206" s="15"/>
      <c r="F1206" s="15"/>
      <c r="G1206" s="15"/>
      <c r="H1206" s="18"/>
      <c r="I1206" s="16"/>
      <c r="J1206" s="15"/>
      <c r="K1206" s="19"/>
      <c r="L1206" s="16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</row>
    <row r="1207" spans="1:27" s="17" customFormat="1" x14ac:dyDescent="0.25">
      <c r="A1207" s="16"/>
      <c r="B1207" s="45"/>
      <c r="C1207" s="16"/>
      <c r="D1207" s="15"/>
      <c r="E1207" s="15"/>
      <c r="F1207" s="15"/>
      <c r="G1207" s="15"/>
      <c r="H1207" s="18"/>
      <c r="I1207" s="16"/>
      <c r="J1207" s="15"/>
      <c r="K1207" s="19"/>
      <c r="L1207" s="16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</row>
    <row r="1208" spans="1:27" s="17" customFormat="1" x14ac:dyDescent="0.25">
      <c r="A1208" s="16"/>
      <c r="B1208" s="45"/>
      <c r="C1208" s="16"/>
      <c r="D1208" s="15"/>
      <c r="E1208" s="15"/>
      <c r="F1208" s="15"/>
      <c r="G1208" s="15"/>
      <c r="H1208" s="18"/>
      <c r="I1208" s="16"/>
      <c r="J1208" s="15"/>
      <c r="K1208" s="19"/>
      <c r="L1208" s="16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</row>
    <row r="1209" spans="1:27" s="17" customFormat="1" x14ac:dyDescent="0.25">
      <c r="A1209" s="16"/>
      <c r="B1209" s="45"/>
      <c r="C1209" s="16"/>
      <c r="D1209" s="15"/>
      <c r="E1209" s="15"/>
      <c r="F1209" s="15"/>
      <c r="G1209" s="15"/>
      <c r="H1209" s="18"/>
      <c r="I1209" s="16"/>
      <c r="J1209" s="15"/>
      <c r="K1209" s="19"/>
      <c r="L1209" s="16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</row>
    <row r="1210" spans="1:27" s="17" customFormat="1" x14ac:dyDescent="0.25">
      <c r="A1210" s="16"/>
      <c r="B1210" s="45"/>
      <c r="C1210" s="16"/>
      <c r="D1210" s="15"/>
      <c r="E1210" s="15"/>
      <c r="F1210" s="15"/>
      <c r="G1210" s="15"/>
      <c r="H1210" s="18"/>
      <c r="I1210" s="16"/>
      <c r="J1210" s="15"/>
      <c r="K1210" s="19"/>
      <c r="L1210" s="16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</row>
    <row r="1211" spans="1:27" s="17" customFormat="1" x14ac:dyDescent="0.25">
      <c r="A1211" s="16"/>
      <c r="B1211" s="45"/>
      <c r="C1211" s="16"/>
      <c r="D1211" s="15"/>
      <c r="E1211" s="15"/>
      <c r="F1211" s="15"/>
      <c r="G1211" s="15"/>
      <c r="H1211" s="18"/>
      <c r="I1211" s="16"/>
      <c r="J1211" s="15"/>
      <c r="K1211" s="19"/>
      <c r="L1211" s="16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</row>
    <row r="1212" spans="1:27" s="17" customFormat="1" x14ac:dyDescent="0.25">
      <c r="A1212" s="16"/>
      <c r="B1212" s="45"/>
      <c r="C1212" s="16"/>
      <c r="D1212" s="15"/>
      <c r="E1212" s="15"/>
      <c r="F1212" s="15"/>
      <c r="G1212" s="15"/>
      <c r="H1212" s="18"/>
      <c r="I1212" s="16"/>
      <c r="J1212" s="15"/>
      <c r="K1212" s="19"/>
      <c r="L1212" s="16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</row>
    <row r="1213" spans="1:27" s="17" customFormat="1" x14ac:dyDescent="0.25">
      <c r="A1213" s="16"/>
      <c r="B1213" s="45"/>
      <c r="C1213" s="16"/>
      <c r="D1213" s="15"/>
      <c r="E1213" s="15"/>
      <c r="F1213" s="15"/>
      <c r="G1213" s="15"/>
      <c r="H1213" s="18"/>
      <c r="I1213" s="16"/>
      <c r="J1213" s="15"/>
      <c r="K1213" s="19"/>
      <c r="L1213" s="16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</row>
    <row r="1214" spans="1:27" s="17" customFormat="1" x14ac:dyDescent="0.25">
      <c r="A1214" s="16"/>
      <c r="B1214" s="45"/>
      <c r="C1214" s="16"/>
      <c r="D1214" s="15"/>
      <c r="E1214" s="15"/>
      <c r="F1214" s="15"/>
      <c r="G1214" s="15"/>
      <c r="H1214" s="18"/>
      <c r="I1214" s="16"/>
      <c r="J1214" s="15"/>
      <c r="K1214" s="19"/>
      <c r="L1214" s="16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</row>
    <row r="1215" spans="1:27" s="17" customFormat="1" x14ac:dyDescent="0.25">
      <c r="A1215" s="16"/>
      <c r="B1215" s="45"/>
      <c r="C1215" s="16"/>
      <c r="D1215" s="15"/>
      <c r="E1215" s="15"/>
      <c r="F1215" s="15"/>
      <c r="G1215" s="15"/>
      <c r="H1215" s="18"/>
      <c r="I1215" s="16"/>
      <c r="J1215" s="15"/>
      <c r="K1215" s="19"/>
      <c r="L1215" s="16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</row>
    <row r="1216" spans="1:27" s="17" customFormat="1" x14ac:dyDescent="0.25">
      <c r="A1216" s="16"/>
      <c r="B1216" s="45"/>
      <c r="C1216" s="16"/>
      <c r="D1216" s="15"/>
      <c r="E1216" s="15"/>
      <c r="F1216" s="15"/>
      <c r="G1216" s="15"/>
      <c r="H1216" s="18"/>
      <c r="I1216" s="16"/>
      <c r="J1216" s="15"/>
      <c r="K1216" s="19"/>
      <c r="L1216" s="16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</row>
    <row r="1217" spans="1:27" s="17" customFormat="1" x14ac:dyDescent="0.25">
      <c r="A1217" s="16"/>
      <c r="B1217" s="45"/>
      <c r="C1217" s="16"/>
      <c r="D1217" s="15"/>
      <c r="E1217" s="15"/>
      <c r="F1217" s="15"/>
      <c r="G1217" s="15"/>
      <c r="H1217" s="18"/>
      <c r="I1217" s="16"/>
      <c r="J1217" s="15"/>
      <c r="K1217" s="19"/>
      <c r="L1217" s="16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</row>
    <row r="1218" spans="1:27" s="17" customFormat="1" x14ac:dyDescent="0.25">
      <c r="A1218" s="16"/>
      <c r="B1218" s="45"/>
      <c r="C1218" s="16"/>
      <c r="D1218" s="15"/>
      <c r="E1218" s="15"/>
      <c r="F1218" s="15"/>
      <c r="G1218" s="15"/>
      <c r="H1218" s="18"/>
      <c r="I1218" s="16"/>
      <c r="J1218" s="15"/>
      <c r="K1218" s="19"/>
      <c r="L1218" s="16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</row>
    <row r="1219" spans="1:27" s="17" customFormat="1" x14ac:dyDescent="0.25">
      <c r="A1219" s="16"/>
      <c r="B1219" s="45"/>
      <c r="C1219" s="16"/>
      <c r="D1219" s="15"/>
      <c r="E1219" s="15"/>
      <c r="F1219" s="15"/>
      <c r="G1219" s="15"/>
      <c r="H1219" s="18"/>
      <c r="I1219" s="16"/>
      <c r="J1219" s="15"/>
      <c r="K1219" s="19"/>
      <c r="L1219" s="16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</row>
    <row r="1220" spans="1:27" s="17" customFormat="1" x14ac:dyDescent="0.25">
      <c r="A1220" s="16"/>
      <c r="B1220" s="45"/>
      <c r="C1220" s="16"/>
      <c r="D1220" s="15"/>
      <c r="E1220" s="15"/>
      <c r="F1220" s="15"/>
      <c r="G1220" s="15"/>
      <c r="H1220" s="18"/>
      <c r="I1220" s="16"/>
      <c r="J1220" s="15"/>
      <c r="K1220" s="19"/>
      <c r="L1220" s="16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</row>
    <row r="1221" spans="1:27" s="17" customFormat="1" x14ac:dyDescent="0.25">
      <c r="A1221" s="16"/>
      <c r="B1221" s="45"/>
      <c r="C1221" s="16"/>
      <c r="D1221" s="15"/>
      <c r="E1221" s="15"/>
      <c r="F1221" s="15"/>
      <c r="G1221" s="15"/>
      <c r="H1221" s="18"/>
      <c r="I1221" s="16"/>
      <c r="J1221" s="15"/>
      <c r="K1221" s="19"/>
      <c r="L1221" s="16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</row>
    <row r="1222" spans="1:27" s="17" customFormat="1" x14ac:dyDescent="0.25">
      <c r="A1222" s="16"/>
      <c r="B1222" s="45"/>
      <c r="C1222" s="16"/>
      <c r="D1222" s="15"/>
      <c r="E1222" s="15"/>
      <c r="F1222" s="15"/>
      <c r="G1222" s="15"/>
      <c r="H1222" s="18"/>
      <c r="I1222" s="16"/>
      <c r="J1222" s="15"/>
      <c r="K1222" s="19"/>
      <c r="L1222" s="16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</row>
    <row r="1223" spans="1:27" s="17" customFormat="1" x14ac:dyDescent="0.25">
      <c r="A1223" s="16"/>
      <c r="B1223" s="45"/>
      <c r="C1223" s="16"/>
      <c r="D1223" s="15"/>
      <c r="E1223" s="15"/>
      <c r="F1223" s="15"/>
      <c r="G1223" s="15"/>
      <c r="H1223" s="18"/>
      <c r="I1223" s="16"/>
      <c r="J1223" s="15"/>
      <c r="K1223" s="19"/>
      <c r="L1223" s="16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</row>
    <row r="1224" spans="1:27" s="17" customFormat="1" x14ac:dyDescent="0.25">
      <c r="A1224" s="16"/>
      <c r="B1224" s="45"/>
      <c r="C1224" s="16"/>
      <c r="D1224" s="15"/>
      <c r="E1224" s="15"/>
      <c r="F1224" s="15"/>
      <c r="G1224" s="15"/>
      <c r="H1224" s="18"/>
      <c r="I1224" s="16"/>
      <c r="J1224" s="15"/>
      <c r="K1224" s="19"/>
      <c r="L1224" s="16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</row>
    <row r="1225" spans="1:27" s="17" customFormat="1" x14ac:dyDescent="0.25">
      <c r="A1225" s="16"/>
      <c r="B1225" s="45"/>
      <c r="C1225" s="16"/>
      <c r="D1225" s="15"/>
      <c r="E1225" s="15"/>
      <c r="F1225" s="15"/>
      <c r="G1225" s="15"/>
      <c r="H1225" s="18"/>
      <c r="I1225" s="16"/>
      <c r="J1225" s="15"/>
      <c r="K1225" s="19"/>
      <c r="L1225" s="16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</row>
    <row r="1226" spans="1:27" s="17" customFormat="1" x14ac:dyDescent="0.25">
      <c r="A1226" s="16"/>
      <c r="B1226" s="45"/>
      <c r="C1226" s="16"/>
      <c r="D1226" s="15"/>
      <c r="E1226" s="15"/>
      <c r="F1226" s="15"/>
      <c r="G1226" s="15"/>
      <c r="H1226" s="18"/>
      <c r="I1226" s="16"/>
      <c r="J1226" s="15"/>
      <c r="K1226" s="19"/>
      <c r="L1226" s="16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</row>
    <row r="1227" spans="1:27" s="17" customFormat="1" x14ac:dyDescent="0.25">
      <c r="A1227" s="16"/>
      <c r="B1227" s="45"/>
      <c r="C1227" s="16"/>
      <c r="D1227" s="15"/>
      <c r="E1227" s="15"/>
      <c r="F1227" s="15"/>
      <c r="G1227" s="15"/>
      <c r="H1227" s="18"/>
      <c r="I1227" s="16"/>
      <c r="J1227" s="15"/>
      <c r="K1227" s="19"/>
      <c r="L1227" s="16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</row>
    <row r="1228" spans="1:27" s="17" customFormat="1" x14ac:dyDescent="0.25">
      <c r="A1228" s="16"/>
      <c r="B1228" s="45"/>
      <c r="C1228" s="16"/>
      <c r="D1228" s="15"/>
      <c r="E1228" s="15"/>
      <c r="F1228" s="15"/>
      <c r="G1228" s="15"/>
      <c r="H1228" s="18"/>
      <c r="I1228" s="16"/>
      <c r="J1228" s="15"/>
      <c r="K1228" s="19"/>
      <c r="L1228" s="16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</row>
    <row r="1229" spans="1:27" s="17" customFormat="1" x14ac:dyDescent="0.25">
      <c r="A1229" s="16"/>
      <c r="B1229" s="45"/>
      <c r="C1229" s="16"/>
      <c r="D1229" s="15"/>
      <c r="E1229" s="15"/>
      <c r="F1229" s="15"/>
      <c r="G1229" s="15"/>
      <c r="H1229" s="18"/>
      <c r="I1229" s="16"/>
      <c r="J1229" s="15"/>
      <c r="K1229" s="19"/>
      <c r="L1229" s="16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</row>
    <row r="1230" spans="1:27" s="17" customFormat="1" x14ac:dyDescent="0.25">
      <c r="A1230" s="16"/>
      <c r="B1230" s="45"/>
      <c r="C1230" s="16"/>
      <c r="D1230" s="15"/>
      <c r="E1230" s="15"/>
      <c r="F1230" s="15"/>
      <c r="G1230" s="15"/>
      <c r="H1230" s="18"/>
      <c r="I1230" s="16"/>
      <c r="J1230" s="15"/>
      <c r="K1230" s="19"/>
      <c r="L1230" s="16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</row>
    <row r="1231" spans="1:27" s="17" customFormat="1" x14ac:dyDescent="0.25">
      <c r="A1231" s="16"/>
      <c r="B1231" s="45"/>
      <c r="C1231" s="16"/>
      <c r="D1231" s="15"/>
      <c r="E1231" s="15"/>
      <c r="F1231" s="15"/>
      <c r="G1231" s="15"/>
      <c r="H1231" s="18"/>
      <c r="I1231" s="16"/>
      <c r="J1231" s="15"/>
      <c r="K1231" s="19"/>
      <c r="L1231" s="16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</row>
    <row r="1232" spans="1:27" s="17" customFormat="1" x14ac:dyDescent="0.25">
      <c r="A1232" s="16"/>
      <c r="B1232" s="45"/>
      <c r="C1232" s="16"/>
      <c r="D1232" s="15"/>
      <c r="E1232" s="15"/>
      <c r="F1232" s="15"/>
      <c r="G1232" s="15"/>
      <c r="H1232" s="18"/>
      <c r="I1232" s="16"/>
      <c r="J1232" s="15"/>
      <c r="K1232" s="19"/>
      <c r="L1232" s="16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</row>
    <row r="1233" spans="1:27" s="17" customFormat="1" x14ac:dyDescent="0.25">
      <c r="A1233" s="16"/>
      <c r="B1233" s="45"/>
      <c r="C1233" s="16"/>
      <c r="D1233" s="15"/>
      <c r="E1233" s="15"/>
      <c r="F1233" s="15"/>
      <c r="G1233" s="15"/>
      <c r="H1233" s="18"/>
      <c r="I1233" s="16"/>
      <c r="J1233" s="15"/>
      <c r="K1233" s="19"/>
      <c r="L1233" s="16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</row>
    <row r="1234" spans="1:27" s="17" customFormat="1" x14ac:dyDescent="0.25">
      <c r="A1234" s="16"/>
      <c r="B1234" s="45"/>
      <c r="C1234" s="16"/>
      <c r="D1234" s="15"/>
      <c r="E1234" s="15"/>
      <c r="F1234" s="15"/>
      <c r="G1234" s="15"/>
      <c r="H1234" s="18"/>
      <c r="I1234" s="16"/>
      <c r="J1234" s="15"/>
      <c r="K1234" s="19"/>
      <c r="L1234" s="16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</row>
    <row r="1235" spans="1:27" s="17" customFormat="1" x14ac:dyDescent="0.25">
      <c r="A1235" s="16"/>
      <c r="B1235" s="45"/>
      <c r="C1235" s="16"/>
      <c r="D1235" s="15"/>
      <c r="E1235" s="15"/>
      <c r="F1235" s="15"/>
      <c r="G1235" s="15"/>
      <c r="H1235" s="18"/>
      <c r="I1235" s="16"/>
      <c r="J1235" s="15"/>
      <c r="K1235" s="19"/>
      <c r="L1235" s="16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</row>
    <row r="1236" spans="1:27" s="17" customFormat="1" x14ac:dyDescent="0.25">
      <c r="A1236" s="16"/>
      <c r="B1236" s="45"/>
      <c r="C1236" s="16"/>
      <c r="D1236" s="15"/>
      <c r="E1236" s="15"/>
      <c r="F1236" s="15"/>
      <c r="G1236" s="15"/>
      <c r="H1236" s="18"/>
      <c r="I1236" s="16"/>
      <c r="J1236" s="15"/>
      <c r="K1236" s="19"/>
      <c r="L1236" s="16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</row>
    <row r="1237" spans="1:27" s="17" customFormat="1" x14ac:dyDescent="0.25">
      <c r="A1237" s="16"/>
      <c r="B1237" s="45"/>
      <c r="C1237" s="16"/>
      <c r="D1237" s="15"/>
      <c r="E1237" s="15"/>
      <c r="F1237" s="15"/>
      <c r="G1237" s="15"/>
      <c r="H1237" s="18"/>
      <c r="I1237" s="16"/>
      <c r="J1237" s="15"/>
      <c r="K1237" s="19"/>
      <c r="L1237" s="16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</row>
    <row r="1238" spans="1:27" s="17" customFormat="1" x14ac:dyDescent="0.25">
      <c r="A1238" s="16"/>
      <c r="B1238" s="45"/>
      <c r="C1238" s="16"/>
      <c r="D1238" s="15"/>
      <c r="E1238" s="15"/>
      <c r="F1238" s="15"/>
      <c r="G1238" s="15"/>
      <c r="H1238" s="18"/>
      <c r="I1238" s="16"/>
      <c r="J1238" s="15"/>
      <c r="K1238" s="19"/>
      <c r="L1238" s="16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</row>
    <row r="1239" spans="1:27" s="17" customFormat="1" x14ac:dyDescent="0.25">
      <c r="A1239" s="16"/>
      <c r="B1239" s="45"/>
      <c r="C1239" s="16"/>
      <c r="D1239" s="15"/>
      <c r="E1239" s="15"/>
      <c r="F1239" s="15"/>
      <c r="G1239" s="15"/>
      <c r="H1239" s="18"/>
      <c r="I1239" s="16"/>
      <c r="J1239" s="15"/>
      <c r="K1239" s="19"/>
      <c r="L1239" s="16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</row>
    <row r="1240" spans="1:27" s="17" customFormat="1" x14ac:dyDescent="0.25">
      <c r="A1240" s="16"/>
      <c r="B1240" s="45"/>
      <c r="C1240" s="16"/>
      <c r="D1240" s="15"/>
      <c r="E1240" s="15"/>
      <c r="F1240" s="15"/>
      <c r="G1240" s="15"/>
      <c r="H1240" s="18"/>
      <c r="I1240" s="16"/>
      <c r="J1240" s="15"/>
      <c r="K1240" s="19"/>
      <c r="L1240" s="16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</row>
    <row r="1241" spans="1:27" s="17" customFormat="1" x14ac:dyDescent="0.25">
      <c r="A1241" s="16"/>
      <c r="B1241" s="45"/>
      <c r="C1241" s="16"/>
      <c r="D1241" s="15"/>
      <c r="E1241" s="15"/>
      <c r="F1241" s="15"/>
      <c r="G1241" s="15"/>
      <c r="H1241" s="18"/>
      <c r="I1241" s="16"/>
      <c r="J1241" s="15"/>
      <c r="K1241" s="19"/>
      <c r="L1241" s="16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</row>
    <row r="1242" spans="1:27" s="17" customFormat="1" x14ac:dyDescent="0.25">
      <c r="A1242" s="16"/>
      <c r="B1242" s="45"/>
      <c r="C1242" s="16"/>
      <c r="D1242" s="15"/>
      <c r="E1242" s="15"/>
      <c r="F1242" s="15"/>
      <c r="G1242" s="15"/>
      <c r="H1242" s="18"/>
      <c r="I1242" s="16"/>
      <c r="J1242" s="15"/>
      <c r="K1242" s="19"/>
      <c r="L1242" s="16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</row>
    <row r="1243" spans="1:27" s="17" customFormat="1" x14ac:dyDescent="0.25">
      <c r="A1243" s="16"/>
      <c r="B1243" s="45"/>
      <c r="C1243" s="16"/>
      <c r="D1243" s="15"/>
      <c r="E1243" s="15"/>
      <c r="F1243" s="15"/>
      <c r="G1243" s="15"/>
      <c r="H1243" s="18"/>
      <c r="I1243" s="16"/>
      <c r="J1243" s="15"/>
      <c r="K1243" s="19"/>
      <c r="L1243" s="16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</row>
    <row r="1244" spans="1:27" s="17" customFormat="1" x14ac:dyDescent="0.25">
      <c r="A1244" s="16"/>
      <c r="B1244" s="45"/>
      <c r="C1244" s="16"/>
      <c r="D1244" s="15"/>
      <c r="E1244" s="15"/>
      <c r="F1244" s="15"/>
      <c r="G1244" s="15"/>
      <c r="H1244" s="18"/>
      <c r="I1244" s="16"/>
      <c r="J1244" s="15"/>
      <c r="K1244" s="19"/>
      <c r="L1244" s="16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</row>
    <row r="1245" spans="1:27" s="17" customFormat="1" x14ac:dyDescent="0.25">
      <c r="A1245" s="16"/>
      <c r="B1245" s="45"/>
      <c r="C1245" s="16"/>
      <c r="D1245" s="15"/>
      <c r="E1245" s="15"/>
      <c r="F1245" s="15"/>
      <c r="G1245" s="15"/>
      <c r="H1245" s="18"/>
      <c r="I1245" s="16"/>
      <c r="J1245" s="15"/>
      <c r="K1245" s="19"/>
      <c r="L1245" s="16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</row>
    <row r="1246" spans="1:27" s="17" customFormat="1" x14ac:dyDescent="0.25">
      <c r="A1246" s="16"/>
      <c r="B1246" s="45"/>
      <c r="C1246" s="16"/>
      <c r="D1246" s="15"/>
      <c r="E1246" s="15"/>
      <c r="F1246" s="15"/>
      <c r="G1246" s="15"/>
      <c r="H1246" s="18"/>
      <c r="I1246" s="16"/>
      <c r="J1246" s="15"/>
      <c r="K1246" s="19"/>
      <c r="L1246" s="16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</row>
    <row r="1247" spans="1:27" s="17" customFormat="1" x14ac:dyDescent="0.25">
      <c r="A1247" s="16"/>
      <c r="B1247" s="45"/>
      <c r="C1247" s="16"/>
      <c r="D1247" s="15"/>
      <c r="E1247" s="15"/>
      <c r="F1247" s="15"/>
      <c r="G1247" s="15"/>
      <c r="H1247" s="18"/>
      <c r="I1247" s="16"/>
      <c r="J1247" s="15"/>
      <c r="K1247" s="19"/>
      <c r="L1247" s="16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</row>
    <row r="1248" spans="1:27" s="17" customFormat="1" x14ac:dyDescent="0.25">
      <c r="A1248" s="16"/>
      <c r="B1248" s="45"/>
      <c r="C1248" s="16"/>
      <c r="D1248" s="15"/>
      <c r="E1248" s="15"/>
      <c r="F1248" s="15"/>
      <c r="G1248" s="15"/>
      <c r="H1248" s="18"/>
      <c r="I1248" s="16"/>
      <c r="J1248" s="15"/>
      <c r="K1248" s="19"/>
      <c r="L1248" s="16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</row>
    <row r="1249" spans="1:27" s="17" customFormat="1" x14ac:dyDescent="0.25">
      <c r="A1249" s="16"/>
      <c r="B1249" s="45"/>
      <c r="C1249" s="16"/>
      <c r="D1249" s="15"/>
      <c r="E1249" s="15"/>
      <c r="F1249" s="15"/>
      <c r="G1249" s="15"/>
      <c r="H1249" s="18"/>
      <c r="I1249" s="16"/>
      <c r="J1249" s="15"/>
      <c r="K1249" s="19"/>
      <c r="L1249" s="16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</row>
    <row r="1250" spans="1:27" s="17" customFormat="1" x14ac:dyDescent="0.25">
      <c r="A1250" s="16"/>
      <c r="B1250" s="45"/>
      <c r="C1250" s="16"/>
      <c r="D1250" s="15"/>
      <c r="E1250" s="15"/>
      <c r="F1250" s="15"/>
      <c r="G1250" s="15"/>
      <c r="H1250" s="18"/>
      <c r="I1250" s="16"/>
      <c r="J1250" s="15"/>
      <c r="K1250" s="19"/>
      <c r="L1250" s="16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</row>
    <row r="1251" spans="1:27" s="17" customFormat="1" x14ac:dyDescent="0.25">
      <c r="A1251" s="16"/>
      <c r="B1251" s="45"/>
      <c r="C1251" s="16"/>
      <c r="D1251" s="15"/>
      <c r="E1251" s="15"/>
      <c r="F1251" s="15"/>
      <c r="G1251" s="15"/>
      <c r="H1251" s="18"/>
      <c r="I1251" s="16"/>
      <c r="J1251" s="15"/>
      <c r="K1251" s="19"/>
      <c r="L1251" s="16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</row>
    <row r="1252" spans="1:27" s="17" customFormat="1" x14ac:dyDescent="0.25">
      <c r="A1252" s="16"/>
      <c r="B1252" s="45"/>
      <c r="C1252" s="16"/>
      <c r="D1252" s="15"/>
      <c r="E1252" s="15"/>
      <c r="F1252" s="15"/>
      <c r="G1252" s="15"/>
      <c r="H1252" s="18"/>
      <c r="I1252" s="16"/>
      <c r="J1252" s="15"/>
      <c r="K1252" s="19"/>
      <c r="L1252" s="16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</row>
    <row r="1253" spans="1:27" s="17" customFormat="1" x14ac:dyDescent="0.25">
      <c r="A1253" s="16"/>
      <c r="B1253" s="45"/>
      <c r="C1253" s="16"/>
      <c r="D1253" s="15"/>
      <c r="E1253" s="15"/>
      <c r="F1253" s="15"/>
      <c r="G1253" s="15"/>
      <c r="H1253" s="18"/>
      <c r="I1253" s="16"/>
      <c r="J1253" s="15"/>
      <c r="K1253" s="19"/>
      <c r="L1253" s="16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</row>
    <row r="1254" spans="1:27" s="17" customFormat="1" x14ac:dyDescent="0.25">
      <c r="A1254" s="16"/>
      <c r="B1254" s="45"/>
      <c r="C1254" s="16"/>
      <c r="D1254" s="15"/>
      <c r="E1254" s="15"/>
      <c r="F1254" s="15"/>
      <c r="G1254" s="15"/>
      <c r="H1254" s="18"/>
      <c r="I1254" s="16"/>
      <c r="J1254" s="15"/>
      <c r="K1254" s="19"/>
      <c r="L1254" s="16"/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5"/>
      <c r="Y1254" s="45"/>
      <c r="Z1254" s="45"/>
      <c r="AA1254" s="45"/>
    </row>
    <row r="1255" spans="1:27" s="17" customFormat="1" x14ac:dyDescent="0.25">
      <c r="A1255" s="16"/>
      <c r="B1255" s="45"/>
      <c r="C1255" s="16"/>
      <c r="D1255" s="15"/>
      <c r="E1255" s="15"/>
      <c r="F1255" s="15"/>
      <c r="G1255" s="15"/>
      <c r="H1255" s="18"/>
      <c r="I1255" s="16"/>
      <c r="J1255" s="15"/>
      <c r="K1255" s="19"/>
      <c r="L1255" s="16"/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5"/>
      <c r="Y1255" s="45"/>
      <c r="Z1255" s="45"/>
      <c r="AA1255" s="45"/>
    </row>
    <row r="1256" spans="1:27" s="17" customFormat="1" x14ac:dyDescent="0.25">
      <c r="A1256" s="16"/>
      <c r="B1256" s="45"/>
      <c r="C1256" s="16"/>
      <c r="D1256" s="15"/>
      <c r="E1256" s="15"/>
      <c r="F1256" s="15"/>
      <c r="G1256" s="15"/>
      <c r="H1256" s="18"/>
      <c r="I1256" s="16"/>
      <c r="J1256" s="15"/>
      <c r="K1256" s="19"/>
      <c r="L1256" s="16"/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5"/>
      <c r="Y1256" s="45"/>
      <c r="Z1256" s="45"/>
      <c r="AA1256" s="45"/>
    </row>
    <row r="1257" spans="1:27" s="17" customFormat="1" x14ac:dyDescent="0.25">
      <c r="A1257" s="16"/>
      <c r="B1257" s="45"/>
      <c r="C1257" s="16"/>
      <c r="D1257" s="15"/>
      <c r="E1257" s="15"/>
      <c r="F1257" s="15"/>
      <c r="G1257" s="15"/>
      <c r="H1257" s="18"/>
      <c r="I1257" s="16"/>
      <c r="J1257" s="15"/>
      <c r="K1257" s="19"/>
      <c r="L1257" s="16"/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5"/>
      <c r="Y1257" s="45"/>
      <c r="Z1257" s="45"/>
      <c r="AA1257" s="45"/>
    </row>
    <row r="1258" spans="1:27" s="17" customFormat="1" x14ac:dyDescent="0.25">
      <c r="A1258" s="16"/>
      <c r="B1258" s="45"/>
      <c r="C1258" s="16"/>
      <c r="D1258" s="15"/>
      <c r="E1258" s="15"/>
      <c r="F1258" s="15"/>
      <c r="G1258" s="15"/>
      <c r="H1258" s="18"/>
      <c r="I1258" s="16"/>
      <c r="J1258" s="15"/>
      <c r="K1258" s="19"/>
      <c r="L1258" s="16"/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5"/>
      <c r="Y1258" s="45"/>
      <c r="Z1258" s="45"/>
      <c r="AA1258" s="45"/>
    </row>
    <row r="1259" spans="1:27" s="17" customFormat="1" x14ac:dyDescent="0.25">
      <c r="A1259" s="16"/>
      <c r="B1259" s="45"/>
      <c r="C1259" s="16"/>
      <c r="D1259" s="15"/>
      <c r="E1259" s="15"/>
      <c r="F1259" s="15"/>
      <c r="G1259" s="15"/>
      <c r="H1259" s="18"/>
      <c r="I1259" s="16"/>
      <c r="J1259" s="15"/>
      <c r="K1259" s="19"/>
      <c r="L1259" s="16"/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5"/>
      <c r="Y1259" s="45"/>
      <c r="Z1259" s="45"/>
      <c r="AA1259" s="45"/>
    </row>
    <row r="1260" spans="1:27" s="17" customFormat="1" x14ac:dyDescent="0.25">
      <c r="A1260" s="16"/>
      <c r="B1260" s="45"/>
      <c r="C1260" s="16"/>
      <c r="D1260" s="15"/>
      <c r="E1260" s="15"/>
      <c r="F1260" s="15"/>
      <c r="G1260" s="15"/>
      <c r="H1260" s="18"/>
      <c r="I1260" s="16"/>
      <c r="J1260" s="15"/>
      <c r="K1260" s="19"/>
      <c r="L1260" s="16"/>
      <c r="N1260" s="45"/>
      <c r="O1260" s="45"/>
      <c r="P1260" s="45"/>
      <c r="Q1260" s="45"/>
      <c r="R1260" s="45"/>
      <c r="S1260" s="45"/>
      <c r="T1260" s="45"/>
      <c r="U1260" s="45"/>
      <c r="V1260" s="45"/>
      <c r="W1260" s="45"/>
      <c r="X1260" s="45"/>
      <c r="Y1260" s="45"/>
      <c r="Z1260" s="45"/>
      <c r="AA1260" s="45"/>
    </row>
    <row r="1261" spans="1:27" s="17" customFormat="1" x14ac:dyDescent="0.25">
      <c r="A1261" s="16"/>
      <c r="B1261" s="45"/>
      <c r="C1261" s="16"/>
      <c r="D1261" s="15"/>
      <c r="E1261" s="15"/>
      <c r="F1261" s="15"/>
      <c r="G1261" s="15"/>
      <c r="H1261" s="18"/>
      <c r="I1261" s="16"/>
      <c r="J1261" s="15"/>
      <c r="K1261" s="19"/>
      <c r="L1261" s="16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/>
      <c r="Z1261" s="45"/>
      <c r="AA1261" s="45"/>
    </row>
    <row r="1262" spans="1:27" s="17" customFormat="1" x14ac:dyDescent="0.25">
      <c r="A1262" s="16"/>
      <c r="B1262" s="45"/>
      <c r="C1262" s="16"/>
      <c r="D1262" s="15"/>
      <c r="E1262" s="15"/>
      <c r="F1262" s="15"/>
      <c r="G1262" s="15"/>
      <c r="H1262" s="18"/>
      <c r="I1262" s="16"/>
      <c r="J1262" s="15"/>
      <c r="K1262" s="19"/>
      <c r="L1262" s="16"/>
      <c r="N1262" s="45"/>
      <c r="O1262" s="45"/>
      <c r="P1262" s="45"/>
      <c r="Q1262" s="45"/>
      <c r="R1262" s="45"/>
      <c r="S1262" s="45"/>
      <c r="T1262" s="45"/>
      <c r="U1262" s="45"/>
      <c r="V1262" s="45"/>
      <c r="W1262" s="45"/>
      <c r="X1262" s="45"/>
      <c r="Y1262" s="45"/>
      <c r="Z1262" s="45"/>
      <c r="AA1262" s="45"/>
    </row>
    <row r="1263" spans="1:27" s="17" customFormat="1" x14ac:dyDescent="0.25">
      <c r="A1263" s="16"/>
      <c r="B1263" s="45"/>
      <c r="C1263" s="16"/>
      <c r="D1263" s="15"/>
      <c r="E1263" s="15"/>
      <c r="F1263" s="15"/>
      <c r="G1263" s="15"/>
      <c r="H1263" s="18"/>
      <c r="I1263" s="16"/>
      <c r="J1263" s="15"/>
      <c r="K1263" s="19"/>
      <c r="L1263" s="16"/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5"/>
      <c r="Y1263" s="45"/>
      <c r="Z1263" s="45"/>
      <c r="AA1263" s="45"/>
    </row>
    <row r="1264" spans="1:27" s="17" customFormat="1" x14ac:dyDescent="0.25">
      <c r="A1264" s="16"/>
      <c r="B1264" s="45"/>
      <c r="C1264" s="16"/>
      <c r="D1264" s="15"/>
      <c r="E1264" s="15"/>
      <c r="F1264" s="15"/>
      <c r="G1264" s="15"/>
      <c r="H1264" s="18"/>
      <c r="I1264" s="16"/>
      <c r="J1264" s="15"/>
      <c r="K1264" s="19"/>
      <c r="L1264" s="16"/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5"/>
      <c r="Y1264" s="45"/>
      <c r="Z1264" s="45"/>
      <c r="AA1264" s="45"/>
    </row>
    <row r="1265" spans="1:27" s="17" customFormat="1" x14ac:dyDescent="0.25">
      <c r="A1265" s="16"/>
      <c r="B1265" s="45"/>
      <c r="C1265" s="16"/>
      <c r="D1265" s="15"/>
      <c r="E1265" s="15"/>
      <c r="F1265" s="15"/>
      <c r="G1265" s="15"/>
      <c r="H1265" s="18"/>
      <c r="I1265" s="16"/>
      <c r="J1265" s="15"/>
      <c r="K1265" s="19"/>
      <c r="L1265" s="16"/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5"/>
      <c r="Y1265" s="45"/>
      <c r="Z1265" s="45"/>
      <c r="AA1265" s="45"/>
    </row>
    <row r="1266" spans="1:27" s="17" customFormat="1" x14ac:dyDescent="0.25">
      <c r="A1266" s="16"/>
      <c r="B1266" s="45"/>
      <c r="C1266" s="16"/>
      <c r="D1266" s="15"/>
      <c r="E1266" s="15"/>
      <c r="F1266" s="15"/>
      <c r="G1266" s="15"/>
      <c r="H1266" s="18"/>
      <c r="I1266" s="16"/>
      <c r="J1266" s="15"/>
      <c r="K1266" s="19"/>
      <c r="L1266" s="16"/>
      <c r="N1266" s="45"/>
      <c r="O1266" s="45"/>
      <c r="P1266" s="45"/>
      <c r="Q1266" s="45"/>
      <c r="R1266" s="45"/>
      <c r="S1266" s="45"/>
      <c r="T1266" s="45"/>
      <c r="U1266" s="45"/>
      <c r="V1266" s="45"/>
      <c r="W1266" s="45"/>
      <c r="X1266" s="45"/>
      <c r="Y1266" s="45"/>
      <c r="Z1266" s="45"/>
      <c r="AA1266" s="45"/>
    </row>
    <row r="1267" spans="1:27" s="17" customFormat="1" x14ac:dyDescent="0.25">
      <c r="A1267" s="16"/>
      <c r="B1267" s="45"/>
      <c r="C1267" s="16"/>
      <c r="D1267" s="15"/>
      <c r="E1267" s="15"/>
      <c r="F1267" s="15"/>
      <c r="G1267" s="15"/>
      <c r="H1267" s="18"/>
      <c r="I1267" s="16"/>
      <c r="J1267" s="15"/>
      <c r="K1267" s="19"/>
      <c r="L1267" s="16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/>
      <c r="Z1267" s="45"/>
      <c r="AA1267" s="45"/>
    </row>
    <row r="1268" spans="1:27" s="17" customFormat="1" x14ac:dyDescent="0.25">
      <c r="A1268" s="16"/>
      <c r="B1268" s="45"/>
      <c r="C1268" s="16"/>
      <c r="D1268" s="15"/>
      <c r="E1268" s="15"/>
      <c r="F1268" s="15"/>
      <c r="G1268" s="15"/>
      <c r="H1268" s="18"/>
      <c r="I1268" s="16"/>
      <c r="J1268" s="15"/>
      <c r="K1268" s="19"/>
      <c r="L1268" s="16"/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5"/>
      <c r="Y1268" s="45"/>
      <c r="Z1268" s="45"/>
      <c r="AA1268" s="45"/>
    </row>
    <row r="1269" spans="1:27" s="17" customFormat="1" x14ac:dyDescent="0.25">
      <c r="A1269" s="16"/>
      <c r="B1269" s="45"/>
      <c r="C1269" s="16"/>
      <c r="D1269" s="15"/>
      <c r="E1269" s="15"/>
      <c r="F1269" s="15"/>
      <c r="G1269" s="15"/>
      <c r="H1269" s="18"/>
      <c r="I1269" s="16"/>
      <c r="J1269" s="15"/>
      <c r="K1269" s="19"/>
      <c r="L1269" s="16"/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5"/>
      <c r="Y1269" s="45"/>
      <c r="Z1269" s="45"/>
      <c r="AA1269" s="45"/>
    </row>
    <row r="1270" spans="1:27" s="17" customFormat="1" x14ac:dyDescent="0.25">
      <c r="A1270" s="16"/>
      <c r="B1270" s="45"/>
      <c r="C1270" s="16"/>
      <c r="D1270" s="15"/>
      <c r="E1270" s="15"/>
      <c r="F1270" s="15"/>
      <c r="G1270" s="15"/>
      <c r="H1270" s="18"/>
      <c r="I1270" s="16"/>
      <c r="J1270" s="15"/>
      <c r="K1270" s="19"/>
      <c r="L1270" s="16"/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5"/>
      <c r="Y1270" s="45"/>
      <c r="Z1270" s="45"/>
      <c r="AA1270" s="45"/>
    </row>
    <row r="1271" spans="1:27" s="17" customFormat="1" x14ac:dyDescent="0.25">
      <c r="A1271" s="16"/>
      <c r="B1271" s="45"/>
      <c r="C1271" s="16"/>
      <c r="D1271" s="15"/>
      <c r="E1271" s="15"/>
      <c r="F1271" s="15"/>
      <c r="G1271" s="15"/>
      <c r="H1271" s="18"/>
      <c r="I1271" s="16"/>
      <c r="J1271" s="15"/>
      <c r="K1271" s="19"/>
      <c r="L1271" s="16"/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5"/>
      <c r="Y1271" s="45"/>
      <c r="Z1271" s="45"/>
      <c r="AA1271" s="45"/>
    </row>
    <row r="1272" spans="1:27" s="17" customFormat="1" x14ac:dyDescent="0.25">
      <c r="A1272" s="16"/>
      <c r="B1272" s="45"/>
      <c r="C1272" s="16"/>
      <c r="D1272" s="15"/>
      <c r="E1272" s="15"/>
      <c r="F1272" s="15"/>
      <c r="G1272" s="15"/>
      <c r="H1272" s="18"/>
      <c r="I1272" s="16"/>
      <c r="J1272" s="15"/>
      <c r="K1272" s="19"/>
      <c r="L1272" s="16"/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5"/>
      <c r="Y1272" s="45"/>
      <c r="Z1272" s="45"/>
      <c r="AA1272" s="45"/>
    </row>
    <row r="1273" spans="1:27" s="17" customFormat="1" x14ac:dyDescent="0.25">
      <c r="A1273" s="16"/>
      <c r="B1273" s="45"/>
      <c r="C1273" s="16"/>
      <c r="D1273" s="15"/>
      <c r="E1273" s="15"/>
      <c r="F1273" s="15"/>
      <c r="G1273" s="15"/>
      <c r="H1273" s="18"/>
      <c r="I1273" s="16"/>
      <c r="J1273" s="15"/>
      <c r="K1273" s="19"/>
      <c r="L1273" s="16"/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5"/>
      <c r="Y1273" s="45"/>
      <c r="Z1273" s="45"/>
      <c r="AA1273" s="45"/>
    </row>
    <row r="1274" spans="1:27" s="17" customFormat="1" x14ac:dyDescent="0.25">
      <c r="A1274" s="16"/>
      <c r="B1274" s="45"/>
      <c r="C1274" s="16"/>
      <c r="D1274" s="15"/>
      <c r="E1274" s="15"/>
      <c r="F1274" s="15"/>
      <c r="G1274" s="15"/>
      <c r="H1274" s="18"/>
      <c r="I1274" s="16"/>
      <c r="J1274" s="15"/>
      <c r="K1274" s="19"/>
      <c r="L1274" s="16"/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5"/>
      <c r="Y1274" s="45"/>
      <c r="Z1274" s="45"/>
      <c r="AA1274" s="45"/>
    </row>
    <row r="1275" spans="1:27" s="17" customFormat="1" x14ac:dyDescent="0.25">
      <c r="A1275" s="16"/>
      <c r="B1275" s="45"/>
      <c r="C1275" s="16"/>
      <c r="D1275" s="15"/>
      <c r="E1275" s="15"/>
      <c r="F1275" s="15"/>
      <c r="G1275" s="15"/>
      <c r="H1275" s="18"/>
      <c r="I1275" s="16"/>
      <c r="J1275" s="15"/>
      <c r="K1275" s="19"/>
      <c r="L1275" s="16"/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5"/>
      <c r="Y1275" s="45"/>
      <c r="Z1275" s="45"/>
      <c r="AA1275" s="45"/>
    </row>
    <row r="1276" spans="1:27" s="17" customFormat="1" x14ac:dyDescent="0.25">
      <c r="A1276" s="16"/>
      <c r="B1276" s="45"/>
      <c r="C1276" s="16"/>
      <c r="D1276" s="15"/>
      <c r="E1276" s="15"/>
      <c r="F1276" s="15"/>
      <c r="G1276" s="15"/>
      <c r="H1276" s="18"/>
      <c r="I1276" s="16"/>
      <c r="J1276" s="15"/>
      <c r="K1276" s="19"/>
      <c r="L1276" s="16"/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5"/>
      <c r="Y1276" s="45"/>
      <c r="Z1276" s="45"/>
      <c r="AA1276" s="45"/>
    </row>
    <row r="1277" spans="1:27" s="17" customFormat="1" x14ac:dyDescent="0.25">
      <c r="A1277" s="16"/>
      <c r="B1277" s="45"/>
      <c r="C1277" s="16"/>
      <c r="D1277" s="15"/>
      <c r="E1277" s="15"/>
      <c r="F1277" s="15"/>
      <c r="G1277" s="15"/>
      <c r="H1277" s="18"/>
      <c r="I1277" s="16"/>
      <c r="J1277" s="15"/>
      <c r="K1277" s="19"/>
      <c r="L1277" s="16"/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5"/>
      <c r="Y1277" s="45"/>
      <c r="Z1277" s="45"/>
      <c r="AA1277" s="45"/>
    </row>
    <row r="1278" spans="1:27" s="17" customFormat="1" x14ac:dyDescent="0.25">
      <c r="A1278" s="16"/>
      <c r="B1278" s="45"/>
      <c r="C1278" s="16"/>
      <c r="D1278" s="15"/>
      <c r="E1278" s="15"/>
      <c r="F1278" s="15"/>
      <c r="G1278" s="15"/>
      <c r="H1278" s="18"/>
      <c r="I1278" s="16"/>
      <c r="J1278" s="15"/>
      <c r="K1278" s="19"/>
      <c r="L1278" s="16"/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5"/>
      <c r="Y1278" s="45"/>
      <c r="Z1278" s="45"/>
      <c r="AA1278" s="45"/>
    </row>
    <row r="1279" spans="1:27" s="17" customFormat="1" x14ac:dyDescent="0.25">
      <c r="A1279" s="16"/>
      <c r="B1279" s="45"/>
      <c r="C1279" s="16"/>
      <c r="D1279" s="15"/>
      <c r="E1279" s="15"/>
      <c r="F1279" s="15"/>
      <c r="G1279" s="15"/>
      <c r="H1279" s="18"/>
      <c r="I1279" s="16"/>
      <c r="J1279" s="15"/>
      <c r="K1279" s="19"/>
      <c r="L1279" s="16"/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5"/>
      <c r="Y1279" s="45"/>
      <c r="Z1279" s="45"/>
      <c r="AA1279" s="45"/>
    </row>
    <row r="1280" spans="1:27" s="17" customFormat="1" x14ac:dyDescent="0.25">
      <c r="A1280" s="16"/>
      <c r="B1280" s="45"/>
      <c r="C1280" s="16"/>
      <c r="D1280" s="15"/>
      <c r="E1280" s="15"/>
      <c r="F1280" s="15"/>
      <c r="G1280" s="15"/>
      <c r="H1280" s="18"/>
      <c r="I1280" s="16"/>
      <c r="J1280" s="15"/>
      <c r="K1280" s="19"/>
      <c r="L1280" s="16"/>
      <c r="N1280" s="45"/>
      <c r="O1280" s="45"/>
      <c r="P1280" s="45"/>
      <c r="Q1280" s="45"/>
      <c r="R1280" s="45"/>
      <c r="S1280" s="45"/>
      <c r="T1280" s="45"/>
      <c r="U1280" s="45"/>
      <c r="V1280" s="45"/>
      <c r="W1280" s="45"/>
      <c r="X1280" s="45"/>
      <c r="Y1280" s="45"/>
      <c r="Z1280" s="45"/>
      <c r="AA1280" s="45"/>
    </row>
    <row r="1281" spans="1:27" s="17" customFormat="1" x14ac:dyDescent="0.25">
      <c r="A1281" s="16"/>
      <c r="B1281" s="45"/>
      <c r="C1281" s="16"/>
      <c r="D1281" s="15"/>
      <c r="E1281" s="15"/>
      <c r="F1281" s="15"/>
      <c r="G1281" s="15"/>
      <c r="H1281" s="18"/>
      <c r="I1281" s="16"/>
      <c r="J1281" s="15"/>
      <c r="K1281" s="19"/>
      <c r="L1281" s="16"/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5"/>
      <c r="Y1281" s="45"/>
      <c r="Z1281" s="45"/>
      <c r="AA1281" s="45"/>
    </row>
    <row r="1282" spans="1:27" s="17" customFormat="1" x14ac:dyDescent="0.25">
      <c r="A1282" s="16"/>
      <c r="B1282" s="45"/>
      <c r="C1282" s="16"/>
      <c r="D1282" s="15"/>
      <c r="E1282" s="15"/>
      <c r="F1282" s="15"/>
      <c r="G1282" s="15"/>
      <c r="H1282" s="18"/>
      <c r="I1282" s="16"/>
      <c r="J1282" s="15"/>
      <c r="K1282" s="19"/>
      <c r="L1282" s="16"/>
      <c r="N1282" s="45"/>
      <c r="O1282" s="45"/>
      <c r="P1282" s="45"/>
      <c r="Q1282" s="45"/>
      <c r="R1282" s="45"/>
      <c r="S1282" s="45"/>
      <c r="T1282" s="45"/>
      <c r="U1282" s="45"/>
      <c r="V1282" s="45"/>
      <c r="W1282" s="45"/>
      <c r="X1282" s="45"/>
      <c r="Y1282" s="45"/>
      <c r="Z1282" s="45"/>
      <c r="AA1282" s="45"/>
    </row>
    <row r="1283" spans="1:27" s="17" customFormat="1" x14ac:dyDescent="0.25">
      <c r="A1283" s="16"/>
      <c r="B1283" s="45"/>
      <c r="C1283" s="16"/>
      <c r="D1283" s="15"/>
      <c r="E1283" s="15"/>
      <c r="F1283" s="15"/>
      <c r="G1283" s="15"/>
      <c r="H1283" s="18"/>
      <c r="I1283" s="16"/>
      <c r="J1283" s="15"/>
      <c r="K1283" s="19"/>
      <c r="L1283" s="16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/>
      <c r="Z1283" s="45"/>
      <c r="AA1283" s="45"/>
    </row>
    <row r="1284" spans="1:27" s="17" customFormat="1" x14ac:dyDescent="0.25">
      <c r="A1284" s="16"/>
      <c r="B1284" s="45"/>
      <c r="C1284" s="16"/>
      <c r="D1284" s="15"/>
      <c r="E1284" s="15"/>
      <c r="F1284" s="15"/>
      <c r="G1284" s="15"/>
      <c r="H1284" s="18"/>
      <c r="I1284" s="16"/>
      <c r="J1284" s="15"/>
      <c r="K1284" s="19"/>
      <c r="L1284" s="16"/>
      <c r="N1284" s="45"/>
      <c r="O1284" s="45"/>
      <c r="P1284" s="45"/>
      <c r="Q1284" s="45"/>
      <c r="R1284" s="45"/>
      <c r="S1284" s="45"/>
      <c r="T1284" s="45"/>
      <c r="U1284" s="45"/>
      <c r="V1284" s="45"/>
      <c r="W1284" s="45"/>
      <c r="X1284" s="45"/>
      <c r="Y1284" s="45"/>
      <c r="Z1284" s="45"/>
      <c r="AA1284" s="45"/>
    </row>
    <row r="1285" spans="1:27" s="17" customFormat="1" x14ac:dyDescent="0.25">
      <c r="A1285" s="16"/>
      <c r="B1285" s="45"/>
      <c r="C1285" s="16"/>
      <c r="D1285" s="15"/>
      <c r="E1285" s="15"/>
      <c r="F1285" s="15"/>
      <c r="G1285" s="15"/>
      <c r="H1285" s="18"/>
      <c r="I1285" s="16"/>
      <c r="J1285" s="15"/>
      <c r="K1285" s="19"/>
      <c r="L1285" s="16"/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5"/>
      <c r="Y1285" s="45"/>
      <c r="Z1285" s="45"/>
      <c r="AA1285" s="45"/>
    </row>
    <row r="1286" spans="1:27" s="17" customFormat="1" x14ac:dyDescent="0.25">
      <c r="A1286" s="16"/>
      <c r="B1286" s="45"/>
      <c r="C1286" s="16"/>
      <c r="D1286" s="15"/>
      <c r="E1286" s="15"/>
      <c r="F1286" s="15"/>
      <c r="G1286" s="15"/>
      <c r="H1286" s="18"/>
      <c r="I1286" s="16"/>
      <c r="J1286" s="15"/>
      <c r="K1286" s="19"/>
      <c r="L1286" s="16"/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5"/>
      <c r="Y1286" s="45"/>
      <c r="Z1286" s="45"/>
      <c r="AA1286" s="45"/>
    </row>
    <row r="1287" spans="1:27" s="17" customFormat="1" x14ac:dyDescent="0.25">
      <c r="A1287" s="16"/>
      <c r="B1287" s="45"/>
      <c r="C1287" s="16"/>
      <c r="D1287" s="15"/>
      <c r="E1287" s="15"/>
      <c r="F1287" s="15"/>
      <c r="G1287" s="15"/>
      <c r="H1287" s="18"/>
      <c r="I1287" s="16"/>
      <c r="J1287" s="15"/>
      <c r="K1287" s="19"/>
      <c r="L1287" s="16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  <c r="Y1287" s="45"/>
      <c r="Z1287" s="45"/>
      <c r="AA1287" s="45"/>
    </row>
    <row r="1288" spans="1:27" s="17" customFormat="1" x14ac:dyDescent="0.25">
      <c r="A1288" s="16"/>
      <c r="B1288" s="45"/>
      <c r="C1288" s="16"/>
      <c r="D1288" s="15"/>
      <c r="E1288" s="15"/>
      <c r="F1288" s="15"/>
      <c r="G1288" s="15"/>
      <c r="H1288" s="18"/>
      <c r="I1288" s="16"/>
      <c r="J1288" s="15"/>
      <c r="K1288" s="19"/>
      <c r="L1288" s="16"/>
      <c r="N1288" s="45"/>
      <c r="O1288" s="45"/>
      <c r="P1288" s="45"/>
      <c r="Q1288" s="45"/>
      <c r="R1288" s="45"/>
      <c r="S1288" s="45"/>
      <c r="T1288" s="45"/>
      <c r="U1288" s="45"/>
      <c r="V1288" s="45"/>
      <c r="W1288" s="45"/>
      <c r="X1288" s="45"/>
      <c r="Y1288" s="45"/>
      <c r="Z1288" s="45"/>
      <c r="AA1288" s="45"/>
    </row>
    <row r="1289" spans="1:27" s="17" customFormat="1" x14ac:dyDescent="0.25">
      <c r="A1289" s="16"/>
      <c r="B1289" s="45"/>
      <c r="C1289" s="16"/>
      <c r="D1289" s="15"/>
      <c r="E1289" s="15"/>
      <c r="F1289" s="15"/>
      <c r="G1289" s="15"/>
      <c r="H1289" s="18"/>
      <c r="I1289" s="16"/>
      <c r="J1289" s="15"/>
      <c r="K1289" s="19"/>
      <c r="L1289" s="16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  <c r="Y1289" s="45"/>
      <c r="Z1289" s="45"/>
      <c r="AA1289" s="45"/>
    </row>
    <row r="1290" spans="1:27" s="17" customFormat="1" x14ac:dyDescent="0.25">
      <c r="A1290" s="16"/>
      <c r="B1290" s="45"/>
      <c r="C1290" s="16"/>
      <c r="D1290" s="15"/>
      <c r="E1290" s="15"/>
      <c r="F1290" s="15"/>
      <c r="G1290" s="15"/>
      <c r="H1290" s="18"/>
      <c r="I1290" s="16"/>
      <c r="J1290" s="15"/>
      <c r="K1290" s="19"/>
      <c r="L1290" s="16"/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5"/>
      <c r="Y1290" s="45"/>
      <c r="Z1290" s="45"/>
      <c r="AA1290" s="45"/>
    </row>
    <row r="1291" spans="1:27" s="17" customFormat="1" x14ac:dyDescent="0.25">
      <c r="A1291" s="16"/>
      <c r="B1291" s="45"/>
      <c r="C1291" s="16"/>
      <c r="D1291" s="15"/>
      <c r="E1291" s="15"/>
      <c r="F1291" s="15"/>
      <c r="G1291" s="15"/>
      <c r="H1291" s="18"/>
      <c r="I1291" s="16"/>
      <c r="J1291" s="15"/>
      <c r="K1291" s="19"/>
      <c r="L1291" s="16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  <c r="AA1291" s="45"/>
    </row>
    <row r="1292" spans="1:27" s="17" customFormat="1" x14ac:dyDescent="0.25">
      <c r="A1292" s="16"/>
      <c r="B1292" s="45"/>
      <c r="C1292" s="16"/>
      <c r="D1292" s="15"/>
      <c r="E1292" s="15"/>
      <c r="F1292" s="15"/>
      <c r="G1292" s="15"/>
      <c r="H1292" s="18"/>
      <c r="I1292" s="16"/>
      <c r="J1292" s="15"/>
      <c r="K1292" s="19"/>
      <c r="L1292" s="16"/>
      <c r="N1292" s="45"/>
      <c r="O1292" s="45"/>
      <c r="P1292" s="45"/>
      <c r="Q1292" s="45"/>
      <c r="R1292" s="45"/>
      <c r="S1292" s="45"/>
      <c r="T1292" s="45"/>
      <c r="U1292" s="45"/>
      <c r="V1292" s="45"/>
      <c r="W1292" s="45"/>
      <c r="X1292" s="45"/>
      <c r="Y1292" s="45"/>
      <c r="Z1292" s="45"/>
      <c r="AA1292" s="45"/>
    </row>
    <row r="1293" spans="1:27" s="17" customFormat="1" x14ac:dyDescent="0.25">
      <c r="A1293" s="16"/>
      <c r="B1293" s="45"/>
      <c r="C1293" s="16"/>
      <c r="D1293" s="15"/>
      <c r="E1293" s="15"/>
      <c r="F1293" s="15"/>
      <c r="G1293" s="15"/>
      <c r="H1293" s="18"/>
      <c r="I1293" s="16"/>
      <c r="J1293" s="15"/>
      <c r="K1293" s="19"/>
      <c r="L1293" s="16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  <c r="AA1293" s="45"/>
    </row>
    <row r="1294" spans="1:27" s="17" customFormat="1" x14ac:dyDescent="0.25">
      <c r="A1294" s="16"/>
      <c r="B1294" s="45"/>
      <c r="C1294" s="16"/>
      <c r="D1294" s="15"/>
      <c r="E1294" s="15"/>
      <c r="F1294" s="15"/>
      <c r="G1294" s="15"/>
      <c r="H1294" s="18"/>
      <c r="I1294" s="16"/>
      <c r="J1294" s="15"/>
      <c r="K1294" s="19"/>
      <c r="L1294" s="16"/>
      <c r="N1294" s="45"/>
      <c r="O1294" s="45"/>
      <c r="P1294" s="45"/>
      <c r="Q1294" s="45"/>
      <c r="R1294" s="45"/>
      <c r="S1294" s="45"/>
      <c r="T1294" s="45"/>
      <c r="U1294" s="45"/>
      <c r="V1294" s="45"/>
      <c r="W1294" s="45"/>
      <c r="X1294" s="45"/>
      <c r="Y1294" s="45"/>
      <c r="Z1294" s="45"/>
      <c r="AA1294" s="45"/>
    </row>
    <row r="1295" spans="1:27" s="17" customFormat="1" x14ac:dyDescent="0.25">
      <c r="A1295" s="16"/>
      <c r="B1295" s="45"/>
      <c r="C1295" s="16"/>
      <c r="D1295" s="15"/>
      <c r="E1295" s="15"/>
      <c r="F1295" s="15"/>
      <c r="G1295" s="15"/>
      <c r="H1295" s="18"/>
      <c r="I1295" s="16"/>
      <c r="J1295" s="15"/>
      <c r="K1295" s="19"/>
      <c r="L1295" s="16"/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  <c r="Y1295" s="45"/>
      <c r="Z1295" s="45"/>
      <c r="AA1295" s="45"/>
    </row>
    <row r="1296" spans="1:27" s="17" customFormat="1" x14ac:dyDescent="0.25">
      <c r="A1296" s="16"/>
      <c r="B1296" s="45"/>
      <c r="C1296" s="16"/>
      <c r="D1296" s="15"/>
      <c r="E1296" s="15"/>
      <c r="F1296" s="15"/>
      <c r="G1296" s="15"/>
      <c r="H1296" s="18"/>
      <c r="I1296" s="16"/>
      <c r="J1296" s="15"/>
      <c r="K1296" s="19"/>
      <c r="L1296" s="16"/>
      <c r="N1296" s="45"/>
      <c r="O1296" s="45"/>
      <c r="P1296" s="45"/>
      <c r="Q1296" s="45"/>
      <c r="R1296" s="45"/>
      <c r="S1296" s="45"/>
      <c r="T1296" s="45"/>
      <c r="U1296" s="45"/>
      <c r="V1296" s="45"/>
      <c r="W1296" s="45"/>
      <c r="X1296" s="45"/>
      <c r="Y1296" s="45"/>
      <c r="Z1296" s="45"/>
      <c r="AA1296" s="45"/>
    </row>
    <row r="1297" spans="1:27" s="17" customFormat="1" x14ac:dyDescent="0.25">
      <c r="A1297" s="16"/>
      <c r="B1297" s="45"/>
      <c r="C1297" s="16"/>
      <c r="D1297" s="15"/>
      <c r="E1297" s="15"/>
      <c r="F1297" s="15"/>
      <c r="G1297" s="15"/>
      <c r="H1297" s="18"/>
      <c r="I1297" s="16"/>
      <c r="J1297" s="15"/>
      <c r="K1297" s="19"/>
      <c r="L1297" s="16"/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</row>
    <row r="1298" spans="1:27" s="17" customFormat="1" x14ac:dyDescent="0.25">
      <c r="A1298" s="16"/>
      <c r="B1298" s="45"/>
      <c r="C1298" s="16"/>
      <c r="D1298" s="15"/>
      <c r="E1298" s="15"/>
      <c r="F1298" s="15"/>
      <c r="G1298" s="15"/>
      <c r="H1298" s="18"/>
      <c r="I1298" s="16"/>
      <c r="J1298" s="15"/>
      <c r="K1298" s="19"/>
      <c r="L1298" s="16"/>
      <c r="N1298" s="45"/>
      <c r="O1298" s="45"/>
      <c r="P1298" s="45"/>
      <c r="Q1298" s="45"/>
      <c r="R1298" s="45"/>
      <c r="S1298" s="45"/>
      <c r="T1298" s="45"/>
      <c r="U1298" s="45"/>
      <c r="V1298" s="45"/>
      <c r="W1298" s="45"/>
      <c r="X1298" s="45"/>
      <c r="Y1298" s="45"/>
      <c r="Z1298" s="45"/>
      <c r="AA1298" s="45"/>
    </row>
    <row r="1299" spans="1:27" s="17" customFormat="1" x14ac:dyDescent="0.25">
      <c r="A1299" s="16"/>
      <c r="B1299" s="45"/>
      <c r="C1299" s="16"/>
      <c r="D1299" s="15"/>
      <c r="E1299" s="15"/>
      <c r="F1299" s="15"/>
      <c r="G1299" s="15"/>
      <c r="H1299" s="18"/>
      <c r="I1299" s="16"/>
      <c r="J1299" s="15"/>
      <c r="K1299" s="19"/>
      <c r="L1299" s="16"/>
      <c r="N1299" s="45"/>
      <c r="O1299" s="45"/>
      <c r="P1299" s="45"/>
      <c r="Q1299" s="45"/>
      <c r="R1299" s="45"/>
      <c r="S1299" s="45"/>
      <c r="T1299" s="45"/>
      <c r="U1299" s="45"/>
      <c r="V1299" s="45"/>
      <c r="W1299" s="45"/>
      <c r="X1299" s="45"/>
      <c r="Y1299" s="45"/>
      <c r="Z1299" s="45"/>
      <c r="AA1299" s="45"/>
    </row>
    <row r="1300" spans="1:27" s="17" customFormat="1" x14ac:dyDescent="0.25">
      <c r="A1300" s="16"/>
      <c r="B1300" s="45"/>
      <c r="C1300" s="16"/>
      <c r="D1300" s="15"/>
      <c r="E1300" s="15"/>
      <c r="F1300" s="15"/>
      <c r="G1300" s="15"/>
      <c r="H1300" s="18"/>
      <c r="I1300" s="16"/>
      <c r="J1300" s="15"/>
      <c r="K1300" s="19"/>
      <c r="L1300" s="16"/>
      <c r="N1300" s="45"/>
      <c r="O1300" s="45"/>
      <c r="P1300" s="45"/>
      <c r="Q1300" s="45"/>
      <c r="R1300" s="45"/>
      <c r="S1300" s="45"/>
      <c r="T1300" s="45"/>
      <c r="U1300" s="45"/>
      <c r="V1300" s="45"/>
      <c r="W1300" s="45"/>
      <c r="X1300" s="45"/>
      <c r="Y1300" s="45"/>
      <c r="Z1300" s="45"/>
      <c r="AA1300" s="45"/>
    </row>
    <row r="1301" spans="1:27" s="17" customFormat="1" x14ac:dyDescent="0.25">
      <c r="A1301" s="16"/>
      <c r="B1301" s="45"/>
      <c r="C1301" s="16"/>
      <c r="D1301" s="15"/>
      <c r="E1301" s="15"/>
      <c r="F1301" s="15"/>
      <c r="G1301" s="15"/>
      <c r="H1301" s="18"/>
      <c r="I1301" s="16"/>
      <c r="J1301" s="15"/>
      <c r="K1301" s="19"/>
      <c r="L1301" s="16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  <c r="Y1301" s="45"/>
      <c r="Z1301" s="45"/>
      <c r="AA1301" s="45"/>
    </row>
    <row r="1302" spans="1:27" s="17" customFormat="1" x14ac:dyDescent="0.25">
      <c r="A1302" s="16"/>
      <c r="B1302" s="45"/>
      <c r="C1302" s="16"/>
      <c r="D1302" s="15"/>
      <c r="E1302" s="15"/>
      <c r="F1302" s="15"/>
      <c r="G1302" s="15"/>
      <c r="H1302" s="18"/>
      <c r="I1302" s="16"/>
      <c r="J1302" s="15"/>
      <c r="K1302" s="19"/>
      <c r="L1302" s="16"/>
      <c r="N1302" s="45"/>
      <c r="O1302" s="45"/>
      <c r="P1302" s="45"/>
      <c r="Q1302" s="45"/>
      <c r="R1302" s="45"/>
      <c r="S1302" s="45"/>
      <c r="T1302" s="45"/>
      <c r="U1302" s="45"/>
      <c r="V1302" s="45"/>
      <c r="W1302" s="45"/>
      <c r="X1302" s="45"/>
      <c r="Y1302" s="45"/>
      <c r="Z1302" s="45"/>
      <c r="AA1302" s="45"/>
    </row>
    <row r="1303" spans="1:27" s="17" customFormat="1" x14ac:dyDescent="0.25">
      <c r="A1303" s="16"/>
      <c r="B1303" s="45"/>
      <c r="C1303" s="16"/>
      <c r="D1303" s="15"/>
      <c r="E1303" s="15"/>
      <c r="F1303" s="15"/>
      <c r="G1303" s="15"/>
      <c r="H1303" s="18"/>
      <c r="I1303" s="16"/>
      <c r="J1303" s="15"/>
      <c r="K1303" s="19"/>
      <c r="L1303" s="16"/>
      <c r="N1303" s="45"/>
      <c r="O1303" s="45"/>
      <c r="P1303" s="45"/>
      <c r="Q1303" s="45"/>
      <c r="R1303" s="45"/>
      <c r="S1303" s="45"/>
      <c r="T1303" s="45"/>
      <c r="U1303" s="45"/>
      <c r="V1303" s="45"/>
      <c r="W1303" s="45"/>
      <c r="X1303" s="45"/>
      <c r="Y1303" s="45"/>
      <c r="Z1303" s="45"/>
      <c r="AA1303" s="45"/>
    </row>
    <row r="1304" spans="1:27" s="17" customFormat="1" x14ac:dyDescent="0.25">
      <c r="A1304" s="16"/>
      <c r="B1304" s="45"/>
      <c r="C1304" s="16"/>
      <c r="D1304" s="15"/>
      <c r="E1304" s="15"/>
      <c r="F1304" s="15"/>
      <c r="G1304" s="15"/>
      <c r="H1304" s="18"/>
      <c r="I1304" s="16"/>
      <c r="J1304" s="15"/>
      <c r="K1304" s="19"/>
      <c r="L1304" s="16"/>
      <c r="N1304" s="45"/>
      <c r="O1304" s="45"/>
      <c r="P1304" s="45"/>
      <c r="Q1304" s="45"/>
      <c r="R1304" s="45"/>
      <c r="S1304" s="45"/>
      <c r="T1304" s="45"/>
      <c r="U1304" s="45"/>
      <c r="V1304" s="45"/>
      <c r="W1304" s="45"/>
      <c r="X1304" s="45"/>
      <c r="Y1304" s="45"/>
      <c r="Z1304" s="45"/>
      <c r="AA1304" s="45"/>
    </row>
    <row r="1305" spans="1:27" s="17" customFormat="1" x14ac:dyDescent="0.25">
      <c r="A1305" s="16"/>
      <c r="B1305" s="45"/>
      <c r="C1305" s="16"/>
      <c r="D1305" s="15"/>
      <c r="E1305" s="15"/>
      <c r="F1305" s="15"/>
      <c r="G1305" s="15"/>
      <c r="H1305" s="18"/>
      <c r="I1305" s="16"/>
      <c r="J1305" s="15"/>
      <c r="K1305" s="19"/>
      <c r="L1305" s="16"/>
      <c r="N1305" s="45"/>
      <c r="O1305" s="45"/>
      <c r="P1305" s="45"/>
      <c r="Q1305" s="45"/>
      <c r="R1305" s="45"/>
      <c r="S1305" s="45"/>
      <c r="T1305" s="45"/>
      <c r="U1305" s="45"/>
      <c r="V1305" s="45"/>
      <c r="W1305" s="45"/>
      <c r="X1305" s="45"/>
      <c r="Y1305" s="45"/>
      <c r="Z1305" s="45"/>
      <c r="AA1305" s="45"/>
    </row>
    <row r="1306" spans="1:27" s="17" customFormat="1" x14ac:dyDescent="0.25">
      <c r="A1306" s="16"/>
      <c r="B1306" s="45"/>
      <c r="C1306" s="16"/>
      <c r="D1306" s="15"/>
      <c r="E1306" s="15"/>
      <c r="F1306" s="15"/>
      <c r="G1306" s="15"/>
      <c r="H1306" s="18"/>
      <c r="I1306" s="16"/>
      <c r="J1306" s="15"/>
      <c r="K1306" s="19"/>
      <c r="L1306" s="16"/>
      <c r="N1306" s="45"/>
      <c r="O1306" s="45"/>
      <c r="P1306" s="45"/>
      <c r="Q1306" s="45"/>
      <c r="R1306" s="45"/>
      <c r="S1306" s="45"/>
      <c r="T1306" s="45"/>
      <c r="U1306" s="45"/>
      <c r="V1306" s="45"/>
      <c r="W1306" s="45"/>
      <c r="X1306" s="45"/>
      <c r="Y1306" s="45"/>
      <c r="Z1306" s="45"/>
      <c r="AA1306" s="45"/>
    </row>
    <row r="1307" spans="1:27" s="17" customFormat="1" x14ac:dyDescent="0.25">
      <c r="A1307" s="16"/>
      <c r="B1307" s="45"/>
      <c r="C1307" s="16"/>
      <c r="D1307" s="15"/>
      <c r="E1307" s="15"/>
      <c r="F1307" s="15"/>
      <c r="G1307" s="15"/>
      <c r="H1307" s="18"/>
      <c r="I1307" s="16"/>
      <c r="J1307" s="15"/>
      <c r="K1307" s="19"/>
      <c r="L1307" s="16"/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5"/>
      <c r="Y1307" s="45"/>
      <c r="Z1307" s="45"/>
      <c r="AA1307" s="45"/>
    </row>
    <row r="1308" spans="1:27" s="17" customFormat="1" x14ac:dyDescent="0.25">
      <c r="A1308" s="16"/>
      <c r="B1308" s="45"/>
      <c r="C1308" s="16"/>
      <c r="D1308" s="15"/>
      <c r="E1308" s="15"/>
      <c r="F1308" s="15"/>
      <c r="G1308" s="15"/>
      <c r="H1308" s="18"/>
      <c r="I1308" s="16"/>
      <c r="J1308" s="15"/>
      <c r="K1308" s="19"/>
      <c r="L1308" s="16"/>
      <c r="N1308" s="45"/>
      <c r="O1308" s="45"/>
      <c r="P1308" s="45"/>
      <c r="Q1308" s="45"/>
      <c r="R1308" s="45"/>
      <c r="S1308" s="45"/>
      <c r="T1308" s="45"/>
      <c r="U1308" s="45"/>
      <c r="V1308" s="45"/>
      <c r="W1308" s="45"/>
      <c r="X1308" s="45"/>
      <c r="Y1308" s="45"/>
      <c r="Z1308" s="45"/>
      <c r="AA1308" s="45"/>
    </row>
    <row r="1309" spans="1:27" s="17" customFormat="1" x14ac:dyDescent="0.25">
      <c r="A1309" s="16"/>
      <c r="B1309" s="45"/>
      <c r="C1309" s="16"/>
      <c r="D1309" s="15"/>
      <c r="E1309" s="15"/>
      <c r="F1309" s="15"/>
      <c r="G1309" s="15"/>
      <c r="H1309" s="18"/>
      <c r="I1309" s="16"/>
      <c r="J1309" s="15"/>
      <c r="K1309" s="19"/>
      <c r="L1309" s="16"/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5"/>
      <c r="Y1309" s="45"/>
      <c r="Z1309" s="45"/>
      <c r="AA1309" s="45"/>
    </row>
    <row r="1310" spans="1:27" s="17" customFormat="1" x14ac:dyDescent="0.25">
      <c r="A1310" s="16"/>
      <c r="B1310" s="45"/>
      <c r="C1310" s="16"/>
      <c r="D1310" s="15"/>
      <c r="E1310" s="15"/>
      <c r="F1310" s="15"/>
      <c r="G1310" s="15"/>
      <c r="H1310" s="18"/>
      <c r="I1310" s="16"/>
      <c r="J1310" s="15"/>
      <c r="K1310" s="19"/>
      <c r="L1310" s="16"/>
      <c r="N1310" s="45"/>
      <c r="O1310" s="45"/>
      <c r="P1310" s="45"/>
      <c r="Q1310" s="45"/>
      <c r="R1310" s="45"/>
      <c r="S1310" s="45"/>
      <c r="T1310" s="45"/>
      <c r="U1310" s="45"/>
      <c r="V1310" s="45"/>
      <c r="W1310" s="45"/>
      <c r="X1310" s="45"/>
      <c r="Y1310" s="45"/>
      <c r="Z1310" s="45"/>
      <c r="AA1310" s="45"/>
    </row>
    <row r="1311" spans="1:27" s="17" customFormat="1" x14ac:dyDescent="0.25">
      <c r="A1311" s="16"/>
      <c r="B1311" s="45"/>
      <c r="C1311" s="16"/>
      <c r="D1311" s="15"/>
      <c r="E1311" s="15"/>
      <c r="F1311" s="15"/>
      <c r="G1311" s="15"/>
      <c r="H1311" s="18"/>
      <c r="I1311" s="16"/>
      <c r="J1311" s="15"/>
      <c r="K1311" s="19"/>
      <c r="L1311" s="16"/>
      <c r="N1311" s="45"/>
      <c r="O1311" s="45"/>
      <c r="P1311" s="45"/>
      <c r="Q1311" s="45"/>
      <c r="R1311" s="45"/>
      <c r="S1311" s="45"/>
      <c r="T1311" s="45"/>
      <c r="U1311" s="45"/>
      <c r="V1311" s="45"/>
      <c r="W1311" s="45"/>
      <c r="X1311" s="45"/>
      <c r="Y1311" s="45"/>
      <c r="Z1311" s="45"/>
      <c r="AA1311" s="45"/>
    </row>
    <row r="1312" spans="1:27" s="17" customFormat="1" x14ac:dyDescent="0.25">
      <c r="A1312" s="16"/>
      <c r="B1312" s="45"/>
      <c r="C1312" s="16"/>
      <c r="D1312" s="15"/>
      <c r="E1312" s="15"/>
      <c r="F1312" s="15"/>
      <c r="G1312" s="15"/>
      <c r="H1312" s="18"/>
      <c r="I1312" s="16"/>
      <c r="J1312" s="15"/>
      <c r="K1312" s="19"/>
      <c r="L1312" s="16"/>
      <c r="N1312" s="45"/>
      <c r="O1312" s="45"/>
      <c r="P1312" s="45"/>
      <c r="Q1312" s="45"/>
      <c r="R1312" s="45"/>
      <c r="S1312" s="45"/>
      <c r="T1312" s="45"/>
      <c r="U1312" s="45"/>
      <c r="V1312" s="45"/>
      <c r="W1312" s="45"/>
      <c r="X1312" s="45"/>
      <c r="Y1312" s="45"/>
      <c r="Z1312" s="45"/>
      <c r="AA1312" s="45"/>
    </row>
    <row r="1313" spans="1:27" s="17" customFormat="1" x14ac:dyDescent="0.25">
      <c r="A1313" s="16"/>
      <c r="B1313" s="45"/>
      <c r="C1313" s="16"/>
      <c r="D1313" s="15"/>
      <c r="E1313" s="15"/>
      <c r="F1313" s="15"/>
      <c r="G1313" s="15"/>
      <c r="H1313" s="18"/>
      <c r="I1313" s="16"/>
      <c r="J1313" s="15"/>
      <c r="K1313" s="19"/>
      <c r="L1313" s="16"/>
      <c r="N1313" s="45"/>
      <c r="O1313" s="45"/>
      <c r="P1313" s="45"/>
      <c r="Q1313" s="45"/>
      <c r="R1313" s="45"/>
      <c r="S1313" s="45"/>
      <c r="T1313" s="45"/>
      <c r="U1313" s="45"/>
      <c r="V1313" s="45"/>
      <c r="W1313" s="45"/>
      <c r="X1313" s="45"/>
      <c r="Y1313" s="45"/>
      <c r="Z1313" s="45"/>
      <c r="AA1313" s="45"/>
    </row>
    <row r="1314" spans="1:27" s="17" customFormat="1" x14ac:dyDescent="0.25">
      <c r="A1314" s="16"/>
      <c r="B1314" s="45"/>
      <c r="C1314" s="16"/>
      <c r="D1314" s="15"/>
      <c r="E1314" s="15"/>
      <c r="F1314" s="15"/>
      <c r="G1314" s="15"/>
      <c r="H1314" s="18"/>
      <c r="I1314" s="16"/>
      <c r="J1314" s="15"/>
      <c r="K1314" s="19"/>
      <c r="L1314" s="16"/>
      <c r="N1314" s="45"/>
      <c r="O1314" s="45"/>
      <c r="P1314" s="45"/>
      <c r="Q1314" s="45"/>
      <c r="R1314" s="45"/>
      <c r="S1314" s="45"/>
      <c r="T1314" s="45"/>
      <c r="U1314" s="45"/>
      <c r="V1314" s="45"/>
      <c r="W1314" s="45"/>
      <c r="X1314" s="45"/>
      <c r="Y1314" s="45"/>
      <c r="Z1314" s="45"/>
      <c r="AA1314" s="45"/>
    </row>
    <row r="1315" spans="1:27" s="17" customFormat="1" x14ac:dyDescent="0.25">
      <c r="A1315" s="16"/>
      <c r="B1315" s="45"/>
      <c r="C1315" s="16"/>
      <c r="D1315" s="15"/>
      <c r="E1315" s="15"/>
      <c r="F1315" s="15"/>
      <c r="G1315" s="15"/>
      <c r="H1315" s="18"/>
      <c r="I1315" s="16"/>
      <c r="J1315" s="15"/>
      <c r="K1315" s="19"/>
      <c r="L1315" s="16"/>
      <c r="N1315" s="45"/>
      <c r="O1315" s="45"/>
      <c r="P1315" s="45"/>
      <c r="Q1315" s="45"/>
      <c r="R1315" s="45"/>
      <c r="S1315" s="45"/>
      <c r="T1315" s="45"/>
      <c r="U1315" s="45"/>
      <c r="V1315" s="45"/>
      <c r="W1315" s="45"/>
      <c r="X1315" s="45"/>
      <c r="Y1315" s="45"/>
      <c r="Z1315" s="45"/>
      <c r="AA1315" s="45"/>
    </row>
    <row r="1316" spans="1:27" s="17" customFormat="1" x14ac:dyDescent="0.25">
      <c r="A1316" s="16"/>
      <c r="B1316" s="45"/>
      <c r="C1316" s="16"/>
      <c r="D1316" s="15"/>
      <c r="E1316" s="15"/>
      <c r="F1316" s="15"/>
      <c r="G1316" s="15"/>
      <c r="H1316" s="18"/>
      <c r="I1316" s="16"/>
      <c r="J1316" s="15"/>
      <c r="K1316" s="19"/>
      <c r="L1316" s="16"/>
      <c r="N1316" s="45"/>
      <c r="O1316" s="45"/>
      <c r="P1316" s="45"/>
      <c r="Q1316" s="45"/>
      <c r="R1316" s="45"/>
      <c r="S1316" s="45"/>
      <c r="T1316" s="45"/>
      <c r="U1316" s="45"/>
      <c r="V1316" s="45"/>
      <c r="W1316" s="45"/>
      <c r="X1316" s="45"/>
      <c r="Y1316" s="45"/>
      <c r="Z1316" s="45"/>
      <c r="AA1316" s="45"/>
    </row>
    <row r="1317" spans="1:27" s="17" customFormat="1" x14ac:dyDescent="0.25">
      <c r="A1317" s="16"/>
      <c r="B1317" s="45"/>
      <c r="C1317" s="16"/>
      <c r="D1317" s="15"/>
      <c r="E1317" s="15"/>
      <c r="F1317" s="15"/>
      <c r="G1317" s="15"/>
      <c r="H1317" s="18"/>
      <c r="I1317" s="16"/>
      <c r="J1317" s="15"/>
      <c r="K1317" s="19"/>
      <c r="L1317" s="16"/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5"/>
      <c r="Y1317" s="45"/>
      <c r="Z1317" s="45"/>
      <c r="AA1317" s="45"/>
    </row>
    <row r="1318" spans="1:27" s="17" customFormat="1" x14ac:dyDescent="0.25">
      <c r="A1318" s="16"/>
      <c r="B1318" s="45"/>
      <c r="C1318" s="16"/>
      <c r="D1318" s="15"/>
      <c r="E1318" s="15"/>
      <c r="F1318" s="15"/>
      <c r="G1318" s="15"/>
      <c r="H1318" s="18"/>
      <c r="I1318" s="16"/>
      <c r="J1318" s="15"/>
      <c r="K1318" s="19"/>
      <c r="L1318" s="16"/>
      <c r="N1318" s="45"/>
      <c r="O1318" s="45"/>
      <c r="P1318" s="45"/>
      <c r="Q1318" s="45"/>
      <c r="R1318" s="45"/>
      <c r="S1318" s="45"/>
      <c r="T1318" s="45"/>
      <c r="U1318" s="45"/>
      <c r="V1318" s="45"/>
      <c r="W1318" s="45"/>
      <c r="X1318" s="45"/>
      <c r="Y1318" s="45"/>
      <c r="Z1318" s="45"/>
      <c r="AA1318" s="45"/>
    </row>
    <row r="1319" spans="1:27" s="17" customFormat="1" x14ac:dyDescent="0.25">
      <c r="A1319" s="16"/>
      <c r="B1319" s="45"/>
      <c r="C1319" s="16"/>
      <c r="D1319" s="15"/>
      <c r="E1319" s="15"/>
      <c r="F1319" s="15"/>
      <c r="G1319" s="15"/>
      <c r="H1319" s="18"/>
      <c r="I1319" s="16"/>
      <c r="J1319" s="15"/>
      <c r="K1319" s="19"/>
      <c r="L1319" s="16"/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5"/>
      <c r="Y1319" s="45"/>
      <c r="Z1319" s="45"/>
      <c r="AA1319" s="45"/>
    </row>
    <row r="1320" spans="1:27" s="17" customFormat="1" x14ac:dyDescent="0.25">
      <c r="A1320" s="16"/>
      <c r="B1320" s="45"/>
      <c r="C1320" s="16"/>
      <c r="D1320" s="15"/>
      <c r="E1320" s="15"/>
      <c r="F1320" s="15"/>
      <c r="G1320" s="15"/>
      <c r="H1320" s="18"/>
      <c r="I1320" s="16"/>
      <c r="J1320" s="15"/>
      <c r="K1320" s="19"/>
      <c r="L1320" s="16"/>
      <c r="N1320" s="45"/>
      <c r="O1320" s="45"/>
      <c r="P1320" s="45"/>
      <c r="Q1320" s="45"/>
      <c r="R1320" s="45"/>
      <c r="S1320" s="45"/>
      <c r="T1320" s="45"/>
      <c r="U1320" s="45"/>
      <c r="V1320" s="45"/>
      <c r="W1320" s="45"/>
      <c r="X1320" s="45"/>
      <c r="Y1320" s="45"/>
      <c r="Z1320" s="45"/>
      <c r="AA1320" s="45"/>
    </row>
    <row r="1321" spans="1:27" s="17" customFormat="1" x14ac:dyDescent="0.25">
      <c r="A1321" s="16"/>
      <c r="B1321" s="45"/>
      <c r="C1321" s="16"/>
      <c r="D1321" s="15"/>
      <c r="E1321" s="15"/>
      <c r="F1321" s="15"/>
      <c r="G1321" s="15"/>
      <c r="H1321" s="18"/>
      <c r="I1321" s="16"/>
      <c r="J1321" s="15"/>
      <c r="K1321" s="19"/>
      <c r="L1321" s="16"/>
      <c r="N1321" s="45"/>
      <c r="O1321" s="45"/>
      <c r="P1321" s="45"/>
      <c r="Q1321" s="45"/>
      <c r="R1321" s="45"/>
      <c r="S1321" s="45"/>
      <c r="T1321" s="45"/>
      <c r="U1321" s="45"/>
      <c r="V1321" s="45"/>
      <c r="W1321" s="45"/>
      <c r="X1321" s="45"/>
      <c r="Y1321" s="45"/>
      <c r="Z1321" s="45"/>
      <c r="AA1321" s="45"/>
    </row>
    <row r="1322" spans="1:27" s="17" customFormat="1" x14ac:dyDescent="0.25">
      <c r="A1322" s="16"/>
      <c r="B1322" s="45"/>
      <c r="C1322" s="16"/>
      <c r="D1322" s="15"/>
      <c r="E1322" s="15"/>
      <c r="F1322" s="15"/>
      <c r="G1322" s="15"/>
      <c r="H1322" s="18"/>
      <c r="I1322" s="16"/>
      <c r="J1322" s="15"/>
      <c r="K1322" s="19"/>
      <c r="L1322" s="16"/>
      <c r="N1322" s="45"/>
      <c r="O1322" s="45"/>
      <c r="P1322" s="45"/>
      <c r="Q1322" s="45"/>
      <c r="R1322" s="45"/>
      <c r="S1322" s="45"/>
      <c r="T1322" s="45"/>
      <c r="U1322" s="45"/>
      <c r="V1322" s="45"/>
      <c r="W1322" s="45"/>
      <c r="X1322" s="45"/>
      <c r="Y1322" s="45"/>
      <c r="Z1322" s="45"/>
      <c r="AA1322" s="45"/>
    </row>
    <row r="1323" spans="1:27" s="17" customFormat="1" x14ac:dyDescent="0.25">
      <c r="A1323" s="16"/>
      <c r="B1323" s="45"/>
      <c r="C1323" s="16"/>
      <c r="D1323" s="15"/>
      <c r="E1323" s="15"/>
      <c r="F1323" s="15"/>
      <c r="G1323" s="15"/>
      <c r="H1323" s="18"/>
      <c r="I1323" s="16"/>
      <c r="J1323" s="15"/>
      <c r="K1323" s="19"/>
      <c r="L1323" s="16"/>
      <c r="N1323" s="45"/>
      <c r="O1323" s="45"/>
      <c r="P1323" s="45"/>
      <c r="Q1323" s="45"/>
      <c r="R1323" s="45"/>
      <c r="S1323" s="45"/>
      <c r="T1323" s="45"/>
      <c r="U1323" s="45"/>
      <c r="V1323" s="45"/>
      <c r="W1323" s="45"/>
      <c r="X1323" s="45"/>
      <c r="Y1323" s="45"/>
      <c r="Z1323" s="45"/>
      <c r="AA1323" s="45"/>
    </row>
    <row r="1324" spans="1:27" s="17" customFormat="1" x14ac:dyDescent="0.25">
      <c r="A1324" s="16"/>
      <c r="B1324" s="45"/>
      <c r="C1324" s="16"/>
      <c r="D1324" s="15"/>
      <c r="E1324" s="15"/>
      <c r="F1324" s="15"/>
      <c r="G1324" s="15"/>
      <c r="H1324" s="18"/>
      <c r="I1324" s="16"/>
      <c r="J1324" s="15"/>
      <c r="K1324" s="19"/>
      <c r="L1324" s="16"/>
      <c r="N1324" s="45"/>
      <c r="O1324" s="45"/>
      <c r="P1324" s="45"/>
      <c r="Q1324" s="45"/>
      <c r="R1324" s="45"/>
      <c r="S1324" s="45"/>
      <c r="T1324" s="45"/>
      <c r="U1324" s="45"/>
      <c r="V1324" s="45"/>
      <c r="W1324" s="45"/>
      <c r="X1324" s="45"/>
      <c r="Y1324" s="45"/>
      <c r="Z1324" s="45"/>
      <c r="AA1324" s="45"/>
    </row>
    <row r="1325" spans="1:27" s="17" customFormat="1" x14ac:dyDescent="0.25">
      <c r="A1325" s="16"/>
      <c r="B1325" s="45"/>
      <c r="C1325" s="16"/>
      <c r="D1325" s="15"/>
      <c r="E1325" s="15"/>
      <c r="F1325" s="15"/>
      <c r="G1325" s="15"/>
      <c r="H1325" s="18"/>
      <c r="I1325" s="16"/>
      <c r="J1325" s="15"/>
      <c r="K1325" s="19"/>
      <c r="L1325" s="16"/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5"/>
      <c r="Y1325" s="45"/>
      <c r="Z1325" s="45"/>
      <c r="AA1325" s="45"/>
    </row>
    <row r="1326" spans="1:27" s="17" customFormat="1" x14ac:dyDescent="0.25">
      <c r="A1326" s="16"/>
      <c r="B1326" s="45"/>
      <c r="C1326" s="16"/>
      <c r="D1326" s="15"/>
      <c r="E1326" s="15"/>
      <c r="F1326" s="15"/>
      <c r="G1326" s="15"/>
      <c r="H1326" s="18"/>
      <c r="I1326" s="16"/>
      <c r="J1326" s="15"/>
      <c r="K1326" s="19"/>
      <c r="L1326" s="16"/>
      <c r="N1326" s="45"/>
      <c r="O1326" s="45"/>
      <c r="P1326" s="45"/>
      <c r="Q1326" s="45"/>
      <c r="R1326" s="45"/>
      <c r="S1326" s="45"/>
      <c r="T1326" s="45"/>
      <c r="U1326" s="45"/>
      <c r="V1326" s="45"/>
      <c r="W1326" s="45"/>
      <c r="X1326" s="45"/>
      <c r="Y1326" s="45"/>
      <c r="Z1326" s="45"/>
      <c r="AA1326" s="45"/>
    </row>
    <row r="1327" spans="1:27" s="17" customFormat="1" x14ac:dyDescent="0.25">
      <c r="A1327" s="16"/>
      <c r="B1327" s="45"/>
      <c r="C1327" s="16"/>
      <c r="D1327" s="15"/>
      <c r="E1327" s="15"/>
      <c r="F1327" s="15"/>
      <c r="G1327" s="15"/>
      <c r="H1327" s="18"/>
      <c r="I1327" s="16"/>
      <c r="J1327" s="15"/>
      <c r="K1327" s="19"/>
      <c r="L1327" s="16"/>
      <c r="N1327" s="45"/>
      <c r="O1327" s="45"/>
      <c r="P1327" s="45"/>
      <c r="Q1327" s="45"/>
      <c r="R1327" s="45"/>
      <c r="S1327" s="45"/>
      <c r="T1327" s="45"/>
      <c r="U1327" s="45"/>
      <c r="V1327" s="45"/>
      <c r="W1327" s="45"/>
      <c r="X1327" s="45"/>
      <c r="Y1327" s="45"/>
      <c r="Z1327" s="45"/>
      <c r="AA1327" s="45"/>
    </row>
    <row r="1328" spans="1:27" s="17" customFormat="1" x14ac:dyDescent="0.25">
      <c r="A1328" s="16"/>
      <c r="B1328" s="45"/>
      <c r="C1328" s="16"/>
      <c r="D1328" s="15"/>
      <c r="E1328" s="15"/>
      <c r="F1328" s="15"/>
      <c r="G1328" s="15"/>
      <c r="H1328" s="18"/>
      <c r="I1328" s="16"/>
      <c r="J1328" s="15"/>
      <c r="K1328" s="19"/>
      <c r="L1328" s="16"/>
      <c r="N1328" s="45"/>
      <c r="O1328" s="45"/>
      <c r="P1328" s="45"/>
      <c r="Q1328" s="45"/>
      <c r="R1328" s="45"/>
      <c r="S1328" s="45"/>
      <c r="T1328" s="45"/>
      <c r="U1328" s="45"/>
      <c r="V1328" s="45"/>
      <c r="W1328" s="45"/>
      <c r="X1328" s="45"/>
      <c r="Y1328" s="45"/>
      <c r="Z1328" s="45"/>
      <c r="AA1328" s="45"/>
    </row>
    <row r="1329" spans="1:27" s="17" customFormat="1" x14ac:dyDescent="0.25">
      <c r="A1329" s="16"/>
      <c r="B1329" s="45"/>
      <c r="C1329" s="16"/>
      <c r="D1329" s="15"/>
      <c r="E1329" s="15"/>
      <c r="F1329" s="15"/>
      <c r="G1329" s="15"/>
      <c r="H1329" s="18"/>
      <c r="I1329" s="16"/>
      <c r="J1329" s="15"/>
      <c r="K1329" s="19"/>
      <c r="L1329" s="16"/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5"/>
      <c r="Y1329" s="45"/>
      <c r="Z1329" s="45"/>
      <c r="AA1329" s="45"/>
    </row>
    <row r="1330" spans="1:27" s="17" customFormat="1" x14ac:dyDescent="0.25">
      <c r="A1330" s="16"/>
      <c r="B1330" s="45"/>
      <c r="C1330" s="16"/>
      <c r="D1330" s="15"/>
      <c r="E1330" s="15"/>
      <c r="F1330" s="15"/>
      <c r="G1330" s="15"/>
      <c r="H1330" s="18"/>
      <c r="I1330" s="16"/>
      <c r="J1330" s="15"/>
      <c r="K1330" s="19"/>
      <c r="L1330" s="16"/>
      <c r="N1330" s="45"/>
      <c r="O1330" s="45"/>
      <c r="P1330" s="45"/>
      <c r="Q1330" s="45"/>
      <c r="R1330" s="45"/>
      <c r="S1330" s="45"/>
      <c r="T1330" s="45"/>
      <c r="U1330" s="45"/>
      <c r="V1330" s="45"/>
      <c r="W1330" s="45"/>
      <c r="X1330" s="45"/>
      <c r="Y1330" s="45"/>
      <c r="Z1330" s="45"/>
      <c r="AA1330" s="45"/>
    </row>
    <row r="1331" spans="1:27" s="17" customFormat="1" x14ac:dyDescent="0.25">
      <c r="A1331" s="16"/>
      <c r="B1331" s="45"/>
      <c r="C1331" s="16"/>
      <c r="D1331" s="15"/>
      <c r="E1331" s="15"/>
      <c r="F1331" s="15"/>
      <c r="G1331" s="15"/>
      <c r="H1331" s="18"/>
      <c r="I1331" s="16"/>
      <c r="J1331" s="15"/>
      <c r="K1331" s="19"/>
      <c r="L1331" s="16"/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5"/>
      <c r="Y1331" s="45"/>
      <c r="Z1331" s="45"/>
      <c r="AA1331" s="45"/>
    </row>
    <row r="1332" spans="1:27" s="17" customFormat="1" x14ac:dyDescent="0.25">
      <c r="A1332" s="16"/>
      <c r="B1332" s="45"/>
      <c r="C1332" s="16"/>
      <c r="D1332" s="15"/>
      <c r="E1332" s="15"/>
      <c r="F1332" s="15"/>
      <c r="G1332" s="15"/>
      <c r="H1332" s="18"/>
      <c r="I1332" s="16"/>
      <c r="J1332" s="15"/>
      <c r="K1332" s="19"/>
      <c r="L1332" s="16"/>
      <c r="N1332" s="45"/>
      <c r="O1332" s="45"/>
      <c r="P1332" s="45"/>
      <c r="Q1332" s="45"/>
      <c r="R1332" s="45"/>
      <c r="S1332" s="45"/>
      <c r="T1332" s="45"/>
      <c r="U1332" s="45"/>
      <c r="V1332" s="45"/>
      <c r="W1332" s="45"/>
      <c r="X1332" s="45"/>
      <c r="Y1332" s="45"/>
      <c r="Z1332" s="45"/>
      <c r="AA1332" s="45"/>
    </row>
    <row r="1333" spans="1:27" s="17" customFormat="1" x14ac:dyDescent="0.25">
      <c r="A1333" s="16"/>
      <c r="B1333" s="45"/>
      <c r="C1333" s="16"/>
      <c r="D1333" s="15"/>
      <c r="E1333" s="15"/>
      <c r="F1333" s="15"/>
      <c r="G1333" s="15"/>
      <c r="H1333" s="18"/>
      <c r="I1333" s="16"/>
      <c r="J1333" s="15"/>
      <c r="K1333" s="19"/>
      <c r="L1333" s="16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  <c r="Y1333" s="45"/>
      <c r="Z1333" s="45"/>
      <c r="AA1333" s="45"/>
    </row>
    <row r="1334" spans="1:27" s="17" customFormat="1" x14ac:dyDescent="0.25">
      <c r="A1334" s="16"/>
      <c r="B1334" s="45"/>
      <c r="C1334" s="16"/>
      <c r="D1334" s="15"/>
      <c r="E1334" s="15"/>
      <c r="F1334" s="15"/>
      <c r="G1334" s="15"/>
      <c r="H1334" s="18"/>
      <c r="I1334" s="16"/>
      <c r="J1334" s="15"/>
      <c r="K1334" s="19"/>
      <c r="L1334" s="16"/>
      <c r="N1334" s="45"/>
      <c r="O1334" s="45"/>
      <c r="P1334" s="45"/>
      <c r="Q1334" s="45"/>
      <c r="R1334" s="45"/>
      <c r="S1334" s="45"/>
      <c r="T1334" s="45"/>
      <c r="U1334" s="45"/>
      <c r="V1334" s="45"/>
      <c r="W1334" s="45"/>
      <c r="X1334" s="45"/>
      <c r="Y1334" s="45"/>
      <c r="Z1334" s="45"/>
      <c r="AA1334" s="45"/>
    </row>
    <row r="1335" spans="1:27" s="17" customFormat="1" x14ac:dyDescent="0.25">
      <c r="A1335" s="16"/>
      <c r="B1335" s="45"/>
      <c r="C1335" s="16"/>
      <c r="D1335" s="15"/>
      <c r="E1335" s="15"/>
      <c r="F1335" s="15"/>
      <c r="G1335" s="15"/>
      <c r="H1335" s="18"/>
      <c r="I1335" s="16"/>
      <c r="J1335" s="15"/>
      <c r="K1335" s="19"/>
      <c r="L1335" s="16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  <c r="Y1335" s="45"/>
      <c r="Z1335" s="45"/>
      <c r="AA1335" s="45"/>
    </row>
    <row r="1336" spans="1:27" s="17" customFormat="1" x14ac:dyDescent="0.25">
      <c r="A1336" s="16"/>
      <c r="B1336" s="45"/>
      <c r="C1336" s="16"/>
      <c r="D1336" s="15"/>
      <c r="E1336" s="15"/>
      <c r="F1336" s="15"/>
      <c r="G1336" s="15"/>
      <c r="H1336" s="18"/>
      <c r="I1336" s="16"/>
      <c r="J1336" s="15"/>
      <c r="K1336" s="19"/>
      <c r="L1336" s="16"/>
      <c r="N1336" s="45"/>
      <c r="O1336" s="45"/>
      <c r="P1336" s="45"/>
      <c r="Q1336" s="45"/>
      <c r="R1336" s="45"/>
      <c r="S1336" s="45"/>
      <c r="T1336" s="45"/>
      <c r="U1336" s="45"/>
      <c r="V1336" s="45"/>
      <c r="W1336" s="45"/>
      <c r="X1336" s="45"/>
      <c r="Y1336" s="45"/>
      <c r="Z1336" s="45"/>
      <c r="AA1336" s="45"/>
    </row>
    <row r="1337" spans="1:27" s="17" customFormat="1" x14ac:dyDescent="0.25">
      <c r="A1337" s="16"/>
      <c r="B1337" s="45"/>
      <c r="C1337" s="16"/>
      <c r="D1337" s="15"/>
      <c r="E1337" s="15"/>
      <c r="F1337" s="15"/>
      <c r="G1337" s="15"/>
      <c r="H1337" s="18"/>
      <c r="I1337" s="16"/>
      <c r="J1337" s="15"/>
      <c r="K1337" s="19"/>
      <c r="L1337" s="16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</row>
    <row r="1338" spans="1:27" s="17" customFormat="1" x14ac:dyDescent="0.25">
      <c r="A1338" s="16"/>
      <c r="B1338" s="45"/>
      <c r="C1338" s="16"/>
      <c r="D1338" s="15"/>
      <c r="E1338" s="15"/>
      <c r="F1338" s="15"/>
      <c r="G1338" s="15"/>
      <c r="H1338" s="18"/>
      <c r="I1338" s="16"/>
      <c r="J1338" s="15"/>
      <c r="K1338" s="19"/>
      <c r="L1338" s="16"/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5"/>
      <c r="Y1338" s="45"/>
      <c r="Z1338" s="45"/>
      <c r="AA1338" s="45"/>
    </row>
    <row r="1339" spans="1:27" s="17" customFormat="1" x14ac:dyDescent="0.25">
      <c r="A1339" s="16"/>
      <c r="B1339" s="45"/>
      <c r="C1339" s="16"/>
      <c r="D1339" s="15"/>
      <c r="E1339" s="15"/>
      <c r="F1339" s="15"/>
      <c r="G1339" s="15"/>
      <c r="H1339" s="18"/>
      <c r="I1339" s="16"/>
      <c r="J1339" s="15"/>
      <c r="K1339" s="19"/>
      <c r="L1339" s="16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45"/>
      <c r="AA1339" s="45"/>
    </row>
    <row r="1340" spans="1:27" s="17" customFormat="1" x14ac:dyDescent="0.25">
      <c r="A1340" s="16"/>
      <c r="B1340" s="45"/>
      <c r="C1340" s="16"/>
      <c r="D1340" s="15"/>
      <c r="E1340" s="15"/>
      <c r="F1340" s="15"/>
      <c r="G1340" s="15"/>
      <c r="H1340" s="18"/>
      <c r="I1340" s="16"/>
      <c r="J1340" s="15"/>
      <c r="K1340" s="19"/>
      <c r="L1340" s="16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45"/>
      <c r="AA1340" s="45"/>
    </row>
    <row r="1341" spans="1:27" s="17" customFormat="1" x14ac:dyDescent="0.25">
      <c r="A1341" s="16"/>
      <c r="B1341" s="45"/>
      <c r="C1341" s="16"/>
      <c r="D1341" s="15"/>
      <c r="E1341" s="15"/>
      <c r="F1341" s="15"/>
      <c r="G1341" s="15"/>
      <c r="H1341" s="18"/>
      <c r="I1341" s="16"/>
      <c r="J1341" s="15"/>
      <c r="K1341" s="19"/>
      <c r="L1341" s="16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  <c r="Y1341" s="45"/>
      <c r="Z1341" s="45"/>
      <c r="AA1341" s="45"/>
    </row>
    <row r="1342" spans="1:27" s="17" customFormat="1" x14ac:dyDescent="0.25">
      <c r="A1342" s="16"/>
      <c r="B1342" s="45"/>
      <c r="C1342" s="16"/>
      <c r="D1342" s="15"/>
      <c r="E1342" s="15"/>
      <c r="F1342" s="15"/>
      <c r="G1342" s="15"/>
      <c r="H1342" s="18"/>
      <c r="I1342" s="16"/>
      <c r="J1342" s="15"/>
      <c r="K1342" s="19"/>
      <c r="L1342" s="16"/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5"/>
      <c r="Y1342" s="45"/>
      <c r="Z1342" s="45"/>
      <c r="AA1342" s="45"/>
    </row>
    <row r="1343" spans="1:27" s="17" customFormat="1" x14ac:dyDescent="0.25">
      <c r="A1343" s="16"/>
      <c r="B1343" s="45"/>
      <c r="C1343" s="16"/>
      <c r="D1343" s="15"/>
      <c r="E1343" s="15"/>
      <c r="F1343" s="15"/>
      <c r="G1343" s="15"/>
      <c r="H1343" s="18"/>
      <c r="I1343" s="16"/>
      <c r="J1343" s="15"/>
      <c r="K1343" s="19"/>
      <c r="L1343" s="16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45"/>
      <c r="AA1343" s="45"/>
    </row>
    <row r="1344" spans="1:27" s="17" customFormat="1" x14ac:dyDescent="0.25">
      <c r="A1344" s="16"/>
      <c r="B1344" s="45"/>
      <c r="C1344" s="16"/>
      <c r="D1344" s="15"/>
      <c r="E1344" s="15"/>
      <c r="F1344" s="15"/>
      <c r="G1344" s="15"/>
      <c r="H1344" s="18"/>
      <c r="I1344" s="16"/>
      <c r="J1344" s="15"/>
      <c r="K1344" s="19"/>
      <c r="L1344" s="16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5"/>
      <c r="Y1344" s="45"/>
      <c r="Z1344" s="45"/>
      <c r="AA1344" s="45"/>
    </row>
    <row r="1345" spans="1:27" s="17" customFormat="1" x14ac:dyDescent="0.25">
      <c r="A1345" s="16"/>
      <c r="B1345" s="45"/>
      <c r="C1345" s="16"/>
      <c r="D1345" s="15"/>
      <c r="E1345" s="15"/>
      <c r="F1345" s="15"/>
      <c r="G1345" s="15"/>
      <c r="H1345" s="18"/>
      <c r="I1345" s="16"/>
      <c r="J1345" s="15"/>
      <c r="K1345" s="19"/>
      <c r="L1345" s="16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  <c r="Y1345" s="45"/>
      <c r="Z1345" s="45"/>
      <c r="AA1345" s="45"/>
    </row>
    <row r="1346" spans="1:27" s="17" customFormat="1" x14ac:dyDescent="0.25">
      <c r="A1346" s="16"/>
      <c r="B1346" s="45"/>
      <c r="C1346" s="16"/>
      <c r="D1346" s="15"/>
      <c r="E1346" s="15"/>
      <c r="F1346" s="15"/>
      <c r="G1346" s="15"/>
      <c r="H1346" s="18"/>
      <c r="I1346" s="16"/>
      <c r="J1346" s="15"/>
      <c r="K1346" s="19"/>
      <c r="L1346" s="16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  <c r="Y1346" s="45"/>
      <c r="Z1346" s="45"/>
      <c r="AA1346" s="45"/>
    </row>
    <row r="1347" spans="1:27" s="17" customFormat="1" x14ac:dyDescent="0.25">
      <c r="A1347" s="16"/>
      <c r="B1347" s="45"/>
      <c r="C1347" s="16"/>
      <c r="D1347" s="15"/>
      <c r="E1347" s="15"/>
      <c r="F1347" s="15"/>
      <c r="G1347" s="15"/>
      <c r="H1347" s="18"/>
      <c r="I1347" s="16"/>
      <c r="J1347" s="15"/>
      <c r="K1347" s="19"/>
      <c r="L1347" s="16"/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5"/>
      <c r="Y1347" s="45"/>
      <c r="Z1347" s="45"/>
      <c r="AA1347" s="45"/>
    </row>
    <row r="1348" spans="1:27" s="17" customFormat="1" x14ac:dyDescent="0.25">
      <c r="A1348" s="16"/>
      <c r="B1348" s="45"/>
      <c r="C1348" s="16"/>
      <c r="D1348" s="15"/>
      <c r="E1348" s="15"/>
      <c r="F1348" s="15"/>
      <c r="G1348" s="15"/>
      <c r="H1348" s="18"/>
      <c r="I1348" s="16"/>
      <c r="J1348" s="15"/>
      <c r="K1348" s="19"/>
      <c r="L1348" s="16"/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5"/>
      <c r="Y1348" s="45"/>
      <c r="Z1348" s="45"/>
      <c r="AA1348" s="45"/>
    </row>
    <row r="1349" spans="1:27" s="17" customFormat="1" x14ac:dyDescent="0.25">
      <c r="A1349" s="16"/>
      <c r="B1349" s="45"/>
      <c r="C1349" s="16"/>
      <c r="D1349" s="15"/>
      <c r="E1349" s="15"/>
      <c r="F1349" s="15"/>
      <c r="G1349" s="15"/>
      <c r="H1349" s="18"/>
      <c r="I1349" s="16"/>
      <c r="J1349" s="15"/>
      <c r="K1349" s="19"/>
      <c r="L1349" s="16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45"/>
      <c r="AA1349" s="45"/>
    </row>
    <row r="1350" spans="1:27" s="17" customFormat="1" x14ac:dyDescent="0.25">
      <c r="A1350" s="16"/>
      <c r="B1350" s="45"/>
      <c r="C1350" s="16"/>
      <c r="D1350" s="15"/>
      <c r="E1350" s="15"/>
      <c r="F1350" s="15"/>
      <c r="G1350" s="15"/>
      <c r="H1350" s="18"/>
      <c r="I1350" s="16"/>
      <c r="J1350" s="15"/>
      <c r="K1350" s="19"/>
      <c r="L1350" s="16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  <c r="Y1350" s="45"/>
      <c r="Z1350" s="45"/>
      <c r="AA1350" s="45"/>
    </row>
    <row r="1351" spans="1:27" s="17" customFormat="1" x14ac:dyDescent="0.25">
      <c r="A1351" s="16"/>
      <c r="B1351" s="45"/>
      <c r="C1351" s="16"/>
      <c r="D1351" s="15"/>
      <c r="E1351" s="15"/>
      <c r="F1351" s="15"/>
      <c r="G1351" s="15"/>
      <c r="H1351" s="18"/>
      <c r="I1351" s="16"/>
      <c r="J1351" s="15"/>
      <c r="K1351" s="19"/>
      <c r="L1351" s="16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  <c r="Y1351" s="45"/>
      <c r="Z1351" s="45"/>
      <c r="AA1351" s="45"/>
    </row>
    <row r="1352" spans="1:27" s="17" customFormat="1" x14ac:dyDescent="0.25">
      <c r="A1352" s="16"/>
      <c r="B1352" s="45"/>
      <c r="C1352" s="16"/>
      <c r="D1352" s="15"/>
      <c r="E1352" s="15"/>
      <c r="F1352" s="15"/>
      <c r="G1352" s="15"/>
      <c r="H1352" s="18"/>
      <c r="I1352" s="16"/>
      <c r="J1352" s="15"/>
      <c r="K1352" s="19"/>
      <c r="L1352" s="16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  <c r="Y1352" s="45"/>
      <c r="Z1352" s="45"/>
      <c r="AA1352" s="45"/>
    </row>
    <row r="1353" spans="1:27" s="17" customFormat="1" x14ac:dyDescent="0.25">
      <c r="A1353" s="16"/>
      <c r="B1353" s="45"/>
      <c r="C1353" s="16"/>
      <c r="D1353" s="15"/>
      <c r="E1353" s="15"/>
      <c r="F1353" s="15"/>
      <c r="G1353" s="15"/>
      <c r="H1353" s="18"/>
      <c r="I1353" s="16"/>
      <c r="J1353" s="15"/>
      <c r="K1353" s="19"/>
      <c r="L1353" s="16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  <c r="Y1353" s="45"/>
      <c r="Z1353" s="45"/>
      <c r="AA1353" s="45"/>
    </row>
    <row r="1354" spans="1:27" s="17" customFormat="1" x14ac:dyDescent="0.25">
      <c r="A1354" s="16"/>
      <c r="B1354" s="45"/>
      <c r="C1354" s="16"/>
      <c r="D1354" s="15"/>
      <c r="E1354" s="15"/>
      <c r="F1354" s="15"/>
      <c r="G1354" s="15"/>
      <c r="H1354" s="18"/>
      <c r="I1354" s="16"/>
      <c r="J1354" s="15"/>
      <c r="K1354" s="19"/>
      <c r="L1354" s="16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  <c r="Y1354" s="45"/>
      <c r="Z1354" s="45"/>
      <c r="AA1354" s="45"/>
    </row>
    <row r="1355" spans="1:27" s="17" customFormat="1" x14ac:dyDescent="0.25">
      <c r="A1355" s="16"/>
      <c r="B1355" s="45"/>
      <c r="C1355" s="16"/>
      <c r="D1355" s="15"/>
      <c r="E1355" s="15"/>
      <c r="F1355" s="15"/>
      <c r="G1355" s="15"/>
      <c r="H1355" s="18"/>
      <c r="I1355" s="16"/>
      <c r="J1355" s="15"/>
      <c r="K1355" s="19"/>
      <c r="L1355" s="16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  <c r="Y1355" s="45"/>
      <c r="Z1355" s="45"/>
      <c r="AA1355" s="45"/>
    </row>
    <row r="1356" spans="1:27" s="17" customFormat="1" x14ac:dyDescent="0.25">
      <c r="A1356" s="16"/>
      <c r="B1356" s="45"/>
      <c r="C1356" s="16"/>
      <c r="D1356" s="15"/>
      <c r="E1356" s="15"/>
      <c r="F1356" s="15"/>
      <c r="G1356" s="15"/>
      <c r="H1356" s="18"/>
      <c r="I1356" s="16"/>
      <c r="J1356" s="15"/>
      <c r="K1356" s="19"/>
      <c r="L1356" s="16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  <c r="Y1356" s="45"/>
      <c r="Z1356" s="45"/>
      <c r="AA1356" s="45"/>
    </row>
    <row r="1357" spans="1:27" s="17" customFormat="1" x14ac:dyDescent="0.25">
      <c r="A1357" s="16"/>
      <c r="B1357" s="45"/>
      <c r="C1357" s="16"/>
      <c r="D1357" s="15"/>
      <c r="E1357" s="15"/>
      <c r="F1357" s="15"/>
      <c r="G1357" s="15"/>
      <c r="H1357" s="18"/>
      <c r="I1357" s="16"/>
      <c r="J1357" s="15"/>
      <c r="K1357" s="19"/>
      <c r="L1357" s="16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  <c r="Y1357" s="45"/>
      <c r="Z1357" s="45"/>
      <c r="AA1357" s="45"/>
    </row>
    <row r="1358" spans="1:27" s="17" customFormat="1" x14ac:dyDescent="0.25">
      <c r="A1358" s="16"/>
      <c r="B1358" s="45"/>
      <c r="C1358" s="16"/>
      <c r="D1358" s="15"/>
      <c r="E1358" s="15"/>
      <c r="F1358" s="15"/>
      <c r="G1358" s="15"/>
      <c r="H1358" s="18"/>
      <c r="I1358" s="16"/>
      <c r="J1358" s="15"/>
      <c r="K1358" s="19"/>
      <c r="L1358" s="16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  <c r="Y1358" s="45"/>
      <c r="Z1358" s="45"/>
      <c r="AA1358" s="45"/>
    </row>
    <row r="1359" spans="1:27" s="17" customFormat="1" x14ac:dyDescent="0.25">
      <c r="A1359" s="16"/>
      <c r="B1359" s="45"/>
      <c r="C1359" s="16"/>
      <c r="D1359" s="15"/>
      <c r="E1359" s="15"/>
      <c r="F1359" s="15"/>
      <c r="G1359" s="15"/>
      <c r="H1359" s="18"/>
      <c r="I1359" s="16"/>
      <c r="J1359" s="15"/>
      <c r="K1359" s="19"/>
      <c r="L1359" s="16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  <c r="Y1359" s="45"/>
      <c r="Z1359" s="45"/>
      <c r="AA1359" s="45"/>
    </row>
    <row r="1360" spans="1:27" s="17" customFormat="1" x14ac:dyDescent="0.25">
      <c r="A1360" s="16"/>
      <c r="B1360" s="45"/>
      <c r="C1360" s="16"/>
      <c r="D1360" s="15"/>
      <c r="E1360" s="15"/>
      <c r="F1360" s="15"/>
      <c r="G1360" s="15"/>
      <c r="H1360" s="18"/>
      <c r="I1360" s="16"/>
      <c r="J1360" s="15"/>
      <c r="K1360" s="19"/>
      <c r="L1360" s="16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  <c r="Y1360" s="45"/>
      <c r="Z1360" s="45"/>
      <c r="AA1360" s="45"/>
    </row>
    <row r="1361" spans="1:27" s="17" customFormat="1" x14ac:dyDescent="0.25">
      <c r="A1361" s="16"/>
      <c r="B1361" s="45"/>
      <c r="C1361" s="16"/>
      <c r="D1361" s="15"/>
      <c r="E1361" s="15"/>
      <c r="F1361" s="15"/>
      <c r="G1361" s="15"/>
      <c r="H1361" s="18"/>
      <c r="I1361" s="16"/>
      <c r="J1361" s="15"/>
      <c r="K1361" s="19"/>
      <c r="L1361" s="16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45"/>
      <c r="AA1361" s="45"/>
    </row>
    <row r="1362" spans="1:27" s="17" customFormat="1" x14ac:dyDescent="0.25">
      <c r="A1362" s="16"/>
      <c r="B1362" s="45"/>
      <c r="C1362" s="16"/>
      <c r="D1362" s="15"/>
      <c r="E1362" s="15"/>
      <c r="F1362" s="15"/>
      <c r="G1362" s="15"/>
      <c r="H1362" s="18"/>
      <c r="I1362" s="16"/>
      <c r="J1362" s="15"/>
      <c r="K1362" s="19"/>
      <c r="L1362" s="16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5"/>
      <c r="Y1362" s="45"/>
      <c r="Z1362" s="45"/>
      <c r="AA1362" s="45"/>
    </row>
    <row r="1363" spans="1:27" s="17" customFormat="1" x14ac:dyDescent="0.25">
      <c r="A1363" s="16"/>
      <c r="B1363" s="45"/>
      <c r="C1363" s="16"/>
      <c r="D1363" s="15"/>
      <c r="E1363" s="15"/>
      <c r="F1363" s="15"/>
      <c r="G1363" s="15"/>
      <c r="H1363" s="18"/>
      <c r="I1363" s="16"/>
      <c r="J1363" s="15"/>
      <c r="K1363" s="19"/>
      <c r="L1363" s="16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  <c r="Y1363" s="45"/>
      <c r="Z1363" s="45"/>
      <c r="AA1363" s="45"/>
    </row>
    <row r="1364" spans="1:27" s="17" customFormat="1" x14ac:dyDescent="0.25">
      <c r="A1364" s="16"/>
      <c r="B1364" s="45"/>
      <c r="C1364" s="16"/>
      <c r="D1364" s="15"/>
      <c r="E1364" s="15"/>
      <c r="F1364" s="15"/>
      <c r="G1364" s="15"/>
      <c r="H1364" s="18"/>
      <c r="I1364" s="16"/>
      <c r="J1364" s="15"/>
      <c r="K1364" s="19"/>
      <c r="L1364" s="16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  <c r="Y1364" s="45"/>
      <c r="Z1364" s="45"/>
      <c r="AA1364" s="45"/>
    </row>
    <row r="1365" spans="1:27" s="17" customFormat="1" x14ac:dyDescent="0.25">
      <c r="A1365" s="16"/>
      <c r="B1365" s="45"/>
      <c r="C1365" s="16"/>
      <c r="D1365" s="15"/>
      <c r="E1365" s="15"/>
      <c r="F1365" s="15"/>
      <c r="G1365" s="15"/>
      <c r="H1365" s="18"/>
      <c r="I1365" s="16"/>
      <c r="J1365" s="15"/>
      <c r="K1365" s="19"/>
      <c r="L1365" s="16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</row>
    <row r="1366" spans="1:27" s="17" customFormat="1" x14ac:dyDescent="0.25">
      <c r="A1366" s="16"/>
      <c r="B1366" s="45"/>
      <c r="C1366" s="16"/>
      <c r="D1366" s="15"/>
      <c r="E1366" s="15"/>
      <c r="F1366" s="15"/>
      <c r="G1366" s="15"/>
      <c r="H1366" s="18"/>
      <c r="I1366" s="16"/>
      <c r="J1366" s="15"/>
      <c r="K1366" s="19"/>
      <c r="L1366" s="16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5"/>
      <c r="Y1366" s="45"/>
      <c r="Z1366" s="45"/>
      <c r="AA1366" s="45"/>
    </row>
    <row r="1367" spans="1:27" s="17" customFormat="1" x14ac:dyDescent="0.25">
      <c r="A1367" s="16"/>
      <c r="B1367" s="45"/>
      <c r="C1367" s="16"/>
      <c r="D1367" s="15"/>
      <c r="E1367" s="15"/>
      <c r="F1367" s="15"/>
      <c r="G1367" s="15"/>
      <c r="H1367" s="18"/>
      <c r="I1367" s="16"/>
      <c r="J1367" s="15"/>
      <c r="K1367" s="19"/>
      <c r="L1367" s="16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</row>
    <row r="1368" spans="1:27" s="17" customFormat="1" x14ac:dyDescent="0.25">
      <c r="A1368" s="16"/>
      <c r="B1368" s="45"/>
      <c r="C1368" s="16"/>
      <c r="D1368" s="15"/>
      <c r="E1368" s="15"/>
      <c r="F1368" s="15"/>
      <c r="G1368" s="15"/>
      <c r="H1368" s="18"/>
      <c r="I1368" s="16"/>
      <c r="J1368" s="15"/>
      <c r="K1368" s="19"/>
      <c r="L1368" s="16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5"/>
      <c r="Y1368" s="45"/>
      <c r="Z1368" s="45"/>
      <c r="AA1368" s="45"/>
    </row>
    <row r="1369" spans="1:27" s="17" customFormat="1" x14ac:dyDescent="0.25">
      <c r="A1369" s="16"/>
      <c r="B1369" s="45"/>
      <c r="C1369" s="16"/>
      <c r="D1369" s="15"/>
      <c r="E1369" s="15"/>
      <c r="F1369" s="15"/>
      <c r="G1369" s="15"/>
      <c r="H1369" s="18"/>
      <c r="I1369" s="16"/>
      <c r="J1369" s="15"/>
      <c r="K1369" s="19"/>
      <c r="L1369" s="16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  <c r="Y1369" s="45"/>
      <c r="Z1369" s="45"/>
      <c r="AA1369" s="45"/>
    </row>
    <row r="1370" spans="1:27" s="17" customFormat="1" x14ac:dyDescent="0.25">
      <c r="A1370" s="16"/>
      <c r="B1370" s="45"/>
      <c r="C1370" s="16"/>
      <c r="D1370" s="15"/>
      <c r="E1370" s="15"/>
      <c r="F1370" s="15"/>
      <c r="G1370" s="15"/>
      <c r="H1370" s="18"/>
      <c r="I1370" s="16"/>
      <c r="J1370" s="15"/>
      <c r="K1370" s="19"/>
      <c r="L1370" s="16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  <c r="Y1370" s="45"/>
      <c r="Z1370" s="45"/>
      <c r="AA1370" s="45"/>
    </row>
    <row r="1371" spans="1:27" s="17" customFormat="1" x14ac:dyDescent="0.25">
      <c r="A1371" s="16"/>
      <c r="B1371" s="45"/>
      <c r="C1371" s="16"/>
      <c r="D1371" s="15"/>
      <c r="E1371" s="15"/>
      <c r="F1371" s="15"/>
      <c r="G1371" s="15"/>
      <c r="H1371" s="18"/>
      <c r="I1371" s="16"/>
      <c r="J1371" s="15"/>
      <c r="K1371" s="19"/>
      <c r="L1371" s="16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  <c r="Y1371" s="45"/>
      <c r="Z1371" s="45"/>
      <c r="AA1371" s="45"/>
    </row>
    <row r="1372" spans="1:27" s="17" customFormat="1" x14ac:dyDescent="0.25">
      <c r="A1372" s="16"/>
      <c r="B1372" s="45"/>
      <c r="C1372" s="16"/>
      <c r="D1372" s="15"/>
      <c r="E1372" s="15"/>
      <c r="F1372" s="15"/>
      <c r="G1372" s="15"/>
      <c r="H1372" s="18"/>
      <c r="I1372" s="16"/>
      <c r="J1372" s="15"/>
      <c r="K1372" s="19"/>
      <c r="L1372" s="16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5"/>
      <c r="Y1372" s="45"/>
      <c r="Z1372" s="45"/>
      <c r="AA1372" s="45"/>
    </row>
    <row r="1373" spans="1:27" s="17" customFormat="1" x14ac:dyDescent="0.25">
      <c r="A1373" s="16"/>
      <c r="B1373" s="45"/>
      <c r="C1373" s="16"/>
      <c r="D1373" s="15"/>
      <c r="E1373" s="15"/>
      <c r="F1373" s="15"/>
      <c r="G1373" s="15"/>
      <c r="H1373" s="18"/>
      <c r="I1373" s="16"/>
      <c r="J1373" s="15"/>
      <c r="K1373" s="19"/>
      <c r="L1373" s="16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</row>
    <row r="1374" spans="1:27" s="17" customFormat="1" x14ac:dyDescent="0.25">
      <c r="A1374" s="16"/>
      <c r="B1374" s="45"/>
      <c r="C1374" s="16"/>
      <c r="D1374" s="15"/>
      <c r="E1374" s="15"/>
      <c r="F1374" s="15"/>
      <c r="G1374" s="15"/>
      <c r="H1374" s="18"/>
      <c r="I1374" s="16"/>
      <c r="J1374" s="15"/>
      <c r="K1374" s="19"/>
      <c r="L1374" s="16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5"/>
      <c r="Y1374" s="45"/>
      <c r="Z1374" s="45"/>
      <c r="AA1374" s="45"/>
    </row>
    <row r="1375" spans="1:27" s="17" customFormat="1" x14ac:dyDescent="0.25">
      <c r="A1375" s="16"/>
      <c r="B1375" s="45"/>
      <c r="C1375" s="16"/>
      <c r="D1375" s="15"/>
      <c r="E1375" s="15"/>
      <c r="F1375" s="15"/>
      <c r="G1375" s="15"/>
      <c r="H1375" s="18"/>
      <c r="I1375" s="16"/>
      <c r="J1375" s="15"/>
      <c r="K1375" s="19"/>
      <c r="L1375" s="16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45"/>
      <c r="AA1375" s="45"/>
    </row>
    <row r="1376" spans="1:27" s="17" customFormat="1" x14ac:dyDescent="0.25">
      <c r="A1376" s="16"/>
      <c r="B1376" s="45"/>
      <c r="C1376" s="16"/>
      <c r="D1376" s="15"/>
      <c r="E1376" s="15"/>
      <c r="F1376" s="15"/>
      <c r="G1376" s="15"/>
      <c r="H1376" s="18"/>
      <c r="I1376" s="16"/>
      <c r="J1376" s="15"/>
      <c r="K1376" s="19"/>
      <c r="L1376" s="16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5"/>
      <c r="Y1376" s="45"/>
      <c r="Z1376" s="45"/>
      <c r="AA1376" s="45"/>
    </row>
    <row r="1377" spans="1:27" s="17" customFormat="1" x14ac:dyDescent="0.25">
      <c r="A1377" s="16"/>
      <c r="B1377" s="45"/>
      <c r="C1377" s="16"/>
      <c r="D1377" s="15"/>
      <c r="E1377" s="15"/>
      <c r="F1377" s="15"/>
      <c r="G1377" s="15"/>
      <c r="H1377" s="18"/>
      <c r="I1377" s="16"/>
      <c r="J1377" s="15"/>
      <c r="K1377" s="19"/>
      <c r="L1377" s="16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45"/>
      <c r="AA1377" s="45"/>
    </row>
    <row r="1378" spans="1:27" s="17" customFormat="1" x14ac:dyDescent="0.25">
      <c r="A1378" s="16"/>
      <c r="B1378" s="45"/>
      <c r="C1378" s="16"/>
      <c r="D1378" s="15"/>
      <c r="E1378" s="15"/>
      <c r="F1378" s="15"/>
      <c r="G1378" s="15"/>
      <c r="H1378" s="18"/>
      <c r="I1378" s="16"/>
      <c r="J1378" s="15"/>
      <c r="K1378" s="19"/>
      <c r="L1378" s="16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5"/>
      <c r="Y1378" s="45"/>
      <c r="Z1378" s="45"/>
      <c r="AA1378" s="45"/>
    </row>
    <row r="1379" spans="1:27" s="17" customFormat="1" x14ac:dyDescent="0.25">
      <c r="A1379" s="16"/>
      <c r="B1379" s="45"/>
      <c r="C1379" s="16"/>
      <c r="D1379" s="15"/>
      <c r="E1379" s="15"/>
      <c r="F1379" s="15"/>
      <c r="G1379" s="15"/>
      <c r="H1379" s="18"/>
      <c r="I1379" s="16"/>
      <c r="J1379" s="15"/>
      <c r="K1379" s="19"/>
      <c r="L1379" s="16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45"/>
      <c r="AA1379" s="45"/>
    </row>
    <row r="1380" spans="1:27" s="17" customFormat="1" x14ac:dyDescent="0.25">
      <c r="A1380" s="16"/>
      <c r="B1380" s="45"/>
      <c r="C1380" s="16"/>
      <c r="D1380" s="15"/>
      <c r="E1380" s="15"/>
      <c r="F1380" s="15"/>
      <c r="G1380" s="15"/>
      <c r="H1380" s="18"/>
      <c r="I1380" s="16"/>
      <c r="J1380" s="15"/>
      <c r="K1380" s="19"/>
      <c r="L1380" s="16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5"/>
      <c r="Y1380" s="45"/>
      <c r="Z1380" s="45"/>
      <c r="AA1380" s="45"/>
    </row>
    <row r="1381" spans="1:27" s="17" customFormat="1" x14ac:dyDescent="0.25">
      <c r="A1381" s="16"/>
      <c r="B1381" s="45"/>
      <c r="C1381" s="16"/>
      <c r="D1381" s="15"/>
      <c r="E1381" s="15"/>
      <c r="F1381" s="15"/>
      <c r="G1381" s="15"/>
      <c r="H1381" s="18"/>
      <c r="I1381" s="16"/>
      <c r="J1381" s="15"/>
      <c r="K1381" s="19"/>
      <c r="L1381" s="16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45"/>
      <c r="AA1381" s="45"/>
    </row>
    <row r="1382" spans="1:27" s="17" customFormat="1" x14ac:dyDescent="0.25">
      <c r="A1382" s="16"/>
      <c r="B1382" s="45"/>
      <c r="C1382" s="16"/>
      <c r="D1382" s="15"/>
      <c r="E1382" s="15"/>
      <c r="F1382" s="15"/>
      <c r="G1382" s="15"/>
      <c r="H1382" s="18"/>
      <c r="I1382" s="16"/>
      <c r="J1382" s="15"/>
      <c r="K1382" s="19"/>
      <c r="L1382" s="16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5"/>
      <c r="Y1382" s="45"/>
      <c r="Z1382" s="45"/>
      <c r="AA1382" s="45"/>
    </row>
    <row r="1383" spans="1:27" s="17" customFormat="1" x14ac:dyDescent="0.25">
      <c r="A1383" s="16"/>
      <c r="B1383" s="45"/>
      <c r="C1383" s="16"/>
      <c r="D1383" s="15"/>
      <c r="E1383" s="15"/>
      <c r="F1383" s="15"/>
      <c r="G1383" s="15"/>
      <c r="H1383" s="18"/>
      <c r="I1383" s="16"/>
      <c r="J1383" s="15"/>
      <c r="K1383" s="19"/>
      <c r="L1383" s="16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  <c r="Y1383" s="45"/>
      <c r="Z1383" s="45"/>
      <c r="AA1383" s="45"/>
    </row>
    <row r="1384" spans="1:27" s="17" customFormat="1" x14ac:dyDescent="0.25">
      <c r="A1384" s="16"/>
      <c r="B1384" s="45"/>
      <c r="C1384" s="16"/>
      <c r="D1384" s="15"/>
      <c r="E1384" s="15"/>
      <c r="F1384" s="15"/>
      <c r="G1384" s="15"/>
      <c r="H1384" s="18"/>
      <c r="I1384" s="16"/>
      <c r="J1384" s="15"/>
      <c r="K1384" s="19"/>
      <c r="L1384" s="16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  <c r="Y1384" s="45"/>
      <c r="Z1384" s="45"/>
      <c r="AA1384" s="45"/>
    </row>
    <row r="1385" spans="1:27" s="17" customFormat="1" x14ac:dyDescent="0.25">
      <c r="A1385" s="16"/>
      <c r="B1385" s="45"/>
      <c r="C1385" s="16"/>
      <c r="D1385" s="15"/>
      <c r="E1385" s="15"/>
      <c r="F1385" s="15"/>
      <c r="G1385" s="15"/>
      <c r="H1385" s="18"/>
      <c r="I1385" s="16"/>
      <c r="J1385" s="15"/>
      <c r="K1385" s="19"/>
      <c r="L1385" s="16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  <c r="Y1385" s="45"/>
      <c r="Z1385" s="45"/>
      <c r="AA1385" s="45"/>
    </row>
    <row r="1386" spans="1:27" s="17" customFormat="1" x14ac:dyDescent="0.25">
      <c r="A1386" s="16"/>
      <c r="B1386" s="45"/>
      <c r="C1386" s="16"/>
      <c r="D1386" s="15"/>
      <c r="E1386" s="15"/>
      <c r="F1386" s="15"/>
      <c r="G1386" s="15"/>
      <c r="H1386" s="18"/>
      <c r="I1386" s="16"/>
      <c r="J1386" s="15"/>
      <c r="K1386" s="19"/>
      <c r="L1386" s="16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5"/>
      <c r="Y1386" s="45"/>
      <c r="Z1386" s="45"/>
      <c r="AA1386" s="45"/>
    </row>
    <row r="1387" spans="1:27" s="17" customFormat="1" x14ac:dyDescent="0.25">
      <c r="A1387" s="16"/>
      <c r="B1387" s="45"/>
      <c r="C1387" s="16"/>
      <c r="D1387" s="15"/>
      <c r="E1387" s="15"/>
      <c r="F1387" s="15"/>
      <c r="G1387" s="15"/>
      <c r="H1387" s="18"/>
      <c r="I1387" s="16"/>
      <c r="J1387" s="15"/>
      <c r="K1387" s="19"/>
      <c r="L1387" s="16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</row>
    <row r="1388" spans="1:27" s="17" customFormat="1" x14ac:dyDescent="0.25">
      <c r="A1388" s="16"/>
      <c r="B1388" s="45"/>
      <c r="C1388" s="16"/>
      <c r="D1388" s="15"/>
      <c r="E1388" s="15"/>
      <c r="F1388" s="15"/>
      <c r="G1388" s="15"/>
      <c r="H1388" s="18"/>
      <c r="I1388" s="16"/>
      <c r="J1388" s="15"/>
      <c r="K1388" s="19"/>
      <c r="L1388" s="16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5"/>
      <c r="Y1388" s="45"/>
      <c r="Z1388" s="45"/>
      <c r="AA1388" s="45"/>
    </row>
    <row r="1389" spans="1:27" s="17" customFormat="1" x14ac:dyDescent="0.25">
      <c r="A1389" s="16"/>
      <c r="B1389" s="45"/>
      <c r="C1389" s="16"/>
      <c r="D1389" s="15"/>
      <c r="E1389" s="15"/>
      <c r="F1389" s="15"/>
      <c r="G1389" s="15"/>
      <c r="H1389" s="18"/>
      <c r="I1389" s="16"/>
      <c r="J1389" s="15"/>
      <c r="K1389" s="19"/>
      <c r="L1389" s="16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45"/>
      <c r="AA1389" s="45"/>
    </row>
    <row r="1390" spans="1:27" s="17" customFormat="1" x14ac:dyDescent="0.25">
      <c r="A1390" s="16"/>
      <c r="B1390" s="45"/>
      <c r="C1390" s="16"/>
      <c r="D1390" s="15"/>
      <c r="E1390" s="15"/>
      <c r="F1390" s="15"/>
      <c r="G1390" s="15"/>
      <c r="H1390" s="18"/>
      <c r="I1390" s="16"/>
      <c r="J1390" s="15"/>
      <c r="K1390" s="19"/>
      <c r="L1390" s="16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  <c r="Y1390" s="45"/>
      <c r="Z1390" s="45"/>
      <c r="AA1390" s="45"/>
    </row>
    <row r="1391" spans="1:27" s="17" customFormat="1" x14ac:dyDescent="0.25">
      <c r="A1391" s="16"/>
      <c r="B1391" s="45"/>
      <c r="C1391" s="16"/>
      <c r="D1391" s="15"/>
      <c r="E1391" s="15"/>
      <c r="F1391" s="15"/>
      <c r="G1391" s="15"/>
      <c r="H1391" s="18"/>
      <c r="I1391" s="16"/>
      <c r="J1391" s="15"/>
      <c r="K1391" s="19"/>
      <c r="L1391" s="16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</row>
    <row r="1392" spans="1:27" s="17" customFormat="1" x14ac:dyDescent="0.25">
      <c r="A1392" s="16"/>
      <c r="B1392" s="45"/>
      <c r="C1392" s="16"/>
      <c r="D1392" s="15"/>
      <c r="E1392" s="15"/>
      <c r="F1392" s="15"/>
      <c r="G1392" s="15"/>
      <c r="H1392" s="18"/>
      <c r="I1392" s="16"/>
      <c r="J1392" s="15"/>
      <c r="K1392" s="19"/>
      <c r="L1392" s="16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  <c r="Y1392" s="45"/>
      <c r="Z1392" s="45"/>
      <c r="AA1392" s="45"/>
    </row>
    <row r="1393" spans="1:27" s="17" customFormat="1" x14ac:dyDescent="0.25">
      <c r="A1393" s="16"/>
      <c r="B1393" s="45"/>
      <c r="C1393" s="16"/>
      <c r="D1393" s="15"/>
      <c r="E1393" s="15"/>
      <c r="F1393" s="15"/>
      <c r="G1393" s="15"/>
      <c r="H1393" s="18"/>
      <c r="I1393" s="16"/>
      <c r="J1393" s="15"/>
      <c r="K1393" s="19"/>
      <c r="L1393" s="16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</row>
    <row r="1394" spans="1:27" s="17" customFormat="1" x14ac:dyDescent="0.25">
      <c r="A1394" s="16"/>
      <c r="B1394" s="45"/>
      <c r="C1394" s="16"/>
      <c r="D1394" s="15"/>
      <c r="E1394" s="15"/>
      <c r="F1394" s="15"/>
      <c r="G1394" s="15"/>
      <c r="H1394" s="18"/>
      <c r="I1394" s="16"/>
      <c r="J1394" s="15"/>
      <c r="K1394" s="19"/>
      <c r="L1394" s="16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</row>
    <row r="1395" spans="1:27" s="17" customFormat="1" x14ac:dyDescent="0.25">
      <c r="A1395" s="16"/>
      <c r="B1395" s="45"/>
      <c r="C1395" s="16"/>
      <c r="D1395" s="15"/>
      <c r="E1395" s="15"/>
      <c r="F1395" s="15"/>
      <c r="G1395" s="15"/>
      <c r="H1395" s="18"/>
      <c r="I1395" s="16"/>
      <c r="J1395" s="15"/>
      <c r="K1395" s="19"/>
      <c r="L1395" s="16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</row>
    <row r="1396" spans="1:27" s="17" customFormat="1" x14ac:dyDescent="0.25">
      <c r="A1396" s="16"/>
      <c r="B1396" s="45"/>
      <c r="C1396" s="16"/>
      <c r="D1396" s="15"/>
      <c r="E1396" s="15"/>
      <c r="F1396" s="15"/>
      <c r="G1396" s="15"/>
      <c r="H1396" s="18"/>
      <c r="I1396" s="16"/>
      <c r="J1396" s="15"/>
      <c r="K1396" s="19"/>
      <c r="L1396" s="16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</row>
    <row r="1397" spans="1:27" s="17" customFormat="1" x14ac:dyDescent="0.25">
      <c r="A1397" s="16"/>
      <c r="B1397" s="45"/>
      <c r="C1397" s="16"/>
      <c r="D1397" s="15"/>
      <c r="E1397" s="15"/>
      <c r="F1397" s="15"/>
      <c r="G1397" s="15"/>
      <c r="H1397" s="18"/>
      <c r="I1397" s="16"/>
      <c r="J1397" s="15"/>
      <c r="K1397" s="19"/>
      <c r="L1397" s="16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</row>
    <row r="1398" spans="1:27" s="17" customFormat="1" x14ac:dyDescent="0.25">
      <c r="A1398" s="16"/>
      <c r="B1398" s="45"/>
      <c r="C1398" s="16"/>
      <c r="D1398" s="15"/>
      <c r="E1398" s="15"/>
      <c r="F1398" s="15"/>
      <c r="G1398" s="15"/>
      <c r="H1398" s="18"/>
      <c r="I1398" s="16"/>
      <c r="J1398" s="15"/>
      <c r="K1398" s="19"/>
      <c r="L1398" s="16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</row>
    <row r="1399" spans="1:27" s="17" customFormat="1" x14ac:dyDescent="0.25">
      <c r="A1399" s="16"/>
      <c r="B1399" s="45"/>
      <c r="C1399" s="16"/>
      <c r="D1399" s="15"/>
      <c r="E1399" s="15"/>
      <c r="F1399" s="15"/>
      <c r="G1399" s="15"/>
      <c r="H1399" s="18"/>
      <c r="I1399" s="16"/>
      <c r="J1399" s="15"/>
      <c r="K1399" s="19"/>
      <c r="L1399" s="16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</row>
    <row r="1400" spans="1:27" s="17" customFormat="1" x14ac:dyDescent="0.25">
      <c r="A1400" s="16"/>
      <c r="B1400" s="45"/>
      <c r="C1400" s="16"/>
      <c r="D1400" s="15"/>
      <c r="E1400" s="15"/>
      <c r="F1400" s="15"/>
      <c r="G1400" s="15"/>
      <c r="H1400" s="18"/>
      <c r="I1400" s="16"/>
      <c r="J1400" s="15"/>
      <c r="K1400" s="19"/>
      <c r="L1400" s="16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</row>
    <row r="1401" spans="1:27" s="17" customFormat="1" x14ac:dyDescent="0.25">
      <c r="A1401" s="16"/>
      <c r="B1401" s="45"/>
      <c r="C1401" s="16"/>
      <c r="D1401" s="15"/>
      <c r="E1401" s="15"/>
      <c r="F1401" s="15"/>
      <c r="G1401" s="15"/>
      <c r="H1401" s="18"/>
      <c r="I1401" s="16"/>
      <c r="J1401" s="15"/>
      <c r="K1401" s="19"/>
      <c r="L1401" s="16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</row>
    <row r="1402" spans="1:27" s="17" customFormat="1" x14ac:dyDescent="0.25">
      <c r="A1402" s="16"/>
      <c r="B1402" s="45"/>
      <c r="C1402" s="16"/>
      <c r="D1402" s="15"/>
      <c r="E1402" s="15"/>
      <c r="F1402" s="15"/>
      <c r="G1402" s="15"/>
      <c r="H1402" s="18"/>
      <c r="I1402" s="16"/>
      <c r="J1402" s="15"/>
      <c r="K1402" s="19"/>
      <c r="L1402" s="16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</row>
    <row r="1403" spans="1:27" s="17" customFormat="1" x14ac:dyDescent="0.25">
      <c r="A1403" s="16"/>
      <c r="B1403" s="45"/>
      <c r="C1403" s="16"/>
      <c r="D1403" s="15"/>
      <c r="E1403" s="15"/>
      <c r="F1403" s="15"/>
      <c r="G1403" s="15"/>
      <c r="H1403" s="18"/>
      <c r="I1403" s="16"/>
      <c r="J1403" s="15"/>
      <c r="K1403" s="19"/>
      <c r="L1403" s="16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</row>
    <row r="1404" spans="1:27" s="17" customFormat="1" x14ac:dyDescent="0.25">
      <c r="A1404" s="16"/>
      <c r="B1404" s="45"/>
      <c r="C1404" s="16"/>
      <c r="D1404" s="15"/>
      <c r="E1404" s="15"/>
      <c r="F1404" s="15"/>
      <c r="G1404" s="15"/>
      <c r="H1404" s="18"/>
      <c r="I1404" s="16"/>
      <c r="J1404" s="15"/>
      <c r="K1404" s="19"/>
      <c r="L1404" s="16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</row>
    <row r="1405" spans="1:27" s="17" customFormat="1" x14ac:dyDescent="0.25">
      <c r="A1405" s="16"/>
      <c r="B1405" s="45"/>
      <c r="C1405" s="16"/>
      <c r="D1405" s="15"/>
      <c r="E1405" s="15"/>
      <c r="F1405" s="15"/>
      <c r="G1405" s="15"/>
      <c r="H1405" s="18"/>
      <c r="I1405" s="16"/>
      <c r="J1405" s="15"/>
      <c r="K1405" s="19"/>
      <c r="L1405" s="16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</row>
    <row r="1406" spans="1:27" s="17" customFormat="1" x14ac:dyDescent="0.25">
      <c r="A1406" s="16"/>
      <c r="B1406" s="45"/>
      <c r="C1406" s="16"/>
      <c r="D1406" s="15"/>
      <c r="E1406" s="15"/>
      <c r="F1406" s="15"/>
      <c r="G1406" s="15"/>
      <c r="H1406" s="18"/>
      <c r="I1406" s="16"/>
      <c r="J1406" s="15"/>
      <c r="K1406" s="19"/>
      <c r="L1406" s="16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</row>
    <row r="1407" spans="1:27" s="17" customFormat="1" x14ac:dyDescent="0.25">
      <c r="A1407" s="16"/>
      <c r="B1407" s="45"/>
      <c r="C1407" s="16"/>
      <c r="D1407" s="15"/>
      <c r="E1407" s="15"/>
      <c r="F1407" s="15"/>
      <c r="G1407" s="15"/>
      <c r="H1407" s="18"/>
      <c r="I1407" s="16"/>
      <c r="J1407" s="15"/>
      <c r="K1407" s="19"/>
      <c r="L1407" s="16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</row>
    <row r="1408" spans="1:27" s="17" customFormat="1" x14ac:dyDescent="0.25">
      <c r="A1408" s="16"/>
      <c r="B1408" s="45"/>
      <c r="C1408" s="16"/>
      <c r="D1408" s="15"/>
      <c r="E1408" s="15"/>
      <c r="F1408" s="15"/>
      <c r="G1408" s="15"/>
      <c r="H1408" s="18"/>
      <c r="I1408" s="16"/>
      <c r="J1408" s="15"/>
      <c r="K1408" s="19"/>
      <c r="L1408" s="16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5"/>
      <c r="Y1408" s="45"/>
      <c r="Z1408" s="45"/>
      <c r="AA1408" s="45"/>
    </row>
    <row r="1409" spans="1:27" s="17" customFormat="1" x14ac:dyDescent="0.25">
      <c r="A1409" s="16"/>
      <c r="B1409" s="45"/>
      <c r="C1409" s="16"/>
      <c r="D1409" s="15"/>
      <c r="E1409" s="15"/>
      <c r="F1409" s="15"/>
      <c r="G1409" s="15"/>
      <c r="H1409" s="18"/>
      <c r="I1409" s="16"/>
      <c r="J1409" s="15"/>
      <c r="K1409" s="19"/>
      <c r="L1409" s="16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5"/>
      <c r="Y1409" s="45"/>
      <c r="Z1409" s="45"/>
      <c r="AA1409" s="45"/>
    </row>
    <row r="1410" spans="1:27" s="17" customFormat="1" x14ac:dyDescent="0.25">
      <c r="A1410" s="16"/>
      <c r="B1410" s="45"/>
      <c r="C1410" s="16"/>
      <c r="D1410" s="15"/>
      <c r="E1410" s="15"/>
      <c r="F1410" s="15"/>
      <c r="G1410" s="15"/>
      <c r="H1410" s="18"/>
      <c r="I1410" s="16"/>
      <c r="J1410" s="15"/>
      <c r="K1410" s="19"/>
      <c r="L1410" s="16"/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45"/>
      <c r="Y1410" s="45"/>
      <c r="Z1410" s="45"/>
      <c r="AA1410" s="45"/>
    </row>
    <row r="1412" spans="1:27" x14ac:dyDescent="0.25">
      <c r="N1412" s="17"/>
      <c r="O1412" s="38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550"/>
  <sheetViews>
    <sheetView zoomScaleNormal="100" workbookViewId="0">
      <selection activeCell="O13" sqref="O13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16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638.19012426862901</v>
      </c>
      <c r="E2" s="55"/>
      <c r="F2" s="53" t="s">
        <v>620</v>
      </c>
      <c r="G2" s="53">
        <v>49659046172</v>
      </c>
      <c r="H2" s="62"/>
      <c r="K2" s="51" t="s">
        <v>1</v>
      </c>
      <c r="L2" s="63" t="s">
        <v>572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2.5340870185457801E+40</v>
      </c>
      <c r="E3" s="53"/>
      <c r="F3" s="53" t="s">
        <v>621</v>
      </c>
      <c r="G3" s="53">
        <f>H42/SolarMass</f>
        <v>77166851120.880676</v>
      </c>
      <c r="H3" s="62"/>
      <c r="K3" s="51" t="s">
        <v>562</v>
      </c>
      <c r="L3" s="52">
        <v>1.9403E-2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2648.0902420746802</v>
      </c>
      <c r="E4" s="55"/>
      <c r="F4" s="53" t="s">
        <v>622</v>
      </c>
      <c r="G4" s="52">
        <f>G3/G2</f>
        <v>1.5539334133322684</v>
      </c>
      <c r="H4" s="62"/>
      <c r="K4" s="61" t="s">
        <v>614</v>
      </c>
      <c r="L4" s="52">
        <f>QEHModelChiSquare</f>
        <v>273.3111680074785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1464.3418304258901</v>
      </c>
      <c r="F5" s="53"/>
      <c r="G5" s="52"/>
      <c r="H5" s="62"/>
      <c r="K5" s="61" t="s">
        <v>615</v>
      </c>
      <c r="L5" s="52">
        <f>LCDMModelChiSquare</f>
        <v>313.26309158585957</v>
      </c>
      <c r="M5" s="55"/>
    </row>
    <row r="6" spans="1:13" ht="20.100000000000001" customHeight="1" x14ac:dyDescent="0.25"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2" si="0">RadiusKpc*1000</f>
        <v>90</v>
      </c>
      <c r="C8" s="16">
        <f t="shared" ref="C8:C42" si="1">IF(QESBulgeEffectiveRadius=0,0,RadiusPc/QESBulgeEffectiveRadius)</f>
        <v>0.14102380556756614</v>
      </c>
      <c r="D8" s="15">
        <f t="shared" ref="D8:D42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1.6960047743506622E+39</v>
      </c>
      <c r="F8" s="15">
        <f t="shared" ref="F8:F42" si="3">2*PI()*QESDiskSurfaceDensity*QESDiskScaleLength*(QESDiskScaleLength-EXP(-RadiusPc/QESDiskScaleLength)*(RadiusPc+QESDiskScaleLength))*SolarMass</f>
        <v>7.246157330912013E+37</v>
      </c>
      <c r="H8" s="18">
        <f t="shared" ref="H8:H42" si="4">BulgeMass+DiskMass+HaloMass</f>
        <v>1.7684663476597822E+39</v>
      </c>
      <c r="I8" s="45">
        <v>188.06</v>
      </c>
      <c r="J8" s="45">
        <v>1</v>
      </c>
      <c r="K8" s="19">
        <f t="shared" ref="K8:K42" si="5">SQRT(TotalMass*GravitationalConstant/RadiusKm+UniverseAcceleration*RadiusKm)/km</f>
        <v>206.40222764880664</v>
      </c>
      <c r="L8" s="16">
        <f t="shared" ref="L8:L42" si="6">(ObservedVelocity-ModelVelocity)^2/(VelocityError)^2</f>
        <v>336.43731512064682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0.29771692286486184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3.8327213613524431E+39</v>
      </c>
      <c r="F9" s="15">
        <f t="shared" si="3"/>
        <v>3.1495228353435077E+38</v>
      </c>
      <c r="H9" s="18">
        <f t="shared" si="4"/>
        <v>4.1476736448867937E+39</v>
      </c>
      <c r="I9" s="45">
        <v>224.29</v>
      </c>
      <c r="J9" s="45">
        <v>1</v>
      </c>
      <c r="K9" s="19">
        <f t="shared" si="5"/>
        <v>217.78448323258445</v>
      </c>
      <c r="L9" s="16">
        <f t="shared" si="6"/>
        <v>42.321748411124773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0.4700793518918871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5.8712510045953697E+39</v>
      </c>
      <c r="F10" s="15">
        <f t="shared" si="3"/>
        <v>7.6391756002482617E+38</v>
      </c>
      <c r="H10" s="18">
        <f t="shared" si="4"/>
        <v>6.6351685646201959E+39</v>
      </c>
      <c r="I10" s="45">
        <v>229.93</v>
      </c>
      <c r="J10" s="45">
        <v>1</v>
      </c>
      <c r="K10" s="19">
        <f t="shared" si="5"/>
        <v>219.48897286791941</v>
      </c>
      <c r="L10" s="16">
        <f t="shared" si="6"/>
        <v>109.01504757284307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0.65811109264864187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7.7662990938361121E+39</v>
      </c>
      <c r="F11" s="15">
        <f t="shared" si="3"/>
        <v>1.4532231710673589E+39</v>
      </c>
      <c r="H11" s="18">
        <f t="shared" si="4"/>
        <v>9.2195222649034707E+39</v>
      </c>
      <c r="I11" s="45">
        <v>228.89</v>
      </c>
      <c r="J11" s="45">
        <v>1</v>
      </c>
      <c r="K11" s="19">
        <f t="shared" si="5"/>
        <v>218.9781355441352</v>
      </c>
      <c r="L11" s="16">
        <f t="shared" si="6"/>
        <v>98.24505699143576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0.8774814568648559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9.6215670613362806E+39</v>
      </c>
      <c r="F12" s="15">
        <f t="shared" si="3"/>
        <v>2.4954091604044362E+39</v>
      </c>
      <c r="H12" s="18">
        <f t="shared" si="4"/>
        <v>1.2116976221740716E+40</v>
      </c>
      <c r="I12" s="45">
        <v>225.97</v>
      </c>
      <c r="J12" s="45">
        <v>1</v>
      </c>
      <c r="K12" s="19">
        <f t="shared" si="5"/>
        <v>217.78489674239327</v>
      </c>
      <c r="L12" s="16">
        <f t="shared" si="6"/>
        <v>66.995915337684252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1.0968518210810698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1.1177202992633125E+40</v>
      </c>
      <c r="F13" s="15">
        <f t="shared" si="3"/>
        <v>3.7667175346310842E+39</v>
      </c>
      <c r="H13" s="18">
        <f t="shared" si="4"/>
        <v>1.4943920527264208E+40</v>
      </c>
      <c r="I13" s="45">
        <v>222.52</v>
      </c>
      <c r="J13" s="45">
        <v>1</v>
      </c>
      <c r="K13" s="19">
        <f t="shared" si="5"/>
        <v>216.70881269492833</v>
      </c>
      <c r="L13" s="16">
        <f t="shared" si="6"/>
        <v>33.769897894626297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1.347560808756743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1.2663023527694106E+40</v>
      </c>
      <c r="F14" s="15">
        <f t="shared" si="3"/>
        <v>5.4664813386521873E+39</v>
      </c>
      <c r="H14" s="18">
        <f t="shared" si="4"/>
        <v>1.8129504866346294E+40</v>
      </c>
      <c r="I14" s="45">
        <v>218.71</v>
      </c>
      <c r="J14" s="45">
        <v>1</v>
      </c>
      <c r="K14" s="19">
        <f t="shared" si="5"/>
        <v>215.78661975813182</v>
      </c>
      <c r="L14" s="16">
        <f t="shared" si="6"/>
        <v>8.5461520385453031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1.6296084198918752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1.4062839977654963E+40</v>
      </c>
      <c r="F15" s="15">
        <f t="shared" si="3"/>
        <v>7.6506671751736117E+39</v>
      </c>
      <c r="H15" s="18">
        <f t="shared" si="4"/>
        <v>2.1713507152828574E+40</v>
      </c>
      <c r="I15" s="45">
        <v>215.68</v>
      </c>
      <c r="J15" s="45">
        <v>1</v>
      </c>
      <c r="K15" s="19">
        <f t="shared" si="5"/>
        <v>215.24062930752999</v>
      </c>
      <c r="L15" s="16">
        <f t="shared" si="6"/>
        <v>0.19304660540158589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1.9273253427567369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1.5294609487321613E+40</v>
      </c>
      <c r="F16" s="15">
        <f t="shared" si="3"/>
        <v>1.0219544732946904E+40</v>
      </c>
      <c r="H16" s="18">
        <f t="shared" si="4"/>
        <v>2.5514154220268517E+40</v>
      </c>
      <c r="I16" s="45">
        <v>212.47</v>
      </c>
      <c r="J16" s="45">
        <v>1</v>
      </c>
      <c r="K16" s="19">
        <f t="shared" si="5"/>
        <v>215.05810106213471</v>
      </c>
      <c r="L16" s="16">
        <f t="shared" si="6"/>
        <v>6.6982671078228222</v>
      </c>
    </row>
    <row r="17" spans="1:27" x14ac:dyDescent="0.25">
      <c r="A17" s="45">
        <v>1.45</v>
      </c>
      <c r="B17" s="45">
        <f t="shared" si="0"/>
        <v>1450</v>
      </c>
      <c r="C17" s="16">
        <f t="shared" si="1"/>
        <v>2.2720502008107877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1.6479975369982182E+40</v>
      </c>
      <c r="F17" s="15">
        <f t="shared" si="3"/>
        <v>1.3469471476982753E+40</v>
      </c>
      <c r="H17" s="18">
        <f t="shared" si="4"/>
        <v>2.9949446846964937E+40</v>
      </c>
      <c r="I17" s="45">
        <v>209.7</v>
      </c>
      <c r="J17" s="45">
        <v>1</v>
      </c>
      <c r="K17" s="19">
        <f t="shared" si="5"/>
        <v>215.1889473504763</v>
      </c>
      <c r="L17" s="16">
        <f t="shared" si="6"/>
        <v>30.128543016300892</v>
      </c>
    </row>
    <row r="18" spans="1:27" x14ac:dyDescent="0.25">
      <c r="A18" s="45">
        <v>1.68</v>
      </c>
      <c r="B18" s="45">
        <f t="shared" si="0"/>
        <v>1680</v>
      </c>
      <c r="C18" s="16">
        <f t="shared" si="1"/>
        <v>2.6324443705945675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1.7506901032795521E+40</v>
      </c>
      <c r="F18" s="15">
        <f t="shared" si="3"/>
        <v>1.7114751853897766E+40</v>
      </c>
      <c r="H18" s="18">
        <f t="shared" si="4"/>
        <v>3.4621652886693287E+40</v>
      </c>
      <c r="I18" s="45">
        <v>207.96</v>
      </c>
      <c r="J18" s="45">
        <v>1</v>
      </c>
      <c r="K18" s="19">
        <f t="shared" si="5"/>
        <v>215.5554557199257</v>
      </c>
      <c r="L18" s="16">
        <f t="shared" si="6"/>
        <v>57.690947593351964</v>
      </c>
    </row>
    <row r="19" spans="1:27" x14ac:dyDescent="0.25">
      <c r="A19" s="45">
        <v>1.94</v>
      </c>
      <c r="B19" s="45">
        <f t="shared" si="0"/>
        <v>1940</v>
      </c>
      <c r="C19" s="16">
        <f t="shared" si="1"/>
        <v>3.0398464755675363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1.8468200368410194E+40</v>
      </c>
      <c r="F19" s="15">
        <f t="shared" si="3"/>
        <v>2.1459347922557922E+40</v>
      </c>
      <c r="H19" s="18">
        <f t="shared" si="4"/>
        <v>3.9927548290968117E+40</v>
      </c>
      <c r="I19" s="45">
        <v>207.2</v>
      </c>
      <c r="J19" s="45">
        <v>1</v>
      </c>
      <c r="K19" s="19">
        <f t="shared" si="5"/>
        <v>216.09834808249951</v>
      </c>
      <c r="L19" s="16">
        <f t="shared" si="6"/>
        <v>79.180598597322955</v>
      </c>
    </row>
    <row r="20" spans="1:27" s="17" customFormat="1" x14ac:dyDescent="0.25">
      <c r="A20" s="45">
        <v>2.23</v>
      </c>
      <c r="B20" s="45">
        <f t="shared" si="0"/>
        <v>2230</v>
      </c>
      <c r="C20" s="16">
        <f t="shared" si="1"/>
        <v>3.4942565157296941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1.9349910498291826E+40</v>
      </c>
      <c r="F20" s="15">
        <f t="shared" si="3"/>
        <v>2.6490905635431213E+40</v>
      </c>
      <c r="G20" s="15"/>
      <c r="H20" s="18">
        <f t="shared" si="4"/>
        <v>4.5840816133723038E+40</v>
      </c>
      <c r="I20" s="45">
        <v>207.3</v>
      </c>
      <c r="J20" s="45">
        <v>1</v>
      </c>
      <c r="K20" s="19">
        <f t="shared" si="5"/>
        <v>216.72838284157416</v>
      </c>
      <c r="L20" s="16">
        <f t="shared" si="6"/>
        <v>88.89440300728981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</row>
    <row r="21" spans="1:27" s="17" customFormat="1" x14ac:dyDescent="0.25">
      <c r="A21" s="45">
        <v>2.54</v>
      </c>
      <c r="B21" s="45">
        <f t="shared" si="0"/>
        <v>2540</v>
      </c>
      <c r="C21" s="16">
        <f t="shared" si="1"/>
        <v>3.9800051793513105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2.0121469368807484E+40</v>
      </c>
      <c r="F21" s="15">
        <f t="shared" si="3"/>
        <v>3.1984785536606591E+40</v>
      </c>
      <c r="G21" s="15"/>
      <c r="H21" s="18">
        <f t="shared" si="4"/>
        <v>5.2106254905414073E+40</v>
      </c>
      <c r="I21" s="45">
        <v>207.96</v>
      </c>
      <c r="J21" s="45">
        <v>1</v>
      </c>
      <c r="K21" s="19">
        <f t="shared" si="5"/>
        <v>217.32200464451915</v>
      </c>
      <c r="L21" s="16">
        <f t="shared" si="6"/>
        <v>87.647130963998066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</row>
    <row r="22" spans="1:27" s="17" customFormat="1" x14ac:dyDescent="0.25">
      <c r="A22" s="45">
        <v>2.89</v>
      </c>
      <c r="B22" s="45">
        <f t="shared" si="0"/>
        <v>2890</v>
      </c>
      <c r="C22" s="16">
        <f t="shared" si="1"/>
        <v>4.5284310898918454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2.0833037116890276E+40</v>
      </c>
      <c r="F22" s="15">
        <f t="shared" si="3"/>
        <v>3.8218517417110171E+40</v>
      </c>
      <c r="G22" s="15"/>
      <c r="H22" s="18">
        <f t="shared" si="4"/>
        <v>5.9051554534000446E+40</v>
      </c>
      <c r="I22" s="45">
        <v>209.73</v>
      </c>
      <c r="J22" s="45">
        <v>1</v>
      </c>
      <c r="K22" s="19">
        <f t="shared" si="5"/>
        <v>217.82339920650261</v>
      </c>
      <c r="L22" s="16">
        <f t="shared" si="6"/>
        <v>65.503110715817314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</row>
    <row r="23" spans="1:27" s="17" customFormat="1" x14ac:dyDescent="0.25">
      <c r="A23" s="45">
        <v>3.27</v>
      </c>
      <c r="B23" s="45">
        <f t="shared" si="0"/>
        <v>3270</v>
      </c>
      <c r="C23" s="16">
        <f t="shared" si="1"/>
        <v>5.1238649356215689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2.144470730351301E+40</v>
      </c>
      <c r="F23" s="15">
        <f t="shared" si="3"/>
        <v>4.4908359950977384E+40</v>
      </c>
      <c r="G23" s="15"/>
      <c r="H23" s="18">
        <f t="shared" si="4"/>
        <v>6.6353067254490396E+40</v>
      </c>
      <c r="I23" s="45">
        <v>213.12</v>
      </c>
      <c r="J23" s="45">
        <v>1</v>
      </c>
      <c r="K23" s="19">
        <f t="shared" si="5"/>
        <v>218.10166725349231</v>
      </c>
      <c r="L23" s="16">
        <f t="shared" si="6"/>
        <v>24.817008624517559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</row>
    <row r="24" spans="1:27" s="17" customFormat="1" x14ac:dyDescent="0.25">
      <c r="A24" s="45">
        <v>3.69</v>
      </c>
      <c r="B24" s="45">
        <f t="shared" si="0"/>
        <v>3690</v>
      </c>
      <c r="C24" s="16">
        <f t="shared" si="1"/>
        <v>5.7819760282702113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2.1998053739202794E+40</v>
      </c>
      <c r="F24" s="15">
        <f t="shared" si="3"/>
        <v>5.2091915732485646E+40</v>
      </c>
      <c r="G24" s="15"/>
      <c r="H24" s="18">
        <f t="shared" si="4"/>
        <v>7.4089969471688445E+40</v>
      </c>
      <c r="I24" s="45">
        <v>217.68</v>
      </c>
      <c r="J24" s="45">
        <v>1</v>
      </c>
      <c r="K24" s="19">
        <f t="shared" si="5"/>
        <v>218.12954929568019</v>
      </c>
      <c r="L24" s="16">
        <f t="shared" si="6"/>
        <v>0.20209456924655078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</row>
    <row r="25" spans="1:27" s="17" customFormat="1" x14ac:dyDescent="0.25">
      <c r="A25" s="45">
        <v>4.1500000000000004</v>
      </c>
      <c r="B25" s="45">
        <f t="shared" si="0"/>
        <v>4150</v>
      </c>
      <c r="C25" s="16">
        <f t="shared" si="1"/>
        <v>6.5027643678377709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2.2490964314610713E+40</v>
      </c>
      <c r="F25" s="15">
        <f t="shared" si="3"/>
        <v>5.9598448627512E+40</v>
      </c>
      <c r="G25" s="15"/>
      <c r="H25" s="18">
        <f t="shared" si="4"/>
        <v>8.2089412942122714E+40</v>
      </c>
      <c r="I25" s="45">
        <v>222.09</v>
      </c>
      <c r="J25" s="45">
        <v>1</v>
      </c>
      <c r="K25" s="19">
        <f t="shared" si="5"/>
        <v>217.83836239394051</v>
      </c>
      <c r="L25" s="16">
        <f t="shared" si="6"/>
        <v>18.076422333259266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</row>
    <row r="26" spans="1:27" s="17" customFormat="1" x14ac:dyDescent="0.25">
      <c r="A26" s="45">
        <v>4.6500000000000004</v>
      </c>
      <c r="B26" s="45">
        <f t="shared" si="0"/>
        <v>4650</v>
      </c>
      <c r="C26" s="16">
        <f t="shared" si="1"/>
        <v>7.2862299543242495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2.2929961854320387E+40</v>
      </c>
      <c r="F26" s="15">
        <f t="shared" si="3"/>
        <v>6.7239569107379525E+40</v>
      </c>
      <c r="G26" s="15"/>
      <c r="H26" s="18">
        <f t="shared" si="4"/>
        <v>9.0169530961699912E+40</v>
      </c>
      <c r="I26" s="45">
        <v>225.26</v>
      </c>
      <c r="J26" s="45">
        <v>1</v>
      </c>
      <c r="K26" s="19">
        <f t="shared" si="5"/>
        <v>217.19616548198871</v>
      </c>
      <c r="L26" s="16">
        <f t="shared" si="6"/>
        <v>65.025427133870153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</row>
    <row r="27" spans="1:27" s="17" customFormat="1" x14ac:dyDescent="0.25">
      <c r="A27" s="45">
        <v>5.21</v>
      </c>
      <c r="B27" s="45">
        <f t="shared" si="0"/>
        <v>5210</v>
      </c>
      <c r="C27" s="16">
        <f t="shared" si="1"/>
        <v>8.1637114111891051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2.3319598597066471E+40</v>
      </c>
      <c r="F27" s="15">
        <f t="shared" si="3"/>
        <v>7.5090460446750763E+40</v>
      </c>
      <c r="G27" s="15"/>
      <c r="H27" s="18">
        <f t="shared" si="4"/>
        <v>9.8410059043817224E+40</v>
      </c>
      <c r="I27" s="45">
        <v>226.83</v>
      </c>
      <c r="J27" s="45">
        <v>1</v>
      </c>
      <c r="K27" s="19">
        <f t="shared" si="5"/>
        <v>216.14161047892961</v>
      </c>
      <c r="L27" s="16">
        <f t="shared" si="6"/>
        <v>114.24167055412765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</row>
    <row r="28" spans="1:27" s="17" customFormat="1" x14ac:dyDescent="0.25">
      <c r="A28" s="45">
        <v>5.82</v>
      </c>
      <c r="B28" s="45">
        <f t="shared" si="0"/>
        <v>5820</v>
      </c>
      <c r="C28" s="16">
        <f t="shared" si="1"/>
        <v>9.1195394267026089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2.3651701148271288E+40</v>
      </c>
      <c r="F28" s="15">
        <f t="shared" si="3"/>
        <v>8.2762588043696515E+40</v>
      </c>
      <c r="G28" s="15"/>
      <c r="H28" s="18">
        <f t="shared" si="4"/>
        <v>1.064142891919678E+41</v>
      </c>
      <c r="I28" s="45">
        <v>227.49</v>
      </c>
      <c r="J28" s="45">
        <v>1</v>
      </c>
      <c r="K28" s="19">
        <f t="shared" si="5"/>
        <v>214.70029792891637</v>
      </c>
      <c r="L28" s="16">
        <f t="shared" si="6"/>
        <v>163.57647906708112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</row>
    <row r="29" spans="1:27" s="17" customFormat="1" x14ac:dyDescent="0.25">
      <c r="A29" s="45">
        <v>6.49</v>
      </c>
      <c r="B29" s="45">
        <f t="shared" si="0"/>
        <v>6490</v>
      </c>
      <c r="C29" s="16">
        <f t="shared" si="1"/>
        <v>10.169383312594491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2.3936240275218695E+40</v>
      </c>
      <c r="F29" s="15">
        <f t="shared" si="3"/>
        <v>9.0150213909047226E+40</v>
      </c>
      <c r="G29" s="15"/>
      <c r="H29" s="18">
        <f t="shared" si="4"/>
        <v>1.1408645418426593E+41</v>
      </c>
      <c r="I29" s="45">
        <v>227.66</v>
      </c>
      <c r="J29" s="45">
        <v>1</v>
      </c>
      <c r="K29" s="19">
        <f t="shared" si="5"/>
        <v>212.89508810949715</v>
      </c>
      <c r="L29" s="16">
        <f t="shared" si="6"/>
        <v>218.00262313431227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</row>
    <row r="30" spans="1:27" s="17" customFormat="1" x14ac:dyDescent="0.25">
      <c r="A30" s="45">
        <v>7.23</v>
      </c>
      <c r="B30" s="45">
        <f t="shared" si="0"/>
        <v>7230</v>
      </c>
      <c r="C30" s="16">
        <f t="shared" si="1"/>
        <v>11.328912380594479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2.4180728835560106E+40</v>
      </c>
      <c r="F30" s="15">
        <f t="shared" si="3"/>
        <v>9.7121231043698272E+40</v>
      </c>
      <c r="G30" s="15"/>
      <c r="H30" s="18">
        <f t="shared" si="4"/>
        <v>1.2130195987925837E+41</v>
      </c>
      <c r="I30" s="45">
        <v>227.44</v>
      </c>
      <c r="J30" s="45">
        <v>1</v>
      </c>
      <c r="K30" s="19">
        <f t="shared" si="5"/>
        <v>210.77004966456258</v>
      </c>
      <c r="L30" s="16">
        <f t="shared" si="6"/>
        <v>277.88724418595018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</row>
    <row r="31" spans="1:27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12.613795942432304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2.4391855014277894E+40</v>
      </c>
      <c r="F31" s="15">
        <f t="shared" si="3"/>
        <v>1.0353236989994425E+41</v>
      </c>
      <c r="G31" s="15"/>
      <c r="H31" s="18">
        <f t="shared" si="4"/>
        <v>1.2792422491422214E+41</v>
      </c>
      <c r="I31" s="45">
        <v>226.79</v>
      </c>
      <c r="J31" s="45">
        <v>1</v>
      </c>
      <c r="K31" s="19">
        <f t="shared" si="5"/>
        <v>208.39753033868521</v>
      </c>
      <c r="L31" s="16">
        <f t="shared" si="6"/>
        <v>338.28294024238454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</row>
    <row r="32" spans="1:27" s="17" customFormat="1" x14ac:dyDescent="0.25">
      <c r="A32" s="45">
        <v>8.94</v>
      </c>
      <c r="B32" s="45">
        <f t="shared" si="0"/>
        <v>8940</v>
      </c>
      <c r="C32" s="16">
        <f t="shared" si="1"/>
        <v>14.008364686378235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2.4570844548774157E+40</v>
      </c>
      <c r="F32" s="15">
        <f t="shared" si="3"/>
        <v>1.0913763286920874E+41</v>
      </c>
      <c r="G32" s="15"/>
      <c r="H32" s="18">
        <f t="shared" si="4"/>
        <v>1.337084774179829E+41</v>
      </c>
      <c r="I32" s="45">
        <v>225.89</v>
      </c>
      <c r="J32" s="45">
        <v>1</v>
      </c>
      <c r="K32" s="19">
        <f t="shared" si="5"/>
        <v>205.93359643067848</v>
      </c>
      <c r="L32" s="16">
        <f t="shared" si="6"/>
        <v>398.25804342162826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</row>
    <row r="33" spans="1:27" s="17" customFormat="1" x14ac:dyDescent="0.25">
      <c r="A33" s="45">
        <v>9.93</v>
      </c>
      <c r="B33" s="45">
        <f t="shared" si="0"/>
        <v>9930</v>
      </c>
      <c r="C33" s="16">
        <f t="shared" si="1"/>
        <v>15.559626547621463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2.4705970782824627E+40</v>
      </c>
      <c r="F33" s="15">
        <f t="shared" si="3"/>
        <v>1.1399718434060977E+41</v>
      </c>
      <c r="G33" s="15"/>
      <c r="H33" s="18">
        <f t="shared" si="4"/>
        <v>1.3870315512343439E+41</v>
      </c>
      <c r="I33" s="45">
        <v>224.7</v>
      </c>
      <c r="J33" s="45">
        <v>1</v>
      </c>
      <c r="K33" s="19">
        <f t="shared" si="5"/>
        <v>203.43404299670911</v>
      </c>
      <c r="L33" s="16">
        <f t="shared" si="6"/>
        <v>452.24092726581637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</row>
    <row r="34" spans="1:27" s="17" customFormat="1" x14ac:dyDescent="0.25">
      <c r="A34" s="45">
        <v>11.01</v>
      </c>
      <c r="B34" s="45">
        <f t="shared" si="0"/>
        <v>11010</v>
      </c>
      <c r="C34" s="16">
        <f t="shared" si="1"/>
        <v>17.251912214432256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2.4812151545529451E+40</v>
      </c>
      <c r="F34" s="15">
        <f t="shared" si="3"/>
        <v>1.1798030784238982E+41</v>
      </c>
      <c r="G34" s="15"/>
      <c r="H34" s="18">
        <f t="shared" si="4"/>
        <v>1.4279245938791926E+41</v>
      </c>
      <c r="I34" s="45">
        <v>223.73</v>
      </c>
      <c r="J34" s="45">
        <v>1</v>
      </c>
      <c r="K34" s="19">
        <f t="shared" si="5"/>
        <v>201.09808137873478</v>
      </c>
      <c r="L34" s="16">
        <f t="shared" si="6"/>
        <v>512.20374047957114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</row>
    <row r="35" spans="1:27" s="17" customFormat="1" x14ac:dyDescent="0.25">
      <c r="A35" s="45">
        <v>12.2</v>
      </c>
      <c r="B35" s="45">
        <f t="shared" si="0"/>
        <v>12200</v>
      </c>
      <c r="C35" s="16">
        <f t="shared" si="1"/>
        <v>19.116560310270074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2.492914701554681E+40</v>
      </c>
      <c r="F35" s="15">
        <f t="shared" si="3"/>
        <v>1.211527976378938E+41</v>
      </c>
      <c r="G35" s="15"/>
      <c r="H35" s="18">
        <f t="shared" si="4"/>
        <v>1.4608194465344062E+41</v>
      </c>
      <c r="I35" s="45">
        <v>222.43</v>
      </c>
      <c r="J35" s="45">
        <v>1</v>
      </c>
      <c r="K35" s="19">
        <f t="shared" si="5"/>
        <v>199.0639603069047</v>
      </c>
      <c r="L35" s="16">
        <f t="shared" si="6"/>
        <v>545.97181093930521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</row>
    <row r="36" spans="1:27" s="17" customFormat="1" x14ac:dyDescent="0.25">
      <c r="A36" s="45">
        <v>13.51</v>
      </c>
      <c r="B36" s="45">
        <f t="shared" si="0"/>
        <v>13510</v>
      </c>
      <c r="C36" s="16">
        <f t="shared" si="1"/>
        <v>21.169240146864649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2.5017762660960865E+40</v>
      </c>
      <c r="F36" s="15">
        <f t="shared" si="3"/>
        <v>1.2356916841329466E+41</v>
      </c>
      <c r="G36" s="15"/>
      <c r="H36" s="18">
        <f t="shared" si="4"/>
        <v>1.4858693107425552E+41</v>
      </c>
      <c r="I36" s="45">
        <v>217.24</v>
      </c>
      <c r="J36" s="45">
        <v>1</v>
      </c>
      <c r="K36" s="19">
        <f t="shared" si="5"/>
        <v>197.45956926431862</v>
      </c>
      <c r="L36" s="16">
        <f t="shared" si="6"/>
        <v>391.26544008908911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</row>
    <row r="37" spans="1:27" s="17" customFormat="1" x14ac:dyDescent="0.25">
      <c r="A37" s="45">
        <v>14.95</v>
      </c>
      <c r="B37" s="45">
        <f t="shared" si="0"/>
        <v>14950</v>
      </c>
      <c r="C37" s="16">
        <f t="shared" si="1"/>
        <v>23.425621035945706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2.508180275478391E+40</v>
      </c>
      <c r="F37" s="15">
        <f t="shared" si="3"/>
        <v>1.2532158185234303E+41</v>
      </c>
      <c r="G37" s="15"/>
      <c r="H37" s="18">
        <f t="shared" si="4"/>
        <v>1.5040338460712694E+41</v>
      </c>
      <c r="I37" s="45">
        <v>208.27</v>
      </c>
      <c r="J37" s="45">
        <v>1</v>
      </c>
      <c r="K37" s="19">
        <f t="shared" si="5"/>
        <v>196.42321741398737</v>
      </c>
      <c r="L37" s="16">
        <f t="shared" si="6"/>
        <v>140.34625764025225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</row>
    <row r="38" spans="1:27" s="17" customFormat="1" x14ac:dyDescent="0.25">
      <c r="A38" s="45">
        <v>16.54</v>
      </c>
      <c r="B38" s="45">
        <f t="shared" si="0"/>
        <v>16540</v>
      </c>
      <c r="C38" s="16">
        <f t="shared" si="1"/>
        <v>25.917041600972709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2.514242812535396E+40</v>
      </c>
      <c r="F38" s="15">
        <f t="shared" si="3"/>
        <v>1.2653248816002168E+41</v>
      </c>
      <c r="G38" s="15"/>
      <c r="H38" s="18">
        <f t="shared" si="4"/>
        <v>1.5167491628537563E+41</v>
      </c>
      <c r="I38" s="45">
        <v>195.99</v>
      </c>
      <c r="J38" s="45">
        <v>1</v>
      </c>
      <c r="K38" s="19">
        <f t="shared" si="5"/>
        <v>196.07569029986806</v>
      </c>
      <c r="L38" s="16">
        <f t="shared" si="6"/>
        <v>7.3428274914760236E-3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</row>
    <row r="39" spans="1:27" s="17" customFormat="1" x14ac:dyDescent="0.25">
      <c r="A39" s="45">
        <v>18.29</v>
      </c>
      <c r="B39" s="45">
        <f t="shared" si="0"/>
        <v>18290</v>
      </c>
      <c r="C39" s="16">
        <f t="shared" si="1"/>
        <v>28.659171153675384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2.5190096858386308E+40</v>
      </c>
      <c r="F39" s="15">
        <f t="shared" si="3"/>
        <v>1.2731919259143108E+41</v>
      </c>
      <c r="G39" s="15"/>
      <c r="H39" s="18">
        <f t="shared" si="4"/>
        <v>1.5250928944981738E+41</v>
      </c>
      <c r="I39" s="45">
        <v>176.59</v>
      </c>
      <c r="J39" s="45">
        <v>1</v>
      </c>
      <c r="K39" s="19">
        <f t="shared" si="5"/>
        <v>196.5088462122832</v>
      </c>
      <c r="L39" s="16">
        <f t="shared" si="6"/>
        <v>396.76043442858878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</row>
    <row r="40" spans="1:27" s="17" customFormat="1" x14ac:dyDescent="0.25">
      <c r="A40" s="45">
        <v>20.2</v>
      </c>
      <c r="B40" s="45">
        <f t="shared" si="0"/>
        <v>20200</v>
      </c>
      <c r="C40" s="16">
        <f t="shared" si="1"/>
        <v>31.652009694053731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2.5228308965724906E+40</v>
      </c>
      <c r="F40" s="15">
        <f t="shared" si="3"/>
        <v>1.2779605356369585E+41</v>
      </c>
      <c r="G40" s="15"/>
      <c r="H40" s="18">
        <f t="shared" si="4"/>
        <v>1.5302436252942077E+41</v>
      </c>
      <c r="I40" s="45">
        <v>165.78</v>
      </c>
      <c r="J40" s="45">
        <v>1</v>
      </c>
      <c r="K40" s="19">
        <f t="shared" si="5"/>
        <v>197.77448207783996</v>
      </c>
      <c r="L40" s="16">
        <f t="shared" si="6"/>
        <v>1023.6468834292225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</row>
    <row r="41" spans="1:27" x14ac:dyDescent="0.25">
      <c r="A41" s="45">
        <v>22.32</v>
      </c>
      <c r="B41" s="45">
        <f t="shared" si="0"/>
        <v>22320</v>
      </c>
      <c r="C41" s="16">
        <f t="shared" si="1"/>
        <v>34.973903780756402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2.5258276934233171E+40</v>
      </c>
      <c r="F41" s="15">
        <f t="shared" si="3"/>
        <v>1.2807042867565648E+41</v>
      </c>
      <c r="H41" s="18">
        <f t="shared" si="4"/>
        <v>1.5332870560988966E+41</v>
      </c>
      <c r="I41" s="45">
        <v>167.44</v>
      </c>
      <c r="J41" s="45">
        <v>1</v>
      </c>
      <c r="K41" s="19">
        <f t="shared" si="5"/>
        <v>199.93355773972146</v>
      </c>
      <c r="L41" s="16">
        <f t="shared" si="6"/>
        <v>1055.8312945846128</v>
      </c>
    </row>
    <row r="42" spans="1:27" x14ac:dyDescent="0.25">
      <c r="A42" s="45">
        <v>24.64</v>
      </c>
      <c r="B42" s="45">
        <f t="shared" si="0"/>
        <v>24640</v>
      </c>
      <c r="C42" s="16">
        <f t="shared" si="1"/>
        <v>38.609184102053661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2.5278084768637454E+40</v>
      </c>
      <c r="F42" s="15">
        <f t="shared" si="3"/>
        <v>1.282144987959063E+41</v>
      </c>
      <c r="H42" s="18">
        <f t="shared" si="4"/>
        <v>1.5349258356454374E+41</v>
      </c>
      <c r="I42" s="45">
        <v>167.98</v>
      </c>
      <c r="J42" s="45">
        <v>1</v>
      </c>
      <c r="K42" s="19">
        <f t="shared" si="5"/>
        <v>202.97621325668385</v>
      </c>
      <c r="L42" s="16">
        <f t="shared" si="6"/>
        <v>1224.7349423072951</v>
      </c>
    </row>
    <row r="43" spans="1:27" x14ac:dyDescent="0.25">
      <c r="A43" s="45"/>
      <c r="I43" s="45"/>
      <c r="J43" s="45"/>
      <c r="L43" s="16">
        <f>SUM(L8:L42)/(COUNT(L8:L42)-4)</f>
        <v>273.3111680074785</v>
      </c>
    </row>
    <row r="44" spans="1:27" x14ac:dyDescent="0.25">
      <c r="A44" s="45"/>
      <c r="I44" s="45"/>
      <c r="J44" s="45"/>
    </row>
    <row r="45" spans="1:27" ht="21" x14ac:dyDescent="0.35">
      <c r="A45" s="46" t="s">
        <v>564</v>
      </c>
      <c r="I45" s="45"/>
      <c r="J45" s="45"/>
    </row>
    <row r="46" spans="1:27" x14ac:dyDescent="0.25">
      <c r="A46" s="45" t="s">
        <v>30</v>
      </c>
      <c r="D46" s="16">
        <v>0.71</v>
      </c>
      <c r="E46" s="17">
        <f>$D$46*1000</f>
        <v>710</v>
      </c>
      <c r="F46" s="17"/>
      <c r="G46" s="17"/>
      <c r="H46" s="15"/>
      <c r="K46" s="15"/>
      <c r="M46" s="45"/>
    </row>
    <row r="47" spans="1:27" x14ac:dyDescent="0.25">
      <c r="A47" s="45" t="s">
        <v>16</v>
      </c>
      <c r="D47" s="16">
        <v>1.84</v>
      </c>
      <c r="E47" s="15">
        <f>D47*10000000000*SolarMass</f>
        <v>3.6599439999999996E+40</v>
      </c>
      <c r="F47" s="43"/>
      <c r="G47" s="43"/>
      <c r="H47" s="15"/>
      <c r="K47" s="15"/>
      <c r="M47" s="45"/>
    </row>
    <row r="48" spans="1:27" x14ac:dyDescent="0.25">
      <c r="A48" s="45" t="s">
        <v>569</v>
      </c>
      <c r="D48" s="16">
        <v>3.1</v>
      </c>
      <c r="E48" s="15">
        <f>D48*1000</f>
        <v>3100</v>
      </c>
      <c r="H48" s="15"/>
      <c r="K48" s="15"/>
      <c r="M48" s="45"/>
    </row>
    <row r="49" spans="1:27" x14ac:dyDescent="0.25">
      <c r="A49" s="45" t="s">
        <v>17</v>
      </c>
      <c r="D49" s="45">
        <v>3.1</v>
      </c>
      <c r="G49" s="16"/>
      <c r="H49" s="15"/>
      <c r="K49" s="15"/>
      <c r="M49" s="45"/>
    </row>
    <row r="50" spans="1:27" x14ac:dyDescent="0.25">
      <c r="A50" s="45" t="s">
        <v>570</v>
      </c>
      <c r="D50" s="16">
        <v>6.4</v>
      </c>
      <c r="E50" s="17">
        <f>D50*1000</f>
        <v>6400</v>
      </c>
      <c r="H50" s="15"/>
      <c r="K50" s="15"/>
      <c r="M50" s="45"/>
    </row>
    <row r="51" spans="1:27" x14ac:dyDescent="0.25">
      <c r="A51" s="45" t="s">
        <v>571</v>
      </c>
      <c r="D51" s="16">
        <v>3.1</v>
      </c>
      <c r="G51" s="9"/>
      <c r="H51" s="15"/>
      <c r="K51" s="15"/>
      <c r="M51" s="45"/>
    </row>
    <row r="52" spans="1:27" x14ac:dyDescent="0.25">
      <c r="A52" s="45"/>
      <c r="D52" s="12"/>
      <c r="H52" s="15"/>
      <c r="K52" s="15"/>
      <c r="M52" s="45"/>
    </row>
    <row r="53" spans="1:27" x14ac:dyDescent="0.25">
      <c r="A53" s="17" t="s">
        <v>567</v>
      </c>
      <c r="D53" s="17">
        <f>(D49*10000000000)/(2*PI()*DiskScaleLengthPc^2)</f>
        <v>513.40304223192049</v>
      </c>
      <c r="H53" s="15"/>
      <c r="K53" s="15"/>
      <c r="M53" s="45"/>
    </row>
    <row r="54" spans="1:27" x14ac:dyDescent="0.25">
      <c r="A54" s="17" t="s">
        <v>565</v>
      </c>
      <c r="D54" s="9">
        <f>(D51*10000000000)/(4*PI()*(LCDMHaloScaleLengthPc)^3*(LN(2)-1/2))</f>
        <v>4.8721823581273395E-2</v>
      </c>
      <c r="H54" s="15"/>
      <c r="K54" s="15"/>
      <c r="M54" s="45"/>
    </row>
    <row r="55" spans="1:27" x14ac:dyDescent="0.25">
      <c r="A55" s="19"/>
      <c r="H55" s="15"/>
      <c r="K55" s="15"/>
      <c r="M55" s="45"/>
    </row>
    <row r="56" spans="1:27" ht="45" x14ac:dyDescent="0.25">
      <c r="A56" s="25" t="s">
        <v>20</v>
      </c>
      <c r="B56" s="3" t="s">
        <v>19</v>
      </c>
      <c r="C56" s="7" t="s">
        <v>27</v>
      </c>
      <c r="D56" s="4" t="s">
        <v>649</v>
      </c>
      <c r="E56" s="4" t="s">
        <v>21</v>
      </c>
      <c r="F56" s="4" t="s">
        <v>22</v>
      </c>
      <c r="G56" s="4" t="s">
        <v>28</v>
      </c>
      <c r="H56" s="4" t="s">
        <v>23</v>
      </c>
      <c r="I56" s="7" t="s">
        <v>645</v>
      </c>
      <c r="J56" s="7" t="s">
        <v>646</v>
      </c>
      <c r="K56" s="25" t="s">
        <v>647</v>
      </c>
      <c r="L56" s="3" t="s">
        <v>648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5">
      <c r="A57" s="45">
        <v>0.09</v>
      </c>
      <c r="B57" s="45">
        <f>A57*1000</f>
        <v>90</v>
      </c>
      <c r="C57" s="16">
        <f>B57/LCDMBulgeEffectiveRadius</f>
        <v>0.12676056338028169</v>
      </c>
      <c r="D57" s="15">
        <f>A57*kpc</f>
        <v>2.777109822E+18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2.1590586999278868E+39</v>
      </c>
      <c r="F57" s="15">
        <f t="shared" ref="F57:F91" si="7">2*PI()*LCDMDiskSurfaceDensity*LCDMScaleLength*(LCDMScaleLength-EXP(-RadiusPc/LCDMScaleLength)*(RadiusPc+LCDMScaleLength))*SolarMass</f>
        <v>2.5489095730736791E+37</v>
      </c>
      <c r="G57" s="15">
        <f t="shared" ref="G57:G91" si="8">4*PI()*LCDMHaloRepresentativeDensity*LCDMHaloScaleLengthPc^3*(LN(1+RadiusPc/LCDMHaloScaleLengthPc)-RadiusPc/(RadiusPc+LCDMHaloScaleLengthPc))*SolarMass</f>
        <v>3.0983752149043767E+37</v>
      </c>
      <c r="H57" s="15">
        <f t="shared" ref="H57:H91" si="9">BulgeMass+DiskMass+HaloMass</f>
        <v>2.2155315478076673E+39</v>
      </c>
      <c r="I57" s="45">
        <v>188.06</v>
      </c>
      <c r="J57" s="45">
        <v>1</v>
      </c>
      <c r="K57" s="19">
        <f t="shared" ref="K57:K91" si="10">SQRT(TotalMass*GravitationalConstant/RadiusKm)/km</f>
        <v>230.74810657600693</v>
      </c>
      <c r="L57" s="16">
        <f t="shared" ref="L57:L91" si="11">(ObservedVelocity-ModelVelocity)^2/(VelocityError)^2</f>
        <v>1822.2744430445262</v>
      </c>
      <c r="M57" s="45"/>
    </row>
    <row r="58" spans="1:27" x14ac:dyDescent="0.25">
      <c r="A58" s="45">
        <v>0.19</v>
      </c>
      <c r="B58" s="45">
        <f t="shared" ref="B58:B91" si="12">A58*1000</f>
        <v>190</v>
      </c>
      <c r="C58" s="16">
        <f t="shared" ref="C58:C91" si="13">B58/LCDMBulgeEffectiveRadius</f>
        <v>0.26760563380281688</v>
      </c>
      <c r="D58" s="15">
        <f t="shared" ref="D58:D91" si="14">A58*kpc</f>
        <v>5.862787402E+18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4.9546703248878858E+39</v>
      </c>
      <c r="F58" s="15">
        <f t="shared" si="7"/>
        <v>1.1119165753360897E+38</v>
      </c>
      <c r="G58" s="15">
        <f t="shared" si="8"/>
        <v>1.3529630802327605E+38</v>
      </c>
      <c r="H58" s="15">
        <f t="shared" si="9"/>
        <v>5.2011582904447705E+39</v>
      </c>
      <c r="I58" s="45">
        <v>224.29</v>
      </c>
      <c r="J58" s="45">
        <v>1</v>
      </c>
      <c r="K58" s="19">
        <f t="shared" si="10"/>
        <v>243.32888532319805</v>
      </c>
      <c r="L58" s="16">
        <f t="shared" si="11"/>
        <v>362.47915434988647</v>
      </c>
      <c r="M58" s="45"/>
    </row>
    <row r="59" spans="1:27" x14ac:dyDescent="0.25">
      <c r="A59" s="45">
        <v>0.3</v>
      </c>
      <c r="B59" s="45">
        <f t="shared" si="12"/>
        <v>300</v>
      </c>
      <c r="C59" s="16">
        <f t="shared" si="13"/>
        <v>0.42253521126760563</v>
      </c>
      <c r="D59" s="15">
        <f t="shared" si="14"/>
        <v>9.25703274E+18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7.712728862467604E+39</v>
      </c>
      <c r="F59" s="15">
        <f t="shared" si="7"/>
        <v>2.7077084562403398E+38</v>
      </c>
      <c r="G59" s="15">
        <f t="shared" si="8"/>
        <v>3.2991752347471286E+38</v>
      </c>
      <c r="H59" s="15">
        <f t="shared" si="9"/>
        <v>8.3134172315663513E+39</v>
      </c>
      <c r="I59" s="45">
        <v>229.93</v>
      </c>
      <c r="J59" s="45">
        <v>1</v>
      </c>
      <c r="K59" s="19">
        <f t="shared" si="10"/>
        <v>244.82152161404923</v>
      </c>
      <c r="L59" s="16">
        <f t="shared" si="11"/>
        <v>221.75741598169523</v>
      </c>
      <c r="M59" s="45"/>
    </row>
    <row r="60" spans="1:27" x14ac:dyDescent="0.25">
      <c r="A60" s="45">
        <v>0.42</v>
      </c>
      <c r="B60" s="45">
        <f t="shared" si="12"/>
        <v>420</v>
      </c>
      <c r="C60" s="16">
        <f t="shared" si="13"/>
        <v>0.59154929577464788</v>
      </c>
      <c r="D60" s="15">
        <f t="shared" si="14"/>
        <v>1.2959845836E+19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1.0310103486805632E+40</v>
      </c>
      <c r="F60" s="15">
        <f t="shared" si="7"/>
        <v>5.1732048089941627E+38</v>
      </c>
      <c r="G60" s="15">
        <f t="shared" si="8"/>
        <v>6.31444373883577E+38</v>
      </c>
      <c r="H60" s="15">
        <f t="shared" si="9"/>
        <v>1.1458868341588626E+40</v>
      </c>
      <c r="I60" s="45">
        <v>228.89</v>
      </c>
      <c r="J60" s="45">
        <v>1</v>
      </c>
      <c r="K60" s="19">
        <f t="shared" si="10"/>
        <v>242.92188984775473</v>
      </c>
      <c r="L60" s="16">
        <f t="shared" si="11"/>
        <v>196.89393269952257</v>
      </c>
      <c r="M60" s="45"/>
    </row>
    <row r="61" spans="1:27" x14ac:dyDescent="0.25">
      <c r="A61" s="45">
        <v>0.56000000000000005</v>
      </c>
      <c r="B61" s="45">
        <f t="shared" si="12"/>
        <v>560</v>
      </c>
      <c r="C61" s="16">
        <f t="shared" si="13"/>
        <v>0.78873239436619713</v>
      </c>
      <c r="D61" s="15">
        <f t="shared" si="14"/>
        <v>1.7279794448000002E+19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1.2876353122591546E+40</v>
      </c>
      <c r="F61" s="15">
        <f t="shared" si="7"/>
        <v>8.9276189724267508E+38</v>
      </c>
      <c r="G61" s="15">
        <f t="shared" si="8"/>
        <v>1.0923797176338578E+39</v>
      </c>
      <c r="H61" s="15">
        <f t="shared" si="9"/>
        <v>1.486149473746808E+40</v>
      </c>
      <c r="I61" s="45">
        <v>225.97</v>
      </c>
      <c r="J61" s="45">
        <v>1</v>
      </c>
      <c r="K61" s="19">
        <f t="shared" si="10"/>
        <v>239.58391868920637</v>
      </c>
      <c r="L61" s="16">
        <f t="shared" si="11"/>
        <v>185.33878207632253</v>
      </c>
      <c r="M61" s="45"/>
    </row>
    <row r="62" spans="1:27" x14ac:dyDescent="0.25">
      <c r="A62" s="45">
        <v>0.7</v>
      </c>
      <c r="B62" s="45">
        <f t="shared" si="12"/>
        <v>700</v>
      </c>
      <c r="C62" s="16">
        <f t="shared" si="13"/>
        <v>0.9859154929577465</v>
      </c>
      <c r="D62" s="15">
        <f t="shared" si="14"/>
        <v>2.1599743059999998E+19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1.5054102280202818E+40</v>
      </c>
      <c r="F62" s="15">
        <f t="shared" si="7"/>
        <v>1.3542677569810572E+39</v>
      </c>
      <c r="G62" s="15">
        <f t="shared" si="8"/>
        <v>1.6617705674780608E+39</v>
      </c>
      <c r="H62" s="15">
        <f t="shared" si="9"/>
        <v>1.8070140604661936E+40</v>
      </c>
      <c r="I62" s="45">
        <v>222.52</v>
      </c>
      <c r="J62" s="45">
        <v>1</v>
      </c>
      <c r="K62" s="19">
        <f t="shared" si="10"/>
        <v>236.29371888653918</v>
      </c>
      <c r="L62" s="16">
        <f t="shared" si="11"/>
        <v>189.71533196540588</v>
      </c>
      <c r="M62" s="45"/>
    </row>
    <row r="63" spans="1:27" x14ac:dyDescent="0.25">
      <c r="A63" s="45">
        <v>0.86</v>
      </c>
      <c r="B63" s="45">
        <f t="shared" si="12"/>
        <v>860</v>
      </c>
      <c r="C63" s="16">
        <f t="shared" si="13"/>
        <v>1.2112676056338028</v>
      </c>
      <c r="D63" s="15">
        <f t="shared" si="14"/>
        <v>2.6536827187999998E+19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1.7170843779729574E+40</v>
      </c>
      <c r="F63" s="15">
        <f t="shared" si="7"/>
        <v>1.9764251973603906E+39</v>
      </c>
      <c r="G63" s="15">
        <f t="shared" si="8"/>
        <v>2.4341283952874963E+39</v>
      </c>
      <c r="H63" s="15">
        <f t="shared" si="9"/>
        <v>2.1581397372377461E+40</v>
      </c>
      <c r="I63" s="45">
        <v>218.71</v>
      </c>
      <c r="J63" s="45">
        <v>1</v>
      </c>
      <c r="K63" s="19">
        <f t="shared" si="10"/>
        <v>232.97589382279605</v>
      </c>
      <c r="L63" s="16">
        <f t="shared" si="11"/>
        <v>203.51572656329034</v>
      </c>
      <c r="M63" s="45"/>
    </row>
    <row r="64" spans="1:27" x14ac:dyDescent="0.25">
      <c r="A64" s="45">
        <v>1.04</v>
      </c>
      <c r="B64" s="45">
        <f t="shared" si="12"/>
        <v>1040</v>
      </c>
      <c r="C64" s="16">
        <f t="shared" si="13"/>
        <v>1.4647887323943662</v>
      </c>
      <c r="D64" s="15">
        <f t="shared" si="14"/>
        <v>3.2091046832E+19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1.917483838465352E+40</v>
      </c>
      <c r="F64" s="15">
        <f t="shared" si="7"/>
        <v>2.7834064990380718E+39</v>
      </c>
      <c r="G64" s="15">
        <f t="shared" si="8"/>
        <v>3.4440333096203097E+39</v>
      </c>
      <c r="H64" s="15">
        <f t="shared" si="9"/>
        <v>2.5402278193311902E+40</v>
      </c>
      <c r="I64" s="45">
        <v>215.68</v>
      </c>
      <c r="J64" s="45">
        <v>1</v>
      </c>
      <c r="K64" s="19">
        <f t="shared" si="10"/>
        <v>229.84766483411872</v>
      </c>
      <c r="L64" s="16">
        <f t="shared" si="11"/>
        <v>200.72272685192394</v>
      </c>
      <c r="M64" s="45"/>
    </row>
    <row r="65" spans="1:13" x14ac:dyDescent="0.25">
      <c r="A65" s="45">
        <v>1.23</v>
      </c>
      <c r="B65" s="45">
        <f t="shared" si="12"/>
        <v>1230</v>
      </c>
      <c r="C65" s="16">
        <f t="shared" si="13"/>
        <v>1.732394366197183</v>
      </c>
      <c r="D65" s="15">
        <f t="shared" si="14"/>
        <v>3.7953834233999999E+19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2.0961148799188732E+40</v>
      </c>
      <c r="F65" s="15">
        <f t="shared" si="7"/>
        <v>3.7422176636959082E+39</v>
      </c>
      <c r="G65" s="15">
        <f t="shared" si="8"/>
        <v>4.6559597900790165E+39</v>
      </c>
      <c r="H65" s="15">
        <f t="shared" si="9"/>
        <v>2.9359326252963656E+40</v>
      </c>
      <c r="I65" s="45">
        <v>212.47</v>
      </c>
      <c r="J65" s="45">
        <v>1</v>
      </c>
      <c r="K65" s="19">
        <f t="shared" si="10"/>
        <v>227.21705069083077</v>
      </c>
      <c r="L65" s="16">
        <f t="shared" si="11"/>
        <v>217.47550407793244</v>
      </c>
      <c r="M65" s="45"/>
    </row>
    <row r="66" spans="1:13" x14ac:dyDescent="0.25">
      <c r="A66" s="45">
        <v>1.45</v>
      </c>
      <c r="B66" s="45">
        <f t="shared" si="12"/>
        <v>1450</v>
      </c>
      <c r="C66" s="16">
        <f t="shared" si="13"/>
        <v>2.0422535211267605</v>
      </c>
      <c r="D66" s="15">
        <f t="shared" si="14"/>
        <v>4.4742324909999997E+19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2.2696838579808454E+40</v>
      </c>
      <c r="F66" s="15">
        <f t="shared" si="7"/>
        <v>4.9689911901689553E+39</v>
      </c>
      <c r="G66" s="15">
        <f t="shared" si="8"/>
        <v>6.2260525054639877E+39</v>
      </c>
      <c r="H66" s="15">
        <f t="shared" si="9"/>
        <v>3.3891882275441402E+40</v>
      </c>
      <c r="I66" s="45">
        <v>209.7</v>
      </c>
      <c r="J66" s="45">
        <v>1</v>
      </c>
      <c r="K66" s="19">
        <f t="shared" si="10"/>
        <v>224.84553877337407</v>
      </c>
      <c r="L66" s="16">
        <f t="shared" si="11"/>
        <v>229.38734473577779</v>
      </c>
      <c r="M66" s="45"/>
    </row>
    <row r="67" spans="1:13" x14ac:dyDescent="0.25">
      <c r="A67" s="45">
        <v>1.68</v>
      </c>
      <c r="B67" s="45">
        <f t="shared" si="12"/>
        <v>1680</v>
      </c>
      <c r="C67" s="16">
        <f t="shared" si="13"/>
        <v>2.3661971830985915</v>
      </c>
      <c r="D67" s="15">
        <f t="shared" si="14"/>
        <v>5.1839383344E+19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2.4216060714805632E+40</v>
      </c>
      <c r="F67" s="15">
        <f t="shared" si="7"/>
        <v>6.3621264208388543E+39</v>
      </c>
      <c r="G67" s="15">
        <f t="shared" si="8"/>
        <v>8.0364911039640627E+39</v>
      </c>
      <c r="H67" s="15">
        <f t="shared" si="9"/>
        <v>3.8614678239608549E+40</v>
      </c>
      <c r="I67" s="45">
        <v>207.96</v>
      </c>
      <c r="J67" s="45">
        <v>1</v>
      </c>
      <c r="K67" s="19">
        <f t="shared" si="10"/>
        <v>222.96772408811427</v>
      </c>
      <c r="L67" s="16">
        <f t="shared" si="11"/>
        <v>225.23178230496495</v>
      </c>
      <c r="M67" s="45"/>
    </row>
    <row r="68" spans="1:13" x14ac:dyDescent="0.25">
      <c r="A68" s="45">
        <v>1.94</v>
      </c>
      <c r="B68" s="45">
        <f t="shared" si="12"/>
        <v>1940</v>
      </c>
      <c r="C68" s="16">
        <f t="shared" si="13"/>
        <v>2.732394366197183</v>
      </c>
      <c r="D68" s="15">
        <f t="shared" si="14"/>
        <v>5.9862145052000002E+19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2.5650928872878876E+40</v>
      </c>
      <c r="F68" s="15">
        <f t="shared" si="7"/>
        <v>8.045056215087278E+39</v>
      </c>
      <c r="G68" s="15">
        <f t="shared" si="8"/>
        <v>1.026428512383938E+40</v>
      </c>
      <c r="H68" s="15">
        <f t="shared" si="9"/>
        <v>4.3960270211805537E+40</v>
      </c>
      <c r="I68" s="45">
        <v>207.2</v>
      </c>
      <c r="J68" s="45">
        <v>1</v>
      </c>
      <c r="K68" s="19">
        <f t="shared" si="10"/>
        <v>221.38579083991181</v>
      </c>
      <c r="L68" s="16">
        <f t="shared" si="11"/>
        <v>201.23666175372603</v>
      </c>
      <c r="M68" s="45"/>
    </row>
    <row r="69" spans="1:13" x14ac:dyDescent="0.25">
      <c r="A69" s="45">
        <v>2.23</v>
      </c>
      <c r="B69" s="45">
        <f t="shared" si="12"/>
        <v>2230</v>
      </c>
      <c r="C69" s="16">
        <f t="shared" si="13"/>
        <v>3.140845070422535</v>
      </c>
      <c r="D69" s="15">
        <f t="shared" si="14"/>
        <v>6.8810610034000003E+19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2.6978689543019712E+40</v>
      </c>
      <c r="F69" s="15">
        <f t="shared" si="7"/>
        <v>1.0023793680952367E+40</v>
      </c>
      <c r="G69" s="15">
        <f t="shared" si="8"/>
        <v>1.2944150041287719E+40</v>
      </c>
      <c r="H69" s="15">
        <f t="shared" si="9"/>
        <v>4.9946633265259802E+40</v>
      </c>
      <c r="I69" s="45">
        <v>207.3</v>
      </c>
      <c r="J69" s="45">
        <v>1</v>
      </c>
      <c r="K69" s="19">
        <f t="shared" si="10"/>
        <v>220.10054079180918</v>
      </c>
      <c r="L69" s="16">
        <f t="shared" si="11"/>
        <v>163.85384456277052</v>
      </c>
      <c r="M69" s="45"/>
    </row>
    <row r="70" spans="1:13" x14ac:dyDescent="0.25">
      <c r="A70" s="45">
        <v>2.54</v>
      </c>
      <c r="B70" s="45">
        <f t="shared" si="12"/>
        <v>2540</v>
      </c>
      <c r="C70" s="16">
        <f t="shared" si="13"/>
        <v>3.5774647887323945</v>
      </c>
      <c r="D70" s="15">
        <f t="shared" si="14"/>
        <v>7.8376210532000006E+19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2.8153263514783098E+40</v>
      </c>
      <c r="F70" s="15">
        <f t="shared" si="7"/>
        <v>1.2220281475660324E+40</v>
      </c>
      <c r="G70" s="15">
        <f t="shared" si="8"/>
        <v>1.6001179067380614E+40</v>
      </c>
      <c r="H70" s="15">
        <f t="shared" si="9"/>
        <v>5.6374724057824036E+40</v>
      </c>
      <c r="I70" s="45">
        <v>207.96</v>
      </c>
      <c r="J70" s="45">
        <v>1</v>
      </c>
      <c r="K70" s="19">
        <f t="shared" si="10"/>
        <v>219.10172045405844</v>
      </c>
      <c r="L70" s="16">
        <f t="shared" si="11"/>
        <v>124.13793467638398</v>
      </c>
      <c r="M70" s="45"/>
    </row>
    <row r="71" spans="1:13" x14ac:dyDescent="0.25">
      <c r="A71" s="45">
        <v>2.89</v>
      </c>
      <c r="B71" s="45">
        <f t="shared" si="12"/>
        <v>2890</v>
      </c>
      <c r="C71" s="16">
        <f t="shared" si="13"/>
        <v>4.070422535211268</v>
      </c>
      <c r="D71" s="15">
        <f t="shared" si="14"/>
        <v>8.9176082061999997E+19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2.9245674321171832E+40</v>
      </c>
      <c r="F71" s="15">
        <f t="shared" si="7"/>
        <v>1.4758205249069631E+40</v>
      </c>
      <c r="G71" s="15">
        <f t="shared" si="8"/>
        <v>1.9650870203987512E+40</v>
      </c>
      <c r="H71" s="15">
        <f t="shared" si="9"/>
        <v>6.3654749774228975E+40</v>
      </c>
      <c r="I71" s="45">
        <v>209.73</v>
      </c>
      <c r="J71" s="45">
        <v>1</v>
      </c>
      <c r="K71" s="19">
        <f t="shared" si="10"/>
        <v>218.26641627304204</v>
      </c>
      <c r="L71" s="16">
        <f t="shared" si="11"/>
        <v>72.870402786657124</v>
      </c>
      <c r="M71" s="45"/>
    </row>
    <row r="72" spans="1:13" x14ac:dyDescent="0.25">
      <c r="A72" s="45">
        <v>3.27</v>
      </c>
      <c r="B72" s="45">
        <f t="shared" si="12"/>
        <v>3270</v>
      </c>
      <c r="C72" s="16">
        <f t="shared" si="13"/>
        <v>4.605633802816901</v>
      </c>
      <c r="D72" s="15">
        <f t="shared" si="14"/>
        <v>1.0090165686599999E+20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3.0217904938242245E+40</v>
      </c>
      <c r="F72" s="15">
        <f t="shared" si="7"/>
        <v>1.7537028836196523E+40</v>
      </c>
      <c r="G72" s="15">
        <f t="shared" si="8"/>
        <v>2.3806759031226751E+40</v>
      </c>
      <c r="H72" s="15">
        <f t="shared" si="9"/>
        <v>7.1561692805665522E+40</v>
      </c>
      <c r="I72" s="45">
        <v>213.12</v>
      </c>
      <c r="J72" s="45">
        <v>1</v>
      </c>
      <c r="K72" s="19">
        <f t="shared" si="10"/>
        <v>217.56391132395154</v>
      </c>
      <c r="L72" s="16">
        <f t="shared" si="11"/>
        <v>19.748347855144722</v>
      </c>
      <c r="M72" s="45"/>
    </row>
    <row r="73" spans="1:13" x14ac:dyDescent="0.25">
      <c r="A73" s="45">
        <v>3.69</v>
      </c>
      <c r="B73" s="45">
        <f t="shared" si="12"/>
        <v>3690</v>
      </c>
      <c r="C73" s="16">
        <f t="shared" si="13"/>
        <v>5.197183098591549</v>
      </c>
      <c r="D73" s="15">
        <f t="shared" si="14"/>
        <v>1.13861502702E+20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3.1061305526512672E+40</v>
      </c>
      <c r="F73" s="15">
        <f t="shared" si="7"/>
        <v>2.0587261624671184E+40</v>
      </c>
      <c r="G73" s="15">
        <f t="shared" si="8"/>
        <v>2.858501355394576E+40</v>
      </c>
      <c r="H73" s="15">
        <f t="shared" si="9"/>
        <v>8.0233580705129623E+40</v>
      </c>
      <c r="I73" s="45">
        <v>217.68</v>
      </c>
      <c r="J73" s="45">
        <v>1</v>
      </c>
      <c r="K73" s="19">
        <f t="shared" si="10"/>
        <v>216.86293727917212</v>
      </c>
      <c r="L73" s="16">
        <f t="shared" si="11"/>
        <v>0.66759148976667704</v>
      </c>
      <c r="M73" s="45"/>
    </row>
    <row r="74" spans="1:13" x14ac:dyDescent="0.25">
      <c r="A74" s="45">
        <v>4.1500000000000004</v>
      </c>
      <c r="B74" s="45">
        <f t="shared" si="12"/>
        <v>4150</v>
      </c>
      <c r="C74" s="16">
        <f t="shared" si="13"/>
        <v>5.845070422535211</v>
      </c>
      <c r="D74" s="15">
        <f t="shared" si="14"/>
        <v>1.2805561957E+20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3.1848080079797178E+40</v>
      </c>
      <c r="F74" s="15">
        <f t="shared" si="7"/>
        <v>2.385264666560703E+40</v>
      </c>
      <c r="G74" s="15">
        <f t="shared" si="8"/>
        <v>3.398821806979942E+40</v>
      </c>
      <c r="H74" s="15">
        <f t="shared" si="9"/>
        <v>8.9688944815203627E+40</v>
      </c>
      <c r="I74" s="45">
        <v>222.09</v>
      </c>
      <c r="J74" s="45">
        <v>1</v>
      </c>
      <c r="K74" s="19">
        <f t="shared" si="10"/>
        <v>216.205053352406</v>
      </c>
      <c r="L74" s="16">
        <f t="shared" si="11"/>
        <v>34.632597045027936</v>
      </c>
      <c r="M74" s="45"/>
    </row>
    <row r="75" spans="1:13" x14ac:dyDescent="0.25">
      <c r="A75" s="45">
        <v>4.6500000000000004</v>
      </c>
      <c r="B75" s="45">
        <f t="shared" si="12"/>
        <v>4650</v>
      </c>
      <c r="C75" s="16">
        <f t="shared" si="13"/>
        <v>6.549295774647887</v>
      </c>
      <c r="D75" s="15">
        <f t="shared" si="14"/>
        <v>1.4348400747000001E+20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3.2524747022039432E+40</v>
      </c>
      <c r="F75" s="15">
        <f t="shared" si="7"/>
        <v>2.726541437977876E+40</v>
      </c>
      <c r="G75" s="15">
        <f t="shared" si="8"/>
        <v>4.000766893480411E+40</v>
      </c>
      <c r="H75" s="15">
        <f t="shared" si="9"/>
        <v>9.9797830336622307E+40</v>
      </c>
      <c r="I75" s="45">
        <v>225.26</v>
      </c>
      <c r="J75" s="45">
        <v>1</v>
      </c>
      <c r="K75" s="19">
        <f t="shared" si="10"/>
        <v>215.45397197633758</v>
      </c>
      <c r="L75" s="16">
        <f t="shared" si="11"/>
        <v>96.158185600852448</v>
      </c>
      <c r="M75" s="45"/>
    </row>
    <row r="76" spans="1:13" x14ac:dyDescent="0.25">
      <c r="A76" s="45">
        <v>5.21</v>
      </c>
      <c r="B76" s="45">
        <f t="shared" si="12"/>
        <v>5210</v>
      </c>
      <c r="C76" s="16">
        <f t="shared" si="13"/>
        <v>7.3380281690140849</v>
      </c>
      <c r="D76" s="15">
        <f t="shared" si="14"/>
        <v>1.6076380191800001E+20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3.3152112972146475E+40</v>
      </c>
      <c r="F76" s="15">
        <f t="shared" si="7"/>
        <v>3.0875429642572924E+40</v>
      </c>
      <c r="G76" s="15">
        <f t="shared" si="8"/>
        <v>4.6871455445380961E+40</v>
      </c>
      <c r="H76" s="15">
        <f t="shared" si="9"/>
        <v>1.1089899806010037E+41</v>
      </c>
      <c r="I76" s="45">
        <v>226.83</v>
      </c>
      <c r="J76" s="45">
        <v>1</v>
      </c>
      <c r="K76" s="19">
        <f t="shared" si="10"/>
        <v>214.56821144545111</v>
      </c>
      <c r="L76" s="16">
        <f t="shared" si="11"/>
        <v>150.35145855646641</v>
      </c>
      <c r="M76" s="45"/>
    </row>
    <row r="77" spans="1:13" x14ac:dyDescent="0.25">
      <c r="A77" s="45">
        <v>5.82</v>
      </c>
      <c r="B77" s="45">
        <f t="shared" si="12"/>
        <v>5820</v>
      </c>
      <c r="C77" s="16">
        <f t="shared" si="13"/>
        <v>8.1971830985915499</v>
      </c>
      <c r="D77" s="15">
        <f t="shared" si="14"/>
        <v>1.7958643515600001E+20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3.3697408544191547E+40</v>
      </c>
      <c r="F77" s="15">
        <f t="shared" si="7"/>
        <v>3.4518427561115311E+40</v>
      </c>
      <c r="G77" s="15">
        <f t="shared" si="8"/>
        <v>5.4434414348102915E+40</v>
      </c>
      <c r="H77" s="15">
        <f t="shared" si="9"/>
        <v>1.2265025045340978E+41</v>
      </c>
      <c r="I77" s="45">
        <v>227.49</v>
      </c>
      <c r="J77" s="45">
        <v>1</v>
      </c>
      <c r="K77" s="19">
        <f t="shared" si="10"/>
        <v>213.4976794276518</v>
      </c>
      <c r="L77" s="16">
        <f t="shared" si="11"/>
        <v>195.78503499935883</v>
      </c>
      <c r="M77" s="45"/>
    </row>
    <row r="78" spans="1:13" x14ac:dyDescent="0.25">
      <c r="A78" s="45">
        <v>6.49</v>
      </c>
      <c r="B78" s="45">
        <f t="shared" si="12"/>
        <v>6490</v>
      </c>
      <c r="C78" s="16">
        <f t="shared" si="13"/>
        <v>9.1408450704225359</v>
      </c>
      <c r="D78" s="15">
        <f t="shared" si="14"/>
        <v>2.0026047494200001E+20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3.416842271758873E+40</v>
      </c>
      <c r="F78" s="15">
        <f t="shared" si="7"/>
        <v>3.815177068443621E+40</v>
      </c>
      <c r="G78" s="15">
        <f t="shared" si="8"/>
        <v>6.2784442477942636E+40</v>
      </c>
      <c r="H78" s="15">
        <f t="shared" si="9"/>
        <v>1.3510463587996758E+41</v>
      </c>
      <c r="I78" s="45">
        <v>227.66</v>
      </c>
      <c r="J78" s="45">
        <v>1</v>
      </c>
      <c r="K78" s="19">
        <f t="shared" si="10"/>
        <v>212.19405334760506</v>
      </c>
      <c r="L78" s="16">
        <f t="shared" si="11"/>
        <v>239.19550585472604</v>
      </c>
      <c r="M78" s="45"/>
    </row>
    <row r="79" spans="1:13" x14ac:dyDescent="0.25">
      <c r="A79" s="45">
        <v>7.23</v>
      </c>
      <c r="B79" s="45">
        <f t="shared" si="12"/>
        <v>7230</v>
      </c>
      <c r="C79" s="16">
        <f t="shared" si="13"/>
        <v>10.183098591549296</v>
      </c>
      <c r="D79" s="15">
        <f t="shared" si="14"/>
        <v>2.2309448903400001E+20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3.4575171367256337E+40</v>
      </c>
      <c r="F79" s="15">
        <f t="shared" si="7"/>
        <v>4.1715442474086114E+40</v>
      </c>
      <c r="G79" s="15">
        <f t="shared" si="8"/>
        <v>7.1999561997794805E+40</v>
      </c>
      <c r="H79" s="15">
        <f t="shared" si="9"/>
        <v>1.4829017583913726E+41</v>
      </c>
      <c r="I79" s="45">
        <v>227.44</v>
      </c>
      <c r="J79" s="45">
        <v>1</v>
      </c>
      <c r="K79" s="19">
        <f t="shared" si="10"/>
        <v>210.62381410470257</v>
      </c>
      <c r="L79" s="16">
        <f t="shared" si="11"/>
        <v>282.78410806519997</v>
      </c>
      <c r="M79" s="45"/>
    </row>
    <row r="80" spans="1:13" x14ac:dyDescent="0.25">
      <c r="A80" s="45">
        <v>8.0500000000000007</v>
      </c>
      <c r="B80" s="45">
        <f t="shared" si="12"/>
        <v>8050.0000000000009</v>
      </c>
      <c r="C80" s="16">
        <f t="shared" si="13"/>
        <v>11.338028169014086</v>
      </c>
      <c r="D80" s="15">
        <f t="shared" si="14"/>
        <v>2.4839704519000002E+20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3.4926237319616897E+40</v>
      </c>
      <c r="F80" s="15">
        <f t="shared" si="7"/>
        <v>4.5136136783502236E+40</v>
      </c>
      <c r="G80" s="15">
        <f t="shared" si="8"/>
        <v>8.2143799268478026E+40</v>
      </c>
      <c r="H80" s="15">
        <f t="shared" si="9"/>
        <v>1.6220617337159717E+41</v>
      </c>
      <c r="I80" s="45">
        <v>226.79</v>
      </c>
      <c r="J80" s="45">
        <v>1</v>
      </c>
      <c r="K80" s="19">
        <f t="shared" si="10"/>
        <v>208.76427462193294</v>
      </c>
      <c r="L80" s="16">
        <f t="shared" si="11"/>
        <v>324.9267754054905</v>
      </c>
      <c r="M80" s="45"/>
    </row>
    <row r="81" spans="1:13" x14ac:dyDescent="0.25">
      <c r="A81" s="45">
        <v>8.94</v>
      </c>
      <c r="B81" s="45">
        <f t="shared" si="12"/>
        <v>8940</v>
      </c>
      <c r="C81" s="16">
        <f t="shared" si="13"/>
        <v>12.591549295774648</v>
      </c>
      <c r="D81" s="15">
        <f t="shared" si="14"/>
        <v>2.7585957565199997E+20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3.5224069128754927E+40</v>
      </c>
      <c r="F81" s="15">
        <f t="shared" si="7"/>
        <v>4.8270457206553237E+40</v>
      </c>
      <c r="G81" s="15">
        <f t="shared" si="8"/>
        <v>9.3021489525214527E+40</v>
      </c>
      <c r="H81" s="15">
        <f t="shared" si="9"/>
        <v>1.7651601586052269E+41</v>
      </c>
      <c r="I81" s="45">
        <v>225.89</v>
      </c>
      <c r="J81" s="45">
        <v>1</v>
      </c>
      <c r="K81" s="19">
        <f t="shared" si="10"/>
        <v>206.65395929026411</v>
      </c>
      <c r="L81" s="16">
        <f t="shared" si="11"/>
        <v>370.02526218661586</v>
      </c>
      <c r="M81" s="45"/>
    </row>
    <row r="82" spans="1:13" x14ac:dyDescent="0.25">
      <c r="A82" s="45">
        <v>9.93</v>
      </c>
      <c r="B82" s="45">
        <f t="shared" si="12"/>
        <v>9930</v>
      </c>
      <c r="C82" s="16">
        <f t="shared" si="13"/>
        <v>13.985915492957746</v>
      </c>
      <c r="D82" s="15">
        <f t="shared" si="14"/>
        <v>3.06407783694E+20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3.5483615861712666E+40</v>
      </c>
      <c r="F82" s="15">
        <f t="shared" si="7"/>
        <v>5.1131387867167921E+40</v>
      </c>
      <c r="G82" s="15">
        <f t="shared" si="8"/>
        <v>1.049125422416347E+41</v>
      </c>
      <c r="H82" s="15">
        <f t="shared" si="9"/>
        <v>1.9152754597051527E+41</v>
      </c>
      <c r="I82" s="45">
        <v>224.7</v>
      </c>
      <c r="J82" s="45">
        <v>1</v>
      </c>
      <c r="K82" s="19">
        <f t="shared" si="10"/>
        <v>204.24970095649914</v>
      </c>
      <c r="L82" s="16">
        <f t="shared" si="11"/>
        <v>418.21473096861172</v>
      </c>
      <c r="M82" s="45"/>
    </row>
    <row r="83" spans="1:13" x14ac:dyDescent="0.25">
      <c r="A83" s="45">
        <v>11.01</v>
      </c>
      <c r="B83" s="45">
        <f t="shared" si="12"/>
        <v>11010</v>
      </c>
      <c r="C83" s="16">
        <f t="shared" si="13"/>
        <v>15.507042253521126</v>
      </c>
      <c r="D83" s="15">
        <f t="shared" si="14"/>
        <v>3.3973310155799999E+20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3.5677699083637179E+40</v>
      </c>
      <c r="F83" s="15">
        <f t="shared" si="7"/>
        <v>5.3613177506263028E+40</v>
      </c>
      <c r="G83" s="15">
        <f t="shared" si="8"/>
        <v>1.1759598251765279E+41</v>
      </c>
      <c r="H83" s="15">
        <f t="shared" si="9"/>
        <v>2.0688685910755301E+41</v>
      </c>
      <c r="I83" s="45">
        <v>223.73</v>
      </c>
      <c r="J83" s="45">
        <v>1</v>
      </c>
      <c r="K83" s="19">
        <f t="shared" si="10"/>
        <v>201.60125216273599</v>
      </c>
      <c r="L83" s="16">
        <f t="shared" si="11"/>
        <v>489.68148084521619</v>
      </c>
      <c r="M83" s="45"/>
    </row>
    <row r="84" spans="1:13" x14ac:dyDescent="0.25">
      <c r="A84" s="45">
        <v>12.2</v>
      </c>
      <c r="B84" s="45">
        <f t="shared" si="12"/>
        <v>12200</v>
      </c>
      <c r="C84" s="16">
        <f t="shared" si="13"/>
        <v>17.183098591549296</v>
      </c>
      <c r="D84" s="15">
        <f t="shared" si="14"/>
        <v>3.7645266475999999E+20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3.5829583666726759E+40</v>
      </c>
      <c r="F84" s="15">
        <f t="shared" si="7"/>
        <v>5.5716589924401874E+40</v>
      </c>
      <c r="G84" s="15">
        <f t="shared" si="8"/>
        <v>1.3119537126010742E+41</v>
      </c>
      <c r="H84" s="15">
        <f t="shared" si="9"/>
        <v>2.2274154485123605E+41</v>
      </c>
      <c r="I84" s="45">
        <v>222.43</v>
      </c>
      <c r="J84" s="45">
        <v>1</v>
      </c>
      <c r="K84" s="19">
        <f t="shared" si="10"/>
        <v>198.71979474641208</v>
      </c>
      <c r="L84" s="16">
        <f t="shared" si="11"/>
        <v>562.17383316726864</v>
      </c>
      <c r="M84" s="45"/>
    </row>
    <row r="85" spans="1:13" x14ac:dyDescent="0.25">
      <c r="A85" s="45">
        <v>13.51</v>
      </c>
      <c r="B85" s="45">
        <f t="shared" si="12"/>
        <v>13510</v>
      </c>
      <c r="C85" s="16">
        <f t="shared" si="13"/>
        <v>19.028169014084508</v>
      </c>
      <c r="D85" s="15">
        <f t="shared" si="14"/>
        <v>4.1687504105800001E+20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3.599678434222873E+40</v>
      </c>
      <c r="F85" s="15">
        <f t="shared" si="7"/>
        <v>5.743207553969663E+40</v>
      </c>
      <c r="G85" s="15">
        <f t="shared" si="8"/>
        <v>1.4569600122723629E+41</v>
      </c>
      <c r="H85" s="15">
        <f t="shared" si="9"/>
        <v>2.3912486110916167E+41</v>
      </c>
      <c r="I85" s="45">
        <v>217.24</v>
      </c>
      <c r="J85" s="45">
        <v>1</v>
      </c>
      <c r="K85" s="19">
        <f t="shared" si="10"/>
        <v>195.66138456945257</v>
      </c>
      <c r="L85" s="16">
        <f t="shared" si="11"/>
        <v>465.63664389946024</v>
      </c>
      <c r="M85" s="45"/>
    </row>
    <row r="86" spans="1:13" x14ac:dyDescent="0.25">
      <c r="A86" s="45">
        <v>14.95</v>
      </c>
      <c r="B86" s="45">
        <f t="shared" si="12"/>
        <v>14950</v>
      </c>
      <c r="C86" s="16">
        <f t="shared" si="13"/>
        <v>21.056338028169016</v>
      </c>
      <c r="D86" s="15">
        <f t="shared" si="14"/>
        <v>4.6130879820999996E+20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3.6128152619515487E+40</v>
      </c>
      <c r="F86" s="15">
        <f t="shared" si="7"/>
        <v>5.8773325372913983E+40</v>
      </c>
      <c r="G86" s="15">
        <f t="shared" si="8"/>
        <v>1.6106750977282833E+41</v>
      </c>
      <c r="H86" s="15">
        <f t="shared" si="9"/>
        <v>2.5596898776525783E+41</v>
      </c>
      <c r="I86" s="45">
        <v>208.27</v>
      </c>
      <c r="J86" s="45">
        <v>1</v>
      </c>
      <c r="K86" s="19">
        <f t="shared" si="10"/>
        <v>192.43918578427866</v>
      </c>
      <c r="L86" s="16">
        <f t="shared" si="11"/>
        <v>250.61467873268506</v>
      </c>
      <c r="M86" s="45"/>
    </row>
    <row r="87" spans="1:13" x14ac:dyDescent="0.25">
      <c r="A87" s="45">
        <v>16.54</v>
      </c>
      <c r="B87" s="45">
        <f t="shared" si="12"/>
        <v>16540</v>
      </c>
      <c r="C87" s="16">
        <f t="shared" si="13"/>
        <v>23.295774647887324</v>
      </c>
      <c r="D87" s="15">
        <f t="shared" si="14"/>
        <v>5.1037107173199997E+20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3.6219950200856329E+40</v>
      </c>
      <c r="F87" s="15">
        <f t="shared" si="7"/>
        <v>5.9780068459451445E+40</v>
      </c>
      <c r="G87" s="15">
        <f t="shared" si="8"/>
        <v>1.7736621718173387E+41</v>
      </c>
      <c r="H87" s="15">
        <f t="shared" si="9"/>
        <v>2.7336623584204163E+41</v>
      </c>
      <c r="I87" s="45">
        <v>195.99</v>
      </c>
      <c r="J87" s="45">
        <v>1</v>
      </c>
      <c r="K87" s="19">
        <f t="shared" si="10"/>
        <v>189.07108450131639</v>
      </c>
      <c r="L87" s="16">
        <f t="shared" si="11"/>
        <v>47.871391677924365</v>
      </c>
      <c r="M87" s="45"/>
    </row>
    <row r="88" spans="1:13" x14ac:dyDescent="0.25">
      <c r="A88" s="45">
        <v>18.29</v>
      </c>
      <c r="B88" s="45">
        <f t="shared" si="12"/>
        <v>18290</v>
      </c>
      <c r="C88" s="16">
        <f t="shared" si="13"/>
        <v>25.760563380281692</v>
      </c>
      <c r="D88" s="15">
        <f t="shared" si="14"/>
        <v>5.6437042938199998E+20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3.630890436654873E+40</v>
      </c>
      <c r="F88" s="15">
        <f t="shared" si="7"/>
        <v>6.0496552549520293E+40</v>
      </c>
      <c r="G88" s="15">
        <f t="shared" si="8"/>
        <v>1.9452324296961896E+41</v>
      </c>
      <c r="H88" s="15">
        <f t="shared" si="9"/>
        <v>2.9132869988568798E+41</v>
      </c>
      <c r="I88" s="45">
        <v>176.59</v>
      </c>
      <c r="J88" s="45">
        <v>1</v>
      </c>
      <c r="K88" s="19">
        <f t="shared" si="10"/>
        <v>185.61164261993866</v>
      </c>
      <c r="L88" s="16">
        <f t="shared" si="11"/>
        <v>81.390035561893697</v>
      </c>
      <c r="M88" s="45"/>
    </row>
    <row r="89" spans="1:13" x14ac:dyDescent="0.25">
      <c r="A89" s="45">
        <v>20.2</v>
      </c>
      <c r="B89" s="45">
        <f t="shared" si="12"/>
        <v>20200</v>
      </c>
      <c r="C89" s="16">
        <f t="shared" si="13"/>
        <v>28.450704225352112</v>
      </c>
      <c r="D89" s="15">
        <f t="shared" si="14"/>
        <v>6.2330687115999995E+20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3.6376446313385912E+40</v>
      </c>
      <c r="F89" s="15">
        <f t="shared" si="7"/>
        <v>6.0976463930913826E+40</v>
      </c>
      <c r="G89" s="15">
        <f t="shared" si="8"/>
        <v>2.1236932909578475E+41</v>
      </c>
      <c r="H89" s="15">
        <f t="shared" si="9"/>
        <v>3.0972223934008448E+41</v>
      </c>
      <c r="I89" s="45">
        <v>165.78</v>
      </c>
      <c r="J89" s="45">
        <v>1</v>
      </c>
      <c r="K89" s="19">
        <f t="shared" si="10"/>
        <v>182.10880399088148</v>
      </c>
      <c r="L89" s="16">
        <f t="shared" si="11"/>
        <v>266.62983977262701</v>
      </c>
      <c r="M89" s="45"/>
    </row>
    <row r="90" spans="1:13" x14ac:dyDescent="0.25">
      <c r="A90" s="45">
        <v>22.32</v>
      </c>
      <c r="B90" s="45">
        <f t="shared" si="12"/>
        <v>22320</v>
      </c>
      <c r="C90" s="16">
        <f t="shared" si="13"/>
        <v>31.43661971830986</v>
      </c>
      <c r="D90" s="15">
        <f t="shared" si="14"/>
        <v>6.8872323585599996E+20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3.6434063110677177E+40</v>
      </c>
      <c r="F90" s="15">
        <f t="shared" si="7"/>
        <v>6.128460440004742E+40</v>
      </c>
      <c r="G90" s="15">
        <f t="shared" si="8"/>
        <v>2.3118021557730808E+41</v>
      </c>
      <c r="H90" s="15">
        <f t="shared" si="9"/>
        <v>3.2889888308803268E+41</v>
      </c>
      <c r="I90" s="45">
        <v>167.44</v>
      </c>
      <c r="J90" s="45">
        <v>1</v>
      </c>
      <c r="K90" s="19">
        <f t="shared" si="10"/>
        <v>178.52725842379346</v>
      </c>
      <c r="L90" s="16">
        <f t="shared" si="11"/>
        <v>122.92729935597899</v>
      </c>
      <c r="M90" s="45"/>
    </row>
    <row r="91" spans="1:13" x14ac:dyDescent="0.25">
      <c r="A91" s="45">
        <v>24.64</v>
      </c>
      <c r="B91" s="45">
        <f t="shared" si="12"/>
        <v>24640</v>
      </c>
      <c r="C91" s="16">
        <f t="shared" si="13"/>
        <v>34.70422535211268</v>
      </c>
      <c r="D91" s="15">
        <f t="shared" si="14"/>
        <v>7.6031095571200003E+20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3.6476638053613512E+40</v>
      </c>
      <c r="F91" s="15">
        <f t="shared" si="7"/>
        <v>6.1467195252430762E+40</v>
      </c>
      <c r="G91" s="15">
        <f t="shared" si="8"/>
        <v>2.5066313530256377E+41</v>
      </c>
      <c r="H91" s="15">
        <f t="shared" si="9"/>
        <v>3.4860696860860805E+41</v>
      </c>
      <c r="I91" s="45">
        <v>167.98</v>
      </c>
      <c r="J91" s="45">
        <v>1</v>
      </c>
      <c r="K91" s="19">
        <f t="shared" si="10"/>
        <v>174.93153698967538</v>
      </c>
      <c r="L91" s="16">
        <f t="shared" si="11"/>
        <v>48.323866518825177</v>
      </c>
      <c r="M91" s="45"/>
    </row>
    <row r="92" spans="1:13" x14ac:dyDescent="0.25">
      <c r="A92" s="45"/>
      <c r="H92" s="15"/>
      <c r="K92" s="45"/>
      <c r="L92" s="16">
        <f>SUM(L57:L91)/(COUNT(L57:L91)-6)</f>
        <v>313.26309158585957</v>
      </c>
      <c r="M92" s="45"/>
    </row>
    <row r="93" spans="1:13" x14ac:dyDescent="0.25">
      <c r="A93" s="45"/>
      <c r="H93" s="15"/>
      <c r="K93" s="45"/>
      <c r="M93" s="45"/>
    </row>
    <row r="94" spans="1:13" x14ac:dyDescent="0.25">
      <c r="A94" s="45"/>
      <c r="I94" s="45"/>
      <c r="J94" s="45"/>
    </row>
    <row r="95" spans="1:13" x14ac:dyDescent="0.25">
      <c r="A95" s="45"/>
      <c r="I95" s="45"/>
      <c r="J95" s="45"/>
    </row>
    <row r="96" spans="1:13" x14ac:dyDescent="0.25">
      <c r="A96" s="45"/>
      <c r="I96" s="45"/>
      <c r="J96" s="45"/>
    </row>
    <row r="97" spans="1:27" x14ac:dyDescent="0.25">
      <c r="A97" s="45"/>
      <c r="I97" s="45"/>
      <c r="J97" s="45"/>
    </row>
    <row r="98" spans="1:27" x14ac:dyDescent="0.25">
      <c r="A98" s="45"/>
      <c r="I98" s="45"/>
      <c r="J98" s="45"/>
    </row>
    <row r="99" spans="1:27" x14ac:dyDescent="0.25">
      <c r="A99" s="45"/>
      <c r="I99" s="45"/>
      <c r="J99" s="45"/>
    </row>
    <row r="100" spans="1:27" x14ac:dyDescent="0.25">
      <c r="A100" s="45"/>
      <c r="I100" s="45"/>
      <c r="J100" s="45"/>
    </row>
    <row r="101" spans="1:27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</row>
    <row r="102" spans="1:27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</row>
    <row r="103" spans="1:27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</row>
    <row r="104" spans="1:27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</row>
    <row r="105" spans="1:27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</row>
    <row r="106" spans="1:27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</row>
    <row r="107" spans="1:27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</row>
    <row r="108" spans="1:27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</row>
    <row r="109" spans="1:27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</row>
    <row r="110" spans="1:27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</row>
    <row r="111" spans="1:27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</row>
    <row r="112" spans="1:27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</row>
    <row r="113" spans="1:27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</row>
    <row r="114" spans="1:27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</row>
    <row r="115" spans="1:27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</row>
    <row r="116" spans="1:27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</row>
    <row r="117" spans="1:27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</row>
    <row r="118" spans="1:27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</row>
    <row r="119" spans="1:27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</row>
    <row r="120" spans="1:27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</row>
    <row r="121" spans="1:27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</row>
    <row r="122" spans="1:27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</row>
    <row r="123" spans="1:27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</row>
    <row r="124" spans="1:27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</row>
    <row r="125" spans="1:27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</row>
    <row r="126" spans="1:27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</row>
    <row r="127" spans="1:27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</row>
    <row r="128" spans="1:27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</row>
    <row r="129" spans="1:27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</row>
    <row r="130" spans="1:27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</row>
    <row r="131" spans="1:27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</row>
    <row r="132" spans="1:27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</row>
    <row r="133" spans="1:27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</row>
    <row r="134" spans="1:27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</row>
    <row r="135" spans="1:27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</row>
    <row r="136" spans="1:27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</row>
    <row r="137" spans="1:27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</row>
    <row r="138" spans="1:27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</row>
    <row r="139" spans="1:27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</row>
    <row r="140" spans="1:27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</row>
    <row r="141" spans="1:27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</row>
    <row r="142" spans="1:27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</row>
    <row r="143" spans="1:27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</row>
    <row r="144" spans="1:27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</row>
    <row r="145" spans="1:27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</row>
    <row r="146" spans="1:27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</row>
    <row r="147" spans="1:27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</row>
    <row r="148" spans="1:27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</row>
    <row r="149" spans="1:27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</row>
    <row r="150" spans="1:27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</row>
    <row r="151" spans="1:27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</row>
    <row r="152" spans="1:27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</row>
    <row r="153" spans="1:27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</row>
    <row r="154" spans="1:27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</row>
    <row r="155" spans="1:27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</row>
    <row r="156" spans="1:27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</row>
    <row r="157" spans="1:27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</row>
    <row r="158" spans="1:27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</row>
    <row r="159" spans="1:27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</row>
    <row r="160" spans="1:27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</row>
    <row r="161" spans="1:27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</row>
    <row r="162" spans="1:27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</row>
    <row r="163" spans="1:27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</row>
    <row r="164" spans="1:27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</row>
    <row r="165" spans="1:27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</row>
    <row r="166" spans="1:27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</row>
    <row r="167" spans="1:27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</row>
    <row r="168" spans="1:27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</row>
    <row r="169" spans="1:27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</row>
    <row r="170" spans="1:27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</row>
    <row r="171" spans="1:27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</row>
    <row r="172" spans="1:27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</row>
    <row r="173" spans="1:27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</row>
    <row r="174" spans="1:27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</row>
    <row r="175" spans="1:27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</row>
    <row r="176" spans="1:27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1:27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1:27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1:27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1:27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1:27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1:27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1:27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1:27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1:27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1:27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1:27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1:27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1:27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1:27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1:27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1:27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1:27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1:27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1:27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1:27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1:27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1:27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1:27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1:27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1:27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1:27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1:27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1:27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1:27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1:27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1:27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1:27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1:27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1:27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1:27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1:27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1:27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1:27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1:27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1:27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1:27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1:27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1:27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1:27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1:27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1:27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1:27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1:27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1:27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1:27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1:27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1:27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1:27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1:27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1:27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1:27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1:27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1:27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1:27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1:27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1:27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1:27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1:27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1:27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1:27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1:27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s="17" customFormat="1" x14ac:dyDescent="0.25">
      <c r="A543" s="45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s="17" customFormat="1" x14ac:dyDescent="0.25">
      <c r="A544" s="45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s="17" customFormat="1" x14ac:dyDescent="0.25">
      <c r="A545" s="45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s="17" customFormat="1" x14ac:dyDescent="0.25">
      <c r="A546" s="45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s="17" customFormat="1" x14ac:dyDescent="0.25">
      <c r="A547" s="45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s="17" customFormat="1" x14ac:dyDescent="0.25">
      <c r="A548" s="45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x14ac:dyDescent="0.25">
      <c r="A549" s="45"/>
    </row>
    <row r="550" spans="1:27" x14ac:dyDescent="0.25">
      <c r="N550" s="17"/>
      <c r="O550" s="38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555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754.42834855920296</v>
      </c>
      <c r="E2" s="55"/>
      <c r="F2" s="53" t="s">
        <v>620</v>
      </c>
      <c r="G2" s="53">
        <v>124737884280</v>
      </c>
      <c r="H2" s="62"/>
      <c r="K2" s="51" t="s">
        <v>1</v>
      </c>
      <c r="L2" s="60" t="s">
        <v>573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3.09677904268289E+40</v>
      </c>
      <c r="E3" s="53"/>
      <c r="F3" s="53" t="s">
        <v>621</v>
      </c>
      <c r="G3" s="53">
        <f>H44/SolarMass</f>
        <v>148537146459.98755</v>
      </c>
      <c r="H3" s="62"/>
      <c r="K3" s="51" t="s">
        <v>562</v>
      </c>
      <c r="L3" s="57">
        <v>5.457E-3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3478.4915707155001</v>
      </c>
      <c r="E4" s="55"/>
      <c r="F4" s="53" t="s">
        <v>622</v>
      </c>
      <c r="G4" s="52">
        <f>G3/G2</f>
        <v>1.1907941786680074</v>
      </c>
      <c r="H4" s="62"/>
      <c r="K4" s="61" t="s">
        <v>614</v>
      </c>
      <c r="L4" s="52">
        <f>QEHModelChiSquare</f>
        <v>206.82279546756737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1752.4743641327</v>
      </c>
      <c r="F5" s="53"/>
      <c r="G5" s="52"/>
      <c r="H5" s="62"/>
      <c r="K5" s="61" t="s">
        <v>615</v>
      </c>
      <c r="L5" s="52">
        <f>LCDMModelChiSquare</f>
        <v>439.68820482377117</v>
      </c>
      <c r="M5" s="55"/>
    </row>
    <row r="6" spans="1:13" s="51" customFormat="1" ht="20.100000000000001" customHeight="1" x14ac:dyDescent="0.25">
      <c r="C6" s="52"/>
      <c r="D6" s="59"/>
      <c r="F6" s="53"/>
      <c r="G6" s="53"/>
      <c r="H6" s="62"/>
      <c r="K6" s="54"/>
      <c r="M6" s="5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4" si="0">RadiusKpc*1000</f>
        <v>90</v>
      </c>
      <c r="C8" s="16">
        <f t="shared" ref="C8:C44" si="1">IF(QESBulgeEffectiveRadius=0,0,RadiusPc/QESBulgeEffectiveRadius)</f>
        <v>0.1192956231985195</v>
      </c>
      <c r="D8" s="15">
        <f t="shared" ref="D8:D44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1.6982143158741008E+39</v>
      </c>
      <c r="F8" s="15">
        <f t="shared" ref="F8:F44" si="3">2*PI()*QESDiskSurfaceDensity*QESDiskScaleLength*(QESDiskScaleLength-EXP(-RadiusPc/QESDiskScaleLength)*(RadiusPc+QESDiskScaleLength))*SolarMass</f>
        <v>8.718869647236123E+37</v>
      </c>
      <c r="H8" s="18">
        <f t="shared" ref="H8:H44" si="4">BulgeMass+DiskMass+HaloMass</f>
        <v>1.785403012346462E+39</v>
      </c>
      <c r="I8" s="45">
        <v>180.58</v>
      </c>
      <c r="J8" s="45">
        <v>1</v>
      </c>
      <c r="K8" s="19">
        <f t="shared" ref="K8:K44" si="5">SQRT(TotalMass*GravitationalConstant/RadiusKm+UniverseAcceleration*RadiusKm)/km</f>
        <v>207.38589492207973</v>
      </c>
      <c r="L8" s="16">
        <f t="shared" ref="L8:L44" si="6">(ObservedVelocity-ModelVelocity)^2/(VelocityError)^2</f>
        <v>718.55600257357912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0.25184631564131893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3.9350509942154917E+39</v>
      </c>
      <c r="F9" s="15">
        <f t="shared" si="3"/>
        <v>3.8122988347902392E+38</v>
      </c>
      <c r="H9" s="18">
        <f t="shared" si="4"/>
        <v>4.3162808776945158E+39</v>
      </c>
      <c r="I9" s="45">
        <v>229.61</v>
      </c>
      <c r="J9" s="45">
        <v>1</v>
      </c>
      <c r="K9" s="19">
        <f t="shared" si="5"/>
        <v>222.14741091436167</v>
      </c>
      <c r="L9" s="16">
        <f t="shared" si="6"/>
        <v>55.69023586108851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0.3976520773283983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6.1831770437153004E+39</v>
      </c>
      <c r="F10" s="15">
        <f t="shared" si="3"/>
        <v>9.3072305012658562E+38</v>
      </c>
      <c r="H10" s="18">
        <f t="shared" si="4"/>
        <v>7.1139000938418856E+39</v>
      </c>
      <c r="I10" s="45">
        <v>238.7</v>
      </c>
      <c r="J10" s="45">
        <v>1</v>
      </c>
      <c r="K10" s="19">
        <f t="shared" si="5"/>
        <v>227.21562249565258</v>
      </c>
      <c r="L10" s="16">
        <f t="shared" si="6"/>
        <v>131.89092666236078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0.55671290825975761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8.2897657043219845E+39</v>
      </c>
      <c r="F11" s="15">
        <f t="shared" si="3"/>
        <v>1.7830978101315799E+39</v>
      </c>
      <c r="H11" s="18">
        <f t="shared" si="4"/>
        <v>1.0072863514453564E+40</v>
      </c>
      <c r="I11" s="45">
        <v>241.17</v>
      </c>
      <c r="J11" s="45">
        <v>1</v>
      </c>
      <c r="K11" s="19">
        <f t="shared" si="5"/>
        <v>228.79242307124946</v>
      </c>
      <c r="L11" s="16">
        <f t="shared" si="6"/>
        <v>153.20441062713735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0.74228387767967685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1.0409716852327486E+40</v>
      </c>
      <c r="F12" s="15">
        <f t="shared" si="3"/>
        <v>3.0870091124556756E+39</v>
      </c>
      <c r="H12" s="18">
        <f t="shared" si="4"/>
        <v>1.349672596478316E+40</v>
      </c>
      <c r="I12" s="45">
        <v>241.74</v>
      </c>
      <c r="J12" s="45">
        <v>1</v>
      </c>
      <c r="K12" s="19">
        <f t="shared" si="5"/>
        <v>229.69404109357953</v>
      </c>
      <c r="L12" s="16">
        <f t="shared" si="6"/>
        <v>145.10512597517089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0.92785484709959598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1.2222019761962654E+40</v>
      </c>
      <c r="F13" s="15">
        <f t="shared" si="3"/>
        <v>4.6976765714250032E+39</v>
      </c>
      <c r="H13" s="18">
        <f t="shared" si="4"/>
        <v>1.6919696333387659E+40</v>
      </c>
      <c r="I13" s="45">
        <v>241.55</v>
      </c>
      <c r="J13" s="45">
        <v>1</v>
      </c>
      <c r="K13" s="19">
        <f t="shared" si="5"/>
        <v>230.36413925220594</v>
      </c>
      <c r="L13" s="16">
        <f t="shared" si="6"/>
        <v>125.12348066904003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1.1399359550080752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1.3989953462646664E+40</v>
      </c>
      <c r="F14" s="15">
        <f t="shared" si="3"/>
        <v>6.8804836564008177E+39</v>
      </c>
      <c r="H14" s="18">
        <f t="shared" si="4"/>
        <v>2.0870437119047482E+40</v>
      </c>
      <c r="I14" s="45">
        <v>240.72</v>
      </c>
      <c r="J14" s="45">
        <v>1</v>
      </c>
      <c r="K14" s="19">
        <f t="shared" si="5"/>
        <v>231.20852077488141</v>
      </c>
      <c r="L14" s="16">
        <f t="shared" si="6"/>
        <v>90.468237049862566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1.3785272014051142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1.5680247310531122E+40</v>
      </c>
      <c r="F15" s="15">
        <f t="shared" si="3"/>
        <v>9.7286735431747925E+39</v>
      </c>
      <c r="H15" s="18">
        <f t="shared" si="4"/>
        <v>2.5408920853705913E+40</v>
      </c>
      <c r="I15" s="45">
        <v>239.4</v>
      </c>
      <c r="J15" s="45">
        <v>1</v>
      </c>
      <c r="K15" s="19">
        <f t="shared" si="5"/>
        <v>232.40912477578178</v>
      </c>
      <c r="L15" s="16">
        <f t="shared" si="6"/>
        <v>48.872336400588274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1.6303735170464331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1.7189657276516597E+40</v>
      </c>
      <c r="F16" s="15">
        <f t="shared" si="3"/>
        <v>1.3134748957127806E+40</v>
      </c>
      <c r="H16" s="18">
        <f t="shared" si="4"/>
        <v>3.0324406233644403E+40</v>
      </c>
      <c r="I16" s="45">
        <v>236.44</v>
      </c>
      <c r="J16" s="45">
        <v>1</v>
      </c>
      <c r="K16" s="19">
        <f t="shared" si="5"/>
        <v>233.89887994690127</v>
      </c>
      <c r="L16" s="16">
        <f t="shared" si="6"/>
        <v>6.4572911242604567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1.9219850404205918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1.8666405377301739E+40</v>
      </c>
      <c r="F17" s="15">
        <f t="shared" si="3"/>
        <v>1.7524210338624374E+40</v>
      </c>
      <c r="H17" s="18">
        <f t="shared" si="4"/>
        <v>3.6190615715926113E+40</v>
      </c>
      <c r="I17" s="45">
        <v>231.81</v>
      </c>
      <c r="J17" s="45">
        <v>1</v>
      </c>
      <c r="K17" s="19">
        <f t="shared" si="5"/>
        <v>235.83055291573035</v>
      </c>
      <c r="L17" s="16">
        <f t="shared" si="6"/>
        <v>16.164845748187808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2.2268516330390304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1.9964658373264887E+40</v>
      </c>
      <c r="F18" s="15">
        <f t="shared" si="3"/>
        <v>2.2548390820291412E+40</v>
      </c>
      <c r="H18" s="18">
        <f t="shared" si="4"/>
        <v>4.2513049193556296E+40</v>
      </c>
      <c r="I18" s="45">
        <v>225.81</v>
      </c>
      <c r="J18" s="45">
        <v>1</v>
      </c>
      <c r="K18" s="19">
        <f t="shared" si="5"/>
        <v>237.95789746747863</v>
      </c>
      <c r="L18" s="16">
        <f t="shared" si="6"/>
        <v>147.57141288037369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2.5714834333903092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2.119789943362678E+40</v>
      </c>
      <c r="F19" s="15">
        <f t="shared" si="3"/>
        <v>2.8670082527503242E+40</v>
      </c>
      <c r="H19" s="18">
        <f t="shared" si="4"/>
        <v>4.986798196113002E+40</v>
      </c>
      <c r="I19" s="45">
        <v>220.92</v>
      </c>
      <c r="J19" s="45">
        <v>1</v>
      </c>
      <c r="K19" s="19">
        <f t="shared" si="5"/>
        <v>240.37713629666663</v>
      </c>
      <c r="L19" s="16">
        <f t="shared" si="6"/>
        <v>378.58015286706268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2.9558804414744273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2.2344904157405858E+40</v>
      </c>
      <c r="F20" s="15">
        <f t="shared" si="3"/>
        <v>3.5937548901703398E+40</v>
      </c>
      <c r="G20" s="15"/>
      <c r="H20" s="18">
        <f t="shared" si="4"/>
        <v>5.8282453059109251E+40</v>
      </c>
      <c r="I20" s="45">
        <v>218.68</v>
      </c>
      <c r="J20" s="45">
        <v>1</v>
      </c>
      <c r="K20" s="19">
        <f t="shared" si="5"/>
        <v>242.97857269163597</v>
      </c>
      <c r="L20" s="16">
        <f t="shared" si="6"/>
        <v>590.42063485071719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3.3667875880471057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2.3365060580732464E+40</v>
      </c>
      <c r="F21" s="15">
        <f t="shared" si="3"/>
        <v>4.4090071792373947E+40</v>
      </c>
      <c r="G21" s="15"/>
      <c r="H21" s="18">
        <f t="shared" si="4"/>
        <v>6.7455132373106411E+40</v>
      </c>
      <c r="I21" s="45">
        <v>220.55</v>
      </c>
      <c r="J21" s="45">
        <v>1</v>
      </c>
      <c r="K21" s="19">
        <f t="shared" si="5"/>
        <v>245.55875023861771</v>
      </c>
      <c r="L21" s="16">
        <f t="shared" si="6"/>
        <v>625.43758849756057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3.8307150115969035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2.4318905415120383E+40</v>
      </c>
      <c r="F22" s="15">
        <f t="shared" si="3"/>
        <v>5.3619527734760289E+40</v>
      </c>
      <c r="G22" s="15"/>
      <c r="H22" s="18">
        <f t="shared" si="4"/>
        <v>7.7938433149880667E+40</v>
      </c>
      <c r="I22" s="45">
        <v>228.29</v>
      </c>
      <c r="J22" s="45">
        <v>1</v>
      </c>
      <c r="K22" s="19">
        <f t="shared" si="5"/>
        <v>248.15776027224572</v>
      </c>
      <c r="L22" s="16">
        <f t="shared" si="6"/>
        <v>394.72789823542581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4.3344076428795413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2.5171637537567711E+40</v>
      </c>
      <c r="F23" s="15">
        <f t="shared" si="3"/>
        <v>6.4187901956343979E+40</v>
      </c>
      <c r="G23" s="15"/>
      <c r="H23" s="18">
        <f t="shared" si="4"/>
        <v>8.9359539493911685E+40</v>
      </c>
      <c r="I23" s="45">
        <v>241.21</v>
      </c>
      <c r="J23" s="45">
        <v>1</v>
      </c>
      <c r="K23" s="19">
        <f t="shared" si="5"/>
        <v>250.57101050048774</v>
      </c>
      <c r="L23" s="16">
        <f t="shared" si="6"/>
        <v>87.628517590241671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4.8911205511392994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2.594497135099565E+40</v>
      </c>
      <c r="F24" s="15">
        <f t="shared" si="3"/>
        <v>7.5952309953898289E+40</v>
      </c>
      <c r="G24" s="15"/>
      <c r="H24" s="18">
        <f t="shared" si="4"/>
        <v>1.0189728130489393E+41</v>
      </c>
      <c r="I24" s="45">
        <v>255.4</v>
      </c>
      <c r="J24" s="45">
        <v>1</v>
      </c>
      <c r="K24" s="19">
        <f t="shared" si="5"/>
        <v>252.74487347461772</v>
      </c>
      <c r="L24" s="16">
        <f t="shared" si="6"/>
        <v>7.0496968657886123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5.5008537363761763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2.6593847896992878E+40</v>
      </c>
      <c r="F25" s="15">
        <f t="shared" si="3"/>
        <v>8.8742271096291271E+40</v>
      </c>
      <c r="G25" s="15"/>
      <c r="H25" s="18">
        <f t="shared" si="4"/>
        <v>1.1533611899328414E+41</v>
      </c>
      <c r="I25" s="45">
        <v>266.19</v>
      </c>
      <c r="J25" s="45">
        <v>1</v>
      </c>
      <c r="K25" s="19">
        <f t="shared" si="5"/>
        <v>254.52165108748753</v>
      </c>
      <c r="L25" s="16">
        <f t="shared" si="6"/>
        <v>136.15036634413096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6.1636071985901735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2.7229843564961616E+40</v>
      </c>
      <c r="F26" s="15">
        <f t="shared" si="3"/>
        <v>1.0233626967771015E+41</v>
      </c>
      <c r="G26" s="15"/>
      <c r="H26" s="18">
        <f t="shared" si="4"/>
        <v>1.2956611324267176E+41</v>
      </c>
      <c r="I26" s="45">
        <v>271.62</v>
      </c>
      <c r="J26" s="45">
        <v>1</v>
      </c>
      <c r="K26" s="19">
        <f t="shared" si="5"/>
        <v>255.92826868983059</v>
      </c>
      <c r="L26" s="16">
        <f t="shared" si="6"/>
        <v>246.23043151055117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6.9058910762698504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2.7788425029898733E+40</v>
      </c>
      <c r="F27" s="15">
        <f t="shared" si="3"/>
        <v>1.1698542694769036E+41</v>
      </c>
      <c r="G27" s="15"/>
      <c r="H27" s="18">
        <f t="shared" si="4"/>
        <v>1.4477385197758909E+41</v>
      </c>
      <c r="I27" s="45">
        <v>273.77999999999997</v>
      </c>
      <c r="J27" s="45">
        <v>1</v>
      </c>
      <c r="K27" s="19">
        <f t="shared" si="5"/>
        <v>256.83660194633211</v>
      </c>
      <c r="L27" s="16">
        <f t="shared" si="6"/>
        <v>287.07873760503594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7.7144503001709266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2.8264351406394708E+40</v>
      </c>
      <c r="F28" s="15">
        <f t="shared" si="3"/>
        <v>1.3207449040743006E+41</v>
      </c>
      <c r="G28" s="15"/>
      <c r="H28" s="18">
        <f t="shared" si="4"/>
        <v>1.6033884181382476E+41</v>
      </c>
      <c r="I28" s="45">
        <v>274.77</v>
      </c>
      <c r="J28" s="45">
        <v>1</v>
      </c>
      <c r="K28" s="19">
        <f t="shared" si="5"/>
        <v>257.17023087533033</v>
      </c>
      <c r="L28" s="16">
        <f t="shared" si="6"/>
        <v>309.75187324167507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8.6025399395376834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2.8689173834250038E+40</v>
      </c>
      <c r="F29" s="15">
        <f t="shared" si="3"/>
        <v>1.4746464152655681E+41</v>
      </c>
      <c r="G29" s="15"/>
      <c r="H29" s="18">
        <f t="shared" si="4"/>
        <v>1.7615381536080686E+41</v>
      </c>
      <c r="I29" s="45">
        <v>274.45</v>
      </c>
      <c r="J29" s="45">
        <v>1</v>
      </c>
      <c r="K29" s="19">
        <f t="shared" si="5"/>
        <v>256.9231507104958</v>
      </c>
      <c r="L29" s="16">
        <f t="shared" si="6"/>
        <v>307.19044601699335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9.5834150636143995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2.9062421887778908E+40</v>
      </c>
      <c r="F30" s="15">
        <f t="shared" si="3"/>
        <v>1.6293681961896245E+41</v>
      </c>
      <c r="G30" s="15"/>
      <c r="H30" s="18">
        <f t="shared" si="4"/>
        <v>1.9199924150674135E+41</v>
      </c>
      <c r="I30" s="45">
        <v>273.07</v>
      </c>
      <c r="J30" s="45">
        <v>1</v>
      </c>
      <c r="K30" s="19">
        <f t="shared" si="5"/>
        <v>256.073750931875</v>
      </c>
      <c r="L30" s="16">
        <f t="shared" si="6"/>
        <v>288.87248238573977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10.670330741645355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2.9387780020664421E+40</v>
      </c>
      <c r="F31" s="15">
        <f t="shared" si="3"/>
        <v>1.781991244599028E+41</v>
      </c>
      <c r="G31" s="15"/>
      <c r="H31" s="18">
        <f t="shared" si="4"/>
        <v>2.0758690448056721E+41</v>
      </c>
      <c r="I31" s="45">
        <v>271.04000000000002</v>
      </c>
      <c r="J31" s="45">
        <v>1</v>
      </c>
      <c r="K31" s="19">
        <f t="shared" si="5"/>
        <v>254.62477226769056</v>
      </c>
      <c r="L31" s="16">
        <f t="shared" si="6"/>
        <v>269.45970150358158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11.850031904386269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2.9664781217673785E+40</v>
      </c>
      <c r="F32" s="15">
        <f t="shared" si="3"/>
        <v>1.926084234788185E+41</v>
      </c>
      <c r="G32" s="15"/>
      <c r="H32" s="18">
        <f t="shared" si="4"/>
        <v>2.2227320469649228E+41</v>
      </c>
      <c r="I32" s="45">
        <v>268.42</v>
      </c>
      <c r="J32" s="45">
        <v>1</v>
      </c>
      <c r="K32" s="19">
        <f t="shared" si="5"/>
        <v>252.65744105993093</v>
      </c>
      <c r="L32" s="16">
        <f t="shared" si="6"/>
        <v>248.45826433915181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13.162283759569984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2.990148700359469E+40</v>
      </c>
      <c r="F33" s="15">
        <f t="shared" si="3"/>
        <v>2.0620021035126936E+41</v>
      </c>
      <c r="G33" s="15"/>
      <c r="H33" s="18">
        <f t="shared" si="4"/>
        <v>2.3610169735486403E+41</v>
      </c>
      <c r="I33" s="45">
        <v>264.64</v>
      </c>
      <c r="J33" s="45">
        <v>1</v>
      </c>
      <c r="K33" s="19">
        <f t="shared" si="5"/>
        <v>250.20084017457859</v>
      </c>
      <c r="L33" s="16">
        <f t="shared" si="6"/>
        <v>208.48933646406331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14.593831237952218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3.0098941014521487E+40</v>
      </c>
      <c r="F34" s="15">
        <f t="shared" si="3"/>
        <v>2.184252091957629E+41</v>
      </c>
      <c r="G34" s="15"/>
      <c r="H34" s="18">
        <f t="shared" si="4"/>
        <v>2.485241502102844E+41</v>
      </c>
      <c r="I34" s="45">
        <v>259.33</v>
      </c>
      <c r="J34" s="45">
        <v>1</v>
      </c>
      <c r="K34" s="19">
        <f t="shared" si="5"/>
        <v>247.4095819914466</v>
      </c>
      <c r="L34" s="16">
        <f t="shared" si="6"/>
        <v>142.09636549864382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16.17118447802153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3.0238804080718662E+40</v>
      </c>
      <c r="F35" s="15">
        <f t="shared" si="3"/>
        <v>2.2920540737473485E+41</v>
      </c>
      <c r="G35" s="15"/>
      <c r="H35" s="18">
        <f t="shared" si="4"/>
        <v>2.594442114554535E+41</v>
      </c>
      <c r="I35" s="45">
        <v>253.7</v>
      </c>
      <c r="J35" s="45">
        <v>1</v>
      </c>
      <c r="K35" s="19">
        <f t="shared" si="5"/>
        <v>244.3855726825584</v>
      </c>
      <c r="L35" s="16">
        <f t="shared" si="6"/>
        <v>86.758556251902036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17.907598549022204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3.0371945798561949E+40</v>
      </c>
      <c r="F36" s="15">
        <f t="shared" si="3"/>
        <v>2.3838963336643887E+41</v>
      </c>
      <c r="G36" s="15"/>
      <c r="H36" s="18">
        <f t="shared" si="4"/>
        <v>2.6876157916500082E+41</v>
      </c>
      <c r="I36" s="45">
        <v>247.83</v>
      </c>
      <c r="J36" s="45">
        <v>1</v>
      </c>
      <c r="K36" s="19">
        <f t="shared" si="5"/>
        <v>241.30889936838767</v>
      </c>
      <c r="L36" s="16">
        <f t="shared" si="6"/>
        <v>42.524753447614884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19.816328520198514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3.0518300053290446E+40</v>
      </c>
      <c r="F37" s="15">
        <f t="shared" si="3"/>
        <v>2.4592323451345649E+41</v>
      </c>
      <c r="G37" s="15"/>
      <c r="H37" s="18">
        <f t="shared" si="4"/>
        <v>2.7644153456674694E+41</v>
      </c>
      <c r="I37" s="45">
        <v>242.76</v>
      </c>
      <c r="J37" s="45">
        <v>1</v>
      </c>
      <c r="K37" s="19">
        <f t="shared" si="5"/>
        <v>238.36297770049745</v>
      </c>
      <c r="L37" s="16">
        <f t="shared" si="6"/>
        <v>19.333805102322589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s="17" customFormat="1" x14ac:dyDescent="0.25">
      <c r="A38" s="45">
        <v>16.54</v>
      </c>
      <c r="B38" s="45">
        <f t="shared" si="0"/>
        <v>16540</v>
      </c>
      <c r="C38" s="16">
        <f t="shared" si="1"/>
        <v>21.923884530039025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3.0599111160711152E+40</v>
      </c>
      <c r="F38" s="15">
        <f t="shared" si="3"/>
        <v>2.5188464746823599E+41</v>
      </c>
      <c r="G38" s="15"/>
      <c r="H38" s="18">
        <f t="shared" si="4"/>
        <v>2.8248375862894714E+41</v>
      </c>
      <c r="I38" s="45">
        <v>239.24</v>
      </c>
      <c r="J38" s="45">
        <v>1</v>
      </c>
      <c r="K38" s="19">
        <f t="shared" si="5"/>
        <v>235.69352918315181</v>
      </c>
      <c r="L38" s="16">
        <f t="shared" si="6"/>
        <v>12.577455254755932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s="17" customFormat="1" x14ac:dyDescent="0.25">
      <c r="A39" s="45">
        <v>18.29</v>
      </c>
      <c r="B39" s="45">
        <f t="shared" si="0"/>
        <v>18290</v>
      </c>
      <c r="C39" s="16">
        <f t="shared" si="1"/>
        <v>24.243521647788015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3.0679565281175342E+40</v>
      </c>
      <c r="F39" s="15">
        <f t="shared" si="3"/>
        <v>2.5638148772012294E+41</v>
      </c>
      <c r="G39" s="15"/>
      <c r="H39" s="18">
        <f t="shared" si="4"/>
        <v>2.870610530012983E+41</v>
      </c>
      <c r="I39" s="45">
        <v>236.58</v>
      </c>
      <c r="J39" s="45">
        <v>1</v>
      </c>
      <c r="K39" s="19">
        <f t="shared" si="5"/>
        <v>233.51108226479116</v>
      </c>
      <c r="L39" s="16">
        <f t="shared" si="6"/>
        <v>9.418256065479456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s="17" customFormat="1" x14ac:dyDescent="0.25">
      <c r="A40" s="45">
        <v>20.2</v>
      </c>
      <c r="B40" s="45">
        <f t="shared" si="0"/>
        <v>20200</v>
      </c>
      <c r="C40" s="16">
        <f t="shared" si="1"/>
        <v>26.775239873445486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3.0743515945679661E+40</v>
      </c>
      <c r="F40" s="15">
        <f t="shared" si="3"/>
        <v>2.5959181923799003E+41</v>
      </c>
      <c r="G40" s="15"/>
      <c r="H40" s="18">
        <f t="shared" si="4"/>
        <v>2.903353351836697E+41</v>
      </c>
      <c r="I40" s="45">
        <v>234.44</v>
      </c>
      <c r="J40" s="45">
        <v>1</v>
      </c>
      <c r="K40" s="19">
        <f t="shared" si="5"/>
        <v>231.9857019547415</v>
      </c>
      <c r="L40" s="16">
        <f t="shared" si="6"/>
        <v>6.0235788949596794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spans="1:29" x14ac:dyDescent="0.25">
      <c r="A41" s="45">
        <v>22.32</v>
      </c>
      <c r="B41" s="45">
        <f t="shared" si="0"/>
        <v>22320</v>
      </c>
      <c r="C41" s="16">
        <f t="shared" si="1"/>
        <v>29.585314553232834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3.0803212903064095E+40</v>
      </c>
      <c r="F41" s="15">
        <f t="shared" si="3"/>
        <v>2.6180265329562418E+41</v>
      </c>
      <c r="H41" s="18">
        <f t="shared" si="4"/>
        <v>2.9260586619868828E+41</v>
      </c>
      <c r="I41" s="45">
        <v>232.91</v>
      </c>
      <c r="J41" s="45">
        <v>1</v>
      </c>
      <c r="K41" s="19">
        <f t="shared" si="5"/>
        <v>231.23601771718353</v>
      </c>
      <c r="L41" s="16">
        <f t="shared" si="6"/>
        <v>2.8022166831834325</v>
      </c>
    </row>
    <row r="42" spans="1:29" x14ac:dyDescent="0.25">
      <c r="A42" s="45">
        <v>24.64</v>
      </c>
      <c r="B42" s="45">
        <f t="shared" si="0"/>
        <v>24640</v>
      </c>
      <c r="C42" s="16">
        <f t="shared" si="1"/>
        <v>32.660490617905779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3.0841353108638023E+40</v>
      </c>
      <c r="F42" s="15">
        <f t="shared" si="3"/>
        <v>2.632178265837969E+41</v>
      </c>
      <c r="H42" s="18">
        <f t="shared" si="4"/>
        <v>2.9405917969243492E+41</v>
      </c>
      <c r="I42" s="45">
        <v>230.3</v>
      </c>
      <c r="J42" s="45">
        <v>1</v>
      </c>
      <c r="K42" s="19">
        <f t="shared" si="5"/>
        <v>231.38368388631542</v>
      </c>
      <c r="L42" s="16">
        <f t="shared" si="6"/>
        <v>1.1743707654596764</v>
      </c>
    </row>
    <row r="43" spans="1:29" x14ac:dyDescent="0.25">
      <c r="A43" s="45">
        <v>27.19</v>
      </c>
      <c r="B43" s="45">
        <f t="shared" si="0"/>
        <v>27190</v>
      </c>
      <c r="C43" s="16">
        <f t="shared" si="1"/>
        <v>36.040533275197163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3.0874040833450972E+40</v>
      </c>
      <c r="F43" s="15">
        <f t="shared" si="3"/>
        <v>2.6407317317455324E+41</v>
      </c>
      <c r="H43" s="18">
        <f t="shared" si="4"/>
        <v>2.949472140080042E+41</v>
      </c>
      <c r="I43" s="45">
        <v>223.21</v>
      </c>
      <c r="J43" s="45">
        <v>1</v>
      </c>
      <c r="K43" s="19">
        <f t="shared" si="5"/>
        <v>232.50278260174943</v>
      </c>
      <c r="L43" s="16">
        <f t="shared" si="6"/>
        <v>86.355808483376762</v>
      </c>
    </row>
    <row r="44" spans="1:29" x14ac:dyDescent="0.25">
      <c r="A44" s="45">
        <v>30</v>
      </c>
      <c r="B44" s="45">
        <f t="shared" si="0"/>
        <v>30000</v>
      </c>
      <c r="C44" s="16">
        <f t="shared" si="1"/>
        <v>39.765207732839826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3.0898724650185633E+40</v>
      </c>
      <c r="F44" s="15">
        <f t="shared" si="3"/>
        <v>2.6455651337337559E+41</v>
      </c>
      <c r="H44" s="18">
        <f t="shared" si="4"/>
        <v>2.9545523802356124E+41</v>
      </c>
      <c r="I44" s="45">
        <v>214.86</v>
      </c>
      <c r="J44" s="45">
        <v>1</v>
      </c>
      <c r="K44" s="19">
        <f t="shared" si="5"/>
        <v>234.64526345775207</v>
      </c>
      <c r="L44" s="16">
        <f t="shared" si="6"/>
        <v>391.45665009265866</v>
      </c>
    </row>
    <row r="45" spans="1:29" x14ac:dyDescent="0.25">
      <c r="A45" s="45"/>
      <c r="I45" s="45"/>
      <c r="J45" s="45"/>
      <c r="L45" s="16">
        <f>SUM(L8:L44)/(COUNT(L8:L44)-4)</f>
        <v>206.82279546756737</v>
      </c>
    </row>
    <row r="46" spans="1:29" x14ac:dyDescent="0.25">
      <c r="A46" s="45"/>
      <c r="I46" s="45"/>
      <c r="J46" s="45"/>
      <c r="L46" s="16"/>
    </row>
    <row r="47" spans="1:29" ht="21" x14ac:dyDescent="0.35">
      <c r="A47" s="46" t="s">
        <v>564</v>
      </c>
      <c r="I47" s="45"/>
      <c r="J47" s="45"/>
      <c r="L47" s="16"/>
    </row>
    <row r="48" spans="1:29" x14ac:dyDescent="0.25">
      <c r="A48" s="45" t="s">
        <v>30</v>
      </c>
      <c r="D48" s="16">
        <v>0.9</v>
      </c>
      <c r="E48" s="17">
        <f>$D$48*1000</f>
        <v>900</v>
      </c>
      <c r="F48" s="17"/>
      <c r="G48" s="17"/>
      <c r="H48" s="15"/>
      <c r="K48" s="15"/>
      <c r="L48" s="17"/>
      <c r="M48" s="45"/>
    </row>
    <row r="49" spans="1:29" x14ac:dyDescent="0.25">
      <c r="A49" s="45" t="s">
        <v>16</v>
      </c>
      <c r="D49" s="16">
        <v>2.5099999999999998</v>
      </c>
      <c r="E49" s="15">
        <f>D49*10000000000*SolarMass</f>
        <v>4.9926409999999992E+40</v>
      </c>
      <c r="F49" s="43"/>
      <c r="G49" s="43"/>
      <c r="H49" s="15"/>
      <c r="K49" s="15"/>
      <c r="L49" s="17"/>
      <c r="M49" s="45"/>
    </row>
    <row r="50" spans="1:29" x14ac:dyDescent="0.25">
      <c r="A50" s="45" t="s">
        <v>569</v>
      </c>
      <c r="D50" s="16">
        <v>3.3</v>
      </c>
      <c r="E50" s="15">
        <f>D50*1000</f>
        <v>3300</v>
      </c>
      <c r="H50" s="15"/>
      <c r="K50" s="15"/>
      <c r="L50" s="17"/>
      <c r="M50" s="45"/>
    </row>
    <row r="51" spans="1:29" x14ac:dyDescent="0.25">
      <c r="A51" s="45" t="s">
        <v>17</v>
      </c>
      <c r="D51" s="45">
        <v>6.6</v>
      </c>
      <c r="G51" s="16"/>
      <c r="H51" s="15"/>
      <c r="K51" s="15"/>
      <c r="L51" s="17"/>
      <c r="M51" s="45"/>
    </row>
    <row r="52" spans="1:29" x14ac:dyDescent="0.25">
      <c r="A52" s="45" t="s">
        <v>570</v>
      </c>
      <c r="D52" s="16">
        <v>14.4</v>
      </c>
      <c r="E52" s="17">
        <f>D52*1000</f>
        <v>14400</v>
      </c>
      <c r="H52" s="15"/>
      <c r="K52" s="15"/>
      <c r="L52" s="17"/>
      <c r="M52" s="45"/>
    </row>
    <row r="53" spans="1:29" x14ac:dyDescent="0.25">
      <c r="A53" s="45" t="s">
        <v>571</v>
      </c>
      <c r="D53" s="16">
        <v>10.4</v>
      </c>
      <c r="G53" s="9"/>
      <c r="H53" s="15"/>
      <c r="K53" s="15"/>
      <c r="L53" s="17"/>
      <c r="M53" s="45"/>
    </row>
    <row r="54" spans="1:29" x14ac:dyDescent="0.25">
      <c r="A54" s="45"/>
      <c r="D54" s="12"/>
      <c r="H54" s="15"/>
      <c r="K54" s="15"/>
      <c r="L54" s="17"/>
      <c r="M54" s="45"/>
    </row>
    <row r="55" spans="1:29" x14ac:dyDescent="0.25">
      <c r="A55" s="17" t="s">
        <v>567</v>
      </c>
      <c r="D55" s="17">
        <f>(D51*10000000000)/(2*PI()*DiskScaleLengthPc^2)</f>
        <v>964.57541267815373</v>
      </c>
      <c r="H55" s="15"/>
      <c r="K55" s="15"/>
      <c r="L55" s="17"/>
      <c r="M55" s="45"/>
    </row>
    <row r="56" spans="1:29" x14ac:dyDescent="0.25">
      <c r="A56" s="17" t="s">
        <v>565</v>
      </c>
      <c r="D56" s="9">
        <f>(D53*10000000000)/(4*PI()*(LCDMHaloScaleLengthPc)^3*(LN(2)-1/2))</f>
        <v>1.4349858744057514E-2</v>
      </c>
      <c r="H56" s="15"/>
      <c r="K56" s="15"/>
      <c r="L56" s="17"/>
      <c r="M56" s="45"/>
    </row>
    <row r="57" spans="1:29" x14ac:dyDescent="0.25">
      <c r="A57" s="19"/>
      <c r="H57" s="15"/>
      <c r="K57" s="15"/>
      <c r="L57" s="17"/>
      <c r="M57" s="45"/>
    </row>
    <row r="58" spans="1:29" ht="45" x14ac:dyDescent="0.25">
      <c r="A58" s="25" t="s">
        <v>20</v>
      </c>
      <c r="B58" s="3" t="s">
        <v>19</v>
      </c>
      <c r="C58" s="7" t="s">
        <v>27</v>
      </c>
      <c r="D58" s="4" t="s">
        <v>649</v>
      </c>
      <c r="E58" s="4" t="s">
        <v>21</v>
      </c>
      <c r="F58" s="4" t="s">
        <v>22</v>
      </c>
      <c r="G58" s="4" t="s">
        <v>28</v>
      </c>
      <c r="H58" s="4" t="s">
        <v>23</v>
      </c>
      <c r="I58" s="7" t="s">
        <v>645</v>
      </c>
      <c r="J58" s="7" t="s">
        <v>646</v>
      </c>
      <c r="K58" s="25" t="s">
        <v>647</v>
      </c>
      <c r="L58" s="3" t="s">
        <v>648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x14ac:dyDescent="0.25">
      <c r="A59" s="45">
        <v>0.09</v>
      </c>
      <c r="B59" s="45">
        <f>A59*1000</f>
        <v>90</v>
      </c>
      <c r="C59" s="16">
        <f>B59/LCDMBulgeEffectiveRadius</f>
        <v>0.1</v>
      </c>
      <c r="D59" s="15">
        <f>A59*kpc</f>
        <v>2.777109822E+18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2.2018545338199996E+39</v>
      </c>
      <c r="F59" s="15">
        <f t="shared" ref="F59:F95" si="7">2*PI()*LCDMDiskSurfaceDensity*LCDMScaleLength*(LCDMScaleLength-EXP(-RadiusPc/LCDMScaleLength)*(RadiusPc+LCDMScaleLength))*SolarMass</f>
        <v>4.7944679186672114E+37</v>
      </c>
      <c r="G59" s="15">
        <f t="shared" ref="G59:G95" si="8">4*PI()*LCDMHaloRepresentativeDensity*LCDMHaloScaleLengthPc^3*(LN(1+RadiusPc/LCDMHaloScaleLengthPc)-RadiusPc/(RadiusPc+LCDMHaloScaleLengthPc))*SolarMass</f>
        <v>2.0745448490084244E+37</v>
      </c>
      <c r="H59" s="15">
        <f t="shared" ref="H59:H95" si="9">BulgeMass+DiskMass+HaloMass</f>
        <v>2.270544661496756E+39</v>
      </c>
      <c r="I59" s="45">
        <v>180.58</v>
      </c>
      <c r="J59" s="45">
        <v>1</v>
      </c>
      <c r="K59" s="19">
        <f t="shared" ref="K59:K95" si="10">SQRT(TotalMass*GravitationalConstant/RadiusKm)/km</f>
        <v>233.59535424466341</v>
      </c>
      <c r="L59" s="16">
        <f t="shared" ref="L59:L95" si="11">(ObservedVelocity-ModelVelocity)^2/(VelocityError)^2</f>
        <v>2810.6277856871493</v>
      </c>
      <c r="M59" s="45"/>
    </row>
    <row r="60" spans="1:29" x14ac:dyDescent="0.25">
      <c r="A60" s="45">
        <v>0.19</v>
      </c>
      <c r="B60" s="45">
        <f t="shared" ref="B60:B95" si="12">A60*1000</f>
        <v>190</v>
      </c>
      <c r="C60" s="16">
        <f t="shared" ref="C60:C95" si="13">B60/LCDMBulgeEffectiveRadius</f>
        <v>0.21111111111111111</v>
      </c>
      <c r="D60" s="15">
        <f t="shared" ref="D60:D95" si="14">A60*kpc</f>
        <v>5.862787402E+18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5.2721512326955536E+39</v>
      </c>
      <c r="F60" s="15">
        <f t="shared" si="7"/>
        <v>2.0942092960934762E+38</v>
      </c>
      <c r="G60" s="15">
        <f t="shared" si="8"/>
        <v>9.1613454420919185E+37</v>
      </c>
      <c r="H60" s="15">
        <f t="shared" si="9"/>
        <v>5.5731856167258211E+39</v>
      </c>
      <c r="I60" s="45">
        <v>229.61</v>
      </c>
      <c r="J60" s="45">
        <v>1</v>
      </c>
      <c r="K60" s="19">
        <f t="shared" si="10"/>
        <v>251.88098609979809</v>
      </c>
      <c r="L60" s="16">
        <f t="shared" si="11"/>
        <v>495.99682185739931</v>
      </c>
      <c r="M60" s="45"/>
    </row>
    <row r="61" spans="1:29" x14ac:dyDescent="0.25">
      <c r="A61" s="45">
        <v>0.3</v>
      </c>
      <c r="B61" s="45">
        <f t="shared" si="12"/>
        <v>300</v>
      </c>
      <c r="C61" s="16">
        <f t="shared" si="13"/>
        <v>0.33333333333333331</v>
      </c>
      <c r="D61" s="15">
        <f t="shared" si="14"/>
        <v>9.25703274E+18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8.4159285123333326E+39</v>
      </c>
      <c r="F61" s="15">
        <f t="shared" si="7"/>
        <v>5.1069829749254351E+38</v>
      </c>
      <c r="G61" s="15">
        <f t="shared" si="8"/>
        <v>2.2612004360223506E+38</v>
      </c>
      <c r="H61" s="15">
        <f t="shared" si="9"/>
        <v>9.1527468534281116E+39</v>
      </c>
      <c r="I61" s="45">
        <v>238.7</v>
      </c>
      <c r="J61" s="45">
        <v>1</v>
      </c>
      <c r="K61" s="19">
        <f t="shared" si="10"/>
        <v>256.88309766007887</v>
      </c>
      <c r="L61" s="16">
        <f t="shared" si="11"/>
        <v>330.62504051596625</v>
      </c>
      <c r="M61" s="45"/>
    </row>
    <row r="62" spans="1:29" x14ac:dyDescent="0.25">
      <c r="A62" s="45">
        <v>0.42</v>
      </c>
      <c r="B62" s="45">
        <f t="shared" si="12"/>
        <v>420</v>
      </c>
      <c r="C62" s="16">
        <f t="shared" si="13"/>
        <v>0.46666666666666667</v>
      </c>
      <c r="D62" s="15">
        <f t="shared" si="14"/>
        <v>1.2959845836E+19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1.1492393896533332E+40</v>
      </c>
      <c r="F62" s="15">
        <f t="shared" si="7"/>
        <v>9.7721143089836411E+38</v>
      </c>
      <c r="G62" s="15">
        <f t="shared" si="8"/>
        <v>4.3840713606472383E+38</v>
      </c>
      <c r="H62" s="15">
        <f t="shared" si="9"/>
        <v>1.2908012463496419E+40</v>
      </c>
      <c r="I62" s="45">
        <v>241.17</v>
      </c>
      <c r="J62" s="45">
        <v>1</v>
      </c>
      <c r="K62" s="19">
        <f t="shared" si="10"/>
        <v>257.82526593550176</v>
      </c>
      <c r="L62" s="16">
        <f t="shared" si="11"/>
        <v>277.39788338228578</v>
      </c>
      <c r="M62" s="45"/>
    </row>
    <row r="63" spans="1:29" x14ac:dyDescent="0.25">
      <c r="A63" s="45">
        <v>0.56000000000000005</v>
      </c>
      <c r="B63" s="45">
        <f t="shared" si="12"/>
        <v>560</v>
      </c>
      <c r="C63" s="16">
        <f t="shared" si="13"/>
        <v>0.62222222222222223</v>
      </c>
      <c r="D63" s="15">
        <f t="shared" si="14"/>
        <v>1.7279794448000002E+19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1.4642084682066668E+40</v>
      </c>
      <c r="F63" s="15">
        <f t="shared" si="7"/>
        <v>1.6894152808198941E+39</v>
      </c>
      <c r="G63" s="15">
        <f t="shared" si="8"/>
        <v>7.6965372301337234E+38</v>
      </c>
      <c r="H63" s="15">
        <f t="shared" si="9"/>
        <v>1.7101153685899936E+40</v>
      </c>
      <c r="I63" s="45">
        <v>241.74</v>
      </c>
      <c r="J63" s="45">
        <v>1</v>
      </c>
      <c r="K63" s="19">
        <f t="shared" si="10"/>
        <v>257.00355042392334</v>
      </c>
      <c r="L63" s="16">
        <f t="shared" si="11"/>
        <v>232.97597154365019</v>
      </c>
      <c r="M63" s="45"/>
    </row>
    <row r="64" spans="1:29" x14ac:dyDescent="0.25">
      <c r="A64" s="45">
        <v>0.7</v>
      </c>
      <c r="B64" s="45">
        <f t="shared" si="12"/>
        <v>700</v>
      </c>
      <c r="C64" s="16">
        <f t="shared" si="13"/>
        <v>0.77777777777777779</v>
      </c>
      <c r="D64" s="15">
        <f t="shared" si="14"/>
        <v>2.1599743059999998E+19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1.7380492796777776E+40</v>
      </c>
      <c r="F64" s="15">
        <f t="shared" si="7"/>
        <v>2.5672681672084384E+39</v>
      </c>
      <c r="G64" s="15">
        <f t="shared" si="8"/>
        <v>1.1876878856542176E+39</v>
      </c>
      <c r="H64" s="15">
        <f t="shared" si="9"/>
        <v>2.1135448849640431E+40</v>
      </c>
      <c r="I64" s="45">
        <v>241.55</v>
      </c>
      <c r="J64" s="45">
        <v>1</v>
      </c>
      <c r="K64" s="19">
        <f t="shared" si="10"/>
        <v>255.55074370662902</v>
      </c>
      <c r="L64" s="16">
        <f t="shared" si="11"/>
        <v>196.0208243387118</v>
      </c>
      <c r="M64" s="45"/>
    </row>
    <row r="65" spans="1:13" x14ac:dyDescent="0.25">
      <c r="A65" s="45">
        <v>0.86</v>
      </c>
      <c r="B65" s="45">
        <f t="shared" si="12"/>
        <v>860</v>
      </c>
      <c r="C65" s="16">
        <f t="shared" si="13"/>
        <v>0.9555555555555556</v>
      </c>
      <c r="D65" s="15">
        <f t="shared" si="14"/>
        <v>2.6536827187999998E+19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2.0101038351466668E+40</v>
      </c>
      <c r="F65" s="15">
        <f t="shared" si="7"/>
        <v>3.75417954964939E+39</v>
      </c>
      <c r="G65" s="15">
        <f t="shared" si="8"/>
        <v>1.7675545757893941E+39</v>
      </c>
      <c r="H65" s="15">
        <f t="shared" si="9"/>
        <v>2.5622772476905454E+40</v>
      </c>
      <c r="I65" s="45">
        <v>240.72</v>
      </c>
      <c r="J65" s="45">
        <v>1</v>
      </c>
      <c r="K65" s="19">
        <f t="shared" si="10"/>
        <v>253.85414905447698</v>
      </c>
      <c r="L65" s="16">
        <f t="shared" si="11"/>
        <v>172.50587138521851</v>
      </c>
      <c r="M65" s="45"/>
    </row>
    <row r="66" spans="1:13" x14ac:dyDescent="0.25">
      <c r="A66" s="45">
        <v>1.04</v>
      </c>
      <c r="B66" s="45">
        <f t="shared" si="12"/>
        <v>1040</v>
      </c>
      <c r="C66" s="16">
        <f t="shared" si="13"/>
        <v>1.1555555555555554</v>
      </c>
      <c r="D66" s="15">
        <f t="shared" si="14"/>
        <v>3.2091046832E+19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2.2746971660099997E+40</v>
      </c>
      <c r="F66" s="15">
        <f t="shared" si="7"/>
        <v>5.2988088729309664E+39</v>
      </c>
      <c r="G66" s="15">
        <f t="shared" si="8"/>
        <v>2.5445796104172341E+39</v>
      </c>
      <c r="H66" s="15">
        <f t="shared" si="9"/>
        <v>3.0590360143448198E+40</v>
      </c>
      <c r="I66" s="45">
        <v>239.4</v>
      </c>
      <c r="J66" s="45">
        <v>1</v>
      </c>
      <c r="K66" s="19">
        <f t="shared" si="10"/>
        <v>252.22960333147751</v>
      </c>
      <c r="L66" s="16">
        <f t="shared" si="11"/>
        <v>164.59872164305858</v>
      </c>
      <c r="M66" s="45"/>
    </row>
    <row r="67" spans="1:13" x14ac:dyDescent="0.25">
      <c r="A67" s="45">
        <v>1.23</v>
      </c>
      <c r="B67" s="45">
        <f t="shared" si="12"/>
        <v>1230</v>
      </c>
      <c r="C67" s="16">
        <f t="shared" si="13"/>
        <v>1.3666666666666667</v>
      </c>
      <c r="D67" s="15">
        <f t="shared" si="14"/>
        <v>3.7953834233999999E+19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2.5152925357999992E+40</v>
      </c>
      <c r="F67" s="15">
        <f t="shared" si="7"/>
        <v>7.1406925506764071E+39</v>
      </c>
      <c r="G67" s="15">
        <f t="shared" si="8"/>
        <v>3.5013253807247917E+39</v>
      </c>
      <c r="H67" s="15">
        <f t="shared" si="9"/>
        <v>3.579494328940119E+40</v>
      </c>
      <c r="I67" s="45">
        <v>236.44</v>
      </c>
      <c r="J67" s="45">
        <v>1</v>
      </c>
      <c r="K67" s="19">
        <f t="shared" si="10"/>
        <v>250.8873216234953</v>
      </c>
      <c r="L67" s="16">
        <f t="shared" si="11"/>
        <v>208.72510209271482</v>
      </c>
      <c r="M67" s="45"/>
    </row>
    <row r="68" spans="1:13" x14ac:dyDescent="0.25">
      <c r="A68" s="45">
        <v>1.45</v>
      </c>
      <c r="B68" s="45">
        <f t="shared" si="12"/>
        <v>1450</v>
      </c>
      <c r="C68" s="16">
        <f t="shared" si="13"/>
        <v>1.6111111111111112</v>
      </c>
      <c r="D68" s="15">
        <f t="shared" si="14"/>
        <v>4.4742324909999997E+19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2.7543790185322218E+40</v>
      </c>
      <c r="F68" s="15">
        <f t="shared" si="7"/>
        <v>9.5067997648788577E+39</v>
      </c>
      <c r="G68" s="15">
        <f t="shared" si="8"/>
        <v>4.7753408028389118E+39</v>
      </c>
      <c r="H68" s="15">
        <f t="shared" si="9"/>
        <v>4.1825930753039989E+40</v>
      </c>
      <c r="I68" s="45">
        <v>231.81</v>
      </c>
      <c r="J68" s="45">
        <v>1</v>
      </c>
      <c r="K68" s="19">
        <f t="shared" si="10"/>
        <v>249.78090653979399</v>
      </c>
      <c r="L68" s="16">
        <f t="shared" si="11"/>
        <v>322.95348186201028</v>
      </c>
      <c r="M68" s="45"/>
    </row>
    <row r="69" spans="1:13" x14ac:dyDescent="0.25">
      <c r="A69" s="45">
        <v>1.68</v>
      </c>
      <c r="B69" s="45">
        <f t="shared" si="12"/>
        <v>1680</v>
      </c>
      <c r="C69" s="16">
        <f t="shared" si="13"/>
        <v>1.8666666666666667</v>
      </c>
      <c r="D69" s="15">
        <f t="shared" si="14"/>
        <v>5.1839383344E+19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2.9672596833933328E+40</v>
      </c>
      <c r="F69" s="15">
        <f t="shared" si="7"/>
        <v>1.2205601912154264E+40</v>
      </c>
      <c r="G69" s="15">
        <f t="shared" si="8"/>
        <v>6.2874221995381965E+39</v>
      </c>
      <c r="H69" s="15">
        <f t="shared" si="9"/>
        <v>4.8165620945625789E+40</v>
      </c>
      <c r="I69" s="45">
        <v>225.81</v>
      </c>
      <c r="J69" s="45">
        <v>1</v>
      </c>
      <c r="K69" s="19">
        <f t="shared" si="10"/>
        <v>249.02008237257505</v>
      </c>
      <c r="L69" s="16">
        <f t="shared" si="11"/>
        <v>538.70792374171879</v>
      </c>
      <c r="M69" s="45"/>
    </row>
    <row r="70" spans="1:13" x14ac:dyDescent="0.25">
      <c r="A70" s="45">
        <v>1.94</v>
      </c>
      <c r="B70" s="45">
        <f t="shared" si="12"/>
        <v>1940</v>
      </c>
      <c r="C70" s="16">
        <f t="shared" si="13"/>
        <v>2.1555555555555554</v>
      </c>
      <c r="D70" s="15">
        <f t="shared" si="14"/>
        <v>5.9862145052000002E+19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3.1727789764688878E+40</v>
      </c>
      <c r="F70" s="15">
        <f t="shared" si="7"/>
        <v>1.5481446031925182E+40</v>
      </c>
      <c r="G70" s="15">
        <f t="shared" si="8"/>
        <v>8.2049806271374499E+39</v>
      </c>
      <c r="H70" s="15">
        <f t="shared" si="9"/>
        <v>5.5414216423751504E+40</v>
      </c>
      <c r="I70" s="45">
        <v>220.92</v>
      </c>
      <c r="J70" s="45">
        <v>1</v>
      </c>
      <c r="K70" s="19">
        <f t="shared" si="10"/>
        <v>248.55938451600221</v>
      </c>
      <c r="L70" s="16">
        <f t="shared" si="11"/>
        <v>763.93557642342353</v>
      </c>
      <c r="M70" s="45"/>
    </row>
    <row r="71" spans="1:13" x14ac:dyDescent="0.25">
      <c r="A71" s="45">
        <v>2.23</v>
      </c>
      <c r="B71" s="45">
        <f t="shared" si="12"/>
        <v>2230</v>
      </c>
      <c r="C71" s="16">
        <f t="shared" si="13"/>
        <v>2.4777777777777779</v>
      </c>
      <c r="D71" s="15">
        <f t="shared" si="14"/>
        <v>6.8810610034000003E+19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3.3669594270955551E+40</v>
      </c>
      <c r="F71" s="15">
        <f t="shared" si="7"/>
        <v>1.9353833324641251E+40</v>
      </c>
      <c r="G71" s="15">
        <f t="shared" si="8"/>
        <v>1.0587213396192359E+40</v>
      </c>
      <c r="H71" s="15">
        <f t="shared" si="9"/>
        <v>6.3610640991789159E+40</v>
      </c>
      <c r="I71" s="45">
        <v>218.68</v>
      </c>
      <c r="J71" s="45">
        <v>1</v>
      </c>
      <c r="K71" s="19">
        <f t="shared" si="10"/>
        <v>248.38930137070204</v>
      </c>
      <c r="L71" s="16">
        <f t="shared" si="11"/>
        <v>882.64258793519787</v>
      </c>
      <c r="M71" s="45"/>
    </row>
    <row r="72" spans="1:13" x14ac:dyDescent="0.25">
      <c r="A72" s="45">
        <v>2.54</v>
      </c>
      <c r="B72" s="45">
        <f t="shared" si="12"/>
        <v>2540</v>
      </c>
      <c r="C72" s="16">
        <f t="shared" si="13"/>
        <v>2.8222222222222224</v>
      </c>
      <c r="D72" s="15">
        <f t="shared" si="14"/>
        <v>7.8376210532000006E+19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3.5420347048288893E+40</v>
      </c>
      <c r="F72" s="15">
        <f t="shared" si="7"/>
        <v>2.3677616415253068E+40</v>
      </c>
      <c r="G72" s="15">
        <f t="shared" si="8"/>
        <v>1.33969926996928E+40</v>
      </c>
      <c r="H72" s="15">
        <f t="shared" si="9"/>
        <v>7.2494956163234758E+40</v>
      </c>
      <c r="I72" s="45">
        <v>220.55</v>
      </c>
      <c r="J72" s="45">
        <v>1</v>
      </c>
      <c r="K72" s="19">
        <f t="shared" si="10"/>
        <v>248.46056531385761</v>
      </c>
      <c r="L72" s="16">
        <f t="shared" si="11"/>
        <v>778.99965613911115</v>
      </c>
      <c r="M72" s="45"/>
    </row>
    <row r="73" spans="1:13" x14ac:dyDescent="0.25">
      <c r="A73" s="45">
        <v>2.89</v>
      </c>
      <c r="B73" s="45">
        <f t="shared" si="12"/>
        <v>2890</v>
      </c>
      <c r="C73" s="16">
        <f t="shared" si="13"/>
        <v>3.2111111111111112</v>
      </c>
      <c r="D73" s="15">
        <f t="shared" si="14"/>
        <v>8.9176082061999997E+19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3.7082563658555556E+40</v>
      </c>
      <c r="F73" s="15">
        <f t="shared" si="7"/>
        <v>2.8705823480570844E+40</v>
      </c>
      <c r="G73" s="15">
        <f t="shared" si="8"/>
        <v>1.6870275913788846E+40</v>
      </c>
      <c r="H73" s="15">
        <f t="shared" si="9"/>
        <v>8.2658663052915249E+40</v>
      </c>
      <c r="I73" s="45">
        <v>228.29</v>
      </c>
      <c r="J73" s="45">
        <v>1</v>
      </c>
      <c r="K73" s="19">
        <f t="shared" si="10"/>
        <v>248.72285745309574</v>
      </c>
      <c r="L73" s="16">
        <f t="shared" si="11"/>
        <v>417.50166369853054</v>
      </c>
      <c r="M73" s="45"/>
    </row>
    <row r="74" spans="1:13" x14ac:dyDescent="0.25">
      <c r="A74" s="45">
        <v>3.27</v>
      </c>
      <c r="B74" s="45">
        <f t="shared" si="12"/>
        <v>3270</v>
      </c>
      <c r="C74" s="16">
        <f t="shared" si="13"/>
        <v>3.6333333333333333</v>
      </c>
      <c r="D74" s="15">
        <f t="shared" si="14"/>
        <v>1.0090165686599999E+20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3.858878797446666E+40</v>
      </c>
      <c r="F74" s="15">
        <f t="shared" si="7"/>
        <v>3.4250689147912409E+40</v>
      </c>
      <c r="G74" s="15">
        <f t="shared" si="8"/>
        <v>2.0971468552229093E+40</v>
      </c>
      <c r="H74" s="15">
        <f t="shared" si="9"/>
        <v>9.3810945674608165E+40</v>
      </c>
      <c r="I74" s="45">
        <v>241.21</v>
      </c>
      <c r="J74" s="45">
        <v>1</v>
      </c>
      <c r="K74" s="19">
        <f t="shared" si="10"/>
        <v>249.09976176661056</v>
      </c>
      <c r="L74" s="16">
        <f t="shared" si="11"/>
        <v>62.24834073386959</v>
      </c>
      <c r="M74" s="45"/>
    </row>
    <row r="75" spans="1:13" x14ac:dyDescent="0.25">
      <c r="A75" s="45">
        <v>3.69</v>
      </c>
      <c r="B75" s="45">
        <f t="shared" si="12"/>
        <v>3690</v>
      </c>
      <c r="C75" s="16">
        <f t="shared" si="13"/>
        <v>4.0999999999999996</v>
      </c>
      <c r="D75" s="15">
        <f t="shared" si="14"/>
        <v>1.13861502702E+20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3.9976575751099997E+40</v>
      </c>
      <c r="F75" s="15">
        <f t="shared" si="7"/>
        <v>4.0384846243111518E+40</v>
      </c>
      <c r="G75" s="15">
        <f t="shared" si="8"/>
        <v>2.5866435278112221E+40</v>
      </c>
      <c r="H75" s="15">
        <f t="shared" si="9"/>
        <v>1.0622785727232375E+41</v>
      </c>
      <c r="I75" s="45">
        <v>255.4</v>
      </c>
      <c r="J75" s="45">
        <v>1</v>
      </c>
      <c r="K75" s="19">
        <f t="shared" si="10"/>
        <v>249.53212162067078</v>
      </c>
      <c r="L75" s="16">
        <f t="shared" si="11"/>
        <v>34.431996674599397</v>
      </c>
      <c r="M75" s="45"/>
    </row>
    <row r="76" spans="1:13" x14ac:dyDescent="0.25">
      <c r="A76" s="45">
        <v>4.1500000000000004</v>
      </c>
      <c r="B76" s="45">
        <f t="shared" si="12"/>
        <v>4150</v>
      </c>
      <c r="C76" s="16">
        <f t="shared" si="13"/>
        <v>4.6111111111111107</v>
      </c>
      <c r="D76" s="15">
        <f t="shared" si="14"/>
        <v>1.2805561957E+20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4.1233223490799993E+40</v>
      </c>
      <c r="F76" s="15">
        <f t="shared" si="7"/>
        <v>4.7008333636219127E+40</v>
      </c>
      <c r="G76" s="15">
        <f t="shared" si="8"/>
        <v>3.1618843109385331E+40</v>
      </c>
      <c r="H76" s="15">
        <f t="shared" si="9"/>
        <v>1.1986040023640445E+41</v>
      </c>
      <c r="I76" s="45">
        <v>266.19</v>
      </c>
      <c r="J76" s="45">
        <v>1</v>
      </c>
      <c r="K76" s="19">
        <f t="shared" si="10"/>
        <v>249.93912492734779</v>
      </c>
      <c r="L76" s="16">
        <f t="shared" si="11"/>
        <v>264.09094062694885</v>
      </c>
      <c r="M76" s="45"/>
    </row>
    <row r="77" spans="1:13" x14ac:dyDescent="0.25">
      <c r="A77" s="45">
        <v>4.6500000000000004</v>
      </c>
      <c r="B77" s="45">
        <f t="shared" si="12"/>
        <v>4650</v>
      </c>
      <c r="C77" s="16">
        <f t="shared" si="13"/>
        <v>5.166666666666667</v>
      </c>
      <c r="D77" s="15">
        <f t="shared" si="14"/>
        <v>1.4348400747000001E+20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4.2321119964699996E+40</v>
      </c>
      <c r="F77" s="15">
        <f t="shared" si="7"/>
        <v>5.3995933819940976E+40</v>
      </c>
      <c r="G77" s="15">
        <f t="shared" si="8"/>
        <v>3.8283327428248785E+40</v>
      </c>
      <c r="H77" s="15">
        <f t="shared" si="9"/>
        <v>1.3460038121288977E+41</v>
      </c>
      <c r="I77" s="45">
        <v>271.62</v>
      </c>
      <c r="J77" s="45">
        <v>1</v>
      </c>
      <c r="K77" s="19">
        <f t="shared" si="10"/>
        <v>250.21716550888158</v>
      </c>
      <c r="L77" s="16">
        <f t="shared" si="11"/>
        <v>458.08132425420854</v>
      </c>
      <c r="M77" s="45"/>
    </row>
    <row r="78" spans="1:13" x14ac:dyDescent="0.25">
      <c r="A78" s="45">
        <v>5.21</v>
      </c>
      <c r="B78" s="45">
        <f t="shared" si="12"/>
        <v>5210</v>
      </c>
      <c r="C78" s="16">
        <f t="shared" si="13"/>
        <v>5.7888888888888888</v>
      </c>
      <c r="D78" s="15">
        <f t="shared" si="14"/>
        <v>1.6076380191800001E+20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4.3351867341286662E+40</v>
      </c>
      <c r="F78" s="15">
        <f t="shared" si="7"/>
        <v>6.1464222809714655E+40</v>
      </c>
      <c r="G78" s="15">
        <f t="shared" si="8"/>
        <v>4.6194223648774307E+40</v>
      </c>
      <c r="H78" s="15">
        <f t="shared" si="9"/>
        <v>1.5101031379977562E+41</v>
      </c>
      <c r="I78" s="45">
        <v>273.77999999999997</v>
      </c>
      <c r="J78" s="45">
        <v>1</v>
      </c>
      <c r="K78" s="19">
        <f t="shared" si="10"/>
        <v>250.38302088098126</v>
      </c>
      <c r="L78" s="16">
        <f t="shared" si="11"/>
        <v>547.41863189579749</v>
      </c>
      <c r="M78" s="45"/>
    </row>
    <row r="79" spans="1:13" x14ac:dyDescent="0.25">
      <c r="A79" s="45">
        <v>5.82</v>
      </c>
      <c r="B79" s="45">
        <f t="shared" si="12"/>
        <v>5820</v>
      </c>
      <c r="C79" s="16">
        <f t="shared" si="13"/>
        <v>6.4666666666666668</v>
      </c>
      <c r="D79" s="15">
        <f t="shared" si="14"/>
        <v>1.7958643515600001E+20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4.4267750690599993E+40</v>
      </c>
      <c r="F79" s="15">
        <f t="shared" si="7"/>
        <v>6.9087255703968743E+40</v>
      </c>
      <c r="G79" s="15">
        <f t="shared" si="8"/>
        <v>5.5276043514473478E+40</v>
      </c>
      <c r="H79" s="15">
        <f t="shared" si="9"/>
        <v>1.6863104990904222E+41</v>
      </c>
      <c r="I79" s="45">
        <v>274.77</v>
      </c>
      <c r="J79" s="45">
        <v>1</v>
      </c>
      <c r="K79" s="19">
        <f t="shared" si="10"/>
        <v>250.33853777966783</v>
      </c>
      <c r="L79" s="16">
        <f t="shared" si="11"/>
        <v>596.89634622351718</v>
      </c>
      <c r="M79" s="45"/>
    </row>
    <row r="80" spans="1:13" x14ac:dyDescent="0.25">
      <c r="A80" s="45">
        <v>6.49</v>
      </c>
      <c r="B80" s="45">
        <f t="shared" si="12"/>
        <v>6490</v>
      </c>
      <c r="C80" s="16">
        <f t="shared" si="13"/>
        <v>7.2111111111111112</v>
      </c>
      <c r="D80" s="15">
        <f t="shared" si="14"/>
        <v>2.0026047494200001E+20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4.5107784728365547E+40</v>
      </c>
      <c r="F80" s="15">
        <f t="shared" si="7"/>
        <v>7.6785579062071684E+40</v>
      </c>
      <c r="G80" s="15">
        <f t="shared" si="8"/>
        <v>6.5726323780128662E+40</v>
      </c>
      <c r="H80" s="15">
        <f t="shared" si="9"/>
        <v>1.8761968757056587E+41</v>
      </c>
      <c r="I80" s="45">
        <v>274.45</v>
      </c>
      <c r="J80" s="45">
        <v>1</v>
      </c>
      <c r="K80" s="19">
        <f t="shared" si="10"/>
        <v>250.0560043835018</v>
      </c>
      <c r="L80" s="16">
        <f t="shared" si="11"/>
        <v>595.06702213773281</v>
      </c>
      <c r="M80" s="45"/>
    </row>
    <row r="81" spans="1:13" x14ac:dyDescent="0.25">
      <c r="A81" s="45">
        <v>7.23</v>
      </c>
      <c r="B81" s="45">
        <f t="shared" si="12"/>
        <v>7230</v>
      </c>
      <c r="C81" s="16">
        <f t="shared" si="13"/>
        <v>8.0333333333333332</v>
      </c>
      <c r="D81" s="15">
        <f t="shared" si="14"/>
        <v>2.2309448903400001E+20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4.5852398301863326E+40</v>
      </c>
      <c r="F81" s="15">
        <f t="shared" si="7"/>
        <v>8.4440775874963397E+40</v>
      </c>
      <c r="G81" s="15">
        <f t="shared" si="8"/>
        <v>7.7751476023486946E+40</v>
      </c>
      <c r="H81" s="15">
        <f t="shared" si="9"/>
        <v>2.0804465020031368E+41</v>
      </c>
      <c r="I81" s="45">
        <v>273.07</v>
      </c>
      <c r="J81" s="45">
        <v>1</v>
      </c>
      <c r="K81" s="19">
        <f t="shared" si="10"/>
        <v>249.4764521031091</v>
      </c>
      <c r="L81" s="16">
        <f t="shared" si="11"/>
        <v>556.65550236288482</v>
      </c>
      <c r="M81" s="45"/>
    </row>
    <row r="82" spans="1:13" x14ac:dyDescent="0.25">
      <c r="A82" s="45">
        <v>8.0500000000000007</v>
      </c>
      <c r="B82" s="45">
        <f t="shared" si="12"/>
        <v>8050.0000000000009</v>
      </c>
      <c r="C82" s="16">
        <f t="shared" si="13"/>
        <v>8.9444444444444446</v>
      </c>
      <c r="D82" s="15">
        <f t="shared" si="14"/>
        <v>2.4839704519000002E+20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4.6493331363927767E+40</v>
      </c>
      <c r="F82" s="15">
        <f t="shared" si="7"/>
        <v>9.190137656573192E+40</v>
      </c>
      <c r="G82" s="15">
        <f t="shared" si="8"/>
        <v>9.1559984633464802E+40</v>
      </c>
      <c r="H82" s="15">
        <f t="shared" si="9"/>
        <v>2.2995469256312446E+41</v>
      </c>
      <c r="I82" s="45">
        <v>271.04000000000002</v>
      </c>
      <c r="J82" s="45">
        <v>1</v>
      </c>
      <c r="K82" s="19">
        <f t="shared" si="10"/>
        <v>248.56709088692307</v>
      </c>
      <c r="L82" s="16">
        <f t="shared" si="11"/>
        <v>505.03164400461714</v>
      </c>
      <c r="M82" s="45"/>
    </row>
    <row r="83" spans="1:13" x14ac:dyDescent="0.25">
      <c r="A83" s="45">
        <v>8.94</v>
      </c>
      <c r="B83" s="45">
        <f t="shared" si="12"/>
        <v>8940</v>
      </c>
      <c r="C83" s="16">
        <f t="shared" si="13"/>
        <v>9.9333333333333336</v>
      </c>
      <c r="D83" s="15">
        <f t="shared" si="14"/>
        <v>2.7585957565199997E+20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4.7047786336493322E+40</v>
      </c>
      <c r="F83" s="15">
        <f t="shared" si="7"/>
        <v>9.8852254005964791E+40</v>
      </c>
      <c r="G83" s="15">
        <f t="shared" si="8"/>
        <v>1.0700338272685887E+41</v>
      </c>
      <c r="H83" s="15">
        <f t="shared" si="9"/>
        <v>2.5290342306931699E+41</v>
      </c>
      <c r="I83" s="45">
        <v>268.42</v>
      </c>
      <c r="J83" s="45">
        <v>1</v>
      </c>
      <c r="K83" s="19">
        <f t="shared" si="10"/>
        <v>247.35974580424249</v>
      </c>
      <c r="L83" s="16">
        <f t="shared" si="11"/>
        <v>443.53430678992231</v>
      </c>
      <c r="M83" s="45"/>
    </row>
    <row r="84" spans="1:13" x14ac:dyDescent="0.25">
      <c r="A84" s="45">
        <v>9.93</v>
      </c>
      <c r="B84" s="45">
        <f t="shared" si="12"/>
        <v>9930</v>
      </c>
      <c r="C84" s="16">
        <f t="shared" si="13"/>
        <v>11.033333333333333</v>
      </c>
      <c r="D84" s="15">
        <f t="shared" si="14"/>
        <v>3.06407783694E+20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4.7535783709969996E+40</v>
      </c>
      <c r="F84" s="15">
        <f t="shared" si="7"/>
        <v>1.0531401244039717E+41</v>
      </c>
      <c r="G84" s="15">
        <f t="shared" si="8"/>
        <v>1.2460773777002283E+41</v>
      </c>
      <c r="H84" s="15">
        <f t="shared" si="9"/>
        <v>2.7745753392038998E+41</v>
      </c>
      <c r="I84" s="45">
        <v>264.64</v>
      </c>
      <c r="J84" s="45">
        <v>1</v>
      </c>
      <c r="K84" s="19">
        <f t="shared" si="10"/>
        <v>245.83520035486484</v>
      </c>
      <c r="L84" s="16">
        <f t="shared" si="11"/>
        <v>353.62048969367498</v>
      </c>
      <c r="M84" s="45"/>
    </row>
    <row r="85" spans="1:13" x14ac:dyDescent="0.25">
      <c r="A85" s="45">
        <v>11.01</v>
      </c>
      <c r="B85" s="45">
        <f t="shared" si="12"/>
        <v>11010</v>
      </c>
      <c r="C85" s="16">
        <f t="shared" si="13"/>
        <v>12.233333333333333</v>
      </c>
      <c r="D85" s="15">
        <f t="shared" si="14"/>
        <v>3.3973310155799999E+20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4.7946495000766654E+40</v>
      </c>
      <c r="F85" s="15">
        <f t="shared" si="7"/>
        <v>1.1103354186150211E+41</v>
      </c>
      <c r="G85" s="15">
        <f t="shared" si="8"/>
        <v>1.441826967902511E+41</v>
      </c>
      <c r="H85" s="15">
        <f t="shared" si="9"/>
        <v>3.0316273365251987E+41</v>
      </c>
      <c r="I85" s="45">
        <v>259.33</v>
      </c>
      <c r="J85" s="45">
        <v>1</v>
      </c>
      <c r="K85" s="19">
        <f t="shared" si="10"/>
        <v>244.04205832202868</v>
      </c>
      <c r="L85" s="16">
        <f t="shared" si="11"/>
        <v>233.72116074905205</v>
      </c>
      <c r="M85" s="45"/>
    </row>
    <row r="86" spans="1:13" x14ac:dyDescent="0.25">
      <c r="A86" s="45">
        <v>12.2</v>
      </c>
      <c r="B86" s="45">
        <f t="shared" si="12"/>
        <v>12200</v>
      </c>
      <c r="C86" s="16">
        <f t="shared" si="13"/>
        <v>13.555555555555555</v>
      </c>
      <c r="D86" s="15">
        <f t="shared" si="14"/>
        <v>3.7645266475999999E+20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4.8301360828288875E+40</v>
      </c>
      <c r="F86" s="15">
        <f t="shared" si="7"/>
        <v>1.1598928721003231E+41</v>
      </c>
      <c r="G86" s="15">
        <f t="shared" si="8"/>
        <v>1.6604860773261796E+41</v>
      </c>
      <c r="H86" s="15">
        <f t="shared" si="9"/>
        <v>3.3033925577093916E+41</v>
      </c>
      <c r="I86" s="45">
        <v>253.7</v>
      </c>
      <c r="J86" s="45">
        <v>1</v>
      </c>
      <c r="K86" s="19">
        <f t="shared" si="10"/>
        <v>242.00292168118403</v>
      </c>
      <c r="L86" s="16">
        <f t="shared" si="11"/>
        <v>136.82164119651426</v>
      </c>
      <c r="M86" s="45"/>
    </row>
    <row r="87" spans="1:13" x14ac:dyDescent="0.25">
      <c r="A87" s="45">
        <v>13.51</v>
      </c>
      <c r="B87" s="45">
        <f t="shared" si="12"/>
        <v>13510</v>
      </c>
      <c r="C87" s="16">
        <f t="shared" si="13"/>
        <v>15.011111111111111</v>
      </c>
      <c r="D87" s="15">
        <f t="shared" si="14"/>
        <v>4.1687504105800001E+20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4.8607729250612876E+40</v>
      </c>
      <c r="F87" s="15">
        <f t="shared" si="7"/>
        <v>1.2013049291201049E+41</v>
      </c>
      <c r="G87" s="15">
        <f t="shared" si="8"/>
        <v>1.903230224761671E+41</v>
      </c>
      <c r="H87" s="15">
        <f t="shared" si="9"/>
        <v>3.5906124463879048E+41</v>
      </c>
      <c r="I87" s="45">
        <v>247.83</v>
      </c>
      <c r="J87" s="45">
        <v>1</v>
      </c>
      <c r="K87" s="19">
        <f t="shared" si="10"/>
        <v>239.76016180078733</v>
      </c>
      <c r="L87" s="16">
        <f t="shared" si="11"/>
        <v>65.122288561472189</v>
      </c>
      <c r="M87" s="45"/>
    </row>
    <row r="88" spans="1:13" x14ac:dyDescent="0.25">
      <c r="A88" s="45">
        <v>14.95</v>
      </c>
      <c r="B88" s="45">
        <f t="shared" si="12"/>
        <v>14950</v>
      </c>
      <c r="C88" s="16">
        <f t="shared" si="13"/>
        <v>16.611111111111111</v>
      </c>
      <c r="D88" s="15">
        <f t="shared" si="14"/>
        <v>4.6130879820999996E+20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4.8805517716468884E+40</v>
      </c>
      <c r="F88" s="15">
        <f t="shared" si="7"/>
        <v>1.234559688462965E+41</v>
      </c>
      <c r="G88" s="15">
        <f t="shared" si="8"/>
        <v>2.1709203929041383E+41</v>
      </c>
      <c r="H88" s="15">
        <f t="shared" si="9"/>
        <v>3.8935352585317926E+41</v>
      </c>
      <c r="I88" s="45">
        <v>242.76</v>
      </c>
      <c r="J88" s="45">
        <v>1</v>
      </c>
      <c r="K88" s="19">
        <f t="shared" si="10"/>
        <v>237.3405208756802</v>
      </c>
      <c r="L88" s="16">
        <f t="shared" si="11"/>
        <v>29.370753978938026</v>
      </c>
      <c r="M88" s="45"/>
    </row>
    <row r="89" spans="1:13" x14ac:dyDescent="0.25">
      <c r="A89" s="45">
        <v>16.54</v>
      </c>
      <c r="B89" s="45">
        <f t="shared" si="12"/>
        <v>16540</v>
      </c>
      <c r="C89" s="16">
        <f t="shared" si="13"/>
        <v>18.377777777777776</v>
      </c>
      <c r="D89" s="15">
        <f t="shared" si="14"/>
        <v>5.1037107173199997E+20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4.9023909147518218E+40</v>
      </c>
      <c r="F89" s="15">
        <f t="shared" si="7"/>
        <v>1.2602658031241056E+41</v>
      </c>
      <c r="G89" s="15">
        <f t="shared" si="8"/>
        <v>2.465923909630143E+41</v>
      </c>
      <c r="H89" s="15">
        <f t="shared" si="9"/>
        <v>4.2164288042294312E+41</v>
      </c>
      <c r="I89" s="45">
        <v>239.24</v>
      </c>
      <c r="J89" s="45">
        <v>1</v>
      </c>
      <c r="K89" s="19">
        <f t="shared" si="10"/>
        <v>234.81458284713895</v>
      </c>
      <c r="L89" s="16">
        <f t="shared" si="11"/>
        <v>19.584316976836877</v>
      </c>
      <c r="M89" s="45"/>
    </row>
    <row r="90" spans="1:13" x14ac:dyDescent="0.25">
      <c r="A90" s="45">
        <v>18.29</v>
      </c>
      <c r="B90" s="45">
        <f t="shared" si="12"/>
        <v>18290</v>
      </c>
      <c r="C90" s="16">
        <f t="shared" si="13"/>
        <v>20.322222222222223</v>
      </c>
      <c r="D90" s="15">
        <f t="shared" si="14"/>
        <v>5.6437042938199998E+20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4.9242462562031098E+40</v>
      </c>
      <c r="F90" s="15">
        <f t="shared" si="7"/>
        <v>1.2791629787005177E+41</v>
      </c>
      <c r="G90" s="15">
        <f t="shared" si="8"/>
        <v>2.788348049459136E+41</v>
      </c>
      <c r="H90" s="15">
        <f t="shared" si="9"/>
        <v>4.5599356537799653E+41</v>
      </c>
      <c r="I90" s="45">
        <v>236.58</v>
      </c>
      <c r="J90" s="45">
        <v>1</v>
      </c>
      <c r="K90" s="19">
        <f t="shared" si="10"/>
        <v>232.21642563473918</v>
      </c>
      <c r="L90" s="16">
        <f t="shared" si="11"/>
        <v>19.040781241161465</v>
      </c>
      <c r="M90" s="45"/>
    </row>
    <row r="91" spans="1:13" x14ac:dyDescent="0.25">
      <c r="A91" s="45">
        <v>20.2</v>
      </c>
      <c r="B91" s="45">
        <f t="shared" si="12"/>
        <v>20200</v>
      </c>
      <c r="C91" s="16">
        <f t="shared" si="13"/>
        <v>22.444444444444443</v>
      </c>
      <c r="D91" s="15">
        <f t="shared" si="14"/>
        <v>6.2330687115999995E+20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4.9361132091222206E+40</v>
      </c>
      <c r="F91" s="15">
        <f t="shared" si="7"/>
        <v>1.2922780383105162E+41</v>
      </c>
      <c r="G91" s="15">
        <f t="shared" si="8"/>
        <v>3.1360873501125419E+41</v>
      </c>
      <c r="H91" s="15">
        <f t="shared" si="9"/>
        <v>4.9219767093352805E+41</v>
      </c>
      <c r="I91" s="45">
        <v>234.44</v>
      </c>
      <c r="J91" s="45">
        <v>1</v>
      </c>
      <c r="K91" s="19">
        <f t="shared" si="10"/>
        <v>229.56967741679057</v>
      </c>
      <c r="L91" s="16">
        <f t="shared" si="11"/>
        <v>23.720042064519767</v>
      </c>
      <c r="M91" s="45"/>
    </row>
    <row r="92" spans="1:13" x14ac:dyDescent="0.25">
      <c r="A92" s="45">
        <v>22.32</v>
      </c>
      <c r="B92" s="45">
        <f t="shared" si="12"/>
        <v>22320</v>
      </c>
      <c r="C92" s="16">
        <f t="shared" si="13"/>
        <v>24.8</v>
      </c>
      <c r="D92" s="15">
        <f t="shared" si="14"/>
        <v>6.8872323585599996E+20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4.9492849055559988E+40</v>
      </c>
      <c r="F92" s="15">
        <f t="shared" si="7"/>
        <v>1.3010338499750527E+41</v>
      </c>
      <c r="G92" s="15">
        <f t="shared" si="8"/>
        <v>3.5156579303922055E+41</v>
      </c>
      <c r="H92" s="15">
        <f t="shared" si="9"/>
        <v>5.3116202709228586E+41</v>
      </c>
      <c r="I92" s="45">
        <v>232.91</v>
      </c>
      <c r="J92" s="45">
        <v>1</v>
      </c>
      <c r="K92" s="19">
        <f t="shared" si="10"/>
        <v>226.87510649213954</v>
      </c>
      <c r="L92" s="16">
        <f t="shared" si="11"/>
        <v>36.419939651216325</v>
      </c>
      <c r="M92" s="45"/>
    </row>
    <row r="93" spans="1:13" x14ac:dyDescent="0.25">
      <c r="A93" s="45">
        <v>24.64</v>
      </c>
      <c r="B93" s="45">
        <f t="shared" si="12"/>
        <v>24640</v>
      </c>
      <c r="C93" s="16">
        <f t="shared" si="13"/>
        <v>27.377777777777776</v>
      </c>
      <c r="D93" s="15">
        <f t="shared" si="14"/>
        <v>7.6031095571200003E+20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4.9585470312440435E+40</v>
      </c>
      <c r="F93" s="15">
        <f t="shared" si="7"/>
        <v>1.3064500439823218E+41</v>
      </c>
      <c r="G93" s="15">
        <f t="shared" si="8"/>
        <v>3.9222293529022975E+41</v>
      </c>
      <c r="H93" s="15">
        <f t="shared" si="9"/>
        <v>5.7245341000090239E+41</v>
      </c>
      <c r="I93" s="45">
        <v>230.3</v>
      </c>
      <c r="J93" s="45">
        <v>1</v>
      </c>
      <c r="K93" s="19">
        <f t="shared" si="10"/>
        <v>224.16621203302884</v>
      </c>
      <c r="L93" s="16">
        <f t="shared" si="11"/>
        <v>37.623354823760316</v>
      </c>
      <c r="M93" s="45"/>
    </row>
    <row r="94" spans="1:13" x14ac:dyDescent="0.25">
      <c r="A94" s="45">
        <v>27.19</v>
      </c>
      <c r="B94" s="45">
        <f t="shared" si="12"/>
        <v>27190</v>
      </c>
      <c r="C94" s="16">
        <f t="shared" si="13"/>
        <v>30.211111111111112</v>
      </c>
      <c r="D94" s="15">
        <f t="shared" si="14"/>
        <v>8.3899573400200007E+20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4.9679032404780435E+40</v>
      </c>
      <c r="F94" s="15">
        <f t="shared" si="7"/>
        <v>1.3096032671425817E+41</v>
      </c>
      <c r="G94" s="15">
        <f t="shared" si="8"/>
        <v>4.3576844948128205E+41</v>
      </c>
      <c r="H94" s="15">
        <f t="shared" si="9"/>
        <v>6.1640780860032066E+41</v>
      </c>
      <c r="I94" s="45">
        <v>223.21</v>
      </c>
      <c r="J94" s="45">
        <v>1</v>
      </c>
      <c r="K94" s="19">
        <f t="shared" si="10"/>
        <v>221.43684935153249</v>
      </c>
      <c r="L94" s="16">
        <f t="shared" si="11"/>
        <v>3.1440632221607894</v>
      </c>
      <c r="M94" s="45"/>
    </row>
    <row r="95" spans="1:13" x14ac:dyDescent="0.25">
      <c r="A95" s="45">
        <v>30</v>
      </c>
      <c r="B95" s="45">
        <f t="shared" si="12"/>
        <v>30000</v>
      </c>
      <c r="C95" s="16">
        <f t="shared" si="13"/>
        <v>33.333333333333336</v>
      </c>
      <c r="D95" s="15">
        <f t="shared" si="14"/>
        <v>9.2570327399999996E+20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4.9734526164233325E+40</v>
      </c>
      <c r="F95" s="15">
        <f t="shared" si="7"/>
        <v>1.3113132083646676E+41</v>
      </c>
      <c r="G95" s="15">
        <f t="shared" si="8"/>
        <v>4.8232286612650419E+41</v>
      </c>
      <c r="H95" s="15">
        <f t="shared" si="9"/>
        <v>6.6318871312720427E+41</v>
      </c>
      <c r="I95" s="45">
        <v>214.86</v>
      </c>
      <c r="J95" s="45">
        <v>1</v>
      </c>
      <c r="K95" s="19">
        <f t="shared" si="10"/>
        <v>218.66454326133319</v>
      </c>
      <c r="L95" s="16">
        <f t="shared" si="11"/>
        <v>14.474549427355708</v>
      </c>
      <c r="M95" s="45"/>
    </row>
    <row r="96" spans="1:13" x14ac:dyDescent="0.25">
      <c r="A96" s="45"/>
      <c r="H96" s="15"/>
      <c r="K96" s="45"/>
      <c r="L96" s="16">
        <f>SUM(L59:L95)/(COUNT(L59:L95)-6)</f>
        <v>439.68820482377117</v>
      </c>
      <c r="M96" s="45"/>
    </row>
    <row r="97" spans="1:29" x14ac:dyDescent="0.25">
      <c r="A97" s="45"/>
      <c r="H97" s="15"/>
      <c r="K97" s="45"/>
      <c r="L97" s="17"/>
      <c r="M97" s="45"/>
    </row>
    <row r="98" spans="1:29" x14ac:dyDescent="0.25">
      <c r="A98" s="45"/>
      <c r="I98" s="45"/>
      <c r="J98" s="45"/>
      <c r="L98" s="16"/>
    </row>
    <row r="99" spans="1:29" x14ac:dyDescent="0.25">
      <c r="A99" s="45"/>
      <c r="I99" s="45"/>
      <c r="J99" s="45"/>
      <c r="L99" s="16"/>
    </row>
    <row r="100" spans="1:29" x14ac:dyDescent="0.25">
      <c r="A100" s="45"/>
      <c r="I100" s="45"/>
      <c r="J100" s="45"/>
      <c r="L100" s="16"/>
    </row>
    <row r="101" spans="1:29" x14ac:dyDescent="0.25">
      <c r="A101" s="45"/>
      <c r="I101" s="45"/>
      <c r="J101" s="45"/>
      <c r="L101" s="16"/>
    </row>
    <row r="102" spans="1:29" x14ac:dyDescent="0.25">
      <c r="A102" s="45"/>
      <c r="I102" s="45"/>
      <c r="J102" s="45"/>
      <c r="L102" s="16"/>
    </row>
    <row r="103" spans="1:29" x14ac:dyDescent="0.25">
      <c r="A103" s="45"/>
      <c r="I103" s="45"/>
      <c r="J103" s="45"/>
      <c r="L103" s="16"/>
    </row>
    <row r="104" spans="1:29" x14ac:dyDescent="0.25">
      <c r="A104" s="45"/>
      <c r="I104" s="45"/>
      <c r="J104" s="45"/>
      <c r="L104" s="16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s="17" customFormat="1" x14ac:dyDescent="0.25">
      <c r="A543" s="45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spans="1:29" s="17" customFormat="1" x14ac:dyDescent="0.25">
      <c r="A544" s="45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spans="1:29" s="17" customFormat="1" x14ac:dyDescent="0.25">
      <c r="A545" s="45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</row>
    <row r="546" spans="1:29" s="17" customFormat="1" x14ac:dyDescent="0.25">
      <c r="A546" s="45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</row>
    <row r="547" spans="1:29" s="17" customFormat="1" x14ac:dyDescent="0.25">
      <c r="A547" s="45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</row>
    <row r="548" spans="1:29" s="17" customFormat="1" x14ac:dyDescent="0.25">
      <c r="A548" s="45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</row>
    <row r="549" spans="1:29" s="17" customFormat="1" x14ac:dyDescent="0.25">
      <c r="A549" s="45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</row>
    <row r="550" spans="1:29" s="17" customFormat="1" x14ac:dyDescent="0.25">
      <c r="A550" s="45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</row>
    <row r="551" spans="1:29" s="17" customFormat="1" x14ac:dyDescent="0.25">
      <c r="A551" s="45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</row>
    <row r="552" spans="1:29" s="17" customFormat="1" x14ac:dyDescent="0.25">
      <c r="A552" s="45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</row>
    <row r="553" spans="1:29" x14ac:dyDescent="0.25">
      <c r="A553" s="45"/>
      <c r="L553" s="16"/>
    </row>
    <row r="554" spans="1:29" x14ac:dyDescent="0.25">
      <c r="L554" s="16"/>
      <c r="N554" s="17"/>
      <c r="O554" s="38"/>
    </row>
    <row r="555" spans="1:29" x14ac:dyDescent="0.25">
      <c r="L555" s="16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513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0</v>
      </c>
      <c r="E2" s="55"/>
      <c r="F2" s="53" t="s">
        <v>620</v>
      </c>
      <c r="G2" s="53">
        <v>39445582484</v>
      </c>
      <c r="H2" s="62"/>
      <c r="K2" s="51" t="s">
        <v>1</v>
      </c>
      <c r="L2" s="60" t="s">
        <v>602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2">
        <v>0</v>
      </c>
      <c r="E3" s="53"/>
      <c r="F3" s="53" t="s">
        <v>621</v>
      </c>
      <c r="G3" s="53">
        <f>H23/SolarMass</f>
        <v>71616982916.263443</v>
      </c>
      <c r="H3" s="62"/>
      <c r="K3" s="51" t="s">
        <v>562</v>
      </c>
      <c r="L3" s="57">
        <v>1.5428000000000001E-2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2146.78481356458</v>
      </c>
      <c r="E4" s="55"/>
      <c r="F4" s="53" t="s">
        <v>622</v>
      </c>
      <c r="G4" s="52">
        <f>G3/G2</f>
        <v>1.8155894375577513</v>
      </c>
      <c r="H4" s="62"/>
      <c r="K4" s="61" t="s">
        <v>614</v>
      </c>
      <c r="L4" s="52">
        <f>QEHModelChiSquare</f>
        <v>192.71568702851076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2473.25490089292</v>
      </c>
      <c r="F5" s="53"/>
      <c r="G5" s="52"/>
      <c r="H5" s="62"/>
      <c r="K5" s="61" t="s">
        <v>615</v>
      </c>
      <c r="L5" s="52">
        <f>LCDMModelChiSquare</f>
        <v>260.26719465711318</v>
      </c>
      <c r="M5" s="55"/>
      <c r="V5" s="52"/>
      <c r="W5" s="52"/>
    </row>
    <row r="6" spans="1:23" s="51" customFormat="1" ht="20.100000000000001" customHeight="1" x14ac:dyDescent="0.25">
      <c r="A6" s="52"/>
      <c r="C6" s="52"/>
      <c r="D6" s="59"/>
      <c r="F6" s="53"/>
      <c r="G6" s="53"/>
      <c r="H6" s="62"/>
      <c r="K6" s="54"/>
      <c r="M6" s="55"/>
      <c r="V6" s="52"/>
      <c r="W6" s="52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0.8</v>
      </c>
      <c r="B8" s="45">
        <f t="shared" ref="B8:B23" si="0">RadiusKpc*1000</f>
        <v>800</v>
      </c>
      <c r="C8" s="16">
        <f t="shared" ref="C8:C23" si="1">IF(QESBulgeEffectiveRadius=0,0,RadiusPc/QESBulgeEffectiveRadius)</f>
        <v>0</v>
      </c>
      <c r="D8" s="15">
        <f t="shared" ref="D8:D23" si="2">RadiusKpc*kpc</f>
        <v>2.468542064E+19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0</v>
      </c>
      <c r="F8" s="15">
        <f t="shared" ref="F8:F23" si="3">2*PI()*QESDiskSurfaceDensity*QESDiskScaleLength*(QESDiskScaleLength-EXP(-RadiusPc/QESDiskScaleLength)*(RadiusPc+QESDiskScaleLength))*SolarMass</f>
        <v>7.7457656698662265E+39</v>
      </c>
      <c r="H8" s="18">
        <f t="shared" ref="H8:H23" si="4">BulgeMass+DiskMass+HaloMass</f>
        <v>7.7457656698662265E+39</v>
      </c>
      <c r="I8" s="16">
        <v>144.56</v>
      </c>
      <c r="J8" s="45">
        <v>1</v>
      </c>
      <c r="K8" s="19">
        <f t="shared" ref="K8:K23" si="5">SQRT(TotalMass*GravitationalConstant/RadiusKm+UniverseAcceleration*RadiusKm)/km</f>
        <v>147.79053248442</v>
      </c>
      <c r="L8" s="16">
        <f t="shared" ref="L8:L23" si="6">(ObservedVelocity-ModelVelocity)^2/(VelocityError)^2</f>
        <v>10.43634013289283</v>
      </c>
    </row>
    <row r="9" spans="1:23" x14ac:dyDescent="0.25">
      <c r="A9" s="16">
        <v>1.68</v>
      </c>
      <c r="B9" s="45">
        <f t="shared" si="0"/>
        <v>1680</v>
      </c>
      <c r="C9" s="16">
        <f t="shared" si="1"/>
        <v>0</v>
      </c>
      <c r="D9" s="15">
        <f t="shared" si="2"/>
        <v>5.1839383344E+19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0</v>
      </c>
      <c r="F9" s="15">
        <f t="shared" si="3"/>
        <v>2.6348047519865904E+40</v>
      </c>
      <c r="H9" s="18">
        <f t="shared" si="4"/>
        <v>2.6348047519865904E+40</v>
      </c>
      <c r="I9" s="16">
        <v>201.75</v>
      </c>
      <c r="J9" s="45">
        <v>1</v>
      </c>
      <c r="K9" s="19">
        <f t="shared" si="5"/>
        <v>189.24130518764397</v>
      </c>
      <c r="L9" s="16">
        <f t="shared" si="6"/>
        <v>156.46744590866257</v>
      </c>
    </row>
    <row r="10" spans="1:23" x14ac:dyDescent="0.25">
      <c r="A10" s="16">
        <v>2.64</v>
      </c>
      <c r="B10" s="45">
        <f t="shared" si="0"/>
        <v>2640</v>
      </c>
      <c r="C10" s="16">
        <f t="shared" si="1"/>
        <v>0</v>
      </c>
      <c r="D10" s="15">
        <f t="shared" si="2"/>
        <v>8.1461888112000008E+19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0</v>
      </c>
      <c r="F10" s="15">
        <f t="shared" si="3"/>
        <v>4.9588583952688278E+40</v>
      </c>
      <c r="H10" s="18">
        <f t="shared" si="4"/>
        <v>4.9588583952688278E+40</v>
      </c>
      <c r="I10" s="16">
        <v>206.03</v>
      </c>
      <c r="J10" s="45">
        <v>1</v>
      </c>
      <c r="K10" s="19">
        <f t="shared" si="5"/>
        <v>208.80125993635988</v>
      </c>
      <c r="L10" s="16">
        <f t="shared" si="6"/>
        <v>7.6798816348733805</v>
      </c>
    </row>
    <row r="11" spans="1:23" x14ac:dyDescent="0.25">
      <c r="A11" s="16">
        <v>3.71</v>
      </c>
      <c r="B11" s="45">
        <f t="shared" si="0"/>
        <v>3710</v>
      </c>
      <c r="C11" s="16">
        <f t="shared" si="1"/>
        <v>0</v>
      </c>
      <c r="D11" s="15">
        <f t="shared" si="2"/>
        <v>1.1447863821799999E+20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0</v>
      </c>
      <c r="F11" s="15">
        <f t="shared" si="3"/>
        <v>7.3429334353499129E+40</v>
      </c>
      <c r="H11" s="18">
        <f t="shared" si="4"/>
        <v>7.3429334353499129E+40</v>
      </c>
      <c r="I11" s="16">
        <v>208.58</v>
      </c>
      <c r="J11" s="45">
        <v>1</v>
      </c>
      <c r="K11" s="19">
        <f t="shared" si="5"/>
        <v>216.75733107908113</v>
      </c>
      <c r="L11" s="16">
        <f t="shared" si="6"/>
        <v>66.868743576905899</v>
      </c>
    </row>
    <row r="12" spans="1:23" x14ac:dyDescent="0.25">
      <c r="A12" s="16">
        <v>4.87</v>
      </c>
      <c r="B12" s="45">
        <f t="shared" si="0"/>
        <v>4870</v>
      </c>
      <c r="C12" s="16">
        <f t="shared" si="1"/>
        <v>0</v>
      </c>
      <c r="D12" s="15">
        <f t="shared" si="2"/>
        <v>1.5027249814600001E+20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0</v>
      </c>
      <c r="F12" s="15">
        <f t="shared" si="3"/>
        <v>9.4280485602879051E+40</v>
      </c>
      <c r="H12" s="18">
        <f t="shared" si="4"/>
        <v>9.4280485602879051E+40</v>
      </c>
      <c r="I12" s="16">
        <v>213.65</v>
      </c>
      <c r="J12" s="45">
        <v>1</v>
      </c>
      <c r="K12" s="19">
        <f t="shared" si="5"/>
        <v>217.60704496082278</v>
      </c>
      <c r="L12" s="16">
        <f t="shared" si="6"/>
        <v>15.65820482197288</v>
      </c>
    </row>
    <row r="13" spans="1:23" x14ac:dyDescent="0.25">
      <c r="A13" s="16">
        <v>6.16</v>
      </c>
      <c r="B13" s="45">
        <f t="shared" si="0"/>
        <v>6160</v>
      </c>
      <c r="C13" s="16">
        <f t="shared" si="1"/>
        <v>0</v>
      </c>
      <c r="D13" s="15">
        <f t="shared" si="2"/>
        <v>1.9007773892800001E+20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0</v>
      </c>
      <c r="F13" s="15">
        <f t="shared" si="3"/>
        <v>1.1118429349228698E+41</v>
      </c>
      <c r="H13" s="18">
        <f t="shared" si="4"/>
        <v>1.1118429349228698E+41</v>
      </c>
      <c r="I13" s="16">
        <v>219.11</v>
      </c>
      <c r="J13" s="45">
        <v>1</v>
      </c>
      <c r="K13" s="19">
        <f t="shared" si="5"/>
        <v>214.40813091756095</v>
      </c>
      <c r="L13" s="16">
        <f t="shared" si="6"/>
        <v>22.107572868396332</v>
      </c>
    </row>
    <row r="14" spans="1:23" x14ac:dyDescent="0.25">
      <c r="A14" s="16">
        <v>7.57</v>
      </c>
      <c r="B14" s="45">
        <f t="shared" si="0"/>
        <v>7570</v>
      </c>
      <c r="C14" s="16">
        <f t="shared" si="1"/>
        <v>0</v>
      </c>
      <c r="D14" s="15">
        <f t="shared" si="2"/>
        <v>2.33585792806E+20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0</v>
      </c>
      <c r="F14" s="15">
        <f t="shared" si="3"/>
        <v>1.2348922926449463E+41</v>
      </c>
      <c r="H14" s="18">
        <f t="shared" si="4"/>
        <v>1.2348922926449463E+41</v>
      </c>
      <c r="I14" s="16">
        <v>224.12</v>
      </c>
      <c r="J14" s="45">
        <v>1</v>
      </c>
      <c r="K14" s="19">
        <f t="shared" si="5"/>
        <v>209.28849122827941</v>
      </c>
      <c r="L14" s="16">
        <f t="shared" si="6"/>
        <v>219.97365244562488</v>
      </c>
    </row>
    <row r="15" spans="1:23" x14ac:dyDescent="0.25">
      <c r="A15" s="16">
        <v>9.1300000000000008</v>
      </c>
      <c r="B15" s="45">
        <f t="shared" si="0"/>
        <v>9130</v>
      </c>
      <c r="C15" s="16">
        <f t="shared" si="1"/>
        <v>0</v>
      </c>
      <c r="D15" s="15">
        <f t="shared" si="2"/>
        <v>2.8172236305400001E+20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0</v>
      </c>
      <c r="F15" s="15">
        <f t="shared" si="3"/>
        <v>1.3181313656786877E+41</v>
      </c>
      <c r="H15" s="18">
        <f t="shared" si="4"/>
        <v>1.3181313656786877E+41</v>
      </c>
      <c r="I15" s="16">
        <v>220.66</v>
      </c>
      <c r="J15" s="45">
        <v>1</v>
      </c>
      <c r="K15" s="19">
        <f t="shared" si="5"/>
        <v>203.71604377594073</v>
      </c>
      <c r="L15" s="16">
        <f t="shared" si="6"/>
        <v>287.09765252283665</v>
      </c>
    </row>
    <row r="16" spans="1:23" x14ac:dyDescent="0.25">
      <c r="A16" s="16">
        <v>10.84</v>
      </c>
      <c r="B16" s="45">
        <f t="shared" si="0"/>
        <v>10840</v>
      </c>
      <c r="C16" s="16">
        <f t="shared" si="1"/>
        <v>0</v>
      </c>
      <c r="D16" s="15">
        <f t="shared" si="2"/>
        <v>3.3448744967200001E+20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0</v>
      </c>
      <c r="F16" s="15">
        <f t="shared" si="3"/>
        <v>1.3692986492779888E+41</v>
      </c>
      <c r="H16" s="18">
        <f t="shared" si="4"/>
        <v>1.3692986492779888E+41</v>
      </c>
      <c r="I16" s="16">
        <v>221</v>
      </c>
      <c r="J16" s="45">
        <v>1</v>
      </c>
      <c r="K16" s="19">
        <f t="shared" si="5"/>
        <v>198.79462212548643</v>
      </c>
      <c r="L16" s="16">
        <f t="shared" si="6"/>
        <v>493.07880654993693</v>
      </c>
    </row>
    <row r="17" spans="1:29" x14ac:dyDescent="0.25">
      <c r="A17" s="16">
        <v>12.72</v>
      </c>
      <c r="B17" s="45">
        <f t="shared" si="0"/>
        <v>12720</v>
      </c>
      <c r="C17" s="16">
        <f t="shared" si="1"/>
        <v>0</v>
      </c>
      <c r="D17" s="15">
        <f t="shared" si="2"/>
        <v>3.9249818817600002E+20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0</v>
      </c>
      <c r="F17" s="15">
        <f t="shared" si="3"/>
        <v>1.3982108629862944E+41</v>
      </c>
      <c r="H17" s="18">
        <f t="shared" si="4"/>
        <v>1.3982108629862944E+41</v>
      </c>
      <c r="I17" s="16">
        <v>215.85</v>
      </c>
      <c r="J17" s="45">
        <v>1</v>
      </c>
      <c r="K17" s="19">
        <f t="shared" si="5"/>
        <v>195.16204841340419</v>
      </c>
      <c r="L17" s="16">
        <f t="shared" si="6"/>
        <v>427.99134084933172</v>
      </c>
    </row>
    <row r="18" spans="1:29" x14ac:dyDescent="0.25">
      <c r="A18" s="16">
        <v>14.79</v>
      </c>
      <c r="B18" s="45">
        <f t="shared" si="0"/>
        <v>14790</v>
      </c>
      <c r="C18" s="16">
        <f t="shared" si="1"/>
        <v>0</v>
      </c>
      <c r="D18" s="15">
        <f t="shared" si="2"/>
        <v>4.5637171408199995E+20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0</v>
      </c>
      <c r="F18" s="15">
        <f t="shared" si="3"/>
        <v>1.4131179614453994E+41</v>
      </c>
      <c r="H18" s="18">
        <f t="shared" si="4"/>
        <v>1.4131179614453994E+41</v>
      </c>
      <c r="I18" s="16">
        <v>206.7</v>
      </c>
      <c r="J18" s="45">
        <v>1</v>
      </c>
      <c r="K18" s="19">
        <f t="shared" si="5"/>
        <v>193.15245644226709</v>
      </c>
      <c r="L18" s="16">
        <f t="shared" si="6"/>
        <v>183.53593644867004</v>
      </c>
    </row>
    <row r="19" spans="1:29" x14ac:dyDescent="0.25">
      <c r="A19" s="16">
        <v>17.07</v>
      </c>
      <c r="B19" s="45">
        <f t="shared" si="0"/>
        <v>17070</v>
      </c>
      <c r="C19" s="16">
        <f t="shared" si="1"/>
        <v>0</v>
      </c>
      <c r="D19" s="15">
        <f t="shared" si="2"/>
        <v>5.2672516290600003E+20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0</v>
      </c>
      <c r="F19" s="15">
        <f t="shared" si="3"/>
        <v>1.4200747005954588E+41</v>
      </c>
      <c r="H19" s="18">
        <f t="shared" si="4"/>
        <v>1.4200747005954588E+41</v>
      </c>
      <c r="I19" s="16">
        <v>198.22</v>
      </c>
      <c r="J19" s="45">
        <v>1</v>
      </c>
      <c r="K19" s="19">
        <f t="shared" si="5"/>
        <v>192.87629263644942</v>
      </c>
      <c r="L19" s="16">
        <f t="shared" si="6"/>
        <v>28.555208387264674</v>
      </c>
    </row>
    <row r="20" spans="1:29" s="17" customFormat="1" x14ac:dyDescent="0.25">
      <c r="A20" s="16">
        <v>19.579999999999998</v>
      </c>
      <c r="B20" s="45">
        <f t="shared" si="0"/>
        <v>19580</v>
      </c>
      <c r="C20" s="16">
        <f t="shared" si="1"/>
        <v>0</v>
      </c>
      <c r="D20" s="15">
        <f t="shared" si="2"/>
        <v>6.0417567016399995E+20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0</v>
      </c>
      <c r="F20" s="15">
        <f t="shared" si="3"/>
        <v>1.4229883144140297E+41</v>
      </c>
      <c r="G20" s="15"/>
      <c r="H20" s="18">
        <f t="shared" si="4"/>
        <v>1.4229883144140297E+41</v>
      </c>
      <c r="I20" s="16">
        <v>192.68</v>
      </c>
      <c r="J20" s="45">
        <v>1</v>
      </c>
      <c r="K20" s="19">
        <f t="shared" si="5"/>
        <v>194.29650997706264</v>
      </c>
      <c r="L20" s="16">
        <f t="shared" si="6"/>
        <v>2.613104505943038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22.33</v>
      </c>
      <c r="B21" s="45">
        <f t="shared" si="0"/>
        <v>22330</v>
      </c>
      <c r="C21" s="16">
        <f t="shared" si="1"/>
        <v>0</v>
      </c>
      <c r="D21" s="15">
        <f t="shared" si="2"/>
        <v>6.8903180361399992E+20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0</v>
      </c>
      <c r="F21" s="15">
        <f t="shared" si="3"/>
        <v>1.4240718997401223E+41</v>
      </c>
      <c r="G21" s="15"/>
      <c r="H21" s="18">
        <f t="shared" si="4"/>
        <v>1.4240718997401223E+41</v>
      </c>
      <c r="I21" s="16">
        <v>190.08</v>
      </c>
      <c r="J21" s="45">
        <v>1</v>
      </c>
      <c r="K21" s="19">
        <f t="shared" si="5"/>
        <v>197.28190264947312</v>
      </c>
      <c r="L21" s="16">
        <f t="shared" si="6"/>
        <v>51.867401772487831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25.37</v>
      </c>
      <c r="B22" s="45">
        <f t="shared" si="0"/>
        <v>25370</v>
      </c>
      <c r="C22" s="16">
        <f t="shared" si="1"/>
        <v>0</v>
      </c>
      <c r="D22" s="15">
        <f t="shared" si="2"/>
        <v>7.8283640204600004E+20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0</v>
      </c>
      <c r="F22" s="15">
        <f t="shared" si="3"/>
        <v>1.4244307732136667E+41</v>
      </c>
      <c r="G22" s="15"/>
      <c r="H22" s="18">
        <f t="shared" si="4"/>
        <v>1.4244307732136667E+41</v>
      </c>
      <c r="I22" s="16">
        <v>190.97</v>
      </c>
      <c r="J22" s="45">
        <v>1</v>
      </c>
      <c r="K22" s="19">
        <f t="shared" si="5"/>
        <v>201.72019758272418</v>
      </c>
      <c r="L22" s="16">
        <f t="shared" si="6"/>
        <v>115.56674806760888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28.7</v>
      </c>
      <c r="B23" s="45">
        <f t="shared" si="0"/>
        <v>28700</v>
      </c>
      <c r="C23" s="16">
        <f t="shared" si="1"/>
        <v>0</v>
      </c>
      <c r="D23" s="15">
        <f t="shared" si="2"/>
        <v>8.8558946546000003E+20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0</v>
      </c>
      <c r="F23" s="15">
        <f t="shared" si="3"/>
        <v>1.4245334071873961E+41</v>
      </c>
      <c r="G23" s="15"/>
      <c r="H23" s="18">
        <f t="shared" si="4"/>
        <v>1.4245334071873961E+41</v>
      </c>
      <c r="I23" s="16">
        <v>192.5</v>
      </c>
      <c r="J23" s="45">
        <v>1</v>
      </c>
      <c r="K23" s="19">
        <f t="shared" si="5"/>
        <v>207.43620446595187</v>
      </c>
      <c r="L23" s="16">
        <f t="shared" si="6"/>
        <v>223.09020384872071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x14ac:dyDescent="0.25">
      <c r="I24" s="45"/>
      <c r="J24" s="45"/>
      <c r="L24" s="16">
        <f>SUM(L8:L23)/(COUNT(L8:L23)-4)</f>
        <v>192.71568702851076</v>
      </c>
    </row>
    <row r="25" spans="1:29" x14ac:dyDescent="0.25">
      <c r="I25" s="45"/>
      <c r="J25" s="45"/>
      <c r="L25" s="16"/>
    </row>
    <row r="26" spans="1:29" ht="21" x14ac:dyDescent="0.35">
      <c r="A26" s="48" t="s">
        <v>564</v>
      </c>
      <c r="I26" s="45"/>
      <c r="J26" s="45"/>
      <c r="L26" s="16"/>
    </row>
    <row r="27" spans="1:29" x14ac:dyDescent="0.25">
      <c r="A27" s="16" t="s">
        <v>30</v>
      </c>
      <c r="D27" s="16">
        <v>3.06</v>
      </c>
      <c r="E27" s="17">
        <f>$D$27*1000</f>
        <v>3060</v>
      </c>
      <c r="F27" s="17"/>
      <c r="G27" s="17"/>
      <c r="H27" s="15"/>
      <c r="K27" s="15"/>
      <c r="L27" s="17"/>
      <c r="M27" s="45"/>
    </row>
    <row r="28" spans="1:29" x14ac:dyDescent="0.25">
      <c r="A28" s="16" t="s">
        <v>16</v>
      </c>
      <c r="D28" s="16">
        <v>2.78</v>
      </c>
      <c r="E28" s="15">
        <f>D28*10000000000*SolarMass</f>
        <v>5.529697999999999E+40</v>
      </c>
      <c r="F28" s="43"/>
      <c r="G28" s="43"/>
      <c r="H28" s="15"/>
      <c r="K28" s="15"/>
      <c r="L28" s="17"/>
      <c r="M28" s="45"/>
    </row>
    <row r="29" spans="1:29" x14ac:dyDescent="0.25">
      <c r="A29" s="16" t="s">
        <v>569</v>
      </c>
      <c r="D29" s="16">
        <v>3</v>
      </c>
      <c r="E29" s="15">
        <f>D29*1000</f>
        <v>3000</v>
      </c>
      <c r="H29" s="15"/>
      <c r="K29" s="15"/>
      <c r="L29" s="17"/>
      <c r="M29" s="45"/>
    </row>
    <row r="30" spans="1:29" x14ac:dyDescent="0.25">
      <c r="A30" s="16" t="s">
        <v>17</v>
      </c>
      <c r="D30" s="45">
        <v>6</v>
      </c>
      <c r="G30" s="16"/>
      <c r="H30" s="15"/>
      <c r="K30" s="15"/>
      <c r="L30" s="17"/>
      <c r="M30" s="45"/>
    </row>
    <row r="31" spans="1:29" x14ac:dyDescent="0.25">
      <c r="A31" s="16" t="s">
        <v>570</v>
      </c>
      <c r="D31" s="16">
        <v>88.9</v>
      </c>
      <c r="E31" s="17">
        <f>D31*1000</f>
        <v>88900</v>
      </c>
      <c r="H31" s="15"/>
      <c r="K31" s="15"/>
      <c r="L31" s="17"/>
      <c r="M31" s="45"/>
    </row>
    <row r="32" spans="1:29" x14ac:dyDescent="0.25">
      <c r="A32" s="16" t="s">
        <v>571</v>
      </c>
      <c r="D32" s="16">
        <v>83.1</v>
      </c>
      <c r="G32" s="9"/>
      <c r="H32" s="15"/>
      <c r="K32" s="15"/>
      <c r="L32" s="17"/>
      <c r="M32" s="45"/>
    </row>
    <row r="33" spans="1:29" x14ac:dyDescent="0.25">
      <c r="D33" s="12"/>
      <c r="H33" s="15"/>
      <c r="K33" s="15"/>
      <c r="L33" s="17"/>
      <c r="M33" s="45"/>
    </row>
    <row r="34" spans="1:29" x14ac:dyDescent="0.25">
      <c r="A34" s="16" t="s">
        <v>567</v>
      </c>
      <c r="D34" s="17">
        <f>(D30*10000000000)/(2*PI()*DiskScaleLengthPc^2)</f>
        <v>1061.032953945969</v>
      </c>
      <c r="H34" s="15"/>
      <c r="K34" s="15"/>
      <c r="L34" s="17"/>
      <c r="M34" s="45"/>
    </row>
    <row r="35" spans="1:29" x14ac:dyDescent="0.25">
      <c r="A35" s="16" t="s">
        <v>565</v>
      </c>
      <c r="D35" s="9">
        <f>(D32*10000000000)/(4*PI()*(LCDMHaloScaleLengthPc)^3*(LN(2)-1/2))</f>
        <v>4.8730122583906413E-4</v>
      </c>
      <c r="H35" s="15"/>
      <c r="K35" s="15"/>
      <c r="L35" s="17"/>
      <c r="M35" s="45"/>
    </row>
    <row r="36" spans="1:29" x14ac:dyDescent="0.25">
      <c r="H36" s="15"/>
      <c r="K36" s="15"/>
      <c r="L36" s="17"/>
      <c r="M36" s="45"/>
    </row>
    <row r="37" spans="1:29" ht="45" x14ac:dyDescent="0.25">
      <c r="A37" s="7" t="s">
        <v>20</v>
      </c>
      <c r="B37" s="3" t="s">
        <v>19</v>
      </c>
      <c r="C37" s="7" t="s">
        <v>27</v>
      </c>
      <c r="D37" s="4" t="s">
        <v>649</v>
      </c>
      <c r="E37" s="4" t="s">
        <v>21</v>
      </c>
      <c r="F37" s="4" t="s">
        <v>22</v>
      </c>
      <c r="G37" s="4" t="s">
        <v>28</v>
      </c>
      <c r="H37" s="4" t="s">
        <v>23</v>
      </c>
      <c r="I37" s="7" t="s">
        <v>645</v>
      </c>
      <c r="J37" s="7" t="s">
        <v>646</v>
      </c>
      <c r="K37" s="25" t="s">
        <v>647</v>
      </c>
      <c r="L37" s="3" t="s">
        <v>648</v>
      </c>
      <c r="M37" s="3"/>
      <c r="N37" s="3"/>
      <c r="O37" s="3"/>
      <c r="P37" s="3"/>
      <c r="Q37" s="3"/>
      <c r="R37" s="3"/>
      <c r="S37" s="3"/>
      <c r="T37" s="3"/>
      <c r="U37" s="3"/>
      <c r="V37" s="7"/>
      <c r="W37" s="7"/>
      <c r="X37" s="3"/>
      <c r="Y37" s="3"/>
      <c r="Z37" s="3"/>
      <c r="AA37" s="3"/>
      <c r="AB37" s="3"/>
      <c r="AC37" s="3"/>
    </row>
    <row r="38" spans="1:29" x14ac:dyDescent="0.25">
      <c r="A38" s="16">
        <v>0.8</v>
      </c>
      <c r="B38" s="45">
        <f>A38*1000</f>
        <v>800</v>
      </c>
      <c r="C38" s="16">
        <f>B38/LCDMBulgeEffectiveRadius</f>
        <v>0.26143790849673204</v>
      </c>
      <c r="D38" s="15">
        <f>A38*kpc</f>
        <v>2.468542064E+19</v>
      </c>
      <c r="E38" s="15">
        <f>FORECAST($C38, OFFSET('De Vaucouleurs Deprojection'!$F$3:$F$126, MATCH($C38, 'De Vaucouleurs Deprojection'!$A$3:$A$126,1)-1,0,2), OFFSET('De Vaucouleurs Deprojection'!$A$3:$A$126, MATCH($C38, 'De Vaucouleurs Deprojection'!$A$3:$A$126,1)-1,0,2))*LCDMTotalBulgeMass</f>
        <v>7.3060964958460117E+39</v>
      </c>
      <c r="F38" s="15">
        <f t="shared" ref="F38:F53" si="7">2*PI()*LCDMDiskSurfaceDensity*LCDMScaleLength*(LCDMScaleLength-EXP(-RadiusPc/LCDMScaleLength)*(RadiusPc+LCDMScaleLength))*SolarMass</f>
        <v>3.5593876040746669E+39</v>
      </c>
      <c r="G38" s="15">
        <f t="shared" ref="G38:G53" si="8">4*PI()*LCDMHaloRepresentativeDensity*LCDMHaloScaleLengthPc^3*(LN(1+RadiusPc/LCDMHaloScaleLengthPc)-RadiusPc/(RadiusPc+LCDMHaloScaleLengthPc))*SolarMass</f>
        <v>3.4239405208438405E+38</v>
      </c>
      <c r="H38" s="15">
        <f t="shared" ref="H38:H53" si="9">BulgeMass+DiskMass+HaloMass</f>
        <v>1.1207878152005063E+40</v>
      </c>
      <c r="I38" s="16">
        <v>144.56</v>
      </c>
      <c r="J38" s="45">
        <v>1</v>
      </c>
      <c r="K38" s="19">
        <f t="shared" ref="K38:K53" si="10">SQRT(TotalMass*GravitationalConstant/RadiusKm)/km</f>
        <v>174.07529444576198</v>
      </c>
      <c r="L38" s="16">
        <f t="shared" ref="L38:L53" si="11">(ObservedVelocity-ModelVelocity)^2/(VelocityError)^2</f>
        <v>871.15260622002802</v>
      </c>
      <c r="M38" s="45"/>
    </row>
    <row r="39" spans="1:29" x14ac:dyDescent="0.25">
      <c r="A39" s="16">
        <v>1.68</v>
      </c>
      <c r="B39" s="45">
        <f t="shared" ref="B39:B53" si="12">A39*1000</f>
        <v>1680</v>
      </c>
      <c r="C39" s="16">
        <f t="shared" ref="C39:C53" si="13">B39/LCDMBulgeEffectiveRadius</f>
        <v>0.5490196078431373</v>
      </c>
      <c r="D39" s="15">
        <f t="shared" ref="D39:D53" si="14">A39*kpc</f>
        <v>5.1839383344E+19</v>
      </c>
      <c r="E39" s="15">
        <f>FORECAST($C39, OFFSET('De Vaucouleurs Deprojection'!$F$3:$F$126, MATCH($C39, 'De Vaucouleurs Deprojection'!$A$3:$A$126,1)-1,0,2), OFFSET('De Vaucouleurs Deprojection'!$A$3:$A$126, MATCH($C39, 'De Vaucouleurs Deprojection'!$A$3:$A$126,1)-1,0,2))*LCDMTotalBulgeMass</f>
        <v>1.463134237200784E+40</v>
      </c>
      <c r="F39" s="15">
        <f t="shared" si="7"/>
        <v>1.2998433582802962E+40</v>
      </c>
      <c r="G39" s="15">
        <f t="shared" si="8"/>
        <v>1.4904077963651021E+39</v>
      </c>
      <c r="H39" s="15">
        <f t="shared" si="9"/>
        <v>2.91201837511759E+40</v>
      </c>
      <c r="I39" s="16">
        <v>201.75</v>
      </c>
      <c r="J39" s="45">
        <v>1</v>
      </c>
      <c r="K39" s="19">
        <f t="shared" si="10"/>
        <v>193.62563106519434</v>
      </c>
      <c r="L39" s="16">
        <f t="shared" si="11"/>
        <v>66.005370588835234</v>
      </c>
      <c r="M39" s="45"/>
    </row>
    <row r="40" spans="1:29" x14ac:dyDescent="0.25">
      <c r="A40" s="16">
        <v>2.64</v>
      </c>
      <c r="B40" s="45">
        <f t="shared" si="12"/>
        <v>2640</v>
      </c>
      <c r="C40" s="16">
        <f t="shared" si="13"/>
        <v>0.86274509803921573</v>
      </c>
      <c r="D40" s="15">
        <f t="shared" si="14"/>
        <v>8.1461888112000008E+19</v>
      </c>
      <c r="E40" s="15">
        <f>FORECAST($C40, OFFSET('De Vaucouleurs Deprojection'!$F$3:$F$126, MATCH($C40, 'De Vaucouleurs Deprojection'!$A$3:$A$126,1)-1,0,2), OFFSET('De Vaucouleurs Deprojection'!$A$3:$A$126, MATCH($C40, 'De Vaucouleurs Deprojection'!$A$3:$A$126,1)-1,0,2))*LCDMTotalBulgeMass</f>
        <v>2.0742374269984308E+40</v>
      </c>
      <c r="F40" s="15">
        <f t="shared" si="7"/>
        <v>2.6280959010205977E+40</v>
      </c>
      <c r="G40" s="15">
        <f t="shared" si="8"/>
        <v>3.6289200434636774E+39</v>
      </c>
      <c r="H40" s="15">
        <f t="shared" si="9"/>
        <v>5.0652253323653971E+40</v>
      </c>
      <c r="I40" s="16">
        <v>206.03</v>
      </c>
      <c r="J40" s="45">
        <v>1</v>
      </c>
      <c r="K40" s="19">
        <f t="shared" si="10"/>
        <v>203.71258192609537</v>
      </c>
      <c r="L40" s="16">
        <f t="shared" si="11"/>
        <v>5.370426529259861</v>
      </c>
      <c r="M40" s="45"/>
    </row>
    <row r="41" spans="1:29" x14ac:dyDescent="0.25">
      <c r="A41" s="16">
        <v>3.71</v>
      </c>
      <c r="B41" s="45">
        <f t="shared" si="12"/>
        <v>3710</v>
      </c>
      <c r="C41" s="16">
        <f t="shared" si="13"/>
        <v>1.2124183006535947</v>
      </c>
      <c r="D41" s="15">
        <f t="shared" si="14"/>
        <v>1.1447863821799999E+20</v>
      </c>
      <c r="E41" s="15">
        <f>FORECAST($C41, OFFSET('De Vaucouleurs Deprojection'!$F$3:$F$126, MATCH($C41, 'De Vaucouleurs Deprojection'!$A$3:$A$126,1)-1,0,2), OFFSET('De Vaucouleurs Deprojection'!$A$3:$A$126, MATCH($C41, 'De Vaucouleurs Deprojection'!$A$3:$A$126,1)-1,0,2))*LCDMTotalBulgeMass</f>
        <v>2.5957508351599991E+40</v>
      </c>
      <c r="F41" s="15">
        <f t="shared" si="7"/>
        <v>4.1840660326421225E+40</v>
      </c>
      <c r="G41" s="15">
        <f t="shared" si="8"/>
        <v>7.0561592193979489E+39</v>
      </c>
      <c r="H41" s="15">
        <f t="shared" si="9"/>
        <v>7.4854327897419169E+40</v>
      </c>
      <c r="I41" s="16">
        <v>208.58</v>
      </c>
      <c r="J41" s="45">
        <v>1</v>
      </c>
      <c r="K41" s="19">
        <f t="shared" si="10"/>
        <v>208.90168084235697</v>
      </c>
      <c r="L41" s="16">
        <f t="shared" si="11"/>
        <v>0.10347856433947987</v>
      </c>
      <c r="M41" s="45"/>
    </row>
    <row r="42" spans="1:29" x14ac:dyDescent="0.25">
      <c r="A42" s="16">
        <v>4.87</v>
      </c>
      <c r="B42" s="45">
        <f t="shared" si="12"/>
        <v>4870</v>
      </c>
      <c r="C42" s="16">
        <f t="shared" si="13"/>
        <v>1.5915032679738561</v>
      </c>
      <c r="D42" s="15">
        <f t="shared" si="14"/>
        <v>1.5027249814600001E+20</v>
      </c>
      <c r="E42" s="15">
        <f>FORECAST($C42, OFFSET('De Vaucouleurs Deprojection'!$F$3:$F$126, MATCH($C42, 'De Vaucouleurs Deprojection'!$A$3:$A$126,1)-1,0,2), OFFSET('De Vaucouleurs Deprojection'!$A$3:$A$126, MATCH($C42, 'De Vaucouleurs Deprojection'!$A$3:$A$126,1)-1,0,2))*LCDMTotalBulgeMass</f>
        <v>3.0310219167754244E+40</v>
      </c>
      <c r="F42" s="15">
        <f t="shared" si="7"/>
        <v>5.7593202521414925E+40</v>
      </c>
      <c r="G42" s="15">
        <f t="shared" si="8"/>
        <v>1.1957546888312041E+40</v>
      </c>
      <c r="H42" s="15">
        <f t="shared" si="9"/>
        <v>9.9860968577481205E+40</v>
      </c>
      <c r="I42" s="16">
        <v>213.65</v>
      </c>
      <c r="J42" s="45">
        <v>1</v>
      </c>
      <c r="K42" s="19">
        <f t="shared" si="10"/>
        <v>210.59780384783949</v>
      </c>
      <c r="L42" s="16">
        <f t="shared" si="11"/>
        <v>9.315901351263479</v>
      </c>
      <c r="M42" s="45"/>
    </row>
    <row r="43" spans="1:29" x14ac:dyDescent="0.25">
      <c r="A43" s="16">
        <v>6.16</v>
      </c>
      <c r="B43" s="45">
        <f t="shared" si="12"/>
        <v>6160</v>
      </c>
      <c r="C43" s="16">
        <f t="shared" si="13"/>
        <v>2.0130718954248366</v>
      </c>
      <c r="D43" s="15">
        <f t="shared" si="14"/>
        <v>1.9007773892800001E+20</v>
      </c>
      <c r="E43" s="15">
        <f>FORECAST($C43, OFFSET('De Vaucouleurs Deprojection'!$F$3:$F$126, MATCH($C43, 'De Vaucouleurs Deprojection'!$A$3:$A$126,1)-1,0,2), OFFSET('De Vaucouleurs Deprojection'!$A$3:$A$126, MATCH($C43, 'De Vaucouleurs Deprojection'!$A$3:$A$126,1)-1,0,2))*LCDMTotalBulgeMass</f>
        <v>3.40673417533098E+40</v>
      </c>
      <c r="F43" s="15">
        <f t="shared" si="7"/>
        <v>7.2590710485216208E+40</v>
      </c>
      <c r="G43" s="15">
        <f t="shared" si="8"/>
        <v>1.8784255699719327E+40</v>
      </c>
      <c r="H43" s="15">
        <f t="shared" si="9"/>
        <v>1.2544230793824533E+41</v>
      </c>
      <c r="I43" s="16">
        <v>219.11</v>
      </c>
      <c r="J43" s="45">
        <v>1</v>
      </c>
      <c r="K43" s="19">
        <f t="shared" si="10"/>
        <v>209.87083640407437</v>
      </c>
      <c r="L43" s="16">
        <f t="shared" si="11"/>
        <v>85.362143952277719</v>
      </c>
      <c r="M43" s="45"/>
    </row>
    <row r="44" spans="1:29" x14ac:dyDescent="0.25">
      <c r="A44" s="16">
        <v>7.57</v>
      </c>
      <c r="B44" s="45">
        <f t="shared" si="12"/>
        <v>7570</v>
      </c>
      <c r="C44" s="16">
        <f t="shared" si="13"/>
        <v>2.4738562091503269</v>
      </c>
      <c r="D44" s="15">
        <f t="shared" si="14"/>
        <v>2.33585792806E+20</v>
      </c>
      <c r="E44" s="15">
        <f>FORECAST($C44, OFFSET('De Vaucouleurs Deprojection'!$F$3:$F$126, MATCH($C44, 'De Vaucouleurs Deprojection'!$A$3:$A$126,1)-1,0,2), OFFSET('De Vaucouleurs Deprojection'!$A$3:$A$126, MATCH($C44, 'De Vaucouleurs Deprojection'!$A$3:$A$126,1)-1,0,2))*LCDMTotalBulgeMass</f>
        <v>3.7267070780465351E+40</v>
      </c>
      <c r="F44" s="15">
        <f t="shared" si="7"/>
        <v>8.562566677400804E+40</v>
      </c>
      <c r="G44" s="15">
        <f t="shared" si="8"/>
        <v>2.7812844780914114E+40</v>
      </c>
      <c r="H44" s="15">
        <f t="shared" si="9"/>
        <v>1.5070558233538752E+41</v>
      </c>
      <c r="I44" s="16">
        <v>224.12</v>
      </c>
      <c r="J44" s="45">
        <v>1</v>
      </c>
      <c r="K44" s="19">
        <f t="shared" si="10"/>
        <v>207.50910703445371</v>
      </c>
      <c r="L44" s="16">
        <f t="shared" si="11"/>
        <v>275.92176511283549</v>
      </c>
      <c r="M44" s="45"/>
    </row>
    <row r="45" spans="1:29" x14ac:dyDescent="0.25">
      <c r="A45" s="16">
        <v>9.1300000000000008</v>
      </c>
      <c r="B45" s="45">
        <f t="shared" si="12"/>
        <v>9130</v>
      </c>
      <c r="C45" s="16">
        <f t="shared" si="13"/>
        <v>2.9836601307189543</v>
      </c>
      <c r="D45" s="15">
        <f t="shared" si="14"/>
        <v>2.8172236305400001E+20</v>
      </c>
      <c r="E45" s="15">
        <f>FORECAST($C45, OFFSET('De Vaucouleurs Deprojection'!$F$3:$F$126, MATCH($C45, 'De Vaucouleurs Deprojection'!$A$3:$A$126,1)-1,0,2), OFFSET('De Vaucouleurs Deprojection'!$A$3:$A$126, MATCH($C45, 'De Vaucouleurs Deprojection'!$A$3:$A$126,1)-1,0,2))*LCDMTotalBulgeMass</f>
        <v>4.003503881927189E+40</v>
      </c>
      <c r="F45" s="15">
        <f t="shared" si="7"/>
        <v>9.6339818554834956E+40</v>
      </c>
      <c r="G45" s="15">
        <f t="shared" si="8"/>
        <v>3.9594656566696096E+40</v>
      </c>
      <c r="H45" s="15">
        <f t="shared" si="9"/>
        <v>1.7596951394080296E+41</v>
      </c>
      <c r="I45" s="16">
        <v>220.66</v>
      </c>
      <c r="J45" s="45">
        <v>1</v>
      </c>
      <c r="K45" s="19">
        <f t="shared" si="10"/>
        <v>204.17556215108377</v>
      </c>
      <c r="L45" s="16">
        <f t="shared" si="11"/>
        <v>271.73669119478194</v>
      </c>
      <c r="M45" s="45"/>
    </row>
    <row r="46" spans="1:29" x14ac:dyDescent="0.25">
      <c r="A46" s="16">
        <v>10.84</v>
      </c>
      <c r="B46" s="45">
        <f t="shared" si="12"/>
        <v>10840</v>
      </c>
      <c r="C46" s="16">
        <f t="shared" si="13"/>
        <v>3.5424836601307188</v>
      </c>
      <c r="D46" s="15">
        <f t="shared" si="14"/>
        <v>3.3448744967200001E+20</v>
      </c>
      <c r="E46" s="15">
        <f>FORECAST($C46, OFFSET('De Vaucouleurs Deprojection'!$F$3:$F$126, MATCH($C46, 'De Vaucouleurs Deprojection'!$A$3:$A$126,1)-1,0,2), OFFSET('De Vaucouleurs Deprojection'!$A$3:$A$126, MATCH($C46, 'De Vaucouleurs Deprojection'!$A$3:$A$126,1)-1,0,2))*LCDMTotalBulgeMass</f>
        <v>4.2405146894069273E+40</v>
      </c>
      <c r="F46" s="15">
        <f t="shared" si="7"/>
        <v>1.0450128120137171E+41</v>
      </c>
      <c r="G46" s="15">
        <f t="shared" si="8"/>
        <v>5.4531907046391134E+40</v>
      </c>
      <c r="H46" s="15">
        <f t="shared" si="9"/>
        <v>2.0143833514183213E+41</v>
      </c>
      <c r="I46" s="16">
        <v>221</v>
      </c>
      <c r="J46" s="45">
        <v>1</v>
      </c>
      <c r="K46" s="19">
        <f t="shared" si="10"/>
        <v>200.48267672967376</v>
      </c>
      <c r="L46" s="16">
        <f t="shared" si="11"/>
        <v>420.96055417907081</v>
      </c>
      <c r="M46" s="45"/>
    </row>
    <row r="47" spans="1:29" x14ac:dyDescent="0.25">
      <c r="A47" s="16">
        <v>12.72</v>
      </c>
      <c r="B47" s="45">
        <f t="shared" si="12"/>
        <v>12720</v>
      </c>
      <c r="C47" s="16">
        <f t="shared" si="13"/>
        <v>4.1568627450980395</v>
      </c>
      <c r="D47" s="15">
        <f t="shared" si="14"/>
        <v>3.9249818817600002E+20</v>
      </c>
      <c r="E47" s="15">
        <f>FORECAST($C47, OFFSET('De Vaucouleurs Deprojection'!$F$3:$F$126, MATCH($C47, 'De Vaucouleurs Deprojection'!$A$3:$A$126,1)-1,0,2), OFFSET('De Vaucouleurs Deprojection'!$A$3:$A$126, MATCH($C47, 'De Vaucouleurs Deprojection'!$A$3:$A$126,1)-1,0,2))*LCDMTotalBulgeMass</f>
        <v>4.444380920776469E+40</v>
      </c>
      <c r="F47" s="15">
        <f t="shared" si="7"/>
        <v>1.1033588048999364E+41</v>
      </c>
      <c r="G47" s="15">
        <f t="shared" si="8"/>
        <v>7.3221854961233197E+40</v>
      </c>
      <c r="H47" s="15">
        <f t="shared" si="9"/>
        <v>2.2800154465899154E+41</v>
      </c>
      <c r="I47" s="16">
        <v>215.85</v>
      </c>
      <c r="J47" s="45">
        <v>1</v>
      </c>
      <c r="K47" s="19">
        <f t="shared" si="10"/>
        <v>196.9000246528455</v>
      </c>
      <c r="L47" s="16">
        <f t="shared" si="11"/>
        <v>359.10156565776299</v>
      </c>
      <c r="M47" s="45"/>
    </row>
    <row r="48" spans="1:29" x14ac:dyDescent="0.25">
      <c r="A48" s="16">
        <v>14.79</v>
      </c>
      <c r="B48" s="45">
        <f t="shared" si="12"/>
        <v>14790</v>
      </c>
      <c r="C48" s="16">
        <f t="shared" si="13"/>
        <v>4.833333333333333</v>
      </c>
      <c r="D48" s="15">
        <f t="shared" si="14"/>
        <v>4.5637171408199995E+20</v>
      </c>
      <c r="E48" s="15">
        <f>FORECAST($C48, OFFSET('De Vaucouleurs Deprojection'!$F$3:$F$126, MATCH($C48, 'De Vaucouleurs Deprojection'!$A$3:$A$126,1)-1,0,2), OFFSET('De Vaucouleurs Deprojection'!$A$3:$A$126, MATCH($C48, 'De Vaucouleurs Deprojection'!$A$3:$A$126,1)-1,0,2))*LCDMTotalBulgeMass</f>
        <v>4.6196756001399989E+40</v>
      </c>
      <c r="F48" s="15">
        <f t="shared" si="7"/>
        <v>1.1423164623452839E+41</v>
      </c>
      <c r="G48" s="15">
        <f t="shared" si="8"/>
        <v>9.6335286740273047E+40</v>
      </c>
      <c r="H48" s="15">
        <f t="shared" si="9"/>
        <v>2.5676368897620143E+41</v>
      </c>
      <c r="I48" s="16">
        <v>206.7</v>
      </c>
      <c r="J48" s="45">
        <v>1</v>
      </c>
      <c r="K48" s="19">
        <f t="shared" si="10"/>
        <v>193.77741043578067</v>
      </c>
      <c r="L48" s="16">
        <f t="shared" si="11"/>
        <v>166.99332104527014</v>
      </c>
      <c r="M48" s="45"/>
    </row>
    <row r="49" spans="1:29" x14ac:dyDescent="0.25">
      <c r="A49" s="16">
        <v>17.07</v>
      </c>
      <c r="B49" s="45">
        <f t="shared" si="12"/>
        <v>17070</v>
      </c>
      <c r="C49" s="16">
        <f t="shared" si="13"/>
        <v>5.5784313725490193</v>
      </c>
      <c r="D49" s="15">
        <f t="shared" si="14"/>
        <v>5.2672516290600003E+20</v>
      </c>
      <c r="E49" s="15">
        <f>FORECAST($C49, OFFSET('De Vaucouleurs Deprojection'!$F$3:$F$126, MATCH($C49, 'De Vaucouleurs Deprojection'!$A$3:$A$126,1)-1,0,2), OFFSET('De Vaucouleurs Deprojection'!$A$3:$A$126, MATCH($C49, 'De Vaucouleurs Deprojection'!$A$3:$A$126,1)-1,0,2))*LCDMTotalBulgeMass</f>
        <v>4.7629077893941172E+40</v>
      </c>
      <c r="F49" s="15">
        <f t="shared" si="7"/>
        <v>1.1664764936211956E+41</v>
      </c>
      <c r="G49" s="15">
        <f t="shared" si="8"/>
        <v>1.2460846930671937E+41</v>
      </c>
      <c r="H49" s="15">
        <f t="shared" si="9"/>
        <v>2.8888519656278013E+41</v>
      </c>
      <c r="I49" s="16">
        <v>198.22</v>
      </c>
      <c r="J49" s="45">
        <v>1</v>
      </c>
      <c r="K49" s="19">
        <f t="shared" si="10"/>
        <v>191.32261793485651</v>
      </c>
      <c r="L49" s="16">
        <f t="shared" si="11"/>
        <v>47.573879352563061</v>
      </c>
      <c r="M49" s="45"/>
    </row>
    <row r="50" spans="1:29" x14ac:dyDescent="0.25">
      <c r="A50" s="16">
        <v>19.579999999999998</v>
      </c>
      <c r="B50" s="45">
        <f t="shared" si="12"/>
        <v>19580</v>
      </c>
      <c r="C50" s="16">
        <f t="shared" si="13"/>
        <v>6.3986928104575167</v>
      </c>
      <c r="D50" s="15">
        <f t="shared" si="14"/>
        <v>6.0417567016399995E+20</v>
      </c>
      <c r="E50" s="15">
        <f>FORECAST($C50, OFFSET('De Vaucouleurs Deprojection'!$F$3:$F$126, MATCH($C50, 'De Vaucouleurs Deprojection'!$A$3:$A$126,1)-1,0,2), OFFSET('De Vaucouleurs Deprojection'!$A$3:$A$126, MATCH($C50, 'De Vaucouleurs Deprojection'!$A$3:$A$126,1)-1,0,2))*LCDMTotalBulgeMass</f>
        <v>4.8938282686894106E+40</v>
      </c>
      <c r="F50" s="15">
        <f t="shared" si="7"/>
        <v>1.1803103185534714E+41</v>
      </c>
      <c r="G50" s="15">
        <f t="shared" si="8"/>
        <v>1.5883179515166121E+41</v>
      </c>
      <c r="H50" s="15">
        <f t="shared" si="9"/>
        <v>3.2580110969390246E+41</v>
      </c>
      <c r="I50" s="16">
        <v>192.68</v>
      </c>
      <c r="J50" s="45">
        <v>1</v>
      </c>
      <c r="K50" s="19">
        <f t="shared" si="10"/>
        <v>189.71006262800526</v>
      </c>
      <c r="L50" s="16">
        <f t="shared" si="11"/>
        <v>8.8205279935710585</v>
      </c>
      <c r="M50" s="45"/>
    </row>
    <row r="51" spans="1:29" x14ac:dyDescent="0.25">
      <c r="A51" s="16">
        <v>22.33</v>
      </c>
      <c r="B51" s="45">
        <f t="shared" si="12"/>
        <v>22330</v>
      </c>
      <c r="C51" s="16">
        <f t="shared" si="13"/>
        <v>7.2973856209150325</v>
      </c>
      <c r="D51" s="15">
        <f t="shared" si="14"/>
        <v>6.8903180361399992E+20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5.0047368432063391E+40</v>
      </c>
      <c r="F51" s="15">
        <f t="shared" si="7"/>
        <v>1.1875617495540187E+41</v>
      </c>
      <c r="G51" s="15">
        <f t="shared" si="8"/>
        <v>1.9968067504210138E+41</v>
      </c>
      <c r="H51" s="15">
        <f t="shared" si="9"/>
        <v>3.6848421842956667E+41</v>
      </c>
      <c r="I51" s="16">
        <v>190.08</v>
      </c>
      <c r="J51" s="45">
        <v>1</v>
      </c>
      <c r="K51" s="19">
        <f t="shared" si="10"/>
        <v>188.92329707483995</v>
      </c>
      <c r="L51" s="16">
        <f t="shared" si="11"/>
        <v>1.3379616570738431</v>
      </c>
      <c r="M51" s="45"/>
    </row>
    <row r="52" spans="1:29" x14ac:dyDescent="0.25">
      <c r="A52" s="16">
        <v>25.37</v>
      </c>
      <c r="B52" s="45">
        <f t="shared" si="12"/>
        <v>25370</v>
      </c>
      <c r="C52" s="16">
        <f t="shared" si="13"/>
        <v>8.2908496732026151</v>
      </c>
      <c r="D52" s="15">
        <f t="shared" si="14"/>
        <v>7.8283640204600004E+20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5.0985367851039856E+40</v>
      </c>
      <c r="F52" s="15">
        <f t="shared" si="7"/>
        <v>1.1910619276579016E+41</v>
      </c>
      <c r="G52" s="15">
        <f t="shared" si="8"/>
        <v>2.4847038465466777E+41</v>
      </c>
      <c r="H52" s="15">
        <f t="shared" si="9"/>
        <v>4.1856194527149779E+41</v>
      </c>
      <c r="I52" s="16">
        <v>190.97</v>
      </c>
      <c r="J52" s="45">
        <v>1</v>
      </c>
      <c r="K52" s="19">
        <f t="shared" si="10"/>
        <v>188.90352770127689</v>
      </c>
      <c r="L52" s="16">
        <f t="shared" si="11"/>
        <v>4.2703077613899865</v>
      </c>
      <c r="M52" s="45"/>
    </row>
    <row r="53" spans="1:29" x14ac:dyDescent="0.25">
      <c r="A53" s="16">
        <v>28.7</v>
      </c>
      <c r="B53" s="45">
        <f t="shared" si="12"/>
        <v>28700</v>
      </c>
      <c r="C53" s="16">
        <f t="shared" si="13"/>
        <v>9.3790849673202619</v>
      </c>
      <c r="D53" s="15">
        <f t="shared" si="14"/>
        <v>8.8558946546000003E+20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5.1769733827249665E+40</v>
      </c>
      <c r="F53" s="15">
        <f t="shared" si="7"/>
        <v>1.1925769295918309E+41</v>
      </c>
      <c r="G53" s="15">
        <f t="shared" si="8"/>
        <v>3.0576900400849066E+41</v>
      </c>
      <c r="H53" s="15">
        <f t="shared" si="9"/>
        <v>4.7679643079492337E+41</v>
      </c>
      <c r="I53" s="16">
        <v>192.5</v>
      </c>
      <c r="J53" s="45">
        <v>1</v>
      </c>
      <c r="K53" s="19">
        <f t="shared" si="10"/>
        <v>189.55968617137407</v>
      </c>
      <c r="L53" s="16">
        <f t="shared" si="11"/>
        <v>8.6454454108088861</v>
      </c>
      <c r="M53" s="45"/>
    </row>
    <row r="54" spans="1:29" x14ac:dyDescent="0.25">
      <c r="H54" s="15"/>
      <c r="K54" s="45"/>
      <c r="L54" s="16">
        <f>SUM(L38:L53)/(COUNT(L38:L53)-6)</f>
        <v>260.26719465711318</v>
      </c>
      <c r="M54" s="45"/>
    </row>
    <row r="55" spans="1:29" x14ac:dyDescent="0.25">
      <c r="H55" s="15"/>
      <c r="K55" s="45"/>
      <c r="L55" s="17"/>
      <c r="M55" s="45"/>
    </row>
    <row r="56" spans="1:29" x14ac:dyDescent="0.25">
      <c r="I56" s="45"/>
      <c r="J56" s="45"/>
      <c r="L56" s="16"/>
    </row>
    <row r="57" spans="1:29" x14ac:dyDescent="0.25">
      <c r="I57" s="45"/>
      <c r="J57" s="45"/>
      <c r="L57" s="16"/>
    </row>
    <row r="58" spans="1:29" x14ac:dyDescent="0.25">
      <c r="I58" s="45"/>
      <c r="J58" s="45"/>
      <c r="L58" s="16"/>
    </row>
    <row r="59" spans="1:29" x14ac:dyDescent="0.25">
      <c r="I59" s="45"/>
      <c r="J59" s="45"/>
      <c r="L59" s="16"/>
    </row>
    <row r="60" spans="1:29" x14ac:dyDescent="0.25">
      <c r="I60" s="45"/>
      <c r="J60" s="45"/>
      <c r="L60" s="16"/>
    </row>
    <row r="61" spans="1:29" x14ac:dyDescent="0.25">
      <c r="I61" s="45"/>
      <c r="J61" s="45"/>
      <c r="L61" s="16"/>
    </row>
    <row r="62" spans="1:29" x14ac:dyDescent="0.25">
      <c r="I62" s="45"/>
      <c r="J62" s="45"/>
      <c r="L62" s="16"/>
    </row>
    <row r="63" spans="1:29" s="17" customFormat="1" x14ac:dyDescent="0.25">
      <c r="A63" s="16"/>
      <c r="B63" s="45"/>
      <c r="C63" s="16"/>
      <c r="D63" s="15"/>
      <c r="E63" s="15"/>
      <c r="F63" s="15"/>
      <c r="G63" s="15"/>
      <c r="H63" s="18"/>
      <c r="I63" s="45"/>
      <c r="J63" s="45"/>
      <c r="K63" s="19"/>
      <c r="L63" s="16"/>
      <c r="N63" s="45"/>
      <c r="O63" s="45"/>
      <c r="P63" s="45"/>
      <c r="Q63" s="45"/>
      <c r="R63" s="45"/>
      <c r="S63" s="45"/>
      <c r="T63" s="45"/>
      <c r="U63" s="45"/>
      <c r="V63" s="16"/>
      <c r="W63" s="16"/>
      <c r="X63" s="45"/>
      <c r="Y63" s="45"/>
      <c r="Z63" s="45"/>
      <c r="AA63" s="45"/>
      <c r="AB63" s="45"/>
      <c r="AC63" s="45"/>
    </row>
    <row r="64" spans="1:29" s="17" customFormat="1" x14ac:dyDescent="0.25">
      <c r="A64" s="16"/>
      <c r="B64" s="45"/>
      <c r="C64" s="16"/>
      <c r="D64" s="15"/>
      <c r="E64" s="15"/>
      <c r="F64" s="15"/>
      <c r="G64" s="15"/>
      <c r="H64" s="18"/>
      <c r="I64" s="45"/>
      <c r="J64" s="45"/>
      <c r="K64" s="19"/>
      <c r="L64" s="16"/>
      <c r="N64" s="45"/>
      <c r="O64" s="45"/>
      <c r="P64" s="45"/>
      <c r="Q64" s="45"/>
      <c r="R64" s="45"/>
      <c r="S64" s="45"/>
      <c r="T64" s="45"/>
      <c r="U64" s="45"/>
      <c r="V64" s="16"/>
      <c r="W64" s="16"/>
      <c r="X64" s="45"/>
      <c r="Y64" s="45"/>
      <c r="Z64" s="45"/>
      <c r="AA64" s="45"/>
      <c r="AB64" s="45"/>
      <c r="AC64" s="45"/>
    </row>
    <row r="65" spans="1:29" s="17" customFormat="1" x14ac:dyDescent="0.25">
      <c r="A65" s="16"/>
      <c r="B65" s="45"/>
      <c r="C65" s="16"/>
      <c r="D65" s="15"/>
      <c r="E65" s="15"/>
      <c r="F65" s="15"/>
      <c r="G65" s="15"/>
      <c r="H65" s="18"/>
      <c r="I65" s="45"/>
      <c r="J65" s="45"/>
      <c r="K65" s="19"/>
      <c r="L65" s="16"/>
      <c r="N65" s="45"/>
      <c r="O65" s="45"/>
      <c r="P65" s="45"/>
      <c r="Q65" s="45"/>
      <c r="R65" s="45"/>
      <c r="S65" s="45"/>
      <c r="T65" s="45"/>
      <c r="U65" s="45"/>
      <c r="V65" s="16"/>
      <c r="W65" s="16"/>
      <c r="X65" s="45"/>
      <c r="Y65" s="45"/>
      <c r="Z65" s="45"/>
      <c r="AA65" s="45"/>
      <c r="AB65" s="45"/>
      <c r="AC65" s="45"/>
    </row>
    <row r="66" spans="1:29" s="17" customFormat="1" x14ac:dyDescent="0.25">
      <c r="A66" s="16"/>
      <c r="B66" s="45"/>
      <c r="C66" s="16"/>
      <c r="D66" s="15"/>
      <c r="E66" s="15"/>
      <c r="F66" s="15"/>
      <c r="G66" s="15"/>
      <c r="H66" s="18"/>
      <c r="I66" s="45"/>
      <c r="J66" s="45"/>
      <c r="K66" s="19"/>
      <c r="L66" s="16"/>
      <c r="N66" s="45"/>
      <c r="O66" s="45"/>
      <c r="P66" s="45"/>
      <c r="Q66" s="45"/>
      <c r="R66" s="45"/>
      <c r="S66" s="45"/>
      <c r="T66" s="45"/>
      <c r="U66" s="45"/>
      <c r="V66" s="16"/>
      <c r="W66" s="16"/>
      <c r="X66" s="45"/>
      <c r="Y66" s="45"/>
      <c r="Z66" s="45"/>
      <c r="AA66" s="45"/>
      <c r="AB66" s="45"/>
      <c r="AC66" s="45"/>
    </row>
    <row r="67" spans="1:29" s="17" customFormat="1" x14ac:dyDescent="0.25">
      <c r="A67" s="16"/>
      <c r="B67" s="45"/>
      <c r="C67" s="16"/>
      <c r="D67" s="15"/>
      <c r="E67" s="15"/>
      <c r="F67" s="15"/>
      <c r="G67" s="15"/>
      <c r="H67" s="18"/>
      <c r="I67" s="45"/>
      <c r="J67" s="45"/>
      <c r="K67" s="19"/>
      <c r="L67" s="16"/>
      <c r="N67" s="45"/>
      <c r="O67" s="45"/>
      <c r="P67" s="45"/>
      <c r="Q67" s="45"/>
      <c r="R67" s="45"/>
      <c r="S67" s="45"/>
      <c r="T67" s="45"/>
      <c r="U67" s="45"/>
      <c r="V67" s="16"/>
      <c r="W67" s="16"/>
      <c r="X67" s="45"/>
      <c r="Y67" s="45"/>
      <c r="Z67" s="45"/>
      <c r="AA67" s="45"/>
      <c r="AB67" s="45"/>
      <c r="AC67" s="45"/>
    </row>
    <row r="68" spans="1:29" s="17" customFormat="1" x14ac:dyDescent="0.25">
      <c r="A68" s="16"/>
      <c r="B68" s="45"/>
      <c r="C68" s="16"/>
      <c r="D68" s="15"/>
      <c r="E68" s="15"/>
      <c r="F68" s="15"/>
      <c r="G68" s="15"/>
      <c r="H68" s="18"/>
      <c r="I68" s="45"/>
      <c r="J68" s="45"/>
      <c r="K68" s="19"/>
      <c r="L68" s="16"/>
      <c r="N68" s="45"/>
      <c r="O68" s="45"/>
      <c r="P68" s="45"/>
      <c r="Q68" s="45"/>
      <c r="R68" s="45"/>
      <c r="S68" s="45"/>
      <c r="T68" s="45"/>
      <c r="U68" s="45"/>
      <c r="V68" s="16"/>
      <c r="W68" s="16"/>
      <c r="X68" s="45"/>
      <c r="Y68" s="45"/>
      <c r="Z68" s="45"/>
      <c r="AA68" s="45"/>
      <c r="AB68" s="45"/>
      <c r="AC68" s="45"/>
    </row>
    <row r="69" spans="1:29" s="17" customFormat="1" x14ac:dyDescent="0.25">
      <c r="A69" s="16"/>
      <c r="B69" s="45"/>
      <c r="C69" s="16"/>
      <c r="D69" s="15"/>
      <c r="E69" s="15"/>
      <c r="F69" s="15"/>
      <c r="G69" s="15"/>
      <c r="H69" s="18"/>
      <c r="I69" s="45"/>
      <c r="J69" s="45"/>
      <c r="K69" s="19"/>
      <c r="L69" s="16"/>
      <c r="N69" s="45"/>
      <c r="O69" s="45"/>
      <c r="P69" s="45"/>
      <c r="Q69" s="45"/>
      <c r="R69" s="45"/>
      <c r="S69" s="45"/>
      <c r="T69" s="45"/>
      <c r="U69" s="45"/>
      <c r="V69" s="16"/>
      <c r="W69" s="16"/>
      <c r="X69" s="45"/>
      <c r="Y69" s="45"/>
      <c r="Z69" s="45"/>
      <c r="AA69" s="45"/>
      <c r="AB69" s="45"/>
      <c r="AC69" s="45"/>
    </row>
    <row r="70" spans="1:29" s="17" customFormat="1" x14ac:dyDescent="0.25">
      <c r="A70" s="16"/>
      <c r="B70" s="45"/>
      <c r="C70" s="16"/>
      <c r="D70" s="15"/>
      <c r="E70" s="15"/>
      <c r="F70" s="15"/>
      <c r="G70" s="15"/>
      <c r="H70" s="18"/>
      <c r="I70" s="45"/>
      <c r="J70" s="45"/>
      <c r="K70" s="19"/>
      <c r="L70" s="16"/>
      <c r="N70" s="45"/>
      <c r="O70" s="45"/>
      <c r="P70" s="45"/>
      <c r="Q70" s="45"/>
      <c r="R70" s="45"/>
      <c r="S70" s="45"/>
      <c r="T70" s="45"/>
      <c r="U70" s="45"/>
      <c r="V70" s="16"/>
      <c r="W70" s="16"/>
      <c r="X70" s="45"/>
      <c r="Y70" s="45"/>
      <c r="Z70" s="45"/>
      <c r="AA70" s="45"/>
      <c r="AB70" s="45"/>
      <c r="AC70" s="45"/>
    </row>
    <row r="71" spans="1:29" s="17" customFormat="1" x14ac:dyDescent="0.25">
      <c r="A71" s="16"/>
      <c r="B71" s="45"/>
      <c r="C71" s="16"/>
      <c r="D71" s="15"/>
      <c r="E71" s="15"/>
      <c r="F71" s="15"/>
      <c r="G71" s="15"/>
      <c r="H71" s="18"/>
      <c r="I71" s="45"/>
      <c r="J71" s="45"/>
      <c r="K71" s="19"/>
      <c r="L71" s="16"/>
      <c r="N71" s="45"/>
      <c r="O71" s="45"/>
      <c r="P71" s="45"/>
      <c r="Q71" s="45"/>
      <c r="R71" s="45"/>
      <c r="S71" s="45"/>
      <c r="T71" s="45"/>
      <c r="U71" s="45"/>
      <c r="V71" s="16"/>
      <c r="W71" s="16"/>
      <c r="X71" s="45"/>
      <c r="Y71" s="45"/>
      <c r="Z71" s="45"/>
      <c r="AA71" s="45"/>
      <c r="AB71" s="45"/>
      <c r="AC71" s="45"/>
    </row>
    <row r="72" spans="1:29" s="17" customFormat="1" x14ac:dyDescent="0.25">
      <c r="A72" s="16"/>
      <c r="B72" s="45"/>
      <c r="C72" s="16"/>
      <c r="D72" s="15"/>
      <c r="E72" s="15"/>
      <c r="F72" s="15"/>
      <c r="G72" s="15"/>
      <c r="H72" s="18"/>
      <c r="I72" s="45"/>
      <c r="J72" s="45"/>
      <c r="K72" s="19"/>
      <c r="L72" s="16"/>
      <c r="N72" s="45"/>
      <c r="O72" s="45"/>
      <c r="P72" s="45"/>
      <c r="Q72" s="45"/>
      <c r="R72" s="45"/>
      <c r="S72" s="45"/>
      <c r="T72" s="45"/>
      <c r="U72" s="45"/>
      <c r="V72" s="16"/>
      <c r="W72" s="16"/>
      <c r="X72" s="45"/>
      <c r="Y72" s="45"/>
      <c r="Z72" s="45"/>
      <c r="AA72" s="45"/>
      <c r="AB72" s="45"/>
      <c r="AC72" s="45"/>
    </row>
    <row r="73" spans="1:29" s="17" customFormat="1" x14ac:dyDescent="0.25">
      <c r="A73" s="16"/>
      <c r="B73" s="45"/>
      <c r="C73" s="16"/>
      <c r="D73" s="15"/>
      <c r="E73" s="15"/>
      <c r="F73" s="15"/>
      <c r="G73" s="15"/>
      <c r="H73" s="18"/>
      <c r="I73" s="45"/>
      <c r="J73" s="45"/>
      <c r="K73" s="19"/>
      <c r="L73" s="16"/>
      <c r="N73" s="45"/>
      <c r="O73" s="45"/>
      <c r="P73" s="45"/>
      <c r="Q73" s="45"/>
      <c r="R73" s="45"/>
      <c r="S73" s="45"/>
      <c r="T73" s="45"/>
      <c r="U73" s="45"/>
      <c r="V73" s="16"/>
      <c r="W73" s="16"/>
      <c r="X73" s="45"/>
      <c r="Y73" s="45"/>
      <c r="Z73" s="45"/>
      <c r="AA73" s="45"/>
      <c r="AB73" s="45"/>
      <c r="AC73" s="45"/>
    </row>
    <row r="74" spans="1:29" s="17" customFormat="1" x14ac:dyDescent="0.25">
      <c r="A74" s="16"/>
      <c r="B74" s="45"/>
      <c r="C74" s="16"/>
      <c r="D74" s="15"/>
      <c r="E74" s="15"/>
      <c r="F74" s="15"/>
      <c r="G74" s="15"/>
      <c r="H74" s="18"/>
      <c r="I74" s="45"/>
      <c r="J74" s="45"/>
      <c r="K74" s="19"/>
      <c r="L74" s="16"/>
      <c r="N74" s="45"/>
      <c r="O74" s="45"/>
      <c r="P74" s="45"/>
      <c r="Q74" s="45"/>
      <c r="R74" s="45"/>
      <c r="S74" s="45"/>
      <c r="T74" s="45"/>
      <c r="U74" s="45"/>
      <c r="V74" s="16"/>
      <c r="W74" s="16"/>
      <c r="X74" s="45"/>
      <c r="Y74" s="45"/>
      <c r="Z74" s="45"/>
      <c r="AA74" s="45"/>
      <c r="AB74" s="45"/>
      <c r="AC74" s="45"/>
    </row>
    <row r="75" spans="1:29" s="17" customFormat="1" x14ac:dyDescent="0.25">
      <c r="A75" s="16"/>
      <c r="B75" s="45"/>
      <c r="C75" s="16"/>
      <c r="D75" s="15"/>
      <c r="E75" s="15"/>
      <c r="F75" s="15"/>
      <c r="G75" s="15"/>
      <c r="H75" s="18"/>
      <c r="I75" s="45"/>
      <c r="J75" s="45"/>
      <c r="K75" s="19"/>
      <c r="L75" s="16"/>
      <c r="N75" s="45"/>
      <c r="O75" s="45"/>
      <c r="P75" s="45"/>
      <c r="Q75" s="45"/>
      <c r="R75" s="45"/>
      <c r="S75" s="45"/>
      <c r="T75" s="45"/>
      <c r="U75" s="45"/>
      <c r="V75" s="16"/>
      <c r="W75" s="16"/>
      <c r="X75" s="45"/>
      <c r="Y75" s="45"/>
      <c r="Z75" s="45"/>
      <c r="AA75" s="45"/>
      <c r="AB75" s="45"/>
      <c r="AC75" s="45"/>
    </row>
    <row r="76" spans="1:29" s="17" customFormat="1" x14ac:dyDescent="0.25">
      <c r="A76" s="16"/>
      <c r="B76" s="45"/>
      <c r="C76" s="16"/>
      <c r="D76" s="15"/>
      <c r="E76" s="15"/>
      <c r="F76" s="15"/>
      <c r="G76" s="15"/>
      <c r="H76" s="18"/>
      <c r="I76" s="45"/>
      <c r="J76" s="45"/>
      <c r="K76" s="19"/>
      <c r="L76" s="16"/>
      <c r="N76" s="45"/>
      <c r="O76" s="45"/>
      <c r="P76" s="45"/>
      <c r="Q76" s="45"/>
      <c r="R76" s="45"/>
      <c r="S76" s="45"/>
      <c r="T76" s="45"/>
      <c r="U76" s="45"/>
      <c r="V76" s="16"/>
      <c r="W76" s="16"/>
      <c r="X76" s="45"/>
      <c r="Y76" s="45"/>
      <c r="Z76" s="45"/>
      <c r="AA76" s="45"/>
      <c r="AB76" s="45"/>
      <c r="AC76" s="45"/>
    </row>
    <row r="77" spans="1:29" s="17" customFormat="1" x14ac:dyDescent="0.25">
      <c r="A77" s="16"/>
      <c r="B77" s="45"/>
      <c r="C77" s="16"/>
      <c r="D77" s="15"/>
      <c r="E77" s="15"/>
      <c r="F77" s="15"/>
      <c r="G77" s="15"/>
      <c r="H77" s="18"/>
      <c r="I77" s="45"/>
      <c r="J77" s="45"/>
      <c r="K77" s="19"/>
      <c r="L77" s="16"/>
      <c r="N77" s="45"/>
      <c r="O77" s="45"/>
      <c r="P77" s="45"/>
      <c r="Q77" s="45"/>
      <c r="R77" s="45"/>
      <c r="S77" s="45"/>
      <c r="T77" s="45"/>
      <c r="U77" s="45"/>
      <c r="V77" s="16"/>
      <c r="W77" s="16"/>
      <c r="X77" s="45"/>
      <c r="Y77" s="45"/>
      <c r="Z77" s="45"/>
      <c r="AA77" s="45"/>
      <c r="AB77" s="45"/>
      <c r="AC77" s="45"/>
    </row>
    <row r="78" spans="1:29" s="17" customFormat="1" x14ac:dyDescent="0.25">
      <c r="A78" s="16"/>
      <c r="B78" s="45"/>
      <c r="C78" s="16"/>
      <c r="D78" s="15"/>
      <c r="E78" s="15"/>
      <c r="F78" s="15"/>
      <c r="G78" s="15"/>
      <c r="H78" s="18"/>
      <c r="I78" s="45"/>
      <c r="J78" s="45"/>
      <c r="K78" s="19"/>
      <c r="L78" s="16"/>
      <c r="N78" s="45"/>
      <c r="O78" s="45"/>
      <c r="P78" s="45"/>
      <c r="Q78" s="45"/>
      <c r="R78" s="45"/>
      <c r="S78" s="45"/>
      <c r="T78" s="45"/>
      <c r="U78" s="45"/>
      <c r="V78" s="16"/>
      <c r="W78" s="16"/>
      <c r="X78" s="45"/>
      <c r="Y78" s="45"/>
      <c r="Z78" s="45"/>
      <c r="AA78" s="45"/>
      <c r="AB78" s="45"/>
      <c r="AC78" s="45"/>
    </row>
    <row r="79" spans="1:29" s="17" customFormat="1" x14ac:dyDescent="0.25">
      <c r="A79" s="16"/>
      <c r="B79" s="45"/>
      <c r="C79" s="16"/>
      <c r="D79" s="15"/>
      <c r="E79" s="15"/>
      <c r="F79" s="15"/>
      <c r="G79" s="15"/>
      <c r="H79" s="18"/>
      <c r="I79" s="45"/>
      <c r="J79" s="45"/>
      <c r="K79" s="19"/>
      <c r="L79" s="16"/>
      <c r="N79" s="45"/>
      <c r="O79" s="45"/>
      <c r="P79" s="45"/>
      <c r="Q79" s="45"/>
      <c r="R79" s="45"/>
      <c r="S79" s="45"/>
      <c r="T79" s="45"/>
      <c r="U79" s="45"/>
      <c r="V79" s="16"/>
      <c r="W79" s="16"/>
      <c r="X79" s="45"/>
      <c r="Y79" s="45"/>
      <c r="Z79" s="45"/>
      <c r="AA79" s="45"/>
      <c r="AB79" s="45"/>
      <c r="AC79" s="45"/>
    </row>
    <row r="80" spans="1:29" s="17" customFormat="1" x14ac:dyDescent="0.25">
      <c r="A80" s="16"/>
      <c r="B80" s="45"/>
      <c r="C80" s="16"/>
      <c r="D80" s="15"/>
      <c r="E80" s="15"/>
      <c r="F80" s="15"/>
      <c r="G80" s="15"/>
      <c r="H80" s="18"/>
      <c r="I80" s="45"/>
      <c r="J80" s="45"/>
      <c r="K80" s="19"/>
      <c r="L80" s="16"/>
      <c r="N80" s="45"/>
      <c r="O80" s="45"/>
      <c r="P80" s="45"/>
      <c r="Q80" s="45"/>
      <c r="R80" s="45"/>
      <c r="S80" s="45"/>
      <c r="T80" s="45"/>
      <c r="U80" s="45"/>
      <c r="V80" s="16"/>
      <c r="W80" s="16"/>
      <c r="X80" s="45"/>
      <c r="Y80" s="45"/>
      <c r="Z80" s="45"/>
      <c r="AA80" s="45"/>
      <c r="AB80" s="45"/>
      <c r="AC80" s="45"/>
    </row>
    <row r="81" spans="1:29" s="17" customFormat="1" x14ac:dyDescent="0.25">
      <c r="A81" s="16"/>
      <c r="B81" s="45"/>
      <c r="C81" s="16"/>
      <c r="D81" s="15"/>
      <c r="E81" s="15"/>
      <c r="F81" s="15"/>
      <c r="G81" s="15"/>
      <c r="H81" s="18"/>
      <c r="I81" s="45"/>
      <c r="J81" s="45"/>
      <c r="K81" s="19"/>
      <c r="L81" s="16"/>
      <c r="N81" s="45"/>
      <c r="O81" s="45"/>
      <c r="P81" s="45"/>
      <c r="Q81" s="45"/>
      <c r="R81" s="45"/>
      <c r="S81" s="45"/>
      <c r="T81" s="45"/>
      <c r="U81" s="45"/>
      <c r="V81" s="16"/>
      <c r="W81" s="16"/>
      <c r="X81" s="45"/>
      <c r="Y81" s="45"/>
      <c r="Z81" s="45"/>
      <c r="AA81" s="45"/>
      <c r="AB81" s="45"/>
      <c r="AC81" s="45"/>
    </row>
    <row r="82" spans="1:29" s="17" customFormat="1" x14ac:dyDescent="0.25">
      <c r="A82" s="16"/>
      <c r="B82" s="45"/>
      <c r="C82" s="16"/>
      <c r="D82" s="15"/>
      <c r="E82" s="15"/>
      <c r="F82" s="15"/>
      <c r="G82" s="15"/>
      <c r="H82" s="18"/>
      <c r="I82" s="45"/>
      <c r="J82" s="45"/>
      <c r="K82" s="19"/>
      <c r="L82" s="16"/>
      <c r="N82" s="45"/>
      <c r="O82" s="45"/>
      <c r="P82" s="45"/>
      <c r="Q82" s="45"/>
      <c r="R82" s="45"/>
      <c r="S82" s="45"/>
      <c r="T82" s="45"/>
      <c r="U82" s="45"/>
      <c r="V82" s="16"/>
      <c r="W82" s="16"/>
      <c r="X82" s="45"/>
      <c r="Y82" s="45"/>
      <c r="Z82" s="45"/>
      <c r="AA82" s="45"/>
      <c r="AB82" s="45"/>
      <c r="AC82" s="45"/>
    </row>
    <row r="83" spans="1:29" s="17" customFormat="1" x14ac:dyDescent="0.25">
      <c r="A83" s="16"/>
      <c r="B83" s="45"/>
      <c r="C83" s="16"/>
      <c r="D83" s="15"/>
      <c r="E83" s="15"/>
      <c r="F83" s="15"/>
      <c r="G83" s="15"/>
      <c r="H83" s="18"/>
      <c r="I83" s="45"/>
      <c r="J83" s="45"/>
      <c r="K83" s="19"/>
      <c r="L83" s="16"/>
      <c r="N83" s="45"/>
      <c r="O83" s="45"/>
      <c r="P83" s="45"/>
      <c r="Q83" s="45"/>
      <c r="R83" s="45"/>
      <c r="S83" s="45"/>
      <c r="T83" s="45"/>
      <c r="U83" s="45"/>
      <c r="V83" s="16"/>
      <c r="W83" s="16"/>
      <c r="X83" s="45"/>
      <c r="Y83" s="45"/>
      <c r="Z83" s="45"/>
      <c r="AA83" s="45"/>
      <c r="AB83" s="45"/>
      <c r="AC83" s="45"/>
    </row>
    <row r="84" spans="1:29" s="17" customFormat="1" x14ac:dyDescent="0.25">
      <c r="A84" s="16"/>
      <c r="B84" s="45"/>
      <c r="C84" s="16"/>
      <c r="D84" s="15"/>
      <c r="E84" s="15"/>
      <c r="F84" s="15"/>
      <c r="G84" s="15"/>
      <c r="H84" s="18"/>
      <c r="I84" s="45"/>
      <c r="J84" s="45"/>
      <c r="K84" s="19"/>
      <c r="L84" s="16"/>
      <c r="N84" s="45"/>
      <c r="O84" s="45"/>
      <c r="P84" s="45"/>
      <c r="Q84" s="45"/>
      <c r="R84" s="45"/>
      <c r="S84" s="45"/>
      <c r="T84" s="45"/>
      <c r="U84" s="45"/>
      <c r="V84" s="16"/>
      <c r="W84" s="16"/>
      <c r="X84" s="45"/>
      <c r="Y84" s="45"/>
      <c r="Z84" s="45"/>
      <c r="AA84" s="45"/>
      <c r="AB84" s="45"/>
      <c r="AC84" s="45"/>
    </row>
    <row r="85" spans="1:29" s="17" customFormat="1" x14ac:dyDescent="0.25">
      <c r="A85" s="16"/>
      <c r="B85" s="45"/>
      <c r="C85" s="16"/>
      <c r="D85" s="15"/>
      <c r="E85" s="15"/>
      <c r="F85" s="15"/>
      <c r="G85" s="15"/>
      <c r="H85" s="18"/>
      <c r="I85" s="45"/>
      <c r="J85" s="45"/>
      <c r="K85" s="19"/>
      <c r="L85" s="16"/>
      <c r="N85" s="45"/>
      <c r="O85" s="45"/>
      <c r="P85" s="45"/>
      <c r="Q85" s="45"/>
      <c r="R85" s="45"/>
      <c r="S85" s="45"/>
      <c r="T85" s="45"/>
      <c r="U85" s="45"/>
      <c r="V85" s="16"/>
      <c r="W85" s="16"/>
      <c r="X85" s="45"/>
      <c r="Y85" s="45"/>
      <c r="Z85" s="45"/>
      <c r="AA85" s="45"/>
      <c r="AB85" s="45"/>
      <c r="AC85" s="45"/>
    </row>
    <row r="86" spans="1:29" s="17" customFormat="1" x14ac:dyDescent="0.25">
      <c r="A86" s="16"/>
      <c r="B86" s="45"/>
      <c r="C86" s="16"/>
      <c r="D86" s="15"/>
      <c r="E86" s="15"/>
      <c r="F86" s="15"/>
      <c r="G86" s="15"/>
      <c r="H86" s="18"/>
      <c r="I86" s="45"/>
      <c r="J86" s="45"/>
      <c r="K86" s="19"/>
      <c r="L86" s="16"/>
      <c r="N86" s="45"/>
      <c r="O86" s="45"/>
      <c r="P86" s="45"/>
      <c r="Q86" s="45"/>
      <c r="R86" s="45"/>
      <c r="S86" s="45"/>
      <c r="T86" s="45"/>
      <c r="U86" s="45"/>
      <c r="V86" s="16"/>
      <c r="W86" s="16"/>
      <c r="X86" s="45"/>
      <c r="Y86" s="45"/>
      <c r="Z86" s="45"/>
      <c r="AA86" s="45"/>
      <c r="AB86" s="45"/>
      <c r="AC86" s="45"/>
    </row>
    <row r="87" spans="1:29" s="17" customFormat="1" x14ac:dyDescent="0.25">
      <c r="A87" s="16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16"/>
      <c r="W87" s="16"/>
      <c r="X87" s="45"/>
      <c r="Y87" s="45"/>
      <c r="Z87" s="45"/>
      <c r="AA87" s="45"/>
      <c r="AB87" s="45"/>
      <c r="AC87" s="45"/>
    </row>
    <row r="88" spans="1:29" s="17" customFormat="1" x14ac:dyDescent="0.25">
      <c r="A88" s="16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16"/>
      <c r="W88" s="16"/>
      <c r="X88" s="45"/>
      <c r="Y88" s="45"/>
      <c r="Z88" s="45"/>
      <c r="AA88" s="45"/>
      <c r="AB88" s="45"/>
      <c r="AC88" s="45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16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16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15"/>
      <c r="J103" s="1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15"/>
      <c r="J104" s="1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15"/>
      <c r="J105" s="1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15"/>
      <c r="J106" s="1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15"/>
      <c r="J107" s="1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15"/>
      <c r="J108" s="1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15"/>
      <c r="J109" s="1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15"/>
      <c r="J110" s="1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15"/>
      <c r="J111" s="1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15"/>
      <c r="J112" s="1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15"/>
      <c r="J113" s="1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15"/>
      <c r="J114" s="1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15"/>
      <c r="J115" s="1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15"/>
      <c r="J116" s="1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15"/>
      <c r="J117" s="1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15"/>
      <c r="J118" s="1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15"/>
      <c r="J119" s="1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15"/>
      <c r="J120" s="1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15"/>
      <c r="J121" s="1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15"/>
      <c r="J122" s="1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15"/>
      <c r="J123" s="1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15"/>
      <c r="J124" s="1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15"/>
      <c r="J125" s="1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15"/>
      <c r="J126" s="1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x14ac:dyDescent="0.25">
      <c r="L511" s="16"/>
    </row>
    <row r="512" spans="1:29" x14ac:dyDescent="0.25">
      <c r="L512" s="16"/>
      <c r="N512" s="17"/>
      <c r="O512" s="38"/>
    </row>
    <row r="513" spans="12:12" x14ac:dyDescent="0.25">
      <c r="L513" s="16"/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541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746.25834734619696</v>
      </c>
      <c r="E2" s="55"/>
      <c r="F2" s="53" t="s">
        <v>620</v>
      </c>
      <c r="G2" s="53">
        <v>16443655651</v>
      </c>
      <c r="H2" s="62"/>
      <c r="K2" s="51" t="s">
        <v>1</v>
      </c>
      <c r="L2" s="60" t="s">
        <v>607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2.4391762890653699E+40</v>
      </c>
      <c r="E3" s="53"/>
      <c r="F3" s="53" t="s">
        <v>621</v>
      </c>
      <c r="G3" s="53">
        <f>H37/SolarMass</f>
        <v>40584826915.030212</v>
      </c>
      <c r="H3" s="62"/>
      <c r="K3" s="51" t="s">
        <v>562</v>
      </c>
      <c r="L3" s="57">
        <v>3.3189999999999999E-3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1858.5809322150801</v>
      </c>
      <c r="E4" s="55"/>
      <c r="F4" s="53" t="s">
        <v>622</v>
      </c>
      <c r="G4" s="52">
        <f>G3/G2</f>
        <v>2.4681146197902835</v>
      </c>
      <c r="H4" s="62"/>
      <c r="K4" s="61" t="s">
        <v>614</v>
      </c>
      <c r="L4" s="52">
        <f>QEHModelChiSquare</f>
        <v>149.11995208223149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1316.6630850690799</v>
      </c>
      <c r="F5" s="53"/>
      <c r="G5" s="52"/>
      <c r="H5" s="62"/>
      <c r="K5" s="61" t="s">
        <v>615</v>
      </c>
      <c r="L5" s="52">
        <f>LCDMModelChiSquare</f>
        <v>227.56290428635381</v>
      </c>
      <c r="M5" s="55"/>
    </row>
    <row r="6" spans="1:13" s="51" customFormat="1" ht="20.100000000000001" customHeight="1" x14ac:dyDescent="0.25">
      <c r="C6" s="52"/>
      <c r="D6" s="59"/>
      <c r="F6" s="53"/>
      <c r="G6" s="53"/>
      <c r="H6" s="62"/>
      <c r="K6" s="54"/>
      <c r="M6" s="5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37" si="0">RadiusKpc*1000</f>
        <v>90</v>
      </c>
      <c r="C8" s="16">
        <f t="shared" ref="C8:C37" si="1">IF(QESBulgeEffectiveRadius=0,0,RadiusPc/QESBulgeEffectiveRadius)</f>
        <v>0.12060166605848105</v>
      </c>
      <c r="D8" s="15">
        <f t="shared" ref="D8:D37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1.355322621614969E+39</v>
      </c>
      <c r="F8" s="15">
        <f t="shared" ref="F8:F37" si="3">2*PI()*QESDiskSurfaceDensity*QESDiskScaleLength*(QESDiskScaleLength-EXP(-RadiusPc/QESDiskScaleLength)*(RadiusPc+QESDiskScaleLength))*SolarMass</f>
        <v>6.4531880561479081E+37</v>
      </c>
      <c r="H8" s="18">
        <f t="shared" ref="H8:H37" si="4">BulgeMass+DiskMass+HaloMass</f>
        <v>1.4198545021764481E+39</v>
      </c>
      <c r="I8" s="45">
        <v>174.54</v>
      </c>
      <c r="J8" s="45">
        <v>1</v>
      </c>
      <c r="K8" s="19">
        <f t="shared" ref="K8:K37" si="5">SQRT(TotalMass*GravitationalConstant/RadiusKm+UniverseAcceleration*RadiusKm)/km</f>
        <v>184.99696463768606</v>
      </c>
      <c r="L8" s="16">
        <f t="shared" ref="L8:L37" si="6">(ObservedVelocity-ModelVelocity)^2/(VelocityError)^2</f>
        <v>109.34810943381697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0.25460351723457109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3.1348884402391989E+39</v>
      </c>
      <c r="F9" s="15">
        <f t="shared" si="3"/>
        <v>2.7753438866677367E+38</v>
      </c>
      <c r="H9" s="18">
        <f t="shared" si="4"/>
        <v>3.4124228289059726E+39</v>
      </c>
      <c r="I9" s="45">
        <v>202.57</v>
      </c>
      <c r="J9" s="45">
        <v>1</v>
      </c>
      <c r="K9" s="19">
        <f t="shared" si="5"/>
        <v>197.6363650772943</v>
      </c>
      <c r="L9" s="16">
        <f t="shared" si="6"/>
        <v>24.340753550541208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0.40200555352827017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4.9194294775276386E+39</v>
      </c>
      <c r="F10" s="15">
        <f t="shared" si="3"/>
        <v>6.6543588311991957E+38</v>
      </c>
      <c r="H10" s="18">
        <f t="shared" si="4"/>
        <v>5.5848653606475582E+39</v>
      </c>
      <c r="I10" s="45">
        <v>206.73</v>
      </c>
      <c r="J10" s="45">
        <v>1</v>
      </c>
      <c r="K10" s="19">
        <f t="shared" si="5"/>
        <v>201.50185135895705</v>
      </c>
      <c r="L10" s="16">
        <f t="shared" si="6"/>
        <v>27.333538212839091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0.56280777493957823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6.5892222214484057E+39</v>
      </c>
      <c r="F11" s="15">
        <f t="shared" si="3"/>
        <v>1.2501850391658192E+39</v>
      </c>
      <c r="H11" s="18">
        <f t="shared" si="4"/>
        <v>7.8394072606142246E+39</v>
      </c>
      <c r="I11" s="45">
        <v>207</v>
      </c>
      <c r="J11" s="45">
        <v>1</v>
      </c>
      <c r="K11" s="19">
        <f t="shared" si="5"/>
        <v>202.099202865915</v>
      </c>
      <c r="L11" s="16">
        <f t="shared" si="6"/>
        <v>24.017812549455712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0.75041036658610427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8.2660869062599392E+39</v>
      </c>
      <c r="F12" s="15">
        <f t="shared" si="3"/>
        <v>2.1160698850999908E+39</v>
      </c>
      <c r="H12" s="18">
        <f t="shared" si="4"/>
        <v>1.038215679135993E+40</v>
      </c>
      <c r="I12" s="45">
        <v>206.35</v>
      </c>
      <c r="J12" s="45">
        <v>1</v>
      </c>
      <c r="K12" s="19">
        <f t="shared" si="5"/>
        <v>201.81616079292399</v>
      </c>
      <c r="L12" s="16">
        <f t="shared" si="6"/>
        <v>20.555697955619529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0.93801295823263031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9.6977287133081954E+39</v>
      </c>
      <c r="F13" s="15">
        <f t="shared" si="3"/>
        <v>3.148983891711292E+39</v>
      </c>
      <c r="H13" s="18">
        <f t="shared" si="4"/>
        <v>1.2846712605019488E+40</v>
      </c>
      <c r="I13" s="45">
        <v>204.96</v>
      </c>
      <c r="J13" s="45">
        <v>1</v>
      </c>
      <c r="K13" s="19">
        <f t="shared" si="5"/>
        <v>201.20280970634442</v>
      </c>
      <c r="L13" s="16">
        <f t="shared" si="6"/>
        <v>14.116478902739725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1.1524159201143744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1.1094246156026668E+40</v>
      </c>
      <c r="F14" s="15">
        <f t="shared" si="3"/>
        <v>4.4971946622015464E+39</v>
      </c>
      <c r="H14" s="18">
        <f t="shared" si="4"/>
        <v>1.5591440818228215E+40</v>
      </c>
      <c r="I14" s="45">
        <v>202.55</v>
      </c>
      <c r="J14" s="45">
        <v>1</v>
      </c>
      <c r="K14" s="19">
        <f t="shared" si="5"/>
        <v>200.45091465109584</v>
      </c>
      <c r="L14" s="16">
        <f t="shared" si="6"/>
        <v>4.4061593019841343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1.3936192522313364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1.2429389738872673E+40</v>
      </c>
      <c r="F15" s="15">
        <f t="shared" si="3"/>
        <v>6.1830721671913606E+39</v>
      </c>
      <c r="H15" s="18">
        <f t="shared" si="4"/>
        <v>1.8612461906064033E+40</v>
      </c>
      <c r="I15" s="45">
        <v>200.4</v>
      </c>
      <c r="J15" s="45">
        <v>1</v>
      </c>
      <c r="K15" s="19">
        <f t="shared" si="5"/>
        <v>199.69772970660429</v>
      </c>
      <c r="L15" s="16">
        <f t="shared" si="6"/>
        <v>0.49318356498610144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1.6482227694659075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1.3616137012689588E+40</v>
      </c>
      <c r="F16" s="15">
        <f t="shared" si="3"/>
        <v>8.1080008733519798E+39</v>
      </c>
      <c r="H16" s="18">
        <f t="shared" si="4"/>
        <v>2.1724137886041568E+40</v>
      </c>
      <c r="I16" s="45">
        <v>197.35</v>
      </c>
      <c r="J16" s="45">
        <v>1</v>
      </c>
      <c r="K16" s="19">
        <f t="shared" si="5"/>
        <v>198.96066122446524</v>
      </c>
      <c r="L16" s="16">
        <f t="shared" si="6"/>
        <v>2.5942295799958881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1.9430268420533057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1.4778185033799185E+40</v>
      </c>
      <c r="F17" s="15">
        <f t="shared" si="3"/>
        <v>1.0464518482320417E+40</v>
      </c>
      <c r="H17" s="18">
        <f t="shared" si="4"/>
        <v>2.5242703516119605E+40</v>
      </c>
      <c r="I17" s="45">
        <v>194.08</v>
      </c>
      <c r="J17" s="45">
        <v>1</v>
      </c>
      <c r="K17" s="19">
        <f t="shared" si="5"/>
        <v>198.20538220023241</v>
      </c>
      <c r="L17" s="16">
        <f t="shared" si="6"/>
        <v>17.01877829799427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2.2512310997583129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1.5799365393665783E+40</v>
      </c>
      <c r="F18" s="15">
        <f t="shared" si="3"/>
        <v>1.3014155891434237E+40</v>
      </c>
      <c r="H18" s="18">
        <f t="shared" si="4"/>
        <v>2.881352128510002E+40</v>
      </c>
      <c r="I18" s="45">
        <v>192.51</v>
      </c>
      <c r="J18" s="45">
        <v>1</v>
      </c>
      <c r="K18" s="19">
        <f t="shared" si="5"/>
        <v>197.44987877992284</v>
      </c>
      <c r="L18" s="16">
        <f t="shared" si="6"/>
        <v>24.402402360332065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2.5996359128161468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1.6769852031319682E+40</v>
      </c>
      <c r="F19" s="15">
        <f t="shared" si="3"/>
        <v>1.5935931940780448E+40</v>
      </c>
      <c r="H19" s="18">
        <f t="shared" si="4"/>
        <v>3.270578397210013E+40</v>
      </c>
      <c r="I19" s="45">
        <v>191.52</v>
      </c>
      <c r="J19" s="45">
        <v>1</v>
      </c>
      <c r="K19" s="19">
        <f t="shared" si="5"/>
        <v>196.58812616907503</v>
      </c>
      <c r="L19" s="16">
        <f t="shared" si="6"/>
        <v>25.685902865662985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2.988241281226808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1.7669491992349001E+40</v>
      </c>
      <c r="F20" s="15">
        <f t="shared" si="3"/>
        <v>1.9173866257460335E+40</v>
      </c>
      <c r="G20" s="15"/>
      <c r="H20" s="18">
        <f t="shared" si="4"/>
        <v>3.6843358249809336E+40</v>
      </c>
      <c r="I20" s="45">
        <v>190.78</v>
      </c>
      <c r="J20" s="45">
        <v>1</v>
      </c>
      <c r="K20" s="19">
        <f t="shared" si="5"/>
        <v>195.56169324122459</v>
      </c>
      <c r="L20" s="16">
        <f t="shared" si="6"/>
        <v>22.864590253172903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3.4036470198726874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1.8469372488152851E+40</v>
      </c>
      <c r="F21" s="15">
        <f t="shared" si="3"/>
        <v>2.2543454070608974E+40</v>
      </c>
      <c r="G21" s="15"/>
      <c r="H21" s="18">
        <f t="shared" si="4"/>
        <v>4.1012826558761824E+40</v>
      </c>
      <c r="I21" s="45">
        <v>190.57</v>
      </c>
      <c r="J21" s="45">
        <v>1</v>
      </c>
      <c r="K21" s="19">
        <f t="shared" si="5"/>
        <v>194.37672236424271</v>
      </c>
      <c r="L21" s="16">
        <f t="shared" si="6"/>
        <v>14.491135158425658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3.8726534989890022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1.921594494015841E+40</v>
      </c>
      <c r="F22" s="15">
        <f t="shared" si="3"/>
        <v>2.6170037924241823E+40</v>
      </c>
      <c r="G22" s="15"/>
      <c r="H22" s="18">
        <f t="shared" si="4"/>
        <v>4.538598286440023E+40</v>
      </c>
      <c r="I22" s="45">
        <v>190.16</v>
      </c>
      <c r="J22" s="45">
        <v>1</v>
      </c>
      <c r="K22" s="19">
        <f t="shared" si="5"/>
        <v>192.92356458344668</v>
      </c>
      <c r="L22" s="16">
        <f t="shared" si="6"/>
        <v>7.6372892068808218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4.3818605334581449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1.9883373309057747E+40</v>
      </c>
      <c r="F23" s="15">
        <f t="shared" si="3"/>
        <v>2.9841043050709981E+40</v>
      </c>
      <c r="G23" s="15"/>
      <c r="H23" s="18">
        <f t="shared" si="4"/>
        <v>4.9724416359767733E+40</v>
      </c>
      <c r="I23" s="45">
        <v>189.17</v>
      </c>
      <c r="J23" s="45">
        <v>1</v>
      </c>
      <c r="K23" s="19">
        <f t="shared" si="5"/>
        <v>191.23131322748651</v>
      </c>
      <c r="L23" s="16">
        <f t="shared" si="6"/>
        <v>4.2490122218109025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4.9446683083977225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2.0487698591909615E+40</v>
      </c>
      <c r="F24" s="15">
        <f t="shared" si="3"/>
        <v>3.3538513072960397E+40</v>
      </c>
      <c r="G24" s="15"/>
      <c r="H24" s="18">
        <f t="shared" si="4"/>
        <v>5.402621166487001E+40</v>
      </c>
      <c r="I24" s="45">
        <v>189.02</v>
      </c>
      <c r="J24" s="45">
        <v>1</v>
      </c>
      <c r="K24" s="19">
        <f t="shared" si="5"/>
        <v>189.26165363658652</v>
      </c>
      <c r="L24" s="16">
        <f t="shared" si="6"/>
        <v>5.8396480075482933E-2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5.5610768238077375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2.0995369162290124E+40</v>
      </c>
      <c r="F25" s="15">
        <f t="shared" si="3"/>
        <v>3.7139532785957332E+40</v>
      </c>
      <c r="G25" s="15"/>
      <c r="H25" s="18">
        <f t="shared" si="4"/>
        <v>5.813490194824746E+40</v>
      </c>
      <c r="I25" s="45">
        <v>191.42</v>
      </c>
      <c r="J25" s="45">
        <v>1</v>
      </c>
      <c r="K25" s="19">
        <f t="shared" si="5"/>
        <v>186.99945358685349</v>
      </c>
      <c r="L25" s="16">
        <f t="shared" si="6"/>
        <v>19.541230590782355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6.2310860796881871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2.1487567197219959E+40</v>
      </c>
      <c r="F26" s="15">
        <f t="shared" si="3"/>
        <v>4.0534131940701719E+40</v>
      </c>
      <c r="G26" s="15"/>
      <c r="H26" s="18">
        <f t="shared" si="4"/>
        <v>6.2021699137921675E+40</v>
      </c>
      <c r="I26" s="45">
        <v>195.55</v>
      </c>
      <c r="J26" s="45">
        <v>1</v>
      </c>
      <c r="K26" s="19">
        <f t="shared" si="5"/>
        <v>184.6113878791397</v>
      </c>
      <c r="L26" s="16">
        <f t="shared" si="6"/>
        <v>119.65323513063215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6.9814964462742912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2.1932350308318657E+40</v>
      </c>
      <c r="F27" s="15">
        <f t="shared" si="3"/>
        <v>4.37386028703556E+40</v>
      </c>
      <c r="G27" s="15"/>
      <c r="H27" s="18">
        <f t="shared" si="4"/>
        <v>6.5670953178674262E+40</v>
      </c>
      <c r="I27" s="45">
        <v>199.35</v>
      </c>
      <c r="J27" s="45">
        <v>1</v>
      </c>
      <c r="K27" s="19">
        <f t="shared" si="5"/>
        <v>182.00443818790535</v>
      </c>
      <c r="L27" s="16">
        <f t="shared" si="6"/>
        <v>300.86851457719604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7.7989077384484409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2.2300120456108853E+40</v>
      </c>
      <c r="F28" s="15">
        <f t="shared" si="3"/>
        <v>4.6590480448922919E+40</v>
      </c>
      <c r="G28" s="15"/>
      <c r="H28" s="18">
        <f t="shared" si="4"/>
        <v>6.8890600905031772E+40</v>
      </c>
      <c r="I28" s="45">
        <v>201.43</v>
      </c>
      <c r="J28" s="45">
        <v>1</v>
      </c>
      <c r="K28" s="19">
        <f t="shared" si="5"/>
        <v>179.30717011398772</v>
      </c>
      <c r="L28" s="16">
        <f t="shared" si="6"/>
        <v>489.41960216543828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8.6967201413282442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2.2629379645979607E+40</v>
      </c>
      <c r="F29" s="15">
        <f t="shared" si="3"/>
        <v>4.906964398883061E+40</v>
      </c>
      <c r="G29" s="15"/>
      <c r="H29" s="18">
        <f t="shared" si="4"/>
        <v>7.1699023634810212E+40</v>
      </c>
      <c r="I29" s="45">
        <v>199.83</v>
      </c>
      <c r="J29" s="45">
        <v>1</v>
      </c>
      <c r="K29" s="19">
        <f t="shared" si="5"/>
        <v>176.62916338377613</v>
      </c>
      <c r="L29" s="16">
        <f t="shared" si="6"/>
        <v>538.27881969271482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9.6883338400313104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2.2919304663868227E+40</v>
      </c>
      <c r="F30" s="15">
        <f t="shared" si="3"/>
        <v>5.1159916976484248E+40</v>
      </c>
      <c r="G30" s="15"/>
      <c r="H30" s="18">
        <f t="shared" si="4"/>
        <v>7.4079221640352475E+40</v>
      </c>
      <c r="I30" s="45">
        <v>193.41</v>
      </c>
      <c r="J30" s="45">
        <v>1</v>
      </c>
      <c r="K30" s="19">
        <f t="shared" si="5"/>
        <v>174.06002025623448</v>
      </c>
      <c r="L30" s="16">
        <f t="shared" si="6"/>
        <v>374.42171608413577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10.787149019675251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2.3172343326695946E+40</v>
      </c>
      <c r="F31" s="15">
        <f t="shared" si="3"/>
        <v>5.2857320688137936E+40</v>
      </c>
      <c r="G31" s="15"/>
      <c r="H31" s="18">
        <f t="shared" si="4"/>
        <v>7.6029664014833882E+40</v>
      </c>
      <c r="I31" s="45">
        <v>183.44</v>
      </c>
      <c r="J31" s="45">
        <v>1</v>
      </c>
      <c r="K31" s="19">
        <f t="shared" si="5"/>
        <v>171.71543446613077</v>
      </c>
      <c r="L31" s="16">
        <f t="shared" si="6"/>
        <v>137.46543695799414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11.97976549514245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2.3387947516718211E+40</v>
      </c>
      <c r="F32" s="15">
        <f t="shared" si="3"/>
        <v>5.4152015622845305E+40</v>
      </c>
      <c r="G32" s="15"/>
      <c r="H32" s="18">
        <f t="shared" si="4"/>
        <v>7.7539963139563516E+40</v>
      </c>
      <c r="I32" s="45">
        <v>175.99</v>
      </c>
      <c r="J32" s="45">
        <v>1</v>
      </c>
      <c r="K32" s="19">
        <f t="shared" si="5"/>
        <v>169.76269126665986</v>
      </c>
      <c r="L32" s="16">
        <f t="shared" si="6"/>
        <v>38.779374060334526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13.306383821785742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2.3568725746224181E+40</v>
      </c>
      <c r="F33" s="15">
        <f t="shared" si="3"/>
        <v>5.5118326050677329E+40</v>
      </c>
      <c r="G33" s="15"/>
      <c r="H33" s="18">
        <f t="shared" si="4"/>
        <v>7.868705179690151E+40</v>
      </c>
      <c r="I33" s="45">
        <v>172.74</v>
      </c>
      <c r="J33" s="45">
        <v>1</v>
      </c>
      <c r="K33" s="19">
        <f t="shared" si="5"/>
        <v>168.26433673198642</v>
      </c>
      <c r="L33" s="16">
        <f t="shared" si="6"/>
        <v>20.031561688646097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14.753603814487514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2.3722924731234772E+40</v>
      </c>
      <c r="F34" s="15">
        <f t="shared" si="3"/>
        <v>5.5789890866409164E+40</v>
      </c>
      <c r="G34" s="15"/>
      <c r="H34" s="18">
        <f t="shared" si="4"/>
        <v>7.9512815597643931E+40</v>
      </c>
      <c r="I34" s="45">
        <v>169.7</v>
      </c>
      <c r="J34" s="45">
        <v>1</v>
      </c>
      <c r="K34" s="19">
        <f t="shared" si="5"/>
        <v>167.35922162098561</v>
      </c>
      <c r="L34" s="16">
        <f t="shared" si="6"/>
        <v>5.4792434196611932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16.348225843482986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2.3828269438045702E+40</v>
      </c>
      <c r="F35" s="15">
        <f t="shared" si="3"/>
        <v>5.6236358833810734E+40</v>
      </c>
      <c r="G35" s="15"/>
      <c r="H35" s="18">
        <f t="shared" si="4"/>
        <v>8.0064628271856436E+40</v>
      </c>
      <c r="I35" s="45">
        <v>163.72</v>
      </c>
      <c r="J35" s="45">
        <v>1</v>
      </c>
      <c r="K35" s="19">
        <f t="shared" si="5"/>
        <v>167.09978071884672</v>
      </c>
      <c r="L35" s="16">
        <f t="shared" si="6"/>
        <v>11.422917707488034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18.103650093889765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2.3934286538856645E+40</v>
      </c>
      <c r="F36" s="15">
        <f t="shared" si="3"/>
        <v>5.6515095779522806E+40</v>
      </c>
      <c r="G36" s="15"/>
      <c r="H36" s="18">
        <f t="shared" si="4"/>
        <v>8.0449382318379446E+40</v>
      </c>
      <c r="I36" s="45">
        <v>149.72999999999999</v>
      </c>
      <c r="J36" s="45">
        <v>1</v>
      </c>
      <c r="K36" s="19">
        <f t="shared" si="5"/>
        <v>167.57567267678817</v>
      </c>
      <c r="L36" s="16">
        <f t="shared" si="6"/>
        <v>318.46803328706432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20.033276750825461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2.4049723784460922E+40</v>
      </c>
      <c r="F37" s="15">
        <f t="shared" si="3"/>
        <v>5.6677555432225676E+40</v>
      </c>
      <c r="G37" s="15"/>
      <c r="H37" s="18">
        <f t="shared" si="4"/>
        <v>8.0727279216686598E+40</v>
      </c>
      <c r="I37" s="45">
        <v>134.77000000000001</v>
      </c>
      <c r="J37" s="45">
        <v>1</v>
      </c>
      <c r="K37" s="19">
        <f t="shared" si="5"/>
        <v>168.82401002642123</v>
      </c>
      <c r="L37" s="16">
        <f t="shared" si="6"/>
        <v>1159.6755988795974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x14ac:dyDescent="0.25">
      <c r="A38" s="45"/>
      <c r="I38" s="45"/>
      <c r="J38" s="45"/>
      <c r="L38" s="16">
        <f>SUM(L8:L37)/(COUNT(L8:L37)-4)</f>
        <v>149.11995208223149</v>
      </c>
    </row>
    <row r="39" spans="1:29" x14ac:dyDescent="0.25">
      <c r="A39" s="45"/>
      <c r="I39" s="45"/>
      <c r="J39" s="45"/>
      <c r="L39" s="16"/>
    </row>
    <row r="40" spans="1:29" ht="21" x14ac:dyDescent="0.35">
      <c r="A40" s="46" t="s">
        <v>564</v>
      </c>
      <c r="I40" s="45"/>
      <c r="J40" s="45"/>
      <c r="L40" s="16"/>
    </row>
    <row r="41" spans="1:29" x14ac:dyDescent="0.25">
      <c r="A41" s="45" t="s">
        <v>30</v>
      </c>
      <c r="D41" s="16">
        <v>0.66</v>
      </c>
      <c r="E41" s="17">
        <f>$D$41*1000</f>
        <v>660</v>
      </c>
      <c r="F41" s="17"/>
      <c r="G41" s="17"/>
      <c r="H41" s="15"/>
      <c r="K41" s="15"/>
      <c r="L41" s="17"/>
      <c r="M41" s="45"/>
    </row>
    <row r="42" spans="1:29" x14ac:dyDescent="0.25">
      <c r="A42" s="45" t="s">
        <v>16</v>
      </c>
      <c r="D42" s="16">
        <v>1.38</v>
      </c>
      <c r="E42" s="15">
        <f>D42*10000000000*SolarMass</f>
        <v>2.7449579999999993E+40</v>
      </c>
      <c r="F42" s="43"/>
      <c r="G42" s="43"/>
      <c r="H42" s="15"/>
      <c r="K42" s="15"/>
      <c r="L42" s="17"/>
      <c r="M42" s="45"/>
    </row>
    <row r="43" spans="1:29" x14ac:dyDescent="0.25">
      <c r="A43" s="45" t="s">
        <v>569</v>
      </c>
      <c r="D43" s="16">
        <v>3</v>
      </c>
      <c r="E43" s="15">
        <f>D43*1000</f>
        <v>3000</v>
      </c>
      <c r="H43" s="15"/>
      <c r="K43" s="15"/>
      <c r="L43" s="17"/>
      <c r="M43" s="45"/>
    </row>
    <row r="44" spans="1:29" x14ac:dyDescent="0.25">
      <c r="A44" s="45" t="s">
        <v>17</v>
      </c>
      <c r="D44" s="45">
        <v>3.2</v>
      </c>
      <c r="G44" s="16"/>
      <c r="H44" s="15"/>
      <c r="K44" s="15"/>
      <c r="L44" s="17"/>
      <c r="M44" s="45"/>
    </row>
    <row r="45" spans="1:29" x14ac:dyDescent="0.25">
      <c r="A45" s="45" t="s">
        <v>570</v>
      </c>
      <c r="D45" s="16">
        <v>2</v>
      </c>
      <c r="E45" s="17">
        <f>D45*1000</f>
        <v>2000</v>
      </c>
      <c r="H45" s="15"/>
      <c r="K45" s="15"/>
      <c r="L45" s="17"/>
      <c r="M45" s="45"/>
    </row>
    <row r="46" spans="1:29" x14ac:dyDescent="0.25">
      <c r="A46" s="45" t="s">
        <v>571</v>
      </c>
      <c r="D46" s="16">
        <v>0.4</v>
      </c>
      <c r="G46" s="9"/>
      <c r="H46" s="15"/>
      <c r="K46" s="15"/>
      <c r="L46" s="17"/>
      <c r="M46" s="45"/>
    </row>
    <row r="47" spans="1:29" x14ac:dyDescent="0.25">
      <c r="A47" s="45"/>
      <c r="D47" s="12"/>
      <c r="H47" s="15"/>
      <c r="K47" s="15"/>
      <c r="L47" s="17"/>
      <c r="M47" s="45"/>
    </row>
    <row r="48" spans="1:29" x14ac:dyDescent="0.25">
      <c r="A48" s="17" t="s">
        <v>567</v>
      </c>
      <c r="D48" s="17">
        <f>(D44*10000000000)/(2*PI()*DiskScaleLengthPc^2)</f>
        <v>565.88424210451683</v>
      </c>
      <c r="H48" s="15"/>
      <c r="K48" s="15"/>
      <c r="L48" s="17"/>
      <c r="M48" s="45"/>
    </row>
    <row r="49" spans="1:29" x14ac:dyDescent="0.25">
      <c r="A49" s="17" t="s">
        <v>565</v>
      </c>
      <c r="D49" s="9">
        <f>(D46*10000000000)/(4*PI()*(LCDMHaloScaleLengthPc)^3*(LN(2)-1/2))</f>
        <v>0.20600215678853764</v>
      </c>
      <c r="H49" s="15"/>
      <c r="K49" s="15"/>
      <c r="L49" s="17"/>
      <c r="M49" s="45"/>
    </row>
    <row r="50" spans="1:29" x14ac:dyDescent="0.25">
      <c r="A50" s="19"/>
      <c r="H50" s="15"/>
      <c r="K50" s="15"/>
      <c r="L50" s="17"/>
      <c r="M50" s="45"/>
    </row>
    <row r="51" spans="1:29" ht="45" x14ac:dyDescent="0.25">
      <c r="A51" s="25" t="s">
        <v>20</v>
      </c>
      <c r="B51" s="3" t="s">
        <v>19</v>
      </c>
      <c r="C51" s="7" t="s">
        <v>27</v>
      </c>
      <c r="D51" s="4" t="s">
        <v>649</v>
      </c>
      <c r="E51" s="4" t="s">
        <v>21</v>
      </c>
      <c r="F51" s="4" t="s">
        <v>22</v>
      </c>
      <c r="G51" s="4" t="s">
        <v>28</v>
      </c>
      <c r="H51" s="4" t="s">
        <v>23</v>
      </c>
      <c r="I51" s="7" t="s">
        <v>645</v>
      </c>
      <c r="J51" s="7" t="s">
        <v>646</v>
      </c>
      <c r="K51" s="25" t="s">
        <v>647</v>
      </c>
      <c r="L51" s="3" t="s">
        <v>648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x14ac:dyDescent="0.25">
      <c r="A52" s="45">
        <v>0.09</v>
      </c>
      <c r="B52" s="45">
        <f>A52*1000</f>
        <v>90</v>
      </c>
      <c r="C52" s="16">
        <f>B52/LCDMBulgeEffectiveRadius</f>
        <v>0.13636363636363635</v>
      </c>
      <c r="D52" s="15">
        <f>A52*kpc</f>
        <v>2.777109822E+18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1.7659612430509086E+39</v>
      </c>
      <c r="F52" s="15">
        <f t="shared" ref="F52:F81" si="7">2*PI()*LCDMDiskSurfaceDensity*LCDMScaleLength*(LCDMScaleLength-EXP(-RadiusPc/LCDMScaleLength)*(RadiusPc+LCDMScaleLength))*SolarMass</f>
        <v>2.8076572647109192E+37</v>
      </c>
      <c r="G52" s="15">
        <f t="shared" ref="G52:G81" si="8">4*PI()*LCDMHaloRepresentativeDensity*LCDMHaloScaleLengthPc^3*(LN(1+RadiusPc/LCDMHaloScaleLengthPc)-RadiusPc/(RadiusPc+LCDMHaloScaleLengthPc))*SolarMass</f>
        <v>3.9326752863914264E+37</v>
      </c>
      <c r="H52" s="15">
        <f t="shared" ref="H52:H81" si="9">BulgeMass+DiskMass+HaloMass</f>
        <v>1.833364568561932E+39</v>
      </c>
      <c r="I52" s="45">
        <v>174.54</v>
      </c>
      <c r="J52" s="45">
        <v>1</v>
      </c>
      <c r="K52" s="19">
        <f t="shared" ref="K52:K81" si="10">SQRT(TotalMass*GravitationalConstant/RadiusKm)/km</f>
        <v>209.90539152722582</v>
      </c>
      <c r="L52" s="16">
        <f t="shared" ref="L52:L81" si="11">(ObservedVelocity-ModelVelocity)^2/(VelocityError)^2</f>
        <v>1250.7109178739761</v>
      </c>
      <c r="M52" s="45"/>
    </row>
    <row r="53" spans="1:29" x14ac:dyDescent="0.25">
      <c r="A53" s="45">
        <v>0.19</v>
      </c>
      <c r="B53" s="45">
        <f t="shared" ref="B53:B81" si="12">A53*1000</f>
        <v>190</v>
      </c>
      <c r="C53" s="16">
        <f t="shared" ref="C53:C81" si="13">B53/LCDMBulgeEffectiveRadius</f>
        <v>0.2878787878787879</v>
      </c>
      <c r="D53" s="15">
        <f t="shared" ref="D53:D81" si="14">A53*kpc</f>
        <v>5.862787402E+18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4.0093172634072722E+39</v>
      </c>
      <c r="F53" s="15">
        <f t="shared" si="7"/>
        <v>1.2239197390684563E+38</v>
      </c>
      <c r="G53" s="15">
        <f t="shared" si="8"/>
        <v>1.6462439305722456E+38</v>
      </c>
      <c r="H53" s="15">
        <f t="shared" si="9"/>
        <v>4.2963336303713428E+39</v>
      </c>
      <c r="I53" s="45">
        <v>202.57</v>
      </c>
      <c r="J53" s="45">
        <v>1</v>
      </c>
      <c r="K53" s="19">
        <f t="shared" si="10"/>
        <v>221.15289586159392</v>
      </c>
      <c r="L53" s="16">
        <f t="shared" si="11"/>
        <v>345.32401860284466</v>
      </c>
      <c r="M53" s="45"/>
    </row>
    <row r="54" spans="1:29" x14ac:dyDescent="0.25">
      <c r="A54" s="45">
        <v>0.3</v>
      </c>
      <c r="B54" s="45">
        <f t="shared" si="12"/>
        <v>300</v>
      </c>
      <c r="C54" s="16">
        <f t="shared" si="13"/>
        <v>0.45454545454545453</v>
      </c>
      <c r="D54" s="15">
        <f t="shared" si="14"/>
        <v>9.25703274E+18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6.1718633838545441E+39</v>
      </c>
      <c r="F54" s="15">
        <f t="shared" si="7"/>
        <v>2.9781379082049153E+38</v>
      </c>
      <c r="G54" s="15">
        <f t="shared" si="8"/>
        <v>3.8421795105030796E+38</v>
      </c>
      <c r="H54" s="15">
        <f t="shared" si="9"/>
        <v>6.8538951257253432E+39</v>
      </c>
      <c r="I54" s="45">
        <v>206.73</v>
      </c>
      <c r="J54" s="45">
        <v>1</v>
      </c>
      <c r="K54" s="19">
        <f t="shared" si="10"/>
        <v>222.29440482422956</v>
      </c>
      <c r="L54" s="16">
        <f t="shared" si="11"/>
        <v>242.25069753250071</v>
      </c>
      <c r="M54" s="45"/>
    </row>
    <row r="55" spans="1:29" x14ac:dyDescent="0.25">
      <c r="A55" s="45">
        <v>0.42</v>
      </c>
      <c r="B55" s="45">
        <f t="shared" si="12"/>
        <v>420</v>
      </c>
      <c r="C55" s="16">
        <f t="shared" si="13"/>
        <v>0.63636363636363635</v>
      </c>
      <c r="D55" s="15">
        <f t="shared" si="14"/>
        <v>1.2959845836E+19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8.1930009134181819E+39</v>
      </c>
      <c r="F55" s="15">
        <f t="shared" si="7"/>
        <v>5.6850779916122427E+38</v>
      </c>
      <c r="G55" s="15">
        <f t="shared" si="8"/>
        <v>7.0303391889669092E+38</v>
      </c>
      <c r="H55" s="15">
        <f t="shared" si="9"/>
        <v>9.4645426314760965E+39</v>
      </c>
      <c r="I55" s="45">
        <v>207</v>
      </c>
      <c r="J55" s="45">
        <v>1</v>
      </c>
      <c r="K55" s="19">
        <f t="shared" si="10"/>
        <v>220.7728185622712</v>
      </c>
      <c r="L55" s="16">
        <f t="shared" si="11"/>
        <v>189.69053114924205</v>
      </c>
      <c r="M55" s="45"/>
    </row>
    <row r="56" spans="1:29" x14ac:dyDescent="0.25">
      <c r="A56" s="45">
        <v>0.56000000000000005</v>
      </c>
      <c r="B56" s="45">
        <f t="shared" si="12"/>
        <v>560</v>
      </c>
      <c r="C56" s="16">
        <f t="shared" si="13"/>
        <v>0.84848484848484851</v>
      </c>
      <c r="D56" s="15">
        <f t="shared" si="14"/>
        <v>1.7279794448000002E+19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1.0174993678290905E+40</v>
      </c>
      <c r="F56" s="15">
        <f t="shared" si="7"/>
        <v>9.8014066617540092E+38</v>
      </c>
      <c r="G56" s="15">
        <f t="shared" si="8"/>
        <v>1.1579512753228011E+39</v>
      </c>
      <c r="H56" s="15">
        <f t="shared" si="9"/>
        <v>1.2313085619789107E+40</v>
      </c>
      <c r="I56" s="45">
        <v>206.35</v>
      </c>
      <c r="J56" s="45">
        <v>1</v>
      </c>
      <c r="K56" s="19">
        <f t="shared" si="10"/>
        <v>218.07700181451392</v>
      </c>
      <c r="L56" s="16">
        <f t="shared" si="11"/>
        <v>137.52257155761291</v>
      </c>
      <c r="M56" s="45"/>
    </row>
    <row r="57" spans="1:29" x14ac:dyDescent="0.25">
      <c r="A57" s="45">
        <v>0.7</v>
      </c>
      <c r="B57" s="45">
        <f t="shared" si="12"/>
        <v>700</v>
      </c>
      <c r="C57" s="16">
        <f t="shared" si="13"/>
        <v>1.0606060606060606</v>
      </c>
      <c r="D57" s="15">
        <f t="shared" si="14"/>
        <v>2.1599743059999998E+19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1.1843146245163633E+40</v>
      </c>
      <c r="F57" s="15">
        <f t="shared" si="7"/>
        <v>1.4853772300605663E+39</v>
      </c>
      <c r="G57" s="15">
        <f t="shared" si="8"/>
        <v>1.682560460159752E+39</v>
      </c>
      <c r="H57" s="15">
        <f t="shared" si="9"/>
        <v>1.5011083935383951E+40</v>
      </c>
      <c r="I57" s="45">
        <v>204.96</v>
      </c>
      <c r="J57" s="45">
        <v>1</v>
      </c>
      <c r="K57" s="19">
        <f t="shared" si="10"/>
        <v>215.36614690796839</v>
      </c>
      <c r="L57" s="16">
        <f t="shared" si="11"/>
        <v>108.28789347021983</v>
      </c>
      <c r="M57" s="45"/>
    </row>
    <row r="58" spans="1:29" x14ac:dyDescent="0.25">
      <c r="A58" s="45">
        <v>0.86</v>
      </c>
      <c r="B58" s="45">
        <f t="shared" si="12"/>
        <v>860</v>
      </c>
      <c r="C58" s="16">
        <f t="shared" si="13"/>
        <v>1.303030303030303</v>
      </c>
      <c r="D58" s="15">
        <f t="shared" si="14"/>
        <v>2.6536827187999998E+19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1.3454935674436359E+40</v>
      </c>
      <c r="F58" s="15">
        <f t="shared" si="7"/>
        <v>2.1653906401860596E+39</v>
      </c>
      <c r="G58" s="15">
        <f t="shared" si="8"/>
        <v>2.3470031040896726E+39</v>
      </c>
      <c r="H58" s="15">
        <f t="shared" si="9"/>
        <v>1.7967329418712091E+40</v>
      </c>
      <c r="I58" s="45">
        <v>202.55</v>
      </c>
      <c r="J58" s="45">
        <v>1</v>
      </c>
      <c r="K58" s="19">
        <f t="shared" si="10"/>
        <v>212.57538343107959</v>
      </c>
      <c r="L58" s="16">
        <f t="shared" si="11"/>
        <v>100.50831294016487</v>
      </c>
      <c r="M58" s="45"/>
    </row>
    <row r="59" spans="1:29" x14ac:dyDescent="0.25">
      <c r="A59" s="45">
        <v>1.04</v>
      </c>
      <c r="B59" s="45">
        <f t="shared" si="12"/>
        <v>1040</v>
      </c>
      <c r="C59" s="16">
        <f t="shared" si="13"/>
        <v>1.5757575757575757</v>
      </c>
      <c r="D59" s="15">
        <f t="shared" si="14"/>
        <v>3.2091046832E+19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1.4964953706345453E+40</v>
      </c>
      <c r="F59" s="15">
        <f t="shared" si="7"/>
        <v>3.0458050574785921E+39</v>
      </c>
      <c r="G59" s="15">
        <f t="shared" si="8"/>
        <v>3.1556276965017599E+39</v>
      </c>
      <c r="H59" s="15">
        <f t="shared" si="9"/>
        <v>2.1166386460325807E+40</v>
      </c>
      <c r="I59" s="45">
        <v>200.4</v>
      </c>
      <c r="J59" s="45">
        <v>1</v>
      </c>
      <c r="K59" s="19">
        <f t="shared" si="10"/>
        <v>209.81045352766031</v>
      </c>
      <c r="L59" s="16">
        <f t="shared" si="11"/>
        <v>88.556635596254353</v>
      </c>
      <c r="M59" s="45"/>
    </row>
    <row r="60" spans="1:29" x14ac:dyDescent="0.25">
      <c r="A60" s="45">
        <v>1.23</v>
      </c>
      <c r="B60" s="45">
        <f t="shared" si="12"/>
        <v>1230</v>
      </c>
      <c r="C60" s="16">
        <f t="shared" si="13"/>
        <v>1.8636363636363635</v>
      </c>
      <c r="D60" s="15">
        <f t="shared" si="14"/>
        <v>3.7953834233999999E+19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1.6301032899654543E+40</v>
      </c>
      <c r="F60" s="15">
        <f t="shared" si="7"/>
        <v>4.0897899299175764E+39</v>
      </c>
      <c r="G60" s="15">
        <f t="shared" si="8"/>
        <v>4.0587914071823579E+39</v>
      </c>
      <c r="H60" s="15">
        <f t="shared" si="9"/>
        <v>2.4449614236754479E+40</v>
      </c>
      <c r="I60" s="45">
        <v>197.35</v>
      </c>
      <c r="J60" s="45">
        <v>1</v>
      </c>
      <c r="K60" s="19">
        <f t="shared" si="10"/>
        <v>207.34992444683152</v>
      </c>
      <c r="L60" s="16">
        <f t="shared" si="11"/>
        <v>99.998488942338852</v>
      </c>
      <c r="M60" s="45"/>
    </row>
    <row r="61" spans="1:29" x14ac:dyDescent="0.25">
      <c r="A61" s="45">
        <v>1.45</v>
      </c>
      <c r="B61" s="45">
        <f t="shared" si="12"/>
        <v>1450</v>
      </c>
      <c r="C61" s="16">
        <f t="shared" si="13"/>
        <v>2.1969696969696968</v>
      </c>
      <c r="D61" s="15">
        <f t="shared" si="14"/>
        <v>4.4742324909999997E+19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1.7593567077418174E+40</v>
      </c>
      <c r="F61" s="15">
        <f t="shared" si="7"/>
        <v>5.4225994680794113E+39</v>
      </c>
      <c r="G61" s="15">
        <f t="shared" si="8"/>
        <v>5.1465949370068457E+39</v>
      </c>
      <c r="H61" s="15">
        <f t="shared" si="9"/>
        <v>2.816276148250443E+40</v>
      </c>
      <c r="I61" s="45">
        <v>194.08</v>
      </c>
      <c r="J61" s="45">
        <v>1</v>
      </c>
      <c r="K61" s="19">
        <f t="shared" si="10"/>
        <v>204.96232975484776</v>
      </c>
      <c r="L61" s="16">
        <f t="shared" si="11"/>
        <v>118.42510089324459</v>
      </c>
      <c r="M61" s="45"/>
    </row>
    <row r="62" spans="1:29" x14ac:dyDescent="0.25">
      <c r="A62" s="45">
        <v>1.68</v>
      </c>
      <c r="B62" s="45">
        <f t="shared" si="12"/>
        <v>1680</v>
      </c>
      <c r="C62" s="16">
        <f t="shared" si="13"/>
        <v>2.5454545454545454</v>
      </c>
      <c r="D62" s="15">
        <f t="shared" si="14"/>
        <v>5.1839383344E+19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1.871332694421818E+40</v>
      </c>
      <c r="F62" s="15">
        <f t="shared" si="7"/>
        <v>6.9324979108282482E+39</v>
      </c>
      <c r="G62" s="15">
        <f t="shared" si="8"/>
        <v>6.3126431630653713E+39</v>
      </c>
      <c r="H62" s="15">
        <f t="shared" si="9"/>
        <v>3.1958468018111801E+40</v>
      </c>
      <c r="I62" s="45">
        <v>192.51</v>
      </c>
      <c r="J62" s="45">
        <v>1</v>
      </c>
      <c r="K62" s="19">
        <f t="shared" si="10"/>
        <v>202.84241238932253</v>
      </c>
      <c r="L62" s="16">
        <f t="shared" si="11"/>
        <v>106.75874578302596</v>
      </c>
      <c r="M62" s="45"/>
    </row>
    <row r="63" spans="1:29" x14ac:dyDescent="0.25">
      <c r="A63" s="45">
        <v>1.94</v>
      </c>
      <c r="B63" s="45">
        <f t="shared" si="12"/>
        <v>1940</v>
      </c>
      <c r="C63" s="16">
        <f t="shared" si="13"/>
        <v>2.9393939393939394</v>
      </c>
      <c r="D63" s="15">
        <f t="shared" si="14"/>
        <v>5.9862145052000002E+19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1.9766459194109087E+40</v>
      </c>
      <c r="F63" s="15">
        <f t="shared" si="7"/>
        <v>8.751682828105055E+39</v>
      </c>
      <c r="G63" s="15">
        <f t="shared" si="8"/>
        <v>7.6474727777099325E+39</v>
      </c>
      <c r="H63" s="15">
        <f t="shared" si="9"/>
        <v>3.6165614799924075E+40</v>
      </c>
      <c r="I63" s="45">
        <v>191.52</v>
      </c>
      <c r="J63" s="45">
        <v>1</v>
      </c>
      <c r="K63" s="19">
        <f t="shared" si="10"/>
        <v>200.80174969512009</v>
      </c>
      <c r="L63" s="16">
        <f t="shared" si="11"/>
        <v>86.150877402861767</v>
      </c>
      <c r="M63" s="45"/>
    </row>
    <row r="64" spans="1:29" x14ac:dyDescent="0.25">
      <c r="A64" s="45">
        <v>2.23</v>
      </c>
      <c r="B64" s="45">
        <f t="shared" si="12"/>
        <v>2230</v>
      </c>
      <c r="C64" s="16">
        <f t="shared" si="13"/>
        <v>3.3787878787878789</v>
      </c>
      <c r="D64" s="15">
        <f t="shared" si="14"/>
        <v>6.8810610034000003E+19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2.0734830468181816E+40</v>
      </c>
      <c r="F64" s="15">
        <f t="shared" si="7"/>
        <v>1.0884314045948647E+40</v>
      </c>
      <c r="G64" s="15">
        <f t="shared" si="8"/>
        <v>9.1395119410931285E+39</v>
      </c>
      <c r="H64" s="15">
        <f t="shared" si="9"/>
        <v>4.0758656455223589E+40</v>
      </c>
      <c r="I64" s="45">
        <v>190.78</v>
      </c>
      <c r="J64" s="45">
        <v>1</v>
      </c>
      <c r="K64" s="19">
        <f t="shared" si="10"/>
        <v>198.82817667010545</v>
      </c>
      <c r="L64" s="16">
        <f t="shared" si="11"/>
        <v>64.773147713229619</v>
      </c>
      <c r="M64" s="45"/>
    </row>
    <row r="65" spans="1:13" x14ac:dyDescent="0.25">
      <c r="A65" s="45">
        <v>2.54</v>
      </c>
      <c r="B65" s="45">
        <f t="shared" si="12"/>
        <v>2540</v>
      </c>
      <c r="C65" s="16">
        <f t="shared" si="13"/>
        <v>3.8484848484848486</v>
      </c>
      <c r="D65" s="15">
        <f t="shared" si="14"/>
        <v>7.8376210532000006E+19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2.1585235092690905E+40</v>
      </c>
      <c r="F65" s="15">
        <f t="shared" si="7"/>
        <v>1.3244015054816228E+40</v>
      </c>
      <c r="G65" s="15">
        <f t="shared" si="8"/>
        <v>1.0723005491049903E+40</v>
      </c>
      <c r="H65" s="15">
        <f t="shared" si="9"/>
        <v>4.5552255638557039E+40</v>
      </c>
      <c r="I65" s="45">
        <v>190.57</v>
      </c>
      <c r="J65" s="45">
        <v>1</v>
      </c>
      <c r="K65" s="19">
        <f t="shared" si="10"/>
        <v>196.95114807728973</v>
      </c>
      <c r="L65" s="16">
        <f t="shared" si="11"/>
        <v>40.719050784298503</v>
      </c>
      <c r="M65" s="45"/>
    </row>
    <row r="66" spans="1:13" x14ac:dyDescent="0.25">
      <c r="A66" s="45">
        <v>2.89</v>
      </c>
      <c r="B66" s="45">
        <f t="shared" si="12"/>
        <v>2890</v>
      </c>
      <c r="C66" s="16">
        <f t="shared" si="13"/>
        <v>4.3787878787878789</v>
      </c>
      <c r="D66" s="15">
        <f t="shared" si="14"/>
        <v>8.9176082061999997E+19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2.2371856874945449E+40</v>
      </c>
      <c r="F66" s="15">
        <f t="shared" si="7"/>
        <v>1.5960874692022311E+40</v>
      </c>
      <c r="G66" s="15">
        <f t="shared" si="8"/>
        <v>1.2483391879231223E+40</v>
      </c>
      <c r="H66" s="15">
        <f t="shared" si="9"/>
        <v>5.081612344619898E+40</v>
      </c>
      <c r="I66" s="45">
        <v>190.16</v>
      </c>
      <c r="J66" s="45">
        <v>1</v>
      </c>
      <c r="K66" s="19">
        <f t="shared" si="10"/>
        <v>195.01691225541683</v>
      </c>
      <c r="L66" s="16">
        <f t="shared" si="11"/>
        <v>23.589596656818202</v>
      </c>
      <c r="M66" s="45"/>
    </row>
    <row r="67" spans="1:13" x14ac:dyDescent="0.25">
      <c r="A67" s="45">
        <v>3.27</v>
      </c>
      <c r="B67" s="45">
        <f t="shared" si="12"/>
        <v>3270</v>
      </c>
      <c r="C67" s="16">
        <f t="shared" si="13"/>
        <v>4.9545454545454541</v>
      </c>
      <c r="D67" s="15">
        <f t="shared" si="14"/>
        <v>1.0090165686599999E+20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2.3066855286381812E+40</v>
      </c>
      <c r="F67" s="15">
        <f t="shared" si="7"/>
        <v>1.8923980935967603E+40</v>
      </c>
      <c r="G67" s="15">
        <f t="shared" si="8"/>
        <v>1.4351381068788741E+40</v>
      </c>
      <c r="H67" s="15">
        <f t="shared" si="9"/>
        <v>5.6342217291138157E+40</v>
      </c>
      <c r="I67" s="45">
        <v>189.17</v>
      </c>
      <c r="J67" s="45">
        <v>1</v>
      </c>
      <c r="K67" s="19">
        <f t="shared" si="10"/>
        <v>193.04720685164068</v>
      </c>
      <c r="L67" s="16">
        <f t="shared" si="11"/>
        <v>15.032732970409537</v>
      </c>
      <c r="M67" s="45"/>
    </row>
    <row r="68" spans="1:13" x14ac:dyDescent="0.25">
      <c r="A68" s="45">
        <v>3.69</v>
      </c>
      <c r="B68" s="45">
        <f t="shared" si="12"/>
        <v>3690</v>
      </c>
      <c r="C68" s="16">
        <f t="shared" si="13"/>
        <v>5.5909090909090908</v>
      </c>
      <c r="D68" s="15">
        <f t="shared" si="14"/>
        <v>1.13861502702E+20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2.3654575748345447E+40</v>
      </c>
      <c r="F68" s="15">
        <f t="shared" si="7"/>
        <v>2.2162555495329779E+40</v>
      </c>
      <c r="G68" s="15">
        <f t="shared" si="8"/>
        <v>1.6356146855327419E+40</v>
      </c>
      <c r="H68" s="15">
        <f t="shared" si="9"/>
        <v>6.217327809900265E+40</v>
      </c>
      <c r="I68" s="45">
        <v>189.02</v>
      </c>
      <c r="J68" s="45">
        <v>1</v>
      </c>
      <c r="K68" s="19">
        <f t="shared" si="10"/>
        <v>190.90140800947077</v>
      </c>
      <c r="L68" s="16">
        <f t="shared" si="11"/>
        <v>3.5396960981007295</v>
      </c>
      <c r="M68" s="45"/>
    </row>
    <row r="69" spans="1:13" x14ac:dyDescent="0.25">
      <c r="A69" s="45">
        <v>4.1500000000000004</v>
      </c>
      <c r="B69" s="45">
        <f t="shared" si="12"/>
        <v>4150</v>
      </c>
      <c r="C69" s="16">
        <f t="shared" si="13"/>
        <v>6.2878787878787881</v>
      </c>
      <c r="D69" s="15">
        <f t="shared" si="14"/>
        <v>1.2805561957E+20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2.4219188654781815E+40</v>
      </c>
      <c r="F69" s="15">
        <f t="shared" si="7"/>
        <v>2.5613228430594454E+40</v>
      </c>
      <c r="G69" s="15">
        <f t="shared" si="8"/>
        <v>1.8475601147783772E+40</v>
      </c>
      <c r="H69" s="15">
        <f t="shared" si="9"/>
        <v>6.8308018233160039E+40</v>
      </c>
      <c r="I69" s="45">
        <v>191.42</v>
      </c>
      <c r="J69" s="45">
        <v>1</v>
      </c>
      <c r="K69" s="19">
        <f t="shared" si="10"/>
        <v>188.68276245921686</v>
      </c>
      <c r="L69" s="16">
        <f t="shared" si="11"/>
        <v>7.492469354672461</v>
      </c>
      <c r="M69" s="45"/>
    </row>
    <row r="70" spans="1:13" x14ac:dyDescent="0.25">
      <c r="A70" s="45">
        <v>4.6500000000000004</v>
      </c>
      <c r="B70" s="45">
        <f t="shared" si="12"/>
        <v>4650</v>
      </c>
      <c r="C70" s="16">
        <f t="shared" si="13"/>
        <v>7.0454545454545459</v>
      </c>
      <c r="D70" s="15">
        <f t="shared" si="14"/>
        <v>1.4348400747000001E+20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2.4717036696409082E+40</v>
      </c>
      <c r="F70" s="15">
        <f t="shared" si="7"/>
        <v>2.9201112509315995E+40</v>
      </c>
      <c r="G70" s="15">
        <f t="shared" si="8"/>
        <v>2.0688241780833937E+40</v>
      </c>
      <c r="H70" s="15">
        <f t="shared" si="9"/>
        <v>7.4606390986559024E+40</v>
      </c>
      <c r="I70" s="45">
        <v>195.55</v>
      </c>
      <c r="J70" s="45">
        <v>1</v>
      </c>
      <c r="K70" s="19">
        <f t="shared" si="10"/>
        <v>186.28675217944595</v>
      </c>
      <c r="L70" s="16">
        <f t="shared" si="11"/>
        <v>85.807760184999481</v>
      </c>
      <c r="M70" s="45"/>
    </row>
    <row r="71" spans="1:13" x14ac:dyDescent="0.25">
      <c r="A71" s="45">
        <v>5.21</v>
      </c>
      <c r="B71" s="45">
        <f t="shared" si="12"/>
        <v>5210</v>
      </c>
      <c r="C71" s="16">
        <f t="shared" si="13"/>
        <v>7.8939393939393936</v>
      </c>
      <c r="D71" s="15">
        <f t="shared" si="14"/>
        <v>1.6076380191800001E+20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2.5143486716845448E+40</v>
      </c>
      <c r="F71" s="15">
        <f t="shared" si="7"/>
        <v>3.2974845501323962E+40</v>
      </c>
      <c r="G71" s="15">
        <f t="shared" si="8"/>
        <v>2.305656594906004E+40</v>
      </c>
      <c r="H71" s="15">
        <f t="shared" si="9"/>
        <v>8.1174898167229445E+40</v>
      </c>
      <c r="I71" s="45">
        <v>199.35</v>
      </c>
      <c r="J71" s="45">
        <v>1</v>
      </c>
      <c r="K71" s="19">
        <f t="shared" si="10"/>
        <v>183.57453894493588</v>
      </c>
      <c r="L71" s="16">
        <f t="shared" si="11"/>
        <v>248.86517149984454</v>
      </c>
      <c r="M71" s="45"/>
    </row>
    <row r="72" spans="1:13" x14ac:dyDescent="0.25">
      <c r="A72" s="45">
        <v>5.82</v>
      </c>
      <c r="B72" s="45">
        <f t="shared" si="12"/>
        <v>5820</v>
      </c>
      <c r="C72" s="16">
        <f t="shared" si="13"/>
        <v>8.8181818181818183</v>
      </c>
      <c r="D72" s="15">
        <f t="shared" si="14"/>
        <v>1.7958643515600001E+20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2.5513236718472717E+40</v>
      </c>
      <c r="F72" s="15">
        <f t="shared" si="7"/>
        <v>3.6759229186613862E+40</v>
      </c>
      <c r="G72" s="15">
        <f t="shared" si="8"/>
        <v>2.5510771933989465E+40</v>
      </c>
      <c r="H72" s="15">
        <f t="shared" si="9"/>
        <v>8.7783237839076045E+40</v>
      </c>
      <c r="I72" s="45">
        <v>201.43</v>
      </c>
      <c r="J72" s="45">
        <v>1</v>
      </c>
      <c r="K72" s="19">
        <f t="shared" si="10"/>
        <v>180.61954211912078</v>
      </c>
      <c r="L72" s="16">
        <f t="shared" si="11"/>
        <v>433.07515721184831</v>
      </c>
      <c r="M72" s="45"/>
    </row>
    <row r="73" spans="1:13" x14ac:dyDescent="0.25">
      <c r="A73" s="45">
        <v>6.49</v>
      </c>
      <c r="B73" s="45">
        <f t="shared" si="12"/>
        <v>6490</v>
      </c>
      <c r="C73" s="16">
        <f t="shared" si="13"/>
        <v>9.8333333333333339</v>
      </c>
      <c r="D73" s="15">
        <f t="shared" si="14"/>
        <v>2.0026047494200001E+20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2.5836551180599997E+40</v>
      </c>
      <c r="F73" s="15">
        <f t="shared" si="7"/>
        <v>4.0507764686456255E+40</v>
      </c>
      <c r="G73" s="15">
        <f t="shared" si="8"/>
        <v>2.806564079553308E+40</v>
      </c>
      <c r="H73" s="15">
        <f t="shared" si="9"/>
        <v>9.4409956662589332E+40</v>
      </c>
      <c r="I73" s="45">
        <v>199.83</v>
      </c>
      <c r="J73" s="45">
        <v>1</v>
      </c>
      <c r="K73" s="19">
        <f t="shared" si="10"/>
        <v>177.38095235204199</v>
      </c>
      <c r="L73" s="16">
        <f t="shared" si="11"/>
        <v>503.95974030028975</v>
      </c>
      <c r="M73" s="45"/>
    </row>
    <row r="74" spans="1:13" x14ac:dyDescent="0.25">
      <c r="A74" s="45">
        <v>7.23</v>
      </c>
      <c r="B74" s="45">
        <f t="shared" si="12"/>
        <v>7230</v>
      </c>
      <c r="C74" s="16">
        <f t="shared" si="13"/>
        <v>10.954545454545455</v>
      </c>
      <c r="D74" s="15">
        <f t="shared" si="14"/>
        <v>2.2309448903400001E+20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2.6117726378399994E+40</v>
      </c>
      <c r="F74" s="15">
        <f t="shared" si="7"/>
        <v>4.415673714243927E+40</v>
      </c>
      <c r="G74" s="15">
        <f t="shared" si="8"/>
        <v>3.0730178223931599E+40</v>
      </c>
      <c r="H74" s="15">
        <f t="shared" si="9"/>
        <v>1.0100464174477086E+41</v>
      </c>
      <c r="I74" s="45">
        <v>193.41</v>
      </c>
      <c r="J74" s="45">
        <v>1</v>
      </c>
      <c r="K74" s="19">
        <f t="shared" si="10"/>
        <v>173.828886889849</v>
      </c>
      <c r="L74" s="16">
        <f t="shared" si="11"/>
        <v>383.41999063252717</v>
      </c>
      <c r="M74" s="45"/>
    </row>
    <row r="75" spans="1:13" x14ac:dyDescent="0.25">
      <c r="A75" s="45">
        <v>8.0500000000000007</v>
      </c>
      <c r="B75" s="45">
        <f t="shared" si="12"/>
        <v>8050.0000000000009</v>
      </c>
      <c r="C75" s="16">
        <f t="shared" si="13"/>
        <v>12.196969696969699</v>
      </c>
      <c r="D75" s="15">
        <f t="shared" si="14"/>
        <v>2.4839704519000002E+20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2.635523178983636E+40</v>
      </c>
      <c r="F75" s="15">
        <f t="shared" si="7"/>
        <v>4.763015798925663E+40</v>
      </c>
      <c r="G75" s="15">
        <f t="shared" si="8"/>
        <v>3.3508011077801169E+40</v>
      </c>
      <c r="H75" s="15">
        <f t="shared" si="9"/>
        <v>1.0749340085689415E+41</v>
      </c>
      <c r="I75" s="45">
        <v>183.44</v>
      </c>
      <c r="J75" s="45">
        <v>1</v>
      </c>
      <c r="K75" s="19">
        <f t="shared" si="10"/>
        <v>169.94695711083884</v>
      </c>
      <c r="L75" s="16">
        <f t="shared" si="11"/>
        <v>182.06220640874253</v>
      </c>
      <c r="M75" s="45"/>
    </row>
    <row r="76" spans="1:13" x14ac:dyDescent="0.25">
      <c r="A76" s="45">
        <v>8.94</v>
      </c>
      <c r="B76" s="45">
        <f t="shared" si="12"/>
        <v>8940</v>
      </c>
      <c r="C76" s="16">
        <f t="shared" si="13"/>
        <v>13.545454545454545</v>
      </c>
      <c r="D76" s="15">
        <f t="shared" si="14"/>
        <v>2.7585957565199997E+20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2.6554798554490899E+40</v>
      </c>
      <c r="F76" s="15">
        <f t="shared" si="7"/>
        <v>5.0783761188932323E+40</v>
      </c>
      <c r="G76" s="15">
        <f t="shared" si="8"/>
        <v>3.6336499791634282E+40</v>
      </c>
      <c r="H76" s="15">
        <f t="shared" si="9"/>
        <v>1.136750595350575E+41</v>
      </c>
      <c r="I76" s="45">
        <v>175.99</v>
      </c>
      <c r="J76" s="45">
        <v>1</v>
      </c>
      <c r="K76" s="19">
        <f t="shared" si="10"/>
        <v>165.83808239165751</v>
      </c>
      <c r="L76" s="16">
        <f t="shared" si="11"/>
        <v>103.06143112657452</v>
      </c>
      <c r="M76" s="45"/>
    </row>
    <row r="77" spans="1:13" x14ac:dyDescent="0.25">
      <c r="A77" s="45">
        <v>9.93</v>
      </c>
      <c r="B77" s="45">
        <f t="shared" si="12"/>
        <v>9930</v>
      </c>
      <c r="C77" s="16">
        <f t="shared" si="13"/>
        <v>15.045454545454545</v>
      </c>
      <c r="D77" s="15">
        <f t="shared" si="14"/>
        <v>3.06407783694E+20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2.6726902430258174E+40</v>
      </c>
      <c r="F77" s="15">
        <f t="shared" si="7"/>
        <v>5.3633474418225107E+40</v>
      </c>
      <c r="G77" s="15">
        <f t="shared" si="8"/>
        <v>3.9280170857282325E+40</v>
      </c>
      <c r="H77" s="15">
        <f t="shared" si="9"/>
        <v>1.1964054770576561E+41</v>
      </c>
      <c r="I77" s="45">
        <v>172.74</v>
      </c>
      <c r="J77" s="45">
        <v>1</v>
      </c>
      <c r="K77" s="19">
        <f t="shared" si="10"/>
        <v>161.43028130527088</v>
      </c>
      <c r="L77" s="16">
        <f t="shared" si="11"/>
        <v>127.90973695390552</v>
      </c>
      <c r="M77" s="45"/>
    </row>
    <row r="78" spans="1:13" x14ac:dyDescent="0.25">
      <c r="A78" s="45">
        <v>11.01</v>
      </c>
      <c r="B78" s="45">
        <f t="shared" si="12"/>
        <v>11010</v>
      </c>
      <c r="C78" s="16">
        <f t="shared" si="13"/>
        <v>16.681818181818183</v>
      </c>
      <c r="D78" s="15">
        <f t="shared" si="14"/>
        <v>3.3973310155799999E+20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2.6838118146752721E+40</v>
      </c>
      <c r="F78" s="15">
        <f t="shared" si="7"/>
        <v>5.6078291182326252E+40</v>
      </c>
      <c r="G78" s="15">
        <f t="shared" si="8"/>
        <v>4.2276803875491054E+40</v>
      </c>
      <c r="H78" s="15">
        <f t="shared" si="9"/>
        <v>1.2519321320457001E+41</v>
      </c>
      <c r="I78" s="45">
        <v>169.7</v>
      </c>
      <c r="J78" s="45">
        <v>1</v>
      </c>
      <c r="K78" s="19">
        <f t="shared" si="10"/>
        <v>156.82567487632133</v>
      </c>
      <c r="L78" s="16">
        <f t="shared" si="11"/>
        <v>165.74824739018351</v>
      </c>
      <c r="M78" s="45"/>
    </row>
    <row r="79" spans="1:13" x14ac:dyDescent="0.25">
      <c r="A79" s="45">
        <v>12.2</v>
      </c>
      <c r="B79" s="45">
        <f t="shared" si="12"/>
        <v>12200</v>
      </c>
      <c r="C79" s="16">
        <f t="shared" si="13"/>
        <v>18.484848484848484</v>
      </c>
      <c r="D79" s="15">
        <f t="shared" si="14"/>
        <v>3.7645266475999999E+20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2.6960661389927268E+40</v>
      </c>
      <c r="F79" s="15">
        <f t="shared" si="7"/>
        <v>5.8125363434863961E+40</v>
      </c>
      <c r="G79" s="15">
        <f t="shared" si="8"/>
        <v>4.5351518115403957E+40</v>
      </c>
      <c r="H79" s="15">
        <f t="shared" si="9"/>
        <v>1.3043754294019518E+41</v>
      </c>
      <c r="I79" s="45">
        <v>163.72</v>
      </c>
      <c r="J79" s="45">
        <v>1</v>
      </c>
      <c r="K79" s="19">
        <f t="shared" si="10"/>
        <v>152.06939596813615</v>
      </c>
      <c r="L79" s="16">
        <f t="shared" si="11"/>
        <v>135.73657430728218</v>
      </c>
      <c r="M79" s="45"/>
    </row>
    <row r="80" spans="1:13" x14ac:dyDescent="0.25">
      <c r="A80" s="45">
        <v>13.51</v>
      </c>
      <c r="B80" s="45">
        <f t="shared" si="12"/>
        <v>13510</v>
      </c>
      <c r="C80" s="16">
        <f t="shared" si="13"/>
        <v>20.469696969696969</v>
      </c>
      <c r="D80" s="15">
        <f t="shared" si="14"/>
        <v>4.1687504105800001E+20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2.7078079047890901E+40</v>
      </c>
      <c r="F80" s="15">
        <f t="shared" si="7"/>
        <v>5.977273749362575E+40</v>
      </c>
      <c r="G80" s="15">
        <f t="shared" si="8"/>
        <v>4.8496515246324817E+40</v>
      </c>
      <c r="H80" s="15">
        <f t="shared" si="9"/>
        <v>1.3534733178784146E+41</v>
      </c>
      <c r="I80" s="45">
        <v>149.72999999999999</v>
      </c>
      <c r="J80" s="45">
        <v>1</v>
      </c>
      <c r="K80" s="19">
        <f t="shared" si="10"/>
        <v>147.20332040863997</v>
      </c>
      <c r="L80" s="16">
        <f t="shared" si="11"/>
        <v>6.3841097573952474</v>
      </c>
      <c r="M80" s="45"/>
    </row>
    <row r="81" spans="1:29" x14ac:dyDescent="0.25">
      <c r="A81" s="45">
        <v>14.95</v>
      </c>
      <c r="B81" s="45">
        <f t="shared" si="12"/>
        <v>14950</v>
      </c>
      <c r="C81" s="16">
        <f t="shared" si="13"/>
        <v>22.651515151515152</v>
      </c>
      <c r="D81" s="15">
        <f t="shared" si="14"/>
        <v>4.6130879820999996E+20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2.7145155839745448E+40</v>
      </c>
      <c r="F81" s="15">
        <f t="shared" si="7"/>
        <v>6.1041950398840992E+40</v>
      </c>
      <c r="G81" s="15">
        <f t="shared" si="8"/>
        <v>5.1702515130099928E+40</v>
      </c>
      <c r="H81" s="15">
        <f t="shared" si="9"/>
        <v>1.3988962136868637E+41</v>
      </c>
      <c r="I81" s="45">
        <v>134.77000000000001</v>
      </c>
      <c r="J81" s="45">
        <v>1</v>
      </c>
      <c r="K81" s="19">
        <f t="shared" si="10"/>
        <v>142.26320303855977</v>
      </c>
      <c r="L81" s="16">
        <f t="shared" si="11"/>
        <v>56.148091777081156</v>
      </c>
      <c r="M81" s="45"/>
    </row>
    <row r="82" spans="1:29" x14ac:dyDescent="0.25">
      <c r="A82" s="45"/>
      <c r="H82" s="15"/>
      <c r="K82" s="45"/>
      <c r="L82" s="16">
        <f>SUM(L52:L81)/(COUNT(L52:L81)-6)</f>
        <v>227.56290428635381</v>
      </c>
      <c r="M82" s="45"/>
    </row>
    <row r="83" spans="1:29" x14ac:dyDescent="0.25">
      <c r="A83" s="45"/>
      <c r="H83" s="15"/>
      <c r="K83" s="45"/>
      <c r="L83" s="17"/>
      <c r="M83" s="45"/>
    </row>
    <row r="84" spans="1:29" x14ac:dyDescent="0.25">
      <c r="A84" s="45"/>
      <c r="I84" s="45"/>
      <c r="J84" s="45"/>
      <c r="L84" s="16"/>
    </row>
    <row r="85" spans="1:29" x14ac:dyDescent="0.25">
      <c r="A85" s="45"/>
      <c r="I85" s="45"/>
      <c r="J85" s="45"/>
      <c r="L85" s="16"/>
    </row>
    <row r="86" spans="1:29" x14ac:dyDescent="0.25">
      <c r="A86" s="45"/>
      <c r="I86" s="45"/>
      <c r="J86" s="45"/>
      <c r="L86" s="16"/>
    </row>
    <row r="87" spans="1:29" x14ac:dyDescent="0.25">
      <c r="A87" s="45"/>
      <c r="I87" s="45"/>
      <c r="J87" s="45"/>
      <c r="L87" s="16"/>
    </row>
    <row r="88" spans="1:29" x14ac:dyDescent="0.25">
      <c r="A88" s="45"/>
      <c r="I88" s="45"/>
      <c r="J88" s="45"/>
      <c r="L88" s="16"/>
    </row>
    <row r="89" spans="1:29" x14ac:dyDescent="0.25">
      <c r="A89" s="45"/>
      <c r="I89" s="45"/>
      <c r="J89" s="45"/>
      <c r="L89" s="16"/>
    </row>
    <row r="90" spans="1:29" x14ac:dyDescent="0.25">
      <c r="A90" s="45"/>
      <c r="I90" s="45"/>
      <c r="J90" s="45"/>
      <c r="L90" s="16"/>
    </row>
    <row r="91" spans="1:29" s="17" customFormat="1" x14ac:dyDescent="0.25">
      <c r="A91" s="45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spans="1:29" s="17" customFormat="1" x14ac:dyDescent="0.25">
      <c r="A92" s="45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spans="1:29" s="17" customFormat="1" x14ac:dyDescent="0.25">
      <c r="A93" s="45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spans="1:29" s="17" customFormat="1" x14ac:dyDescent="0.25">
      <c r="A94" s="45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spans="1:29" s="17" customFormat="1" x14ac:dyDescent="0.25">
      <c r="A95" s="45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spans="1:29" s="17" customFormat="1" x14ac:dyDescent="0.25">
      <c r="A96" s="45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spans="1:29" s="17" customFormat="1" x14ac:dyDescent="0.25">
      <c r="A97" s="45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spans="1:29" s="17" customFormat="1" x14ac:dyDescent="0.25">
      <c r="A98" s="45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spans="1:29" s="17" customFormat="1" x14ac:dyDescent="0.25">
      <c r="A99" s="45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45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x14ac:dyDescent="0.25">
      <c r="A539" s="45"/>
      <c r="L539" s="16"/>
    </row>
    <row r="540" spans="1:29" x14ac:dyDescent="0.25">
      <c r="L540" s="16"/>
      <c r="N540" s="17"/>
      <c r="O540" s="38"/>
    </row>
    <row r="541" spans="1:29" x14ac:dyDescent="0.25">
      <c r="L541" s="16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C545"/>
  <sheetViews>
    <sheetView zoomScaleNormal="100" workbookViewId="0">
      <selection activeCell="N5" sqref="N5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578.60701632860298</v>
      </c>
      <c r="E2" s="55"/>
      <c r="F2" s="53" t="s">
        <v>620</v>
      </c>
      <c r="G2" s="53">
        <v>4625032662.6600399</v>
      </c>
      <c r="H2" s="62"/>
      <c r="K2" s="51" t="s">
        <v>1</v>
      </c>
      <c r="L2" s="60" t="s">
        <v>574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1.3946772620433799E+39</v>
      </c>
      <c r="E3" s="53"/>
      <c r="F3" s="53" t="s">
        <v>621</v>
      </c>
      <c r="G3" s="53">
        <f>H39/SolarMass</f>
        <v>9736933850.1922207</v>
      </c>
      <c r="H3" s="62"/>
      <c r="K3" s="51" t="s">
        <v>562</v>
      </c>
      <c r="L3" s="57">
        <v>4.4499999999999997E-4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1846.0293276743801</v>
      </c>
      <c r="E4" s="55"/>
      <c r="F4" s="53" t="s">
        <v>622</v>
      </c>
      <c r="G4" s="52">
        <f>G3/G2</f>
        <v>2.1052681268184004</v>
      </c>
      <c r="H4" s="62"/>
      <c r="K4" s="61" t="s">
        <v>614</v>
      </c>
      <c r="L4" s="52">
        <f>QEHModelChiSquare</f>
        <v>74.55685191049065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422.37127621958899</v>
      </c>
      <c r="F5" s="53"/>
      <c r="G5" s="52"/>
      <c r="H5" s="62"/>
      <c r="K5" s="61" t="s">
        <v>615</v>
      </c>
      <c r="L5" s="52">
        <f>LCDMModelChiSquare</f>
        <v>42.306472247415009</v>
      </c>
      <c r="M5" s="55"/>
    </row>
    <row r="6" spans="1:13" ht="20.100000000000001" customHeight="1" x14ac:dyDescent="0.25">
      <c r="A6" s="45"/>
      <c r="C6" s="45"/>
      <c r="D6" s="45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39" si="0">RadiusKpc*1000</f>
        <v>90</v>
      </c>
      <c r="C8" s="16">
        <f t="shared" ref="C8:C39" si="1">IF(QESBulgeEffectiveRadius=0,0,RadiusPc/QESBulgeEffectiveRadius)</f>
        <v>0.15554598796791486</v>
      </c>
      <c r="D8" s="15">
        <f t="shared" ref="D8:D39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1.0461165598882559E+38</v>
      </c>
      <c r="F8" s="15">
        <f t="shared" ref="F8:F39" si="3">2*PI()*QESDiskSurfaceDensity*QESDiskScaleLength*(QESDiskScaleLength-EXP(-RadiusPc/QESDiskScaleLength)*(RadiusPc+QESDiskScaleLength))*SolarMass</f>
        <v>2.0696604382905106E+37</v>
      </c>
      <c r="H8" s="18">
        <f t="shared" ref="H8:H39" si="4">BulgeMass+DiskMass+HaloMass</f>
        <v>1.253082603717307E+38</v>
      </c>
      <c r="I8" s="45">
        <v>51.23</v>
      </c>
      <c r="J8" s="45">
        <v>1</v>
      </c>
      <c r="K8" s="19">
        <f t="shared" ref="K8:K39" si="5">SQRT(TotalMass*GravitationalConstant/RadiusKm+UniverseAcceleration*RadiusKm)/km</f>
        <v>55.791909450577357</v>
      </c>
      <c r="L8" s="16">
        <f t="shared" ref="L8:L39" si="6">(ObservedVelocity-ModelVelocity)^2/(VelocityError)^2</f>
        <v>20.811017835267034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0.3283748634878203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2.3175246973935645E+38</v>
      </c>
      <c r="F9" s="15">
        <f t="shared" si="3"/>
        <v>8.8989139274716613E+37</v>
      </c>
      <c r="H9" s="18">
        <f t="shared" si="4"/>
        <v>3.2074160901407306E+38</v>
      </c>
      <c r="I9" s="45">
        <v>65</v>
      </c>
      <c r="J9" s="45">
        <v>1</v>
      </c>
      <c r="K9" s="19">
        <f t="shared" si="5"/>
        <v>62.169540148429547</v>
      </c>
      <c r="L9" s="16">
        <f t="shared" si="6"/>
        <v>8.011502971352229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0.51848662655971622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3.5189844134604455E+38</v>
      </c>
      <c r="F10" s="15">
        <f t="shared" si="3"/>
        <v>2.1331063624647677E+38</v>
      </c>
      <c r="H10" s="18">
        <f t="shared" si="4"/>
        <v>5.6520907759252128E+38</v>
      </c>
      <c r="I10" s="45">
        <v>70.81</v>
      </c>
      <c r="J10" s="45">
        <v>1</v>
      </c>
      <c r="K10" s="19">
        <f t="shared" si="5"/>
        <v>66.427245853424338</v>
      </c>
      <c r="L10" s="16">
        <f t="shared" si="6"/>
        <v>19.208533909326174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0.72588127718360274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4.6109751722384988E+38</v>
      </c>
      <c r="F11" s="15">
        <f t="shared" si="3"/>
        <v>4.0064311706359136E+38</v>
      </c>
      <c r="H11" s="18">
        <f t="shared" si="4"/>
        <v>8.6174063428744124E+38</v>
      </c>
      <c r="I11" s="45">
        <v>74.14</v>
      </c>
      <c r="J11" s="45">
        <v>1</v>
      </c>
      <c r="K11" s="19">
        <f t="shared" si="5"/>
        <v>70.074247121035569</v>
      </c>
      <c r="L11" s="16">
        <f t="shared" si="6"/>
        <v>16.530346472807565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0.96784170291147031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5.6643003972542337E+38</v>
      </c>
      <c r="F12" s="15">
        <f t="shared" si="3"/>
        <v>6.7790964918062003E+38</v>
      </c>
      <c r="H12" s="18">
        <f t="shared" si="4"/>
        <v>1.2443396889060434E+39</v>
      </c>
      <c r="I12" s="45">
        <v>76.66</v>
      </c>
      <c r="J12" s="45">
        <v>1</v>
      </c>
      <c r="K12" s="19">
        <f t="shared" si="5"/>
        <v>73.730702950099442</v>
      </c>
      <c r="L12" s="16">
        <f t="shared" si="6"/>
        <v>8.5807812065560931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1.2098021286393379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6.5385202011318235E+38</v>
      </c>
      <c r="F13" s="15">
        <f t="shared" si="3"/>
        <v>1.0084924306417593E+39</v>
      </c>
      <c r="H13" s="18">
        <f t="shared" si="4"/>
        <v>1.6623444507549417E+39</v>
      </c>
      <c r="I13" s="45">
        <v>78.739999999999995</v>
      </c>
      <c r="J13" s="45">
        <v>1</v>
      </c>
      <c r="K13" s="19">
        <f t="shared" si="5"/>
        <v>76.968297986231903</v>
      </c>
      <c r="L13" s="16">
        <f t="shared" si="6"/>
        <v>3.1389280255899119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1.4863283294711864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7.3670051193681203E+38</v>
      </c>
      <c r="F14" s="15">
        <f t="shared" si="3"/>
        <v>1.4397490165913188E+39</v>
      </c>
      <c r="H14" s="18">
        <f t="shared" si="4"/>
        <v>2.1764495285281308E+39</v>
      </c>
      <c r="I14" s="45">
        <v>80.73</v>
      </c>
      <c r="J14" s="45">
        <v>1</v>
      </c>
      <c r="K14" s="19">
        <f t="shared" si="5"/>
        <v>80.259096218702084</v>
      </c>
      <c r="L14" s="16">
        <f t="shared" si="6"/>
        <v>0.22175037124067967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1.7974203054070161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8.1378378453374058E+38</v>
      </c>
      <c r="F15" s="15">
        <f t="shared" si="3"/>
        <v>1.9786812847226311E+39</v>
      </c>
      <c r="H15" s="18">
        <f t="shared" si="4"/>
        <v>2.7924650692563718E+39</v>
      </c>
      <c r="I15" s="45">
        <v>82.63</v>
      </c>
      <c r="J15" s="45">
        <v>1</v>
      </c>
      <c r="K15" s="19">
        <f t="shared" si="5"/>
        <v>83.533336190624055</v>
      </c>
      <c r="L15" s="16">
        <f t="shared" si="6"/>
        <v>0.81601627329118809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2.1257951688948364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8.8084279558592103E+38</v>
      </c>
      <c r="F16" s="15">
        <f t="shared" si="3"/>
        <v>2.5936166444490511E+39</v>
      </c>
      <c r="H16" s="18">
        <f t="shared" si="4"/>
        <v>3.4744594400349724E+39</v>
      </c>
      <c r="I16" s="45">
        <v>85.41</v>
      </c>
      <c r="J16" s="45">
        <v>1</v>
      </c>
      <c r="K16" s="19">
        <f t="shared" si="5"/>
        <v>86.566589521307876</v>
      </c>
      <c r="L16" s="16">
        <f t="shared" si="6"/>
        <v>1.3376993207991885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2.5060186950386285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9.4492563897607736E+38</v>
      </c>
      <c r="F17" s="15">
        <f t="shared" si="3"/>
        <v>3.3458630375967651E+39</v>
      </c>
      <c r="H17" s="18">
        <f t="shared" si="4"/>
        <v>4.2907886765728427E+39</v>
      </c>
      <c r="I17" s="45">
        <v>88.08</v>
      </c>
      <c r="J17" s="45">
        <v>1</v>
      </c>
      <c r="K17" s="19">
        <f t="shared" si="5"/>
        <v>89.621555094756985</v>
      </c>
      <c r="L17" s="16">
        <f t="shared" si="6"/>
        <v>2.3763921101712229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2.9035251087344109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9.99900700168881E+38</v>
      </c>
      <c r="F18" s="15">
        <f t="shared" si="3"/>
        <v>4.1590885624205284E+39</v>
      </c>
      <c r="H18" s="18">
        <f t="shared" si="4"/>
        <v>5.1589892625894091E+39</v>
      </c>
      <c r="I18" s="45">
        <v>90.5</v>
      </c>
      <c r="J18" s="45">
        <v>1</v>
      </c>
      <c r="K18" s="19">
        <f t="shared" si="5"/>
        <v>92.370680113220672</v>
      </c>
      <c r="L18" s="16">
        <f t="shared" si="6"/>
        <v>3.4994440859993063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3.3528801850861649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1.0508502403554476E+39</v>
      </c>
      <c r="F19" s="15">
        <f t="shared" si="3"/>
        <v>5.0901767849275968E+39</v>
      </c>
      <c r="H19" s="18">
        <f t="shared" si="4"/>
        <v>6.1410270252830444E+39</v>
      </c>
      <c r="I19" s="45">
        <v>92.86</v>
      </c>
      <c r="J19" s="45">
        <v>1</v>
      </c>
      <c r="K19" s="19">
        <f t="shared" si="5"/>
        <v>95.024335813528353</v>
      </c>
      <c r="L19" s="16">
        <f t="shared" si="6"/>
        <v>4.6843495137214397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3.8540839240938904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1.0971845389472211E+39</v>
      </c>
      <c r="F20" s="15">
        <f t="shared" si="3"/>
        <v>6.1209801131867276E+39</v>
      </c>
      <c r="G20" s="15"/>
      <c r="H20" s="18">
        <f t="shared" si="4"/>
        <v>7.2181646521339492E+39</v>
      </c>
      <c r="I20" s="45">
        <v>95.26</v>
      </c>
      <c r="J20" s="45">
        <v>1</v>
      </c>
      <c r="K20" s="19">
        <f t="shared" si="5"/>
        <v>97.520779541242163</v>
      </c>
      <c r="L20" s="16">
        <f t="shared" si="6"/>
        <v>5.1111241340991027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4.3898534382055976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1.1374440884552101E+39</v>
      </c>
      <c r="F21" s="15">
        <f t="shared" si="3"/>
        <v>7.1925210964100181E+39</v>
      </c>
      <c r="G21" s="15"/>
      <c r="H21" s="18">
        <f t="shared" si="4"/>
        <v>8.3299651848652283E+39</v>
      </c>
      <c r="I21" s="45">
        <v>98.57</v>
      </c>
      <c r="J21" s="45">
        <v>1</v>
      </c>
      <c r="K21" s="19">
        <f t="shared" si="5"/>
        <v>99.756765588908422</v>
      </c>
      <c r="L21" s="16">
        <f t="shared" si="6"/>
        <v>1.4084125630171702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4.9947545025252662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1.174223073147784E+39</v>
      </c>
      <c r="F22" s="15">
        <f t="shared" si="3"/>
        <v>8.344399619093067E+39</v>
      </c>
      <c r="G22" s="15"/>
      <c r="H22" s="18">
        <f t="shared" si="4"/>
        <v>9.5186226922408515E+39</v>
      </c>
      <c r="I22" s="45">
        <v>102.9</v>
      </c>
      <c r="J22" s="45">
        <v>1</v>
      </c>
      <c r="K22" s="19">
        <f t="shared" si="5"/>
        <v>101.86166211400921</v>
      </c>
      <c r="L22" s="16">
        <f t="shared" si="6"/>
        <v>1.0781455654838419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5.6515042295009073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1.2046621227768441E+39</v>
      </c>
      <c r="F23" s="15">
        <f t="shared" si="3"/>
        <v>9.5088349523220294E+39</v>
      </c>
      <c r="G23" s="15"/>
      <c r="H23" s="18">
        <f t="shared" si="4"/>
        <v>1.0713497075098873E+40</v>
      </c>
      <c r="I23" s="45">
        <v>107.83</v>
      </c>
      <c r="J23" s="45">
        <v>1</v>
      </c>
      <c r="K23" s="19">
        <f t="shared" si="5"/>
        <v>103.75873424865976</v>
      </c>
      <c r="L23" s="16">
        <f t="shared" si="6"/>
        <v>16.575204818035967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6.3773855066845098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1.2335787439521131E+39</v>
      </c>
      <c r="F24" s="15">
        <f t="shared" si="3"/>
        <v>1.0679954731252691E+40</v>
      </c>
      <c r="G24" s="15"/>
      <c r="H24" s="18">
        <f t="shared" si="4"/>
        <v>1.1913533475204804E+40</v>
      </c>
      <c r="I24" s="45">
        <v>113.39</v>
      </c>
      <c r="J24" s="45">
        <v>1</v>
      </c>
      <c r="K24" s="19">
        <f t="shared" si="5"/>
        <v>105.52393884762806</v>
      </c>
      <c r="L24" s="16">
        <f t="shared" si="6"/>
        <v>61.874918052854987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7.1723983340760746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1.2590820155486971E+39</v>
      </c>
      <c r="F25" s="15">
        <f t="shared" si="3"/>
        <v>1.1818696284982417E+40</v>
      </c>
      <c r="G25" s="15"/>
      <c r="H25" s="18">
        <f t="shared" si="4"/>
        <v>1.3077778300531114E+40</v>
      </c>
      <c r="I25" s="45">
        <v>119.24</v>
      </c>
      <c r="J25" s="45">
        <v>1</v>
      </c>
      <c r="K25" s="19">
        <f t="shared" si="5"/>
        <v>107.17113528644319</v>
      </c>
      <c r="L25" s="16">
        <f t="shared" si="6"/>
        <v>145.6574954741366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8.036542711675601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1.280934200070439E+39</v>
      </c>
      <c r="F26" s="15">
        <f t="shared" si="3"/>
        <v>1.2890284481030061E+40</v>
      </c>
      <c r="G26" s="15"/>
      <c r="H26" s="18">
        <f t="shared" si="4"/>
        <v>1.4171218681100499E+40</v>
      </c>
      <c r="I26" s="45">
        <v>123.65</v>
      </c>
      <c r="J26" s="45">
        <v>1</v>
      </c>
      <c r="K26" s="19">
        <f t="shared" si="5"/>
        <v>108.73810600800033</v>
      </c>
      <c r="L26" s="16">
        <f t="shared" si="6"/>
        <v>222.36458242863603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9.0043844145870722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1.2999347319369225E+39</v>
      </c>
      <c r="F27" s="15">
        <f t="shared" si="3"/>
        <v>1.3899903088346554E+40</v>
      </c>
      <c r="G27" s="15"/>
      <c r="H27" s="18">
        <f t="shared" si="4"/>
        <v>1.5199837820283478E+40</v>
      </c>
      <c r="I27" s="45">
        <v>125.73</v>
      </c>
      <c r="J27" s="45">
        <v>1</v>
      </c>
      <c r="K27" s="19">
        <f t="shared" si="5"/>
        <v>110.32961418498942</v>
      </c>
      <c r="L27" s="16">
        <f t="shared" si="6"/>
        <v>237.17188325117908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10.058640555258494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1.3160119371995339E+39</v>
      </c>
      <c r="F28" s="15">
        <f t="shared" si="3"/>
        <v>1.4796518328500018E+40</v>
      </c>
      <c r="G28" s="15"/>
      <c r="H28" s="18">
        <f t="shared" si="4"/>
        <v>1.6112530265699551E+40</v>
      </c>
      <c r="I28" s="45">
        <v>126.79</v>
      </c>
      <c r="J28" s="45">
        <v>1</v>
      </c>
      <c r="K28" s="19">
        <f t="shared" si="5"/>
        <v>111.96796691076258</v>
      </c>
      <c r="L28" s="16">
        <f t="shared" si="6"/>
        <v>219.69266489844904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11.21659402124186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1.3297131721527137E+39</v>
      </c>
      <c r="F29" s="15">
        <f t="shared" si="3"/>
        <v>1.5574139990473168E+40</v>
      </c>
      <c r="G29" s="15"/>
      <c r="H29" s="18">
        <f t="shared" si="4"/>
        <v>1.6903853162625883E+40</v>
      </c>
      <c r="I29" s="45">
        <v>127.58</v>
      </c>
      <c r="J29" s="45">
        <v>1</v>
      </c>
      <c r="K29" s="19">
        <f t="shared" si="5"/>
        <v>113.737756333391</v>
      </c>
      <c r="L29" s="16">
        <f t="shared" si="6"/>
        <v>191.6077097257768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12.495527700089161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1.3414899345799375E+39</v>
      </c>
      <c r="F30" s="15">
        <f t="shared" si="3"/>
        <v>1.622810154282674E+40</v>
      </c>
      <c r="G30" s="15"/>
      <c r="H30" s="18">
        <f t="shared" si="4"/>
        <v>1.7569591477406678E+40</v>
      </c>
      <c r="I30" s="45">
        <v>128.19999999999999</v>
      </c>
      <c r="J30" s="45">
        <v>1</v>
      </c>
      <c r="K30" s="19">
        <f t="shared" si="5"/>
        <v>115.72167909684053</v>
      </c>
      <c r="L30" s="16">
        <f t="shared" si="6"/>
        <v>155.70849256222624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13.912724479352386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1.3516681352597969E+39</v>
      </c>
      <c r="F31" s="15">
        <f t="shared" si="3"/>
        <v>1.6757646593611028E+40</v>
      </c>
      <c r="G31" s="15"/>
      <c r="H31" s="18">
        <f t="shared" si="4"/>
        <v>1.8109314728870826E+40</v>
      </c>
      <c r="I31" s="45">
        <v>128.6</v>
      </c>
      <c r="J31" s="45">
        <v>1</v>
      </c>
      <c r="K31" s="19">
        <f t="shared" si="5"/>
        <v>117.99917560684261</v>
      </c>
      <c r="L31" s="16">
        <f t="shared" si="6"/>
        <v>112.37747781456056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15.450901471479543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1.3593590576204764E+39</v>
      </c>
      <c r="F32" s="15">
        <f t="shared" si="3"/>
        <v>1.7160303019205237E+40</v>
      </c>
      <c r="G32" s="15"/>
      <c r="H32" s="18">
        <f t="shared" si="4"/>
        <v>1.8519662076825713E+40</v>
      </c>
      <c r="I32" s="45">
        <v>129.22</v>
      </c>
      <c r="J32" s="45">
        <v>1</v>
      </c>
      <c r="K32" s="19">
        <f t="shared" si="5"/>
        <v>120.58251175422494</v>
      </c>
      <c r="L32" s="16">
        <f t="shared" si="6"/>
        <v>74.606203195902324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17.161907339126607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1.3652675388440599E+39</v>
      </c>
      <c r="F33" s="15">
        <f t="shared" si="3"/>
        <v>1.745980683167205E+40</v>
      </c>
      <c r="G33" s="15"/>
      <c r="H33" s="18">
        <f t="shared" si="4"/>
        <v>1.882507437051611E+40</v>
      </c>
      <c r="I33" s="45">
        <v>130.77000000000001</v>
      </c>
      <c r="J33" s="45">
        <v>1</v>
      </c>
      <c r="K33" s="19">
        <f t="shared" si="5"/>
        <v>123.58776400086229</v>
      </c>
      <c r="L33" s="16">
        <f t="shared" si="6"/>
        <v>51.584513947309759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19.028459194741586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1.3717131547243329E+39</v>
      </c>
      <c r="F34" s="15">
        <f t="shared" si="3"/>
        <v>1.7667174700335427E+40</v>
      </c>
      <c r="G34" s="15"/>
      <c r="H34" s="18">
        <f t="shared" si="4"/>
        <v>1.9038887855059761E+40</v>
      </c>
      <c r="I34" s="45">
        <v>132.87</v>
      </c>
      <c r="J34" s="45">
        <v>1</v>
      </c>
      <c r="K34" s="19">
        <f t="shared" si="5"/>
        <v>126.99986072496525</v>
      </c>
      <c r="L34" s="16">
        <f t="shared" si="6"/>
        <v>34.458535108305611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21.085122813428459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1.3767631033871928E+39</v>
      </c>
      <c r="F35" s="15">
        <f t="shared" si="3"/>
        <v>1.7804470375722446E+40</v>
      </c>
      <c r="G35" s="15"/>
      <c r="H35" s="18">
        <f t="shared" si="4"/>
        <v>1.918123347910964E+40</v>
      </c>
      <c r="I35" s="45">
        <v>135.13</v>
      </c>
      <c r="J35" s="45">
        <v>1</v>
      </c>
      <c r="K35" s="19">
        <f t="shared" si="5"/>
        <v>130.87551098475546</v>
      </c>
      <c r="L35" s="16">
        <f t="shared" si="6"/>
        <v>18.100676780836373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23.349181082739221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1.3802996496459196E+39</v>
      </c>
      <c r="F36" s="15">
        <f t="shared" si="3"/>
        <v>1.7889799012697118E+40</v>
      </c>
      <c r="G36" s="15"/>
      <c r="H36" s="18">
        <f t="shared" si="4"/>
        <v>1.9270098662343039E+40</v>
      </c>
      <c r="I36" s="45">
        <v>136.65</v>
      </c>
      <c r="J36" s="45">
        <v>1</v>
      </c>
      <c r="K36" s="19">
        <f t="shared" si="5"/>
        <v>135.22919052916887</v>
      </c>
      <c r="L36" s="16">
        <f t="shared" si="6"/>
        <v>2.0186995524034379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25.837916890225859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1.3836799682196093E+39</v>
      </c>
      <c r="F37" s="15">
        <f t="shared" si="3"/>
        <v>1.7939285293093108E+40</v>
      </c>
      <c r="G37" s="15"/>
      <c r="H37" s="18">
        <f t="shared" si="4"/>
        <v>1.9322965261312717E+40</v>
      </c>
      <c r="I37" s="45">
        <v>135.69</v>
      </c>
      <c r="J37" s="45">
        <v>1</v>
      </c>
      <c r="K37" s="19">
        <f t="shared" si="5"/>
        <v>140.0633814997918</v>
      </c>
      <c r="L37" s="16">
        <f t="shared" si="6"/>
        <v>19.126465742721216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s="17" customFormat="1" x14ac:dyDescent="0.25">
      <c r="A38" s="45">
        <v>16.54</v>
      </c>
      <c r="B38" s="45">
        <f t="shared" si="0"/>
        <v>16540</v>
      </c>
      <c r="C38" s="16">
        <f t="shared" si="1"/>
        <v>28.585896010992354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1.386309093401073E+39</v>
      </c>
      <c r="F38" s="15">
        <f t="shared" si="3"/>
        <v>1.7966024200210874E+40</v>
      </c>
      <c r="G38" s="15"/>
      <c r="H38" s="18">
        <f t="shared" si="4"/>
        <v>1.9352333293611947E+40</v>
      </c>
      <c r="I38" s="45">
        <v>133.84</v>
      </c>
      <c r="J38" s="45">
        <v>1</v>
      </c>
      <c r="K38" s="19">
        <f t="shared" si="5"/>
        <v>145.4027590881586</v>
      </c>
      <c r="L38" s="16">
        <f t="shared" si="6"/>
        <v>133.69739773079431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s="17" customFormat="1" x14ac:dyDescent="0.25">
      <c r="A39" s="45">
        <v>18.29</v>
      </c>
      <c r="B39" s="45">
        <f t="shared" si="0"/>
        <v>18290</v>
      </c>
      <c r="C39" s="16">
        <f t="shared" si="1"/>
        <v>31.610401332590698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1.3884616078984946E+39</v>
      </c>
      <c r="F39" s="15">
        <f t="shared" si="3"/>
        <v>1.7979273513518852E+40</v>
      </c>
      <c r="G39" s="15"/>
      <c r="H39" s="18">
        <f t="shared" si="4"/>
        <v>1.9367735121417346E+40</v>
      </c>
      <c r="I39" s="45">
        <v>134.08000000000001</v>
      </c>
      <c r="J39" s="45">
        <v>1</v>
      </c>
      <c r="K39" s="19">
        <f t="shared" si="5"/>
        <v>151.23093257088047</v>
      </c>
      <c r="L39" s="16">
        <f t="shared" si="6"/>
        <v>294.15448805088812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x14ac:dyDescent="0.25">
      <c r="A40" s="45"/>
      <c r="I40" s="45"/>
      <c r="J40" s="45"/>
      <c r="L40" s="16">
        <f>SUM(L8:L39)/(COUNT(L8:L39)-4)</f>
        <v>74.55685191049065</v>
      </c>
    </row>
    <row r="41" spans="1:29" x14ac:dyDescent="0.25">
      <c r="A41" s="45"/>
      <c r="I41" s="45"/>
      <c r="J41" s="45"/>
      <c r="L41" s="16"/>
    </row>
    <row r="42" spans="1:29" ht="21" x14ac:dyDescent="0.35">
      <c r="A42" s="46" t="s">
        <v>564</v>
      </c>
      <c r="I42" s="45"/>
      <c r="J42" s="45"/>
      <c r="L42" s="16"/>
    </row>
    <row r="43" spans="1:29" x14ac:dyDescent="0.25">
      <c r="A43" s="45" t="s">
        <v>30</v>
      </c>
      <c r="D43" s="16">
        <v>0.14000000000000001</v>
      </c>
      <c r="E43" s="17">
        <f>$D$43*1000</f>
        <v>140</v>
      </c>
      <c r="F43" s="17"/>
      <c r="G43" s="17"/>
      <c r="H43" s="15"/>
      <c r="K43" s="15"/>
      <c r="L43" s="17"/>
      <c r="M43" s="45"/>
    </row>
    <row r="44" spans="1:29" x14ac:dyDescent="0.25">
      <c r="A44" s="45" t="s">
        <v>16</v>
      </c>
      <c r="D44" s="16">
        <v>0.02</v>
      </c>
      <c r="E44" s="15">
        <f>D44*10000000000*SolarMass</f>
        <v>3.9781999999999996E+38</v>
      </c>
      <c r="F44" s="43"/>
      <c r="G44" s="43"/>
      <c r="H44" s="15"/>
      <c r="K44" s="15"/>
      <c r="L44" s="17"/>
      <c r="M44" s="45"/>
    </row>
    <row r="45" spans="1:29" x14ac:dyDescent="0.25">
      <c r="A45" s="45" t="s">
        <v>569</v>
      </c>
      <c r="D45" s="16">
        <v>0.2</v>
      </c>
      <c r="E45" s="15">
        <f>D45*1000</f>
        <v>200</v>
      </c>
      <c r="H45" s="15"/>
      <c r="K45" s="15"/>
      <c r="L45" s="17"/>
      <c r="M45" s="45"/>
    </row>
    <row r="46" spans="1:29" x14ac:dyDescent="0.25">
      <c r="A46" s="45" t="s">
        <v>17</v>
      </c>
      <c r="D46" s="45">
        <v>0</v>
      </c>
      <c r="G46" s="16"/>
      <c r="H46" s="15"/>
      <c r="K46" s="15"/>
      <c r="L46" s="17"/>
      <c r="M46" s="45"/>
    </row>
    <row r="47" spans="1:29" x14ac:dyDescent="0.25">
      <c r="A47" s="45" t="s">
        <v>570</v>
      </c>
      <c r="D47" s="16">
        <v>7.6</v>
      </c>
      <c r="E47" s="17">
        <f>D47*1000</f>
        <v>7600</v>
      </c>
      <c r="H47" s="15"/>
      <c r="K47" s="15"/>
      <c r="L47" s="17"/>
      <c r="M47" s="45"/>
    </row>
    <row r="48" spans="1:29" x14ac:dyDescent="0.25">
      <c r="A48" s="45" t="s">
        <v>571</v>
      </c>
      <c r="D48" s="16">
        <v>2.9</v>
      </c>
      <c r="G48" s="9"/>
      <c r="H48" s="15"/>
      <c r="K48" s="15"/>
      <c r="L48" s="17"/>
      <c r="M48" s="45"/>
    </row>
    <row r="49" spans="1:29" x14ac:dyDescent="0.25">
      <c r="A49" s="45"/>
      <c r="D49" s="12"/>
      <c r="H49" s="15"/>
      <c r="K49" s="15"/>
      <c r="L49" s="17"/>
      <c r="M49" s="45"/>
    </row>
    <row r="50" spans="1:29" x14ac:dyDescent="0.25">
      <c r="A50" s="17" t="s">
        <v>567</v>
      </c>
      <c r="D50" s="17">
        <f>(D46*10000000000)/(2*PI()*DiskScaleLengthPc^2)</f>
        <v>0</v>
      </c>
      <c r="H50" s="15"/>
      <c r="K50" s="15"/>
      <c r="L50" s="17"/>
      <c r="M50" s="45"/>
    </row>
    <row r="51" spans="1:29" x14ac:dyDescent="0.25">
      <c r="A51" s="17" t="s">
        <v>565</v>
      </c>
      <c r="D51" s="9">
        <f>(D48*10000000000)/(4*PI()*(LCDMHaloScaleLengthPc)^3*(LN(2)-1/2))</f>
        <v>2.7218173872228059E-2</v>
      </c>
      <c r="H51" s="15"/>
      <c r="K51" s="15"/>
      <c r="L51" s="17"/>
      <c r="M51" s="45"/>
    </row>
    <row r="52" spans="1:29" x14ac:dyDescent="0.25">
      <c r="A52" s="19"/>
      <c r="H52" s="15"/>
      <c r="K52" s="15"/>
      <c r="L52" s="17"/>
      <c r="M52" s="45"/>
    </row>
    <row r="53" spans="1:29" ht="45" x14ac:dyDescent="0.25">
      <c r="A53" s="25" t="s">
        <v>20</v>
      </c>
      <c r="B53" s="3" t="s">
        <v>19</v>
      </c>
      <c r="C53" s="7" t="s">
        <v>27</v>
      </c>
      <c r="D53" s="4" t="s">
        <v>649</v>
      </c>
      <c r="E53" s="4" t="s">
        <v>21</v>
      </c>
      <c r="F53" s="4" t="s">
        <v>22</v>
      </c>
      <c r="G53" s="4" t="s">
        <v>28</v>
      </c>
      <c r="H53" s="4" t="s">
        <v>23</v>
      </c>
      <c r="I53" s="7" t="s">
        <v>645</v>
      </c>
      <c r="J53" s="7" t="s">
        <v>646</v>
      </c>
      <c r="K53" s="25" t="s">
        <v>647</v>
      </c>
      <c r="L53" s="3" t="s">
        <v>648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x14ac:dyDescent="0.25">
      <c r="A54" s="45">
        <v>0.09</v>
      </c>
      <c r="B54" s="45">
        <f>A54*1000</f>
        <v>90</v>
      </c>
      <c r="C54" s="16">
        <f>B54/LCDMBulgeEffectiveRadius</f>
        <v>0.6428571428571429</v>
      </c>
      <c r="D54" s="15">
        <f>A54*kpc</f>
        <v>2.777109822E+18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1.1968926182857144E+38</v>
      </c>
      <c r="F54" s="15">
        <f t="shared" ref="F54:F85" si="7">2*PI()*LCDMDiskSurfaceDensity*LCDMScaleLength*(LCDMScaleLength-EXP(-RadiusPc/LCDMScaleLength)*(RadiusPc+LCDMScaleLength))*SolarMass</f>
        <v>0</v>
      </c>
      <c r="G54" s="15">
        <f t="shared" ref="G54:G85" si="8">4*PI()*LCDMHaloRepresentativeDensity*LCDMHaloScaleLengthPc^3*(LN(1+RadiusPc/LCDMHaloScaleLengthPc)-RadiusPc/(RadiusPc+LCDMHaloScaleLengthPc))*SolarMass</f>
        <v>2.0614544332320656E+37</v>
      </c>
      <c r="H54" s="15">
        <f t="shared" ref="H54:H85" si="9">BulgeMass+DiskMass+HaloMass</f>
        <v>1.403038061608921E+38</v>
      </c>
      <c r="I54" s="45">
        <v>51.23</v>
      </c>
      <c r="J54" s="45">
        <v>1</v>
      </c>
      <c r="K54" s="19">
        <f t="shared" ref="K54:K85" si="10">SQRT(TotalMass*GravitationalConstant/RadiusKm)/km</f>
        <v>58.067603565386726</v>
      </c>
      <c r="L54" s="16">
        <f t="shared" ref="L54:L85" si="11">(ObservedVelocity-ModelVelocity)^2/(VelocityError)^2</f>
        <v>46.752822517389312</v>
      </c>
      <c r="M54" s="45"/>
    </row>
    <row r="55" spans="1:29" x14ac:dyDescent="0.25">
      <c r="A55" s="45">
        <v>0.19</v>
      </c>
      <c r="B55" s="45">
        <f t="shared" ref="B55:B85" si="12">A55*1000</f>
        <v>190</v>
      </c>
      <c r="C55" s="16">
        <f t="shared" ref="C55:C85" si="13">B55/LCDMBulgeEffectiveRadius</f>
        <v>1.3571428571428572</v>
      </c>
      <c r="D55" s="15">
        <f t="shared" ref="D55:D85" si="14">A55*kpc</f>
        <v>5.862787402E+18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1.9961016319999999E+38</v>
      </c>
      <c r="F55" s="15">
        <f t="shared" si="7"/>
        <v>0</v>
      </c>
      <c r="G55" s="15">
        <f t="shared" si="8"/>
        <v>9.0303182822851926E+37</v>
      </c>
      <c r="H55" s="15">
        <f t="shared" si="9"/>
        <v>2.8991334602285189E+38</v>
      </c>
      <c r="I55" s="45">
        <v>65</v>
      </c>
      <c r="J55" s="45">
        <v>1</v>
      </c>
      <c r="K55" s="19">
        <f t="shared" si="10"/>
        <v>57.448373229232118</v>
      </c>
      <c r="L55" s="16">
        <f t="shared" si="11"/>
        <v>57.027066884978154</v>
      </c>
      <c r="M55" s="45"/>
    </row>
    <row r="56" spans="1:29" x14ac:dyDescent="0.25">
      <c r="A56" s="45">
        <v>0.3</v>
      </c>
      <c r="B56" s="45">
        <f t="shared" si="12"/>
        <v>300</v>
      </c>
      <c r="C56" s="16">
        <f t="shared" si="13"/>
        <v>2.1428571428571428</v>
      </c>
      <c r="D56" s="15">
        <f t="shared" si="14"/>
        <v>9.25703274E+18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2.5214627239999991E+38</v>
      </c>
      <c r="F56" s="15">
        <f t="shared" si="7"/>
        <v>0</v>
      </c>
      <c r="G56" s="15">
        <f t="shared" si="8"/>
        <v>2.2095171648243475E+38</v>
      </c>
      <c r="H56" s="15">
        <f t="shared" si="9"/>
        <v>4.7309798888243463E+38</v>
      </c>
      <c r="I56" s="45">
        <v>70.81</v>
      </c>
      <c r="J56" s="45">
        <v>1</v>
      </c>
      <c r="K56" s="19">
        <f t="shared" si="10"/>
        <v>58.403026752700079</v>
      </c>
      <c r="L56" s="16">
        <f t="shared" si="11"/>
        <v>153.932985159216</v>
      </c>
      <c r="M56" s="45"/>
    </row>
    <row r="57" spans="1:29" x14ac:dyDescent="0.25">
      <c r="A57" s="45">
        <v>0.42</v>
      </c>
      <c r="B57" s="45">
        <f t="shared" si="12"/>
        <v>420</v>
      </c>
      <c r="C57" s="16">
        <f t="shared" si="13"/>
        <v>3</v>
      </c>
      <c r="D57" s="15">
        <f t="shared" si="14"/>
        <v>1.2959845836E+19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2.8859454079999998E+38</v>
      </c>
      <c r="F57" s="15">
        <f t="shared" si="7"/>
        <v>0</v>
      </c>
      <c r="G57" s="15">
        <f t="shared" si="8"/>
        <v>4.2441434101082607E+38</v>
      </c>
      <c r="H57" s="15">
        <f t="shared" si="9"/>
        <v>7.1300888181082601E+38</v>
      </c>
      <c r="I57" s="45">
        <v>74.14</v>
      </c>
      <c r="J57" s="45">
        <v>1</v>
      </c>
      <c r="K57" s="19">
        <f t="shared" si="10"/>
        <v>60.595902237071357</v>
      </c>
      <c r="L57" s="16">
        <f t="shared" si="11"/>
        <v>183.44258421176869</v>
      </c>
      <c r="M57" s="45"/>
    </row>
    <row r="58" spans="1:29" x14ac:dyDescent="0.25">
      <c r="A58" s="45">
        <v>0.56000000000000005</v>
      </c>
      <c r="B58" s="45">
        <f t="shared" si="12"/>
        <v>560</v>
      </c>
      <c r="C58" s="16">
        <f t="shared" si="13"/>
        <v>4</v>
      </c>
      <c r="D58" s="15">
        <f t="shared" si="14"/>
        <v>1.7279794448000002E+19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3.1633850759999995E+38</v>
      </c>
      <c r="F58" s="15">
        <f t="shared" si="7"/>
        <v>0</v>
      </c>
      <c r="G58" s="15">
        <f t="shared" si="8"/>
        <v>7.3721509571863448E+38</v>
      </c>
      <c r="H58" s="15">
        <f t="shared" si="9"/>
        <v>1.0535536033186344E+39</v>
      </c>
      <c r="I58" s="45">
        <v>76.66</v>
      </c>
      <c r="J58" s="45">
        <v>1</v>
      </c>
      <c r="K58" s="19">
        <f t="shared" si="10"/>
        <v>63.790313488717977</v>
      </c>
      <c r="L58" s="16">
        <f t="shared" si="11"/>
        <v>165.62883089867435</v>
      </c>
      <c r="M58" s="45"/>
    </row>
    <row r="59" spans="1:29" x14ac:dyDescent="0.25">
      <c r="A59" s="45">
        <v>0.7</v>
      </c>
      <c r="B59" s="45">
        <f t="shared" si="12"/>
        <v>700</v>
      </c>
      <c r="C59" s="16">
        <f t="shared" si="13"/>
        <v>5</v>
      </c>
      <c r="D59" s="15">
        <f t="shared" si="14"/>
        <v>2.1599743059999998E+19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3.3502013479999997E+38</v>
      </c>
      <c r="F59" s="15">
        <f t="shared" si="7"/>
        <v>0</v>
      </c>
      <c r="G59" s="15">
        <f t="shared" si="8"/>
        <v>1.1258956966877643E+39</v>
      </c>
      <c r="H59" s="15">
        <f t="shared" si="9"/>
        <v>1.4609158314877641E+39</v>
      </c>
      <c r="I59" s="45">
        <v>78.739999999999995</v>
      </c>
      <c r="J59" s="45">
        <v>1</v>
      </c>
      <c r="K59" s="19">
        <f t="shared" si="10"/>
        <v>67.186808108610009</v>
      </c>
      <c r="L59" s="16">
        <f t="shared" si="11"/>
        <v>133.47624287927931</v>
      </c>
      <c r="M59" s="45"/>
    </row>
    <row r="60" spans="1:29" x14ac:dyDescent="0.25">
      <c r="A60" s="45">
        <v>0.86</v>
      </c>
      <c r="B60" s="45">
        <f t="shared" si="12"/>
        <v>860</v>
      </c>
      <c r="C60" s="16">
        <f t="shared" si="13"/>
        <v>6.1428571428571432</v>
      </c>
      <c r="D60" s="15">
        <f t="shared" si="14"/>
        <v>2.6536827187999998E+19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3.4960080611428564E+38</v>
      </c>
      <c r="F60" s="15">
        <f t="shared" si="7"/>
        <v>0</v>
      </c>
      <c r="G60" s="15">
        <f t="shared" si="8"/>
        <v>1.6563509890038157E+39</v>
      </c>
      <c r="H60" s="15">
        <f t="shared" si="9"/>
        <v>2.0059517951181013E+39</v>
      </c>
      <c r="I60" s="45">
        <v>80.73</v>
      </c>
      <c r="J60" s="45">
        <v>1</v>
      </c>
      <c r="K60" s="19">
        <f t="shared" si="10"/>
        <v>71.028305190314626</v>
      </c>
      <c r="L60" s="16">
        <f t="shared" si="11"/>
        <v>94.122882180276207</v>
      </c>
      <c r="M60" s="45"/>
    </row>
    <row r="61" spans="1:29" x14ac:dyDescent="0.25">
      <c r="A61" s="45">
        <v>1.04</v>
      </c>
      <c r="B61" s="45">
        <f t="shared" si="12"/>
        <v>1040</v>
      </c>
      <c r="C61" s="16">
        <f t="shared" si="13"/>
        <v>7.4285714285714288</v>
      </c>
      <c r="D61" s="15">
        <f t="shared" si="14"/>
        <v>3.2091046832E+19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3.6100857877142852E+38</v>
      </c>
      <c r="F61" s="15">
        <f t="shared" si="7"/>
        <v>0</v>
      </c>
      <c r="G61" s="15">
        <f t="shared" si="8"/>
        <v>2.3545663788024394E+39</v>
      </c>
      <c r="H61" s="15">
        <f t="shared" si="9"/>
        <v>2.715574957573868E+39</v>
      </c>
      <c r="I61" s="45">
        <v>82.63</v>
      </c>
      <c r="J61" s="45">
        <v>1</v>
      </c>
      <c r="K61" s="19">
        <f t="shared" si="10"/>
        <v>75.150981917071149</v>
      </c>
      <c r="L61" s="16">
        <f t="shared" si="11"/>
        <v>55.935711484776668</v>
      </c>
      <c r="M61" s="45"/>
    </row>
    <row r="62" spans="1:29" x14ac:dyDescent="0.25">
      <c r="A62" s="45">
        <v>1.23</v>
      </c>
      <c r="B62" s="45">
        <f t="shared" si="12"/>
        <v>1230</v>
      </c>
      <c r="C62" s="16">
        <f t="shared" si="13"/>
        <v>8.7857142857142865</v>
      </c>
      <c r="D62" s="15">
        <f t="shared" si="14"/>
        <v>3.7953834233999999E+19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3.6957506415714279E+38</v>
      </c>
      <c r="F62" s="15">
        <f t="shared" si="7"/>
        <v>0</v>
      </c>
      <c r="G62" s="15">
        <f t="shared" si="8"/>
        <v>3.1982461015901167E+39</v>
      </c>
      <c r="H62" s="15">
        <f t="shared" si="9"/>
        <v>3.5678211657472596E+39</v>
      </c>
      <c r="I62" s="45">
        <v>85.41</v>
      </c>
      <c r="J62" s="45">
        <v>1</v>
      </c>
      <c r="K62" s="19">
        <f t="shared" si="10"/>
        <v>79.20806695413745</v>
      </c>
      <c r="L62" s="16">
        <f t="shared" si="11"/>
        <v>38.463973505361878</v>
      </c>
      <c r="M62" s="45"/>
    </row>
    <row r="63" spans="1:29" x14ac:dyDescent="0.25">
      <c r="A63" s="45">
        <v>1.45</v>
      </c>
      <c r="B63" s="45">
        <f t="shared" si="12"/>
        <v>1450</v>
      </c>
      <c r="C63" s="16">
        <f t="shared" si="13"/>
        <v>10.357142857142858</v>
      </c>
      <c r="D63" s="15">
        <f t="shared" si="14"/>
        <v>4.4742324909999997E+19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3.7642637702857139E+38</v>
      </c>
      <c r="F63" s="15">
        <f t="shared" si="7"/>
        <v>0</v>
      </c>
      <c r="G63" s="15">
        <f t="shared" si="8"/>
        <v>4.2992576944611765E+39</v>
      </c>
      <c r="H63" s="15">
        <f t="shared" si="9"/>
        <v>4.6756840714897478E+39</v>
      </c>
      <c r="I63" s="45">
        <v>88.08</v>
      </c>
      <c r="J63" s="45">
        <v>1</v>
      </c>
      <c r="K63" s="19">
        <f t="shared" si="10"/>
        <v>83.513947050873668</v>
      </c>
      <c r="L63" s="16">
        <f t="shared" si="11"/>
        <v>20.848839534225259</v>
      </c>
      <c r="M63" s="45"/>
    </row>
    <row r="64" spans="1:29" x14ac:dyDescent="0.25">
      <c r="A64" s="45">
        <v>1.68</v>
      </c>
      <c r="B64" s="45">
        <f t="shared" si="12"/>
        <v>1680</v>
      </c>
      <c r="C64" s="16">
        <f t="shared" si="13"/>
        <v>12</v>
      </c>
      <c r="D64" s="15">
        <f t="shared" si="14"/>
        <v>5.1839383344E+19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3.8150540179999999E+38</v>
      </c>
      <c r="F64" s="15">
        <f t="shared" si="7"/>
        <v>0</v>
      </c>
      <c r="G64" s="15">
        <f t="shared" si="8"/>
        <v>5.5784764459949663E+39</v>
      </c>
      <c r="H64" s="15">
        <f t="shared" si="9"/>
        <v>5.9599818477949663E+39</v>
      </c>
      <c r="I64" s="45">
        <v>90.5</v>
      </c>
      <c r="J64" s="45">
        <v>1</v>
      </c>
      <c r="K64" s="19">
        <f t="shared" si="10"/>
        <v>87.596803620211716</v>
      </c>
      <c r="L64" s="16">
        <f t="shared" si="11"/>
        <v>8.4285492196157978</v>
      </c>
      <c r="M64" s="45"/>
    </row>
    <row r="65" spans="1:13" x14ac:dyDescent="0.25">
      <c r="A65" s="45">
        <v>1.94</v>
      </c>
      <c r="B65" s="45">
        <f t="shared" si="12"/>
        <v>1940</v>
      </c>
      <c r="C65" s="16">
        <f t="shared" si="13"/>
        <v>13.857142857142858</v>
      </c>
      <c r="D65" s="15">
        <f t="shared" si="14"/>
        <v>5.9862145052000002E+19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3.854460930571428E+38</v>
      </c>
      <c r="F65" s="15">
        <f t="shared" si="7"/>
        <v>0</v>
      </c>
      <c r="G65" s="15">
        <f t="shared" si="8"/>
        <v>7.1649557979338703E+39</v>
      </c>
      <c r="H65" s="15">
        <f t="shared" si="9"/>
        <v>7.5504018909910135E+39</v>
      </c>
      <c r="I65" s="45">
        <v>92.86</v>
      </c>
      <c r="J65" s="45">
        <v>1</v>
      </c>
      <c r="K65" s="19">
        <f t="shared" si="10"/>
        <v>91.74968903017718</v>
      </c>
      <c r="L65" s="16">
        <f t="shared" si="11"/>
        <v>1.23279044970889</v>
      </c>
      <c r="M65" s="45"/>
    </row>
    <row r="66" spans="1:13" x14ac:dyDescent="0.25">
      <c r="A66" s="45">
        <v>2.23</v>
      </c>
      <c r="B66" s="45">
        <f t="shared" si="12"/>
        <v>2230</v>
      </c>
      <c r="C66" s="16">
        <f t="shared" si="13"/>
        <v>15.928571428571429</v>
      </c>
      <c r="D66" s="15">
        <f t="shared" si="14"/>
        <v>6.8810610034000003E+19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3.8821628421142854E+38</v>
      </c>
      <c r="F66" s="15">
        <f t="shared" si="7"/>
        <v>0</v>
      </c>
      <c r="G66" s="15">
        <f t="shared" si="8"/>
        <v>9.0892294491997771E+39</v>
      </c>
      <c r="H66" s="15">
        <f t="shared" si="9"/>
        <v>9.477445733411206E+39</v>
      </c>
      <c r="I66" s="45">
        <v>95.26</v>
      </c>
      <c r="J66" s="45">
        <v>1</v>
      </c>
      <c r="K66" s="19">
        <f t="shared" si="10"/>
        <v>95.876827086752485</v>
      </c>
      <c r="L66" s="16">
        <f t="shared" si="11"/>
        <v>0.38047565495155106</v>
      </c>
      <c r="M66" s="45"/>
    </row>
    <row r="67" spans="1:13" x14ac:dyDescent="0.25">
      <c r="A67" s="45">
        <v>2.54</v>
      </c>
      <c r="B67" s="45">
        <f t="shared" si="12"/>
        <v>2540</v>
      </c>
      <c r="C67" s="16">
        <f t="shared" si="13"/>
        <v>18.142857142857142</v>
      </c>
      <c r="D67" s="15">
        <f t="shared" si="14"/>
        <v>7.8376210532000006E+19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3.9039736077714279E+38</v>
      </c>
      <c r="F67" s="15">
        <f t="shared" si="7"/>
        <v>0</v>
      </c>
      <c r="G67" s="15">
        <f t="shared" si="8"/>
        <v>1.1303000184893778E+40</v>
      </c>
      <c r="H67" s="15">
        <f t="shared" si="9"/>
        <v>1.169339754567092E+40</v>
      </c>
      <c r="I67" s="45">
        <v>98.57</v>
      </c>
      <c r="J67" s="45">
        <v>1</v>
      </c>
      <c r="K67" s="19">
        <f t="shared" si="10"/>
        <v>99.786991836931534</v>
      </c>
      <c r="L67" s="16">
        <f t="shared" si="11"/>
        <v>1.4810691311580069</v>
      </c>
      <c r="M67" s="45"/>
    </row>
    <row r="68" spans="1:13" x14ac:dyDescent="0.25">
      <c r="A68" s="45">
        <v>2.89</v>
      </c>
      <c r="B68" s="45">
        <f t="shared" si="12"/>
        <v>2890</v>
      </c>
      <c r="C68" s="16">
        <f t="shared" si="13"/>
        <v>20.642857142857142</v>
      </c>
      <c r="D68" s="15">
        <f t="shared" si="14"/>
        <v>8.9176082061999997E+19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3.9251308119999987E+38</v>
      </c>
      <c r="F68" s="15">
        <f t="shared" si="7"/>
        <v>0</v>
      </c>
      <c r="G68" s="15">
        <f t="shared" si="8"/>
        <v>1.3969084805887778E+40</v>
      </c>
      <c r="H68" s="15">
        <f t="shared" si="9"/>
        <v>1.4361597887087778E+40</v>
      </c>
      <c r="I68" s="45">
        <v>102.9</v>
      </c>
      <c r="J68" s="45">
        <v>1</v>
      </c>
      <c r="K68" s="19">
        <f t="shared" si="10"/>
        <v>103.67472486634324</v>
      </c>
      <c r="L68" s="16">
        <f t="shared" si="11"/>
        <v>0.60019861853054246</v>
      </c>
      <c r="M68" s="45"/>
    </row>
    <row r="69" spans="1:13" x14ac:dyDescent="0.25">
      <c r="A69" s="45">
        <v>3.27</v>
      </c>
      <c r="B69" s="45">
        <f t="shared" si="12"/>
        <v>3270</v>
      </c>
      <c r="C69" s="16">
        <f t="shared" si="13"/>
        <v>23.357142857142858</v>
      </c>
      <c r="D69" s="15">
        <f t="shared" si="14"/>
        <v>1.0090165686599999E+20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3.9372245399999991E+38</v>
      </c>
      <c r="F69" s="15">
        <f t="shared" si="7"/>
        <v>0</v>
      </c>
      <c r="G69" s="15">
        <f t="shared" si="8"/>
        <v>1.7032300948874353E+40</v>
      </c>
      <c r="H69" s="15">
        <f t="shared" si="9"/>
        <v>1.7426023402874354E+40</v>
      </c>
      <c r="I69" s="45">
        <v>107.83</v>
      </c>
      <c r="J69" s="45">
        <v>1</v>
      </c>
      <c r="K69" s="19">
        <f t="shared" si="10"/>
        <v>107.36079077902131</v>
      </c>
      <c r="L69" s="16">
        <f t="shared" si="11"/>
        <v>0.22015729305142309</v>
      </c>
      <c r="M69" s="45"/>
    </row>
    <row r="70" spans="1:13" x14ac:dyDescent="0.25">
      <c r="A70" s="45">
        <v>3.69</v>
      </c>
      <c r="B70" s="45">
        <f t="shared" si="12"/>
        <v>3690</v>
      </c>
      <c r="C70" s="16">
        <f t="shared" si="13"/>
        <v>26.357142857142858</v>
      </c>
      <c r="D70" s="15">
        <f t="shared" si="14"/>
        <v>1.13861502702E+20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3.9482481321999997E+38</v>
      </c>
      <c r="F70" s="15">
        <f t="shared" si="7"/>
        <v>0</v>
      </c>
      <c r="G70" s="15">
        <f t="shared" si="8"/>
        <v>2.0586485704325067E+40</v>
      </c>
      <c r="H70" s="15">
        <f t="shared" si="9"/>
        <v>2.0981310517545066E+40</v>
      </c>
      <c r="I70" s="45">
        <v>113.39</v>
      </c>
      <c r="J70" s="45">
        <v>1</v>
      </c>
      <c r="K70" s="19">
        <f t="shared" si="10"/>
        <v>110.89795919264296</v>
      </c>
      <c r="L70" s="16">
        <f t="shared" si="11"/>
        <v>6.2102673855327417</v>
      </c>
      <c r="M70" s="45"/>
    </row>
    <row r="71" spans="1:13" x14ac:dyDescent="0.25">
      <c r="A71" s="45">
        <v>4.1500000000000004</v>
      </c>
      <c r="B71" s="45">
        <f t="shared" si="12"/>
        <v>4150</v>
      </c>
      <c r="C71" s="16">
        <f t="shared" si="13"/>
        <v>29.642857142857142</v>
      </c>
      <c r="D71" s="15">
        <f t="shared" si="14"/>
        <v>1.2805561957E+20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3.9572149949999991E+38</v>
      </c>
      <c r="F71" s="15">
        <f t="shared" si="7"/>
        <v>0</v>
      </c>
      <c r="G71" s="15">
        <f t="shared" si="8"/>
        <v>2.4642869214583297E+40</v>
      </c>
      <c r="H71" s="15">
        <f t="shared" si="9"/>
        <v>2.5038590714083297E+40</v>
      </c>
      <c r="I71" s="45">
        <v>119.24</v>
      </c>
      <c r="J71" s="45">
        <v>1</v>
      </c>
      <c r="K71" s="19">
        <f t="shared" si="10"/>
        <v>114.23556230183168</v>
      </c>
      <c r="L71" s="16">
        <f t="shared" si="11"/>
        <v>25.044396674848205</v>
      </c>
      <c r="M71" s="45"/>
    </row>
    <row r="72" spans="1:13" x14ac:dyDescent="0.25">
      <c r="A72" s="45">
        <v>4.6500000000000004</v>
      </c>
      <c r="B72" s="45">
        <f t="shared" si="12"/>
        <v>4650</v>
      </c>
      <c r="C72" s="16">
        <f t="shared" si="13"/>
        <v>33.214285714285715</v>
      </c>
      <c r="D72" s="15">
        <f t="shared" si="14"/>
        <v>1.4348400747000001E+20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3.962741851428571E+38</v>
      </c>
      <c r="F72" s="15">
        <f t="shared" si="7"/>
        <v>0</v>
      </c>
      <c r="G72" s="15">
        <f t="shared" si="8"/>
        <v>2.9203995354337607E+40</v>
      </c>
      <c r="H72" s="15">
        <f t="shared" si="9"/>
        <v>2.9600269539480463E+40</v>
      </c>
      <c r="I72" s="45">
        <v>123.65</v>
      </c>
      <c r="J72" s="45">
        <v>1</v>
      </c>
      <c r="K72" s="19">
        <f t="shared" si="10"/>
        <v>117.33883931470035</v>
      </c>
      <c r="L72" s="16">
        <f t="shared" si="11"/>
        <v>39.830749195672006</v>
      </c>
      <c r="M72" s="45"/>
    </row>
    <row r="73" spans="1:13" x14ac:dyDescent="0.25">
      <c r="A73" s="45">
        <v>5.21</v>
      </c>
      <c r="B73" s="45">
        <f t="shared" si="12"/>
        <v>5210</v>
      </c>
      <c r="C73" s="16">
        <f t="shared" si="13"/>
        <v>37.214285714285715</v>
      </c>
      <c r="D73" s="15">
        <f t="shared" si="14"/>
        <v>1.6076380191800001E+20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3.9671559484857135E+38</v>
      </c>
      <c r="F73" s="15">
        <f t="shared" si="7"/>
        <v>0</v>
      </c>
      <c r="G73" s="15">
        <f t="shared" si="8"/>
        <v>3.4453862545854603E+40</v>
      </c>
      <c r="H73" s="15">
        <f t="shared" si="9"/>
        <v>3.4850578140703174E+40</v>
      </c>
      <c r="I73" s="45">
        <v>125.73</v>
      </c>
      <c r="J73" s="45">
        <v>1</v>
      </c>
      <c r="K73" s="19">
        <f t="shared" si="10"/>
        <v>120.28364034892587</v>
      </c>
      <c r="L73" s="16">
        <f t="shared" si="11"/>
        <v>29.662833448848346</v>
      </c>
      <c r="M73" s="45"/>
    </row>
    <row r="74" spans="1:13" x14ac:dyDescent="0.25">
      <c r="A74" s="45">
        <v>5.82</v>
      </c>
      <c r="B74" s="45">
        <f t="shared" si="12"/>
        <v>5820</v>
      </c>
      <c r="C74" s="16">
        <f t="shared" si="13"/>
        <v>41.571428571428569</v>
      </c>
      <c r="D74" s="15">
        <f t="shared" si="14"/>
        <v>1.7958643515600001E+20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3.9703652192571428E+38</v>
      </c>
      <c r="F74" s="15">
        <f t="shared" si="7"/>
        <v>0</v>
      </c>
      <c r="G74" s="15">
        <f t="shared" si="8"/>
        <v>4.0293251107847113E+40</v>
      </c>
      <c r="H74" s="15">
        <f t="shared" si="9"/>
        <v>4.0690287629772827E+40</v>
      </c>
      <c r="I74" s="45">
        <v>126.79</v>
      </c>
      <c r="J74" s="45">
        <v>1</v>
      </c>
      <c r="K74" s="19">
        <f t="shared" si="10"/>
        <v>122.97145711362585</v>
      </c>
      <c r="L74" s="16">
        <f t="shared" si="11"/>
        <v>14.581269775078706</v>
      </c>
      <c r="M74" s="45"/>
    </row>
    <row r="75" spans="1:13" x14ac:dyDescent="0.25">
      <c r="A75" s="45">
        <v>6.49</v>
      </c>
      <c r="B75" s="45">
        <f t="shared" si="12"/>
        <v>6490</v>
      </c>
      <c r="C75" s="16">
        <f t="shared" si="13"/>
        <v>46.357142857142854</v>
      </c>
      <c r="D75" s="15">
        <f t="shared" si="14"/>
        <v>2.0026047494200001E+20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3.9726680287428565E+38</v>
      </c>
      <c r="F75" s="15">
        <f t="shared" si="7"/>
        <v>0</v>
      </c>
      <c r="G75" s="15">
        <f t="shared" si="8"/>
        <v>4.6800862155518553E+40</v>
      </c>
      <c r="H75" s="15">
        <f t="shared" si="9"/>
        <v>4.7198128958392841E+40</v>
      </c>
      <c r="I75" s="45">
        <v>127.58</v>
      </c>
      <c r="J75" s="45">
        <v>1</v>
      </c>
      <c r="K75" s="19">
        <f t="shared" si="10"/>
        <v>125.41817427487085</v>
      </c>
      <c r="L75" s="16">
        <f t="shared" si="11"/>
        <v>4.6734904658301675</v>
      </c>
      <c r="M75" s="45"/>
    </row>
    <row r="76" spans="1:13" x14ac:dyDescent="0.25">
      <c r="A76" s="45">
        <v>7.23</v>
      </c>
      <c r="B76" s="45">
        <f t="shared" si="12"/>
        <v>7230</v>
      </c>
      <c r="C76" s="16">
        <f t="shared" si="13"/>
        <v>51.642857142857146</v>
      </c>
      <c r="D76" s="15">
        <f t="shared" si="14"/>
        <v>2.2309448903400001E+20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3.9743354628571425E+38</v>
      </c>
      <c r="F76" s="15">
        <f t="shared" si="7"/>
        <v>0</v>
      </c>
      <c r="G76" s="15">
        <f t="shared" si="8"/>
        <v>5.4049728912734009E+40</v>
      </c>
      <c r="H76" s="15">
        <f t="shared" si="9"/>
        <v>5.4447162459019719E+40</v>
      </c>
      <c r="I76" s="45">
        <v>128.19999999999999</v>
      </c>
      <c r="J76" s="45">
        <v>1</v>
      </c>
      <c r="K76" s="19">
        <f t="shared" si="10"/>
        <v>127.62592668587357</v>
      </c>
      <c r="L76" s="16">
        <f t="shared" si="11"/>
        <v>0.32956016999209464</v>
      </c>
      <c r="M76" s="45"/>
    </row>
    <row r="77" spans="1:13" x14ac:dyDescent="0.25">
      <c r="A77" s="45">
        <v>8.0500000000000007</v>
      </c>
      <c r="B77" s="45">
        <f t="shared" si="12"/>
        <v>8050.0000000000009</v>
      </c>
      <c r="C77" s="16">
        <f t="shared" si="13"/>
        <v>57.500000000000007</v>
      </c>
      <c r="D77" s="15">
        <f t="shared" si="14"/>
        <v>2.4839704519000002E+20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3.9755346059999998E+38</v>
      </c>
      <c r="F77" s="15">
        <f t="shared" si="7"/>
        <v>0</v>
      </c>
      <c r="G77" s="15">
        <f t="shared" si="8"/>
        <v>6.2103507623428226E+40</v>
      </c>
      <c r="H77" s="15">
        <f t="shared" si="9"/>
        <v>6.2501061084028221E+40</v>
      </c>
      <c r="I77" s="45">
        <v>128.6</v>
      </c>
      <c r="J77" s="45">
        <v>1</v>
      </c>
      <c r="K77" s="19">
        <f t="shared" si="10"/>
        <v>129.58841755234062</v>
      </c>
      <c r="L77" s="16">
        <f t="shared" si="11"/>
        <v>0.97696925777502497</v>
      </c>
      <c r="M77" s="45"/>
    </row>
    <row r="78" spans="1:13" x14ac:dyDescent="0.25">
      <c r="A78" s="45">
        <v>8.94</v>
      </c>
      <c r="B78" s="45">
        <f t="shared" si="12"/>
        <v>8940</v>
      </c>
      <c r="C78" s="16">
        <f t="shared" si="13"/>
        <v>63.857142857142854</v>
      </c>
      <c r="D78" s="15">
        <f t="shared" si="14"/>
        <v>2.7585957565199997E+20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3.9762239712285705E+38</v>
      </c>
      <c r="F78" s="15">
        <f t="shared" si="7"/>
        <v>0</v>
      </c>
      <c r="G78" s="15">
        <f t="shared" si="8"/>
        <v>7.0818162360506095E+40</v>
      </c>
      <c r="H78" s="15">
        <f t="shared" si="9"/>
        <v>7.1215784757628952E+40</v>
      </c>
      <c r="I78" s="45">
        <v>129.22</v>
      </c>
      <c r="J78" s="45">
        <v>1</v>
      </c>
      <c r="K78" s="19">
        <f t="shared" si="10"/>
        <v>131.26223790132406</v>
      </c>
      <c r="L78" s="16">
        <f t="shared" si="11"/>
        <v>4.1707356456044895</v>
      </c>
      <c r="M78" s="45"/>
    </row>
    <row r="79" spans="1:13" x14ac:dyDescent="0.25">
      <c r="A79" s="45">
        <v>9.93</v>
      </c>
      <c r="B79" s="45">
        <f t="shared" si="12"/>
        <v>9930</v>
      </c>
      <c r="C79" s="16">
        <f t="shared" si="13"/>
        <v>70.928571428571431</v>
      </c>
      <c r="D79" s="15">
        <f t="shared" si="14"/>
        <v>3.06407783694E+20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3.976758470814285E+38</v>
      </c>
      <c r="F79" s="15">
        <f t="shared" si="7"/>
        <v>0</v>
      </c>
      <c r="G79" s="15">
        <f t="shared" si="8"/>
        <v>8.0429508856175928E+40</v>
      </c>
      <c r="H79" s="15">
        <f t="shared" si="9"/>
        <v>8.0827184703257356E+40</v>
      </c>
      <c r="I79" s="45">
        <v>130.77000000000001</v>
      </c>
      <c r="J79" s="45">
        <v>1</v>
      </c>
      <c r="K79" s="19">
        <f t="shared" si="10"/>
        <v>132.68582630143422</v>
      </c>
      <c r="L79" s="16">
        <f t="shared" si="11"/>
        <v>3.670390417267078</v>
      </c>
      <c r="M79" s="45"/>
    </row>
    <row r="80" spans="1:13" x14ac:dyDescent="0.25">
      <c r="A80" s="45">
        <v>11.01</v>
      </c>
      <c r="B80" s="45">
        <f t="shared" si="12"/>
        <v>11010</v>
      </c>
      <c r="C80" s="16">
        <f t="shared" si="13"/>
        <v>78.642857142857139</v>
      </c>
      <c r="D80" s="15">
        <f t="shared" si="14"/>
        <v>3.3973310155799999E+20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3.9773415612714277E+38</v>
      </c>
      <c r="F80" s="15">
        <f t="shared" si="7"/>
        <v>0</v>
      </c>
      <c r="G80" s="15">
        <f t="shared" si="8"/>
        <v>9.0770492080228415E+40</v>
      </c>
      <c r="H80" s="15">
        <f t="shared" si="9"/>
        <v>9.1168226236355559E+40</v>
      </c>
      <c r="I80" s="45">
        <v>132.87</v>
      </c>
      <c r="J80" s="45">
        <v>1</v>
      </c>
      <c r="K80" s="19">
        <f t="shared" si="10"/>
        <v>133.8284736343318</v>
      </c>
      <c r="L80" s="16">
        <f t="shared" si="11"/>
        <v>0.9186717077092007</v>
      </c>
      <c r="M80" s="45"/>
    </row>
    <row r="81" spans="1:29" x14ac:dyDescent="0.25">
      <c r="A81" s="45">
        <v>12.2</v>
      </c>
      <c r="B81" s="45">
        <f t="shared" si="12"/>
        <v>12200</v>
      </c>
      <c r="C81" s="16">
        <f t="shared" si="13"/>
        <v>87.142857142857139</v>
      </c>
      <c r="D81" s="15">
        <f t="shared" si="14"/>
        <v>3.7645266475999999E+20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3.9776004284285709E+38</v>
      </c>
      <c r="F81" s="15">
        <f t="shared" si="7"/>
        <v>0</v>
      </c>
      <c r="G81" s="15">
        <f t="shared" si="8"/>
        <v>1.0195164400818806E+41</v>
      </c>
      <c r="H81" s="15">
        <f t="shared" si="9"/>
        <v>1.0234940405103092E+41</v>
      </c>
      <c r="I81" s="45">
        <v>135.13</v>
      </c>
      <c r="J81" s="45">
        <v>1</v>
      </c>
      <c r="K81" s="19">
        <f t="shared" si="10"/>
        <v>134.70483222837007</v>
      </c>
      <c r="L81" s="16">
        <f t="shared" si="11"/>
        <v>0.18076763403276014</v>
      </c>
      <c r="M81" s="45"/>
    </row>
    <row r="82" spans="1:29" x14ac:dyDescent="0.25">
      <c r="A82" s="45">
        <v>13.51</v>
      </c>
      <c r="B82" s="45">
        <f t="shared" si="12"/>
        <v>13510</v>
      </c>
      <c r="C82" s="16">
        <f t="shared" si="13"/>
        <v>96.5</v>
      </c>
      <c r="D82" s="15">
        <f t="shared" si="14"/>
        <v>4.1687504105800001E+20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3.9778051636499996E+38</v>
      </c>
      <c r="F82" s="15">
        <f t="shared" si="7"/>
        <v>0</v>
      </c>
      <c r="G82" s="15">
        <f t="shared" si="8"/>
        <v>1.1397106224740463E+41</v>
      </c>
      <c r="H82" s="15">
        <f t="shared" si="9"/>
        <v>1.1436884276376963E+41</v>
      </c>
      <c r="I82" s="45">
        <v>136.65</v>
      </c>
      <c r="J82" s="45">
        <v>1</v>
      </c>
      <c r="K82" s="19">
        <f t="shared" si="10"/>
        <v>135.31521141104193</v>
      </c>
      <c r="L82" s="16">
        <f t="shared" si="11"/>
        <v>1.7816605772126932</v>
      </c>
      <c r="M82" s="45"/>
    </row>
    <row r="83" spans="1:29" x14ac:dyDescent="0.25">
      <c r="A83" s="45">
        <v>14.95</v>
      </c>
      <c r="B83" s="45">
        <f t="shared" si="12"/>
        <v>14950</v>
      </c>
      <c r="C83" s="16">
        <f t="shared" si="13"/>
        <v>106.78571428571429</v>
      </c>
      <c r="D83" s="15">
        <f t="shared" si="14"/>
        <v>4.6130879820999996E+20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3.977949231321428E+38</v>
      </c>
      <c r="F83" s="15">
        <f t="shared" si="7"/>
        <v>0</v>
      </c>
      <c r="G83" s="15">
        <f t="shared" si="8"/>
        <v>1.2681254909603532E+41</v>
      </c>
      <c r="H83" s="15">
        <f t="shared" si="9"/>
        <v>1.2721034401916746E+41</v>
      </c>
      <c r="I83" s="45">
        <v>135.69</v>
      </c>
      <c r="J83" s="45">
        <v>1</v>
      </c>
      <c r="K83" s="19">
        <f t="shared" si="10"/>
        <v>135.66288507749431</v>
      </c>
      <c r="L83" s="16">
        <f t="shared" si="11"/>
        <v>7.3521902248950956E-4</v>
      </c>
      <c r="M83" s="45"/>
    </row>
    <row r="84" spans="1:29" x14ac:dyDescent="0.25">
      <c r="A84" s="45">
        <v>16.54</v>
      </c>
      <c r="B84" s="45">
        <f t="shared" si="12"/>
        <v>16540</v>
      </c>
      <c r="C84" s="16">
        <f t="shared" si="13"/>
        <v>118.14285714285714</v>
      </c>
      <c r="D84" s="15">
        <f t="shared" si="14"/>
        <v>5.1037107173199997E+20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3.978062183785714E+38</v>
      </c>
      <c r="F84" s="15">
        <f t="shared" si="7"/>
        <v>0</v>
      </c>
      <c r="G84" s="15">
        <f t="shared" si="8"/>
        <v>1.405315971493524E+41</v>
      </c>
      <c r="H84" s="15">
        <f t="shared" si="9"/>
        <v>1.4092940336773098E+41</v>
      </c>
      <c r="I84" s="45">
        <v>133.84</v>
      </c>
      <c r="J84" s="45">
        <v>1</v>
      </c>
      <c r="K84" s="19">
        <f t="shared" si="10"/>
        <v>135.75426589503746</v>
      </c>
      <c r="L84" s="16">
        <f t="shared" si="11"/>
        <v>3.6644139169035661</v>
      </c>
      <c r="M84" s="45"/>
    </row>
    <row r="85" spans="1:29" x14ac:dyDescent="0.25">
      <c r="A85" s="45">
        <v>18.29</v>
      </c>
      <c r="B85" s="45">
        <f t="shared" si="12"/>
        <v>18290</v>
      </c>
      <c r="C85" s="16">
        <f t="shared" si="13"/>
        <v>130.64285714285714</v>
      </c>
      <c r="D85" s="15">
        <f t="shared" si="14"/>
        <v>5.6437042938199998E+20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3.9781018237071425E+38</v>
      </c>
      <c r="F85" s="15">
        <f t="shared" si="7"/>
        <v>0</v>
      </c>
      <c r="G85" s="15">
        <f t="shared" si="8"/>
        <v>1.5507778480427794E+41</v>
      </c>
      <c r="H85" s="15">
        <f t="shared" si="9"/>
        <v>1.5547559498664864E+41</v>
      </c>
      <c r="I85" s="45">
        <v>134.08000000000001</v>
      </c>
      <c r="J85" s="45">
        <v>1</v>
      </c>
      <c r="K85" s="19">
        <f t="shared" si="10"/>
        <v>135.59531756358155</v>
      </c>
      <c r="L85" s="16">
        <f t="shared" si="11"/>
        <v>2.2961873184986734</v>
      </c>
      <c r="M85" s="45"/>
    </row>
    <row r="86" spans="1:29" x14ac:dyDescent="0.25">
      <c r="A86" s="45"/>
      <c r="H86" s="15"/>
      <c r="K86" s="45"/>
      <c r="L86" s="16">
        <f>SUM(L54:L85)/(COUNT(L54:L85)-6)</f>
        <v>42.306472247415009</v>
      </c>
      <c r="M86" s="45"/>
    </row>
    <row r="87" spans="1:29" x14ac:dyDescent="0.25">
      <c r="A87" s="45"/>
      <c r="H87" s="15"/>
      <c r="K87" s="45"/>
      <c r="L87" s="17"/>
      <c r="M87" s="45"/>
    </row>
    <row r="88" spans="1:29" x14ac:dyDescent="0.25">
      <c r="A88" s="45"/>
      <c r="I88" s="45"/>
      <c r="J88" s="45"/>
      <c r="L88" s="16"/>
    </row>
    <row r="89" spans="1:29" x14ac:dyDescent="0.25">
      <c r="A89" s="45"/>
      <c r="I89" s="45"/>
      <c r="J89" s="45"/>
      <c r="L89" s="16"/>
    </row>
    <row r="90" spans="1:29" x14ac:dyDescent="0.25">
      <c r="A90" s="45"/>
      <c r="I90" s="45"/>
      <c r="J90" s="45"/>
      <c r="L90" s="16"/>
    </row>
    <row r="91" spans="1:29" x14ac:dyDescent="0.25">
      <c r="A91" s="45"/>
      <c r="I91" s="45"/>
      <c r="J91" s="45"/>
      <c r="L91" s="16"/>
    </row>
    <row r="92" spans="1:29" x14ac:dyDescent="0.25">
      <c r="A92" s="45"/>
      <c r="I92" s="45"/>
      <c r="J92" s="45"/>
      <c r="L92" s="16"/>
    </row>
    <row r="93" spans="1:29" x14ac:dyDescent="0.25">
      <c r="A93" s="45"/>
      <c r="I93" s="45"/>
      <c r="J93" s="45"/>
      <c r="L93" s="16"/>
    </row>
    <row r="94" spans="1:29" x14ac:dyDescent="0.25">
      <c r="A94" s="45"/>
      <c r="I94" s="45"/>
      <c r="J94" s="45"/>
      <c r="L94" s="16"/>
    </row>
    <row r="95" spans="1:29" s="17" customFormat="1" x14ac:dyDescent="0.25">
      <c r="A95" s="45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spans="1:29" s="17" customFormat="1" x14ac:dyDescent="0.25">
      <c r="A96" s="45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spans="1:29" s="17" customFormat="1" x14ac:dyDescent="0.25">
      <c r="A97" s="45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spans="1:29" s="17" customFormat="1" x14ac:dyDescent="0.25">
      <c r="A98" s="45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spans="1:29" s="17" customFormat="1" x14ac:dyDescent="0.25">
      <c r="A99" s="45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45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x14ac:dyDescent="0.25">
      <c r="A543" s="45"/>
      <c r="L543" s="16"/>
    </row>
    <row r="544" spans="1:29" x14ac:dyDescent="0.25">
      <c r="L544" s="16"/>
      <c r="N544" s="17"/>
      <c r="O544" s="38"/>
    </row>
    <row r="545" spans="12:12" x14ac:dyDescent="0.25">
      <c r="L545" s="16"/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C511"/>
  <sheetViews>
    <sheetView zoomScaleNormal="100" workbookViewId="0">
      <selection activeCell="O11" sqref="O11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4375.3785517525703</v>
      </c>
      <c r="E2" s="55"/>
      <c r="F2" s="53" t="s">
        <v>620</v>
      </c>
      <c r="G2" s="53">
        <v>28840207025</v>
      </c>
      <c r="H2" s="62"/>
      <c r="K2" s="51" t="s">
        <v>1</v>
      </c>
      <c r="L2" s="60" t="s">
        <v>596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9.2851618682476597E+39</v>
      </c>
      <c r="E3" s="53"/>
      <c r="F3" s="53" t="s">
        <v>621</v>
      </c>
      <c r="G3" s="53">
        <f>H22/SolarMass</f>
        <v>73691633300.063095</v>
      </c>
      <c r="H3" s="62"/>
      <c r="K3" s="51" t="s">
        <v>562</v>
      </c>
      <c r="L3" s="57">
        <v>8.2419999999999993E-3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6404.9536723089604</v>
      </c>
      <c r="E4" s="55"/>
      <c r="F4" s="53" t="s">
        <v>622</v>
      </c>
      <c r="G4" s="52">
        <f>G3/G2</f>
        <v>2.5551700525652898</v>
      </c>
      <c r="H4" s="62"/>
      <c r="K4" s="61" t="s">
        <v>614</v>
      </c>
      <c r="L4" s="52">
        <f>QEHModelChiSquare</f>
        <v>199.6449570704107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483.07307228257997</v>
      </c>
      <c r="F5" s="53"/>
      <c r="G5" s="52"/>
      <c r="H5" s="62"/>
      <c r="K5" s="61" t="s">
        <v>615</v>
      </c>
      <c r="L5" s="52">
        <f>LCDMModelChiSquare</f>
        <v>337.88653623306249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0.38</v>
      </c>
      <c r="B8" s="45">
        <f t="shared" ref="B8:B22" si="0">RadiusKpc*1000</f>
        <v>380</v>
      </c>
      <c r="C8" s="16">
        <f t="shared" ref="C8:C22" si="1">IF(QESBulgeEffectiveRadius=0,0,RadiusPc/QESBulgeEffectiveRadius)</f>
        <v>8.684962809624551E-2</v>
      </c>
      <c r="D8" s="15">
        <f t="shared" ref="D8:D22" si="2">RadiusKpc*kpc</f>
        <v>1.1725574804E+19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3.4243224524167144E+38</v>
      </c>
      <c r="F8" s="15">
        <f t="shared" ref="F8:F22" si="3">2*PI()*QESDiskSurfaceDensity*QESDiskScaleLength*(QESDiskScaleLength-EXP(-RadiusPc/QESDiskScaleLength)*(RadiusPc+QESDiskScaleLength))*SolarMass</f>
        <v>4.1903621698512781E+38</v>
      </c>
      <c r="H8" s="18">
        <f t="shared" ref="H8:H22" si="4">BulgeMass+DiskMass+HaloMass</f>
        <v>7.6146846222679917E+38</v>
      </c>
      <c r="I8" s="16">
        <v>58.88</v>
      </c>
      <c r="J8" s="45">
        <v>1</v>
      </c>
      <c r="K8" s="19">
        <f t="shared" ref="K8:K22" si="5">SQRT(TotalMass*GravitationalConstant/RadiusKm+UniverseAcceleration*RadiusKm)/km</f>
        <v>69.005717827654848</v>
      </c>
      <c r="L8" s="16">
        <f t="shared" ref="L8:L22" si="6">(ObservedVelocity-ModelVelocity)^2/(VelocityError)^2</f>
        <v>102.53016152528717</v>
      </c>
    </row>
    <row r="9" spans="1:23" x14ac:dyDescent="0.25">
      <c r="A9" s="16">
        <v>0.8</v>
      </c>
      <c r="B9" s="45">
        <f t="shared" si="0"/>
        <v>800</v>
      </c>
      <c r="C9" s="16">
        <f t="shared" si="1"/>
        <v>0.18284132230788527</v>
      </c>
      <c r="D9" s="15">
        <f t="shared" si="2"/>
        <v>2.468542064E+19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8.3747435512492661E+38</v>
      </c>
      <c r="F9" s="15">
        <f t="shared" si="3"/>
        <v>1.7783830823783155E+39</v>
      </c>
      <c r="H9" s="18">
        <f t="shared" si="4"/>
        <v>2.615857437503242E+39</v>
      </c>
      <c r="I9" s="16">
        <v>110.44</v>
      </c>
      <c r="J9" s="45">
        <v>1</v>
      </c>
      <c r="K9" s="19">
        <f t="shared" si="5"/>
        <v>89.289148916137506</v>
      </c>
      <c r="L9" s="16">
        <f t="shared" si="6"/>
        <v>447.35850157172712</v>
      </c>
    </row>
    <row r="10" spans="1:23" x14ac:dyDescent="0.25">
      <c r="A10" s="16">
        <v>1.27</v>
      </c>
      <c r="B10" s="45">
        <f t="shared" si="0"/>
        <v>1270</v>
      </c>
      <c r="C10" s="16">
        <f t="shared" si="1"/>
        <v>0.2902605991637679</v>
      </c>
      <c r="D10" s="15">
        <f t="shared" si="2"/>
        <v>3.9188105266000003E+19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1.3678580739710814E+39</v>
      </c>
      <c r="F10" s="15">
        <f t="shared" si="3"/>
        <v>4.2706707112713661E+39</v>
      </c>
      <c r="H10" s="18">
        <f t="shared" si="4"/>
        <v>5.6385287852424478E+39</v>
      </c>
      <c r="I10" s="16">
        <v>112.51</v>
      </c>
      <c r="J10" s="45">
        <v>1</v>
      </c>
      <c r="K10" s="19">
        <f t="shared" si="5"/>
        <v>105.03309791514395</v>
      </c>
      <c r="L10" s="16">
        <f t="shared" si="6"/>
        <v>55.904064786524749</v>
      </c>
    </row>
    <row r="11" spans="1:23" x14ac:dyDescent="0.25">
      <c r="A11" s="16">
        <v>1.77</v>
      </c>
      <c r="B11" s="45">
        <f t="shared" si="0"/>
        <v>1770</v>
      </c>
      <c r="C11" s="16">
        <f t="shared" si="1"/>
        <v>0.40453642560619618</v>
      </c>
      <c r="D11" s="15">
        <f t="shared" si="2"/>
        <v>5.4616493165999997E+19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1.8830276365659651E+39</v>
      </c>
      <c r="F11" s="15">
        <f t="shared" si="3"/>
        <v>7.8829203133662131E+39</v>
      </c>
      <c r="H11" s="18">
        <f t="shared" si="4"/>
        <v>9.7659479499321782E+39</v>
      </c>
      <c r="I11" s="16">
        <v>116.47</v>
      </c>
      <c r="J11" s="45">
        <v>1</v>
      </c>
      <c r="K11" s="19">
        <f t="shared" si="5"/>
        <v>118.00653824981488</v>
      </c>
      <c r="L11" s="16">
        <f t="shared" si="6"/>
        <v>2.3609497931441803</v>
      </c>
    </row>
    <row r="12" spans="1:23" x14ac:dyDescent="0.25">
      <c r="A12" s="16">
        <v>2.33</v>
      </c>
      <c r="B12" s="45">
        <f t="shared" si="0"/>
        <v>2330</v>
      </c>
      <c r="C12" s="16">
        <f t="shared" si="1"/>
        <v>0.53252535122171585</v>
      </c>
      <c r="D12" s="15">
        <f t="shared" si="2"/>
        <v>7.1896287614000005E+19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2.3952161055945956E+39</v>
      </c>
      <c r="F12" s="15">
        <f t="shared" si="3"/>
        <v>1.2907063669224102E+40</v>
      </c>
      <c r="H12" s="18">
        <f t="shared" si="4"/>
        <v>1.5302279774818697E+40</v>
      </c>
      <c r="I12" s="16">
        <v>128.41</v>
      </c>
      <c r="J12" s="45">
        <v>1</v>
      </c>
      <c r="K12" s="19">
        <f t="shared" si="5"/>
        <v>129.71806526284615</v>
      </c>
      <c r="L12" s="16">
        <f t="shared" si="6"/>
        <v>1.7110347318647843</v>
      </c>
    </row>
    <row r="13" spans="1:23" x14ac:dyDescent="0.25">
      <c r="A13" s="16">
        <v>2.95</v>
      </c>
      <c r="B13" s="45">
        <f t="shared" si="0"/>
        <v>2950</v>
      </c>
      <c r="C13" s="16">
        <f t="shared" si="1"/>
        <v>0.67422737601032701</v>
      </c>
      <c r="D13" s="15">
        <f t="shared" si="2"/>
        <v>9.1027488610000011E+19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2.9006922640796565E+39</v>
      </c>
      <c r="F13" s="15">
        <f t="shared" si="3"/>
        <v>1.9441124301024686E+40</v>
      </c>
      <c r="H13" s="18">
        <f t="shared" si="4"/>
        <v>2.2341816565104344E+40</v>
      </c>
      <c r="I13" s="16">
        <v>127.37</v>
      </c>
      <c r="J13" s="45">
        <v>1</v>
      </c>
      <c r="K13" s="19">
        <f t="shared" si="5"/>
        <v>140.35778160814792</v>
      </c>
      <c r="L13" s="16">
        <f t="shared" si="6"/>
        <v>168.68247110094518</v>
      </c>
    </row>
    <row r="14" spans="1:23" x14ac:dyDescent="0.25">
      <c r="A14" s="16">
        <v>3.63</v>
      </c>
      <c r="B14" s="45">
        <f t="shared" si="0"/>
        <v>3630</v>
      </c>
      <c r="C14" s="16">
        <f t="shared" si="1"/>
        <v>0.82964249997202943</v>
      </c>
      <c r="D14" s="15">
        <f t="shared" si="2"/>
        <v>1.12010096154E+20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3.3874773820626284E+39</v>
      </c>
      <c r="F14" s="15">
        <f t="shared" si="3"/>
        <v>2.7511272212504455E+40</v>
      </c>
      <c r="H14" s="18">
        <f t="shared" si="4"/>
        <v>3.0898749594567084E+40</v>
      </c>
      <c r="I14" s="16">
        <v>132.36000000000001</v>
      </c>
      <c r="J14" s="45">
        <v>1</v>
      </c>
      <c r="K14" s="19">
        <f t="shared" si="5"/>
        <v>149.98494419123389</v>
      </c>
      <c r="L14" s="16">
        <f t="shared" si="6"/>
        <v>310.63865774410885</v>
      </c>
    </row>
    <row r="15" spans="1:23" x14ac:dyDescent="0.25">
      <c r="A15" s="16">
        <v>4.37</v>
      </c>
      <c r="B15" s="45">
        <f t="shared" si="0"/>
        <v>4370</v>
      </c>
      <c r="C15" s="16">
        <f t="shared" si="1"/>
        <v>0.99877072310682335</v>
      </c>
      <c r="D15" s="15">
        <f t="shared" si="2"/>
        <v>1.34844110246E+20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3.8534112883762651E+39</v>
      </c>
      <c r="F15" s="15">
        <f t="shared" si="3"/>
        <v>3.706965362080219E+40</v>
      </c>
      <c r="H15" s="18">
        <f t="shared" si="4"/>
        <v>4.0923064909178457E+40</v>
      </c>
      <c r="I15" s="16">
        <v>158.4</v>
      </c>
      <c r="J15" s="45">
        <v>1</v>
      </c>
      <c r="K15" s="19">
        <f t="shared" si="5"/>
        <v>158.6569548668422</v>
      </c>
      <c r="L15" s="16">
        <f t="shared" si="6"/>
        <v>6.6025803593889154E-2</v>
      </c>
    </row>
    <row r="16" spans="1:23" x14ac:dyDescent="0.25">
      <c r="A16" s="16">
        <v>5.19</v>
      </c>
      <c r="B16" s="45">
        <f t="shared" si="0"/>
        <v>5190</v>
      </c>
      <c r="C16" s="16">
        <f t="shared" si="1"/>
        <v>1.1861830784724057</v>
      </c>
      <c r="D16" s="15">
        <f t="shared" si="2"/>
        <v>1.6014666640200001E+20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4.3005410786420388E+39</v>
      </c>
      <c r="F16" s="15">
        <f t="shared" si="3"/>
        <v>4.8276397174759227E+40</v>
      </c>
      <c r="H16" s="18">
        <f t="shared" si="4"/>
        <v>5.2576938253401261E+40</v>
      </c>
      <c r="I16" s="16">
        <v>179.31</v>
      </c>
      <c r="J16" s="45">
        <v>1</v>
      </c>
      <c r="K16" s="19">
        <f t="shared" si="5"/>
        <v>166.5871155754794</v>
      </c>
      <c r="L16" s="16">
        <f t="shared" si="6"/>
        <v>161.87178807970889</v>
      </c>
    </row>
    <row r="17" spans="1:29" x14ac:dyDescent="0.25">
      <c r="A17" s="16">
        <v>6.09</v>
      </c>
      <c r="B17" s="45">
        <f t="shared" si="0"/>
        <v>6090</v>
      </c>
      <c r="C17" s="16">
        <f t="shared" si="1"/>
        <v>1.3918795660687766</v>
      </c>
      <c r="D17" s="15">
        <f t="shared" si="2"/>
        <v>1.87917764622E+20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4.7280100227465101E+39</v>
      </c>
      <c r="F17" s="15">
        <f t="shared" si="3"/>
        <v>6.0967230899900853E+40</v>
      </c>
      <c r="H17" s="18">
        <f t="shared" si="4"/>
        <v>6.5695240922647362E+40</v>
      </c>
      <c r="I17" s="16">
        <v>193.52</v>
      </c>
      <c r="J17" s="45">
        <v>1</v>
      </c>
      <c r="K17" s="19">
        <f t="shared" si="5"/>
        <v>173.73812382184471</v>
      </c>
      <c r="L17" s="16">
        <f t="shared" si="6"/>
        <v>391.32262512786815</v>
      </c>
    </row>
    <row r="18" spans="1:29" x14ac:dyDescent="0.25">
      <c r="A18" s="16">
        <v>7.09</v>
      </c>
      <c r="B18" s="45">
        <f t="shared" si="0"/>
        <v>7090</v>
      </c>
      <c r="C18" s="16">
        <f t="shared" si="1"/>
        <v>1.6204312189536332</v>
      </c>
      <c r="D18" s="15">
        <f t="shared" si="2"/>
        <v>2.1877454042199998E+20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5.1377584380932334E+39</v>
      </c>
      <c r="F18" s="15">
        <f t="shared" si="3"/>
        <v>7.5173370268346335E+40</v>
      </c>
      <c r="H18" s="18">
        <f t="shared" si="4"/>
        <v>8.0311128706439569E+40</v>
      </c>
      <c r="I18" s="16">
        <v>199.81</v>
      </c>
      <c r="J18" s="45">
        <v>1</v>
      </c>
      <c r="K18" s="19">
        <f t="shared" si="5"/>
        <v>180.216838142467</v>
      </c>
      <c r="L18" s="16">
        <f t="shared" si="6"/>
        <v>383.8919915754862</v>
      </c>
    </row>
    <row r="19" spans="1:29" x14ac:dyDescent="0.25">
      <c r="A19" s="16">
        <v>8.18</v>
      </c>
      <c r="B19" s="45">
        <f t="shared" si="0"/>
        <v>8180</v>
      </c>
      <c r="C19" s="16">
        <f t="shared" si="1"/>
        <v>1.8695525205981269</v>
      </c>
      <c r="D19" s="15">
        <f t="shared" si="2"/>
        <v>2.5240842604399998E+20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5.5226020990357088E+39</v>
      </c>
      <c r="F19" s="15">
        <f t="shared" si="3"/>
        <v>9.0414950955212705E+40</v>
      </c>
      <c r="H19" s="18">
        <f t="shared" si="4"/>
        <v>9.5937553054248411E+40</v>
      </c>
      <c r="I19" s="16">
        <v>198.57</v>
      </c>
      <c r="J19" s="45">
        <v>1</v>
      </c>
      <c r="K19" s="19">
        <f t="shared" si="5"/>
        <v>185.93488211711136</v>
      </c>
      <c r="L19" s="16">
        <f t="shared" si="6"/>
        <v>159.64620391449222</v>
      </c>
    </row>
    <row r="20" spans="1:29" s="17" customFormat="1" x14ac:dyDescent="0.25">
      <c r="A20" s="16">
        <v>9.3800000000000008</v>
      </c>
      <c r="B20" s="45">
        <f t="shared" si="0"/>
        <v>9380</v>
      </c>
      <c r="C20" s="16">
        <f t="shared" si="1"/>
        <v>2.143814504059955</v>
      </c>
      <c r="D20" s="15">
        <f t="shared" si="2"/>
        <v>2.8943655700400003E+20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5.8862911211241894E+39</v>
      </c>
      <c r="F20" s="15">
        <f t="shared" si="3"/>
        <v>1.0655466944056815E+41</v>
      </c>
      <c r="G20" s="15"/>
      <c r="H20" s="18">
        <f t="shared" si="4"/>
        <v>1.1244096056169235E+41</v>
      </c>
      <c r="I20" s="16">
        <v>193.33</v>
      </c>
      <c r="J20" s="45">
        <v>1</v>
      </c>
      <c r="K20" s="19">
        <f t="shared" si="5"/>
        <v>191.00328618953293</v>
      </c>
      <c r="L20" s="16">
        <f t="shared" si="6"/>
        <v>5.4135971558182554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10.7</v>
      </c>
      <c r="B21" s="45">
        <f t="shared" si="0"/>
        <v>10700</v>
      </c>
      <c r="C21" s="16">
        <f t="shared" si="1"/>
        <v>2.4455026858679654</v>
      </c>
      <c r="D21" s="15">
        <f t="shared" si="2"/>
        <v>3.3016750105999999E+20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6.2281147255572695E+39</v>
      </c>
      <c r="F21" s="15">
        <f t="shared" si="3"/>
        <v>1.2323373399258105E+41</v>
      </c>
      <c r="G21" s="15"/>
      <c r="H21" s="18">
        <f t="shared" si="4"/>
        <v>1.2946184871813832E+41</v>
      </c>
      <c r="I21" s="16">
        <v>194.91</v>
      </c>
      <c r="J21" s="45">
        <v>1</v>
      </c>
      <c r="K21" s="19">
        <f t="shared" si="5"/>
        <v>195.47288851949071</v>
      </c>
      <c r="L21" s="16">
        <f t="shared" si="6"/>
        <v>0.31684348537444645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12.15</v>
      </c>
      <c r="B22" s="45">
        <f t="shared" si="0"/>
        <v>12150</v>
      </c>
      <c r="C22" s="16">
        <f t="shared" si="1"/>
        <v>2.7769025825510076</v>
      </c>
      <c r="D22" s="15">
        <f t="shared" si="2"/>
        <v>3.7490982597000004E+20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6.5475634620543647E+39</v>
      </c>
      <c r="F22" s="15">
        <f t="shared" si="3"/>
        <v>1.4003246433510112E+41</v>
      </c>
      <c r="G22" s="15"/>
      <c r="H22" s="18">
        <f t="shared" si="4"/>
        <v>1.4658002779715548E+41</v>
      </c>
      <c r="I22" s="16">
        <v>197.32</v>
      </c>
      <c r="J22" s="45">
        <v>1</v>
      </c>
      <c r="K22" s="19">
        <f t="shared" si="5"/>
        <v>199.41275210633583</v>
      </c>
      <c r="L22" s="16">
        <f t="shared" si="6"/>
        <v>4.3796113785730819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x14ac:dyDescent="0.25">
      <c r="I23" s="45"/>
      <c r="J23" s="45"/>
      <c r="L23" s="16">
        <f>SUM(L8:L22)/(COUNT(L8:L22)-4)</f>
        <v>199.6449570704107</v>
      </c>
    </row>
    <row r="24" spans="1:29" x14ac:dyDescent="0.25">
      <c r="I24" s="45"/>
      <c r="J24" s="45"/>
      <c r="L24" s="16"/>
    </row>
    <row r="25" spans="1:29" ht="21" x14ac:dyDescent="0.35">
      <c r="A25" s="48" t="s">
        <v>564</v>
      </c>
      <c r="I25" s="45"/>
      <c r="J25" s="45"/>
      <c r="L25" s="16"/>
    </row>
    <row r="26" spans="1:29" x14ac:dyDescent="0.25">
      <c r="A26" s="16" t="s">
        <v>30</v>
      </c>
      <c r="D26" s="16">
        <v>0.99</v>
      </c>
      <c r="E26" s="17">
        <f>$D$26*1000</f>
        <v>990</v>
      </c>
      <c r="F26" s="17"/>
      <c r="G26" s="17"/>
      <c r="H26" s="15"/>
      <c r="K26" s="15"/>
      <c r="L26" s="17"/>
      <c r="M26" s="45"/>
    </row>
    <row r="27" spans="1:29" x14ac:dyDescent="0.25">
      <c r="A27" s="16" t="s">
        <v>16</v>
      </c>
      <c r="D27" s="16">
        <v>0.15</v>
      </c>
      <c r="E27" s="15">
        <f>D27*10000000000*SolarMass</f>
        <v>2.98365E+39</v>
      </c>
      <c r="F27" s="43"/>
      <c r="G27" s="43"/>
      <c r="H27" s="15"/>
      <c r="K27" s="15"/>
      <c r="L27" s="17"/>
      <c r="M27" s="45"/>
    </row>
    <row r="28" spans="1:29" x14ac:dyDescent="0.25">
      <c r="A28" s="16" t="s">
        <v>569</v>
      </c>
      <c r="D28" s="16">
        <v>3.8</v>
      </c>
      <c r="E28" s="15">
        <f>D28*1000</f>
        <v>3800</v>
      </c>
      <c r="H28" s="15"/>
      <c r="K28" s="15"/>
      <c r="L28" s="17"/>
      <c r="M28" s="45"/>
    </row>
    <row r="29" spans="1:29" x14ac:dyDescent="0.25">
      <c r="A29" s="16" t="s">
        <v>17</v>
      </c>
      <c r="D29" s="45">
        <v>4</v>
      </c>
      <c r="G29" s="16"/>
      <c r="H29" s="15"/>
      <c r="K29" s="15"/>
      <c r="L29" s="17"/>
      <c r="M29" s="45"/>
    </row>
    <row r="30" spans="1:29" x14ac:dyDescent="0.25">
      <c r="A30" s="16" t="s">
        <v>570</v>
      </c>
      <c r="D30" s="16">
        <v>20.6</v>
      </c>
      <c r="E30" s="17">
        <f>D30*1000</f>
        <v>20600</v>
      </c>
      <c r="H30" s="15"/>
      <c r="K30" s="15"/>
      <c r="L30" s="17"/>
      <c r="M30" s="45"/>
    </row>
    <row r="31" spans="1:29" x14ac:dyDescent="0.25">
      <c r="A31" s="16" t="s">
        <v>571</v>
      </c>
      <c r="D31" s="16">
        <v>14.1</v>
      </c>
      <c r="G31" s="9"/>
      <c r="H31" s="15"/>
      <c r="K31" s="15"/>
      <c r="L31" s="17"/>
      <c r="M31" s="45"/>
    </row>
    <row r="32" spans="1:29" x14ac:dyDescent="0.25">
      <c r="D32" s="12"/>
      <c r="H32" s="15"/>
      <c r="K32" s="15"/>
      <c r="L32" s="17"/>
      <c r="M32" s="45"/>
    </row>
    <row r="33" spans="1:29" x14ac:dyDescent="0.25">
      <c r="A33" s="16" t="s">
        <v>567</v>
      </c>
      <c r="D33" s="17">
        <f>(D29*10000000000)/(2*PI()*DiskScaleLengthPc^2)</f>
        <v>440.87241853710617</v>
      </c>
      <c r="H33" s="15"/>
      <c r="K33" s="15"/>
      <c r="L33" s="17"/>
      <c r="M33" s="45"/>
    </row>
    <row r="34" spans="1:29" x14ac:dyDescent="0.25">
      <c r="A34" s="16" t="s">
        <v>565</v>
      </c>
      <c r="D34" s="9">
        <f>(D31*10000000000)/(4*PI()*(LCDMHaloScaleLengthPc)^3*(LN(2)-1/2))</f>
        <v>6.6453707346811703E-3</v>
      </c>
      <c r="H34" s="15"/>
      <c r="K34" s="15"/>
      <c r="L34" s="17"/>
      <c r="M34" s="45"/>
    </row>
    <row r="35" spans="1:29" x14ac:dyDescent="0.25">
      <c r="H35" s="15"/>
      <c r="K35" s="15"/>
      <c r="L35" s="17"/>
      <c r="M35" s="45"/>
    </row>
    <row r="36" spans="1:29" ht="45" x14ac:dyDescent="0.25">
      <c r="A36" s="7" t="s">
        <v>20</v>
      </c>
      <c r="B36" s="3" t="s">
        <v>19</v>
      </c>
      <c r="C36" s="7" t="s">
        <v>27</v>
      </c>
      <c r="D36" s="4" t="s">
        <v>649</v>
      </c>
      <c r="E36" s="4" t="s">
        <v>21</v>
      </c>
      <c r="F36" s="4" t="s">
        <v>22</v>
      </c>
      <c r="G36" s="4" t="s">
        <v>28</v>
      </c>
      <c r="H36" s="4" t="s">
        <v>23</v>
      </c>
      <c r="I36" s="7" t="s">
        <v>645</v>
      </c>
      <c r="J36" s="7" t="s">
        <v>646</v>
      </c>
      <c r="K36" s="25" t="s">
        <v>647</v>
      </c>
      <c r="L36" s="3" t="s">
        <v>648</v>
      </c>
      <c r="M36" s="3"/>
      <c r="N36" s="3"/>
      <c r="O36" s="3"/>
      <c r="P36" s="3"/>
      <c r="Q36" s="3"/>
      <c r="R36" s="3"/>
      <c r="S36" s="3"/>
      <c r="T36" s="3"/>
      <c r="U36" s="3"/>
      <c r="V36" s="7"/>
      <c r="W36" s="7"/>
      <c r="X36" s="3"/>
      <c r="Y36" s="3"/>
      <c r="Z36" s="3"/>
      <c r="AA36" s="3"/>
      <c r="AB36" s="3"/>
      <c r="AC36" s="3"/>
    </row>
    <row r="37" spans="1:29" x14ac:dyDescent="0.25">
      <c r="A37" s="16">
        <v>0.38</v>
      </c>
      <c r="B37" s="45">
        <f>A37*1000</f>
        <v>380</v>
      </c>
      <c r="C37" s="16">
        <f>B37/LCDMBulgeEffectiveRadius</f>
        <v>0.38383838383838381</v>
      </c>
      <c r="D37" s="15">
        <f>A37*kpc</f>
        <v>1.1725574804E+19</v>
      </c>
      <c r="E37" s="15">
        <f>FORECAST($C37, OFFSET('De Vaucouleurs Deprojection'!$F$3:$F$126, MATCH($C37, 'De Vaucouleurs Deprojection'!$A$3:$A$126,1)-1,0,2), OFFSET('De Vaucouleurs Deprojection'!$A$3:$A$126, MATCH($C37, 'De Vaucouleurs Deprojection'!$A$3:$A$126,1)-1,0,2))*LCDMTotalBulgeMass</f>
        <v>5.75802256969697E+38</v>
      </c>
      <c r="F37" s="15">
        <f t="shared" ref="F37:F51" si="7">2*PI()*LCDMDiskSurfaceDensity*LCDMScaleLength*(LCDMScaleLength-EXP(-RadiusPc/LCDMScaleLength)*(RadiusPc+LCDMScaleLength))*SolarMass</f>
        <v>3.7226723852560801E+38</v>
      </c>
      <c r="G37" s="15">
        <f t="shared" ref="G37:G51" si="8">4*PI()*LCDMHaloRepresentativeDensity*LCDMHaloScaleLengthPc^3*(LN(1+RadiusPc/LCDMHaloScaleLengthPc)-RadiusPc/(RadiusPc+LCDMHaloScaleLengthPc))*SolarMass</f>
        <v>2.4110027084183003E+38</v>
      </c>
      <c r="H37" s="15">
        <f t="shared" ref="H37:H51" si="9">BulgeMass+DiskMass+HaloMass</f>
        <v>1.189169766337135E+39</v>
      </c>
      <c r="I37" s="16">
        <v>58.88</v>
      </c>
      <c r="J37" s="45">
        <v>1</v>
      </c>
      <c r="K37" s="19">
        <f t="shared" ref="K37:K51" si="10">SQRT(TotalMass*GravitationalConstant/RadiusKm)/km</f>
        <v>82.271717323882882</v>
      </c>
      <c r="L37" s="16">
        <f t="shared" ref="L37:L51" si="11">(ObservedVelocity-ModelVelocity)^2/(VelocityError)^2</f>
        <v>547.17243936044247</v>
      </c>
      <c r="M37" s="45"/>
    </row>
    <row r="38" spans="1:29" x14ac:dyDescent="0.25">
      <c r="A38" s="16">
        <v>0.8</v>
      </c>
      <c r="B38" s="45">
        <f t="shared" ref="B38:B51" si="12">A38*1000</f>
        <v>800</v>
      </c>
      <c r="C38" s="16">
        <f t="shared" ref="C38:C51" si="13">B38/LCDMBulgeEffectiveRadius</f>
        <v>0.80808080808080807</v>
      </c>
      <c r="D38" s="15">
        <f t="shared" ref="D38:D51" si="14">A38*kpc</f>
        <v>2.468542064E+19</v>
      </c>
      <c r="E38" s="15">
        <f>FORECAST($C38, OFFSET('De Vaucouleurs Deprojection'!$F$3:$F$126, MATCH($C38, 'De Vaucouleurs Deprojection'!$A$3:$A$126,1)-1,0,2), OFFSET('De Vaucouleurs Deprojection'!$A$3:$A$126, MATCH($C38, 'De Vaucouleurs Deprojection'!$A$3:$A$126,1)-1,0,2))*LCDMTotalBulgeMass</f>
        <v>1.0685342731212118E+39</v>
      </c>
      <c r="F38" s="15">
        <f t="shared" si="7"/>
        <v>1.5342120784335341E+39</v>
      </c>
      <c r="G38" s="15">
        <f t="shared" si="8"/>
        <v>1.0406525950018295E+39</v>
      </c>
      <c r="H38" s="15">
        <f t="shared" si="9"/>
        <v>3.6433989465565751E+39</v>
      </c>
      <c r="I38" s="16">
        <v>110.44</v>
      </c>
      <c r="J38" s="45">
        <v>1</v>
      </c>
      <c r="K38" s="19">
        <f t="shared" si="10"/>
        <v>99.249608485178143</v>
      </c>
      <c r="L38" s="16">
        <f t="shared" si="11"/>
        <v>125.22486225499696</v>
      </c>
      <c r="M38" s="45"/>
    </row>
    <row r="39" spans="1:29" x14ac:dyDescent="0.25">
      <c r="A39" s="16">
        <v>1.27</v>
      </c>
      <c r="B39" s="45">
        <f t="shared" si="12"/>
        <v>1270</v>
      </c>
      <c r="C39" s="16">
        <f t="shared" si="13"/>
        <v>1.2828282828282829</v>
      </c>
      <c r="D39" s="15">
        <f t="shared" si="14"/>
        <v>3.9188105266000003E+19</v>
      </c>
      <c r="E39" s="15">
        <f>FORECAST($C39, OFFSET('De Vaucouleurs Deprojection'!$F$3:$F$126, MATCH($C39, 'De Vaucouleurs Deprojection'!$A$3:$A$126,1)-1,0,2), OFFSET('De Vaucouleurs Deprojection'!$A$3:$A$126, MATCH($C39, 'De Vaucouleurs Deprojection'!$A$3:$A$126,1)-1,0,2))*LCDMTotalBulgeMass</f>
        <v>1.4487980545909091E+39</v>
      </c>
      <c r="F39" s="15">
        <f t="shared" si="7"/>
        <v>3.5672213048597607E+39</v>
      </c>
      <c r="G39" s="15">
        <f t="shared" si="8"/>
        <v>2.547427397970495E+39</v>
      </c>
      <c r="H39" s="15">
        <f t="shared" si="9"/>
        <v>7.5634467574211648E+39</v>
      </c>
      <c r="I39" s="16">
        <v>112.51</v>
      </c>
      <c r="J39" s="45">
        <v>1</v>
      </c>
      <c r="K39" s="19">
        <f t="shared" si="10"/>
        <v>113.49544920272872</v>
      </c>
      <c r="L39" s="16">
        <f t="shared" si="11"/>
        <v>0.97111013115866296</v>
      </c>
      <c r="M39" s="45"/>
    </row>
    <row r="40" spans="1:29" x14ac:dyDescent="0.25">
      <c r="A40" s="16">
        <v>1.77</v>
      </c>
      <c r="B40" s="45">
        <f t="shared" si="12"/>
        <v>1770</v>
      </c>
      <c r="C40" s="16">
        <f t="shared" si="13"/>
        <v>1.7878787878787878</v>
      </c>
      <c r="D40" s="15">
        <f t="shared" si="14"/>
        <v>5.4616493165999997E+19</v>
      </c>
      <c r="E40" s="15">
        <f>FORECAST($C40, OFFSET('De Vaucouleurs Deprojection'!$F$3:$F$126, MATCH($C40, 'De Vaucouleurs Deprojection'!$A$3:$A$126,1)-1,0,2), OFFSET('De Vaucouleurs Deprojection'!$A$3:$A$126, MATCH($C40, 'De Vaucouleurs Deprojection'!$A$3:$A$126,1)-1,0,2))*LCDMTotalBulgeMass</f>
        <v>1.7362202921818178E+39</v>
      </c>
      <c r="F40" s="15">
        <f t="shared" si="7"/>
        <v>6.3661358132127034E+39</v>
      </c>
      <c r="G40" s="15">
        <f t="shared" si="8"/>
        <v>4.8003570646620229E+39</v>
      </c>
      <c r="H40" s="15">
        <f t="shared" si="9"/>
        <v>1.2902713170056544E+40</v>
      </c>
      <c r="I40" s="16">
        <v>116.47</v>
      </c>
      <c r="J40" s="45">
        <v>1</v>
      </c>
      <c r="K40" s="19">
        <f t="shared" si="10"/>
        <v>125.56665346507619</v>
      </c>
      <c r="L40" s="16">
        <f t="shared" si="11"/>
        <v>82.749104263682597</v>
      </c>
      <c r="M40" s="45"/>
    </row>
    <row r="41" spans="1:29" x14ac:dyDescent="0.25">
      <c r="A41" s="16">
        <v>2.33</v>
      </c>
      <c r="B41" s="45">
        <f t="shared" si="12"/>
        <v>2330</v>
      </c>
      <c r="C41" s="16">
        <f t="shared" si="13"/>
        <v>2.3535353535353534</v>
      </c>
      <c r="D41" s="15">
        <f t="shared" si="14"/>
        <v>7.1896287614000005E+19</v>
      </c>
      <c r="E41" s="15">
        <f>FORECAST($C41, OFFSET('De Vaucouleurs Deprojection'!$F$3:$F$126, MATCH($C41, 'De Vaucouleurs Deprojection'!$A$3:$A$126,1)-1,0,2), OFFSET('De Vaucouleurs Deprojection'!$A$3:$A$126, MATCH($C41, 'De Vaucouleurs Deprojection'!$A$3:$A$126,1)-1,0,2))*LCDMTotalBulgeMass</f>
        <v>1.9696661916212122E+39</v>
      </c>
      <c r="F41" s="15">
        <f t="shared" si="7"/>
        <v>1.0045179274121755E+40</v>
      </c>
      <c r="G41" s="15">
        <f t="shared" si="8"/>
        <v>8.0465180451408898E+39</v>
      </c>
      <c r="H41" s="15">
        <f t="shared" si="9"/>
        <v>2.0061363510883856E+40</v>
      </c>
      <c r="I41" s="16">
        <v>128.41</v>
      </c>
      <c r="J41" s="45">
        <v>1</v>
      </c>
      <c r="K41" s="19">
        <f t="shared" si="10"/>
        <v>136.46544468257591</v>
      </c>
      <c r="L41" s="16">
        <f t="shared" si="11"/>
        <v>64.890189034040503</v>
      </c>
      <c r="M41" s="45"/>
    </row>
    <row r="42" spans="1:29" x14ac:dyDescent="0.25">
      <c r="A42" s="16">
        <v>2.95</v>
      </c>
      <c r="B42" s="45">
        <f t="shared" si="12"/>
        <v>2950</v>
      </c>
      <c r="C42" s="16">
        <f t="shared" si="13"/>
        <v>2.9797979797979797</v>
      </c>
      <c r="D42" s="15">
        <f t="shared" si="14"/>
        <v>9.1027488610000011E+19</v>
      </c>
      <c r="E42" s="15">
        <f>FORECAST($C42, OFFSET('De Vaucouleurs Deprojection'!$F$3:$F$126, MATCH($C42, 'De Vaucouleurs Deprojection'!$A$3:$A$126,1)-1,0,2), OFFSET('De Vaucouleurs Deprojection'!$A$3:$A$126, MATCH($C42, 'De Vaucouleurs Deprojection'!$A$3:$A$126,1)-1,0,2))*LCDMTotalBulgeMass</f>
        <v>2.1591487617575755E+39</v>
      </c>
      <c r="F42" s="15">
        <f t="shared" si="7"/>
        <v>1.4537987774833546E+40</v>
      </c>
      <c r="G42" s="15">
        <f t="shared" si="8"/>
        <v>1.2443293181146434E+40</v>
      </c>
      <c r="H42" s="15">
        <f t="shared" si="9"/>
        <v>2.9140429717737552E+40</v>
      </c>
      <c r="I42" s="16">
        <v>127.37</v>
      </c>
      <c r="J42" s="45">
        <v>1</v>
      </c>
      <c r="K42" s="19">
        <f t="shared" si="10"/>
        <v>146.16971475147682</v>
      </c>
      <c r="L42" s="16">
        <f t="shared" si="11"/>
        <v>353.42927473689491</v>
      </c>
      <c r="M42" s="45"/>
    </row>
    <row r="43" spans="1:29" x14ac:dyDescent="0.25">
      <c r="A43" s="16">
        <v>3.63</v>
      </c>
      <c r="B43" s="45">
        <f t="shared" si="12"/>
        <v>3630</v>
      </c>
      <c r="C43" s="16">
        <f t="shared" si="13"/>
        <v>3.6666666666666665</v>
      </c>
      <c r="D43" s="15">
        <f t="shared" si="14"/>
        <v>1.12010096154E+20</v>
      </c>
      <c r="E43" s="15">
        <f>FORECAST($C43, OFFSET('De Vaucouleurs Deprojection'!$F$3:$F$126, MATCH($C43, 'De Vaucouleurs Deprojection'!$A$3:$A$126,1)-1,0,2), OFFSET('De Vaucouleurs Deprojection'!$A$3:$A$126, MATCH($C43, 'De Vaucouleurs Deprojection'!$A$3:$A$126,1)-1,0,2))*LCDMTotalBulgeMass</f>
        <v>2.3125574964999998E+39</v>
      </c>
      <c r="F43" s="15">
        <f t="shared" si="7"/>
        <v>1.9715081399446077E+40</v>
      </c>
      <c r="G43" s="15">
        <f t="shared" si="8"/>
        <v>1.813079807584946E+40</v>
      </c>
      <c r="H43" s="15">
        <f t="shared" si="9"/>
        <v>4.0158436971795539E+40</v>
      </c>
      <c r="I43" s="16">
        <v>132.36000000000001</v>
      </c>
      <c r="J43" s="45">
        <v>1</v>
      </c>
      <c r="K43" s="19">
        <f t="shared" si="10"/>
        <v>154.68760647597347</v>
      </c>
      <c r="L43" s="16">
        <f t="shared" si="11"/>
        <v>498.5220109459317</v>
      </c>
      <c r="M43" s="45"/>
    </row>
    <row r="44" spans="1:29" x14ac:dyDescent="0.25">
      <c r="A44" s="16">
        <v>4.37</v>
      </c>
      <c r="B44" s="45">
        <f t="shared" si="12"/>
        <v>4370</v>
      </c>
      <c r="C44" s="16">
        <f t="shared" si="13"/>
        <v>4.4141414141414144</v>
      </c>
      <c r="D44" s="15">
        <f t="shared" si="14"/>
        <v>1.34844110246E+20</v>
      </c>
      <c r="E44" s="15">
        <f>FORECAST($C44, OFFSET('De Vaucouleurs Deprojection'!$F$3:$F$126, MATCH($C44, 'De Vaucouleurs Deprojection'!$A$3:$A$126,1)-1,0,2), OFFSET('De Vaucouleurs Deprojection'!$A$3:$A$126, MATCH($C44, 'De Vaucouleurs Deprojection'!$A$3:$A$126,1)-1,0,2))*LCDMTotalBulgeMass</f>
        <v>2.4368415879393942E+39</v>
      </c>
      <c r="F44" s="15">
        <f t="shared" si="7"/>
        <v>2.5399290974418759E+40</v>
      </c>
      <c r="G44" s="15">
        <f t="shared" si="8"/>
        <v>2.5228276735857137E+40</v>
      </c>
      <c r="H44" s="15">
        <f t="shared" si="9"/>
        <v>5.3064409298215294E+40</v>
      </c>
      <c r="I44" s="16">
        <v>158.4</v>
      </c>
      <c r="J44" s="45">
        <v>1</v>
      </c>
      <c r="K44" s="19">
        <f t="shared" si="10"/>
        <v>162.0620693715174</v>
      </c>
      <c r="L44" s="16">
        <f t="shared" si="11"/>
        <v>13.410752081805771</v>
      </c>
      <c r="M44" s="45"/>
    </row>
    <row r="45" spans="1:29" x14ac:dyDescent="0.25">
      <c r="A45" s="16">
        <v>5.19</v>
      </c>
      <c r="B45" s="45">
        <f t="shared" si="12"/>
        <v>5190</v>
      </c>
      <c r="C45" s="16">
        <f t="shared" si="13"/>
        <v>5.2424242424242422</v>
      </c>
      <c r="D45" s="15">
        <f t="shared" si="14"/>
        <v>1.6014666640200001E+20</v>
      </c>
      <c r="E45" s="15">
        <f>FORECAST($C45, OFFSET('De Vaucouleurs Deprojection'!$F$3:$F$126, MATCH($C45, 'De Vaucouleurs Deprojection'!$A$3:$A$126,1)-1,0,2), OFFSET('De Vaucouleurs Deprojection'!$A$3:$A$126, MATCH($C45, 'De Vaucouleurs Deprojection'!$A$3:$A$126,1)-1,0,2))*LCDMTotalBulgeMass</f>
        <v>2.5366504066363636E+39</v>
      </c>
      <c r="F45" s="15">
        <f t="shared" si="7"/>
        <v>3.153120353355751E+40</v>
      </c>
      <c r="G45" s="15">
        <f t="shared" si="8"/>
        <v>3.4058218379753923E+40</v>
      </c>
      <c r="H45" s="15">
        <f t="shared" si="9"/>
        <v>6.8126072319947804E+40</v>
      </c>
      <c r="I45" s="16">
        <v>179.31</v>
      </c>
      <c r="J45" s="45">
        <v>1</v>
      </c>
      <c r="K45" s="19">
        <f t="shared" si="10"/>
        <v>168.49748704626066</v>
      </c>
      <c r="L45" s="16">
        <f t="shared" si="11"/>
        <v>116.9104363747811</v>
      </c>
      <c r="M45" s="45"/>
    </row>
    <row r="46" spans="1:29" x14ac:dyDescent="0.25">
      <c r="A46" s="16">
        <v>6.09</v>
      </c>
      <c r="B46" s="45">
        <f t="shared" si="12"/>
        <v>6090</v>
      </c>
      <c r="C46" s="16">
        <f t="shared" si="13"/>
        <v>6.1515151515151514</v>
      </c>
      <c r="D46" s="15">
        <f t="shared" si="14"/>
        <v>1.87917764622E+20</v>
      </c>
      <c r="E46" s="15">
        <f>FORECAST($C46, OFFSET('De Vaucouleurs Deprojection'!$F$3:$F$126, MATCH($C46, 'De Vaucouleurs Deprojection'!$A$3:$A$126,1)-1,0,2), OFFSET('De Vaucouleurs Deprojection'!$A$3:$A$126, MATCH($C46, 'De Vaucouleurs Deprojection'!$A$3:$A$126,1)-1,0,2))*LCDMTotalBulgeMass</f>
        <v>2.622633774818182E+39</v>
      </c>
      <c r="F46" s="15">
        <f t="shared" si="7"/>
        <v>3.7865997365776208E+40</v>
      </c>
      <c r="G46" s="15">
        <f t="shared" si="8"/>
        <v>4.4756466998172277E+40</v>
      </c>
      <c r="H46" s="15">
        <f t="shared" si="9"/>
        <v>8.5245098138766663E+40</v>
      </c>
      <c r="I46" s="16">
        <v>193.52</v>
      </c>
      <c r="J46" s="45">
        <v>1</v>
      </c>
      <c r="K46" s="19">
        <f t="shared" si="10"/>
        <v>173.99889600668118</v>
      </c>
      <c r="L46" s="16">
        <f t="shared" si="11"/>
        <v>381.07350111796842</v>
      </c>
      <c r="M46" s="45"/>
    </row>
    <row r="47" spans="1:29" x14ac:dyDescent="0.25">
      <c r="A47" s="16">
        <v>7.09</v>
      </c>
      <c r="B47" s="45">
        <f t="shared" si="12"/>
        <v>7090</v>
      </c>
      <c r="C47" s="16">
        <f t="shared" si="13"/>
        <v>7.1616161616161618</v>
      </c>
      <c r="D47" s="15">
        <f t="shared" si="14"/>
        <v>2.1877454042199998E+20</v>
      </c>
      <c r="E47" s="15">
        <f>FORECAST($C47, OFFSET('De Vaucouleurs Deprojection'!$F$3:$F$126, MATCH($C47, 'De Vaucouleurs Deprojection'!$A$3:$A$126,1)-1,0,2), OFFSET('De Vaucouleurs Deprojection'!$A$3:$A$126, MATCH($C47, 'De Vaucouleurs Deprojection'!$A$3:$A$126,1)-1,0,2))*LCDMTotalBulgeMass</f>
        <v>2.6929804059696969E+39</v>
      </c>
      <c r="F47" s="15">
        <f t="shared" si="7"/>
        <v>4.4273418130720306E+40</v>
      </c>
      <c r="G47" s="15">
        <f t="shared" si="8"/>
        <v>5.769237942181809E+40</v>
      </c>
      <c r="H47" s="15">
        <f t="shared" si="9"/>
        <v>1.0465877795850809E+41</v>
      </c>
      <c r="I47" s="16">
        <v>199.81</v>
      </c>
      <c r="J47" s="45">
        <v>1</v>
      </c>
      <c r="K47" s="19">
        <f t="shared" si="10"/>
        <v>178.68378510116565</v>
      </c>
      <c r="L47" s="16">
        <f t="shared" si="11"/>
        <v>446.31695595173039</v>
      </c>
      <c r="M47" s="45"/>
    </row>
    <row r="48" spans="1:29" x14ac:dyDescent="0.25">
      <c r="A48" s="16">
        <v>8.18</v>
      </c>
      <c r="B48" s="45">
        <f t="shared" si="12"/>
        <v>8180</v>
      </c>
      <c r="C48" s="16">
        <f t="shared" si="13"/>
        <v>8.262626262626263</v>
      </c>
      <c r="D48" s="15">
        <f t="shared" si="14"/>
        <v>2.5240842604399998E+20</v>
      </c>
      <c r="E48" s="15">
        <f>FORECAST($C48, OFFSET('De Vaucouleurs Deprojection'!$F$3:$F$126, MATCH($C48, 'De Vaucouleurs Deprojection'!$A$3:$A$126,1)-1,0,2), OFFSET('De Vaucouleurs Deprojection'!$A$3:$A$126, MATCH($C48, 'De Vaucouleurs Deprojection'!$A$3:$A$126,1)-1,0,2))*LCDMTotalBulgeMass</f>
        <v>2.7498225550151519E+39</v>
      </c>
      <c r="F48" s="15">
        <f t="shared" si="7"/>
        <v>5.0422371742925755E+40</v>
      </c>
      <c r="G48" s="15">
        <f t="shared" si="8"/>
        <v>7.2842288095413105E+40</v>
      </c>
      <c r="H48" s="15">
        <f t="shared" si="9"/>
        <v>1.2601448239335402E+41</v>
      </c>
      <c r="I48" s="16">
        <v>198.57</v>
      </c>
      <c r="J48" s="45">
        <v>1</v>
      </c>
      <c r="K48" s="19">
        <f t="shared" si="10"/>
        <v>182.53830339390672</v>
      </c>
      <c r="L48" s="16">
        <f t="shared" si="11"/>
        <v>257.01529606982268</v>
      </c>
      <c r="M48" s="45"/>
    </row>
    <row r="49" spans="1:29" x14ac:dyDescent="0.25">
      <c r="A49" s="16">
        <v>9.3800000000000008</v>
      </c>
      <c r="B49" s="45">
        <f t="shared" si="12"/>
        <v>9380</v>
      </c>
      <c r="C49" s="16">
        <f t="shared" si="13"/>
        <v>9.474747474747474</v>
      </c>
      <c r="D49" s="15">
        <f t="shared" si="14"/>
        <v>2.8943655700400003E+20</v>
      </c>
      <c r="E49" s="15">
        <f>FORECAST($C49, OFFSET('De Vaucouleurs Deprojection'!$F$3:$F$126, MATCH($C49, 'De Vaucouleurs Deprojection'!$A$3:$A$126,1)-1,0,2), OFFSET('De Vaucouleurs Deprojection'!$A$3:$A$126, MATCH($C49, 'De Vaucouleurs Deprojection'!$A$3:$A$126,1)-1,0,2))*LCDMTotalBulgeMass</f>
        <v>2.7964877451515152E+39</v>
      </c>
      <c r="F49" s="15">
        <f t="shared" si="7"/>
        <v>5.6184954284104073E+40</v>
      </c>
      <c r="G49" s="15">
        <f t="shared" si="8"/>
        <v>9.0557094720700069E+40</v>
      </c>
      <c r="H49" s="15">
        <f t="shared" si="9"/>
        <v>1.4953853674995566E+41</v>
      </c>
      <c r="I49" s="16">
        <v>193.33</v>
      </c>
      <c r="J49" s="45">
        <v>1</v>
      </c>
      <c r="K49" s="19">
        <f t="shared" si="10"/>
        <v>185.69301842786771</v>
      </c>
      <c r="L49" s="16">
        <f t="shared" si="11"/>
        <v>58.323487533088326</v>
      </c>
      <c r="M49" s="45"/>
    </row>
    <row r="50" spans="1:29" x14ac:dyDescent="0.25">
      <c r="A50" s="16">
        <v>10.7</v>
      </c>
      <c r="B50" s="45">
        <f t="shared" si="12"/>
        <v>10700</v>
      </c>
      <c r="C50" s="16">
        <f t="shared" si="13"/>
        <v>10.808080808080808</v>
      </c>
      <c r="D50" s="15">
        <f t="shared" si="14"/>
        <v>3.3016750105999999E+20</v>
      </c>
      <c r="E50" s="15">
        <f>FORECAST($C50, OFFSET('De Vaucouleurs Deprojection'!$F$3:$F$126, MATCH($C50, 'De Vaucouleurs Deprojection'!$A$3:$A$126,1)-1,0,2), OFFSET('De Vaucouleurs Deprojection'!$A$3:$A$126, MATCH($C50, 'De Vaucouleurs Deprojection'!$A$3:$A$126,1)-1,0,2))*LCDMTotalBulgeMass</f>
        <v>2.8350377086666668E+39</v>
      </c>
      <c r="F50" s="15">
        <f t="shared" si="7"/>
        <v>6.1391311443412624E+40</v>
      </c>
      <c r="G50" s="15">
        <f t="shared" si="8"/>
        <v>1.1104553165582222E+41</v>
      </c>
      <c r="H50" s="15">
        <f t="shared" si="9"/>
        <v>1.752718808079015E+41</v>
      </c>
      <c r="I50" s="16">
        <v>194.91</v>
      </c>
      <c r="J50" s="45">
        <v>1</v>
      </c>
      <c r="K50" s="19">
        <f t="shared" si="10"/>
        <v>188.22819005162935</v>
      </c>
      <c r="L50" s="16">
        <f t="shared" si="11"/>
        <v>44.646584186144878</v>
      </c>
      <c r="M50" s="45"/>
    </row>
    <row r="51" spans="1:29" x14ac:dyDescent="0.25">
      <c r="A51" s="16">
        <v>12.15</v>
      </c>
      <c r="B51" s="45">
        <f t="shared" si="12"/>
        <v>12150</v>
      </c>
      <c r="C51" s="16">
        <f t="shared" si="13"/>
        <v>12.272727272727273</v>
      </c>
      <c r="D51" s="15">
        <f t="shared" si="14"/>
        <v>3.7490982597000004E+20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2.8660101053181818E+39</v>
      </c>
      <c r="F51" s="15">
        <f t="shared" si="7"/>
        <v>6.5915207301967714E+40</v>
      </c>
      <c r="G51" s="15">
        <f t="shared" si="8"/>
        <v>1.3448996557407504E+41</v>
      </c>
      <c r="H51" s="15">
        <f t="shared" si="9"/>
        <v>2.0327118298136092E+41</v>
      </c>
      <c r="I51" s="16">
        <v>197.32</v>
      </c>
      <c r="J51" s="45">
        <v>1</v>
      </c>
      <c r="K51" s="19">
        <f t="shared" si="10"/>
        <v>190.22614194848299</v>
      </c>
      <c r="L51" s="16">
        <f t="shared" si="11"/>
        <v>50.322822055072614</v>
      </c>
      <c r="M51" s="45"/>
    </row>
    <row r="52" spans="1:29" x14ac:dyDescent="0.25">
      <c r="H52" s="15"/>
      <c r="K52" s="45"/>
      <c r="L52" s="16">
        <f>SUM(L37:L51)/(COUNT(L37:L51)-6)</f>
        <v>337.88653623306249</v>
      </c>
      <c r="M52" s="45"/>
    </row>
    <row r="53" spans="1:29" x14ac:dyDescent="0.25">
      <c r="H53" s="15"/>
      <c r="K53" s="45"/>
      <c r="L53" s="17"/>
      <c r="M53" s="45"/>
    </row>
    <row r="54" spans="1:29" x14ac:dyDescent="0.25">
      <c r="I54" s="45"/>
      <c r="J54" s="45"/>
      <c r="L54" s="16"/>
    </row>
    <row r="55" spans="1:29" x14ac:dyDescent="0.25">
      <c r="I55" s="45"/>
      <c r="J55" s="45"/>
      <c r="L55" s="16"/>
    </row>
    <row r="56" spans="1:29" x14ac:dyDescent="0.25">
      <c r="I56" s="45"/>
      <c r="J56" s="45"/>
      <c r="L56" s="16"/>
    </row>
    <row r="57" spans="1:29" x14ac:dyDescent="0.25">
      <c r="I57" s="45"/>
      <c r="J57" s="45"/>
      <c r="L57" s="16"/>
    </row>
    <row r="58" spans="1:29" x14ac:dyDescent="0.25">
      <c r="I58" s="45"/>
      <c r="J58" s="45"/>
      <c r="L58" s="16"/>
    </row>
    <row r="59" spans="1:29" x14ac:dyDescent="0.25">
      <c r="I59" s="45"/>
      <c r="J59" s="45"/>
      <c r="L59" s="16"/>
    </row>
    <row r="60" spans="1:29" x14ac:dyDescent="0.25">
      <c r="I60" s="45"/>
      <c r="J60" s="45"/>
      <c r="L60" s="16"/>
    </row>
    <row r="61" spans="1:29" s="17" customFormat="1" x14ac:dyDescent="0.25">
      <c r="A61" s="16"/>
      <c r="B61" s="45"/>
      <c r="C61" s="16"/>
      <c r="D61" s="15"/>
      <c r="E61" s="15"/>
      <c r="F61" s="15"/>
      <c r="G61" s="15"/>
      <c r="H61" s="18"/>
      <c r="I61" s="45"/>
      <c r="J61" s="45"/>
      <c r="K61" s="19"/>
      <c r="L61" s="16"/>
      <c r="N61" s="45"/>
      <c r="O61" s="45"/>
      <c r="P61" s="45"/>
      <c r="Q61" s="45"/>
      <c r="R61" s="45"/>
      <c r="S61" s="45"/>
      <c r="T61" s="45"/>
      <c r="U61" s="45"/>
      <c r="V61" s="16"/>
      <c r="W61" s="16"/>
      <c r="X61" s="45"/>
      <c r="Y61" s="45"/>
      <c r="Z61" s="45"/>
      <c r="AA61" s="45"/>
      <c r="AB61" s="45"/>
      <c r="AC61" s="45"/>
    </row>
    <row r="62" spans="1:29" s="17" customFormat="1" x14ac:dyDescent="0.25">
      <c r="A62" s="16"/>
      <c r="B62" s="45"/>
      <c r="C62" s="16"/>
      <c r="D62" s="15"/>
      <c r="E62" s="15"/>
      <c r="F62" s="15"/>
      <c r="G62" s="15"/>
      <c r="H62" s="18"/>
      <c r="I62" s="45"/>
      <c r="J62" s="45"/>
      <c r="K62" s="19"/>
      <c r="L62" s="16"/>
      <c r="N62" s="45"/>
      <c r="O62" s="45"/>
      <c r="P62" s="45"/>
      <c r="Q62" s="45"/>
      <c r="R62" s="45"/>
      <c r="S62" s="45"/>
      <c r="T62" s="45"/>
      <c r="U62" s="45"/>
      <c r="V62" s="16"/>
      <c r="W62" s="16"/>
      <c r="X62" s="45"/>
      <c r="Y62" s="45"/>
      <c r="Z62" s="45"/>
      <c r="AA62" s="45"/>
      <c r="AB62" s="45"/>
      <c r="AC62" s="45"/>
    </row>
    <row r="63" spans="1:29" s="17" customFormat="1" x14ac:dyDescent="0.25">
      <c r="A63" s="16"/>
      <c r="B63" s="45"/>
      <c r="C63" s="16"/>
      <c r="D63" s="15"/>
      <c r="E63" s="15"/>
      <c r="F63" s="15"/>
      <c r="G63" s="15"/>
      <c r="H63" s="18"/>
      <c r="I63" s="45"/>
      <c r="J63" s="45"/>
      <c r="K63" s="19"/>
      <c r="L63" s="16"/>
      <c r="N63" s="45"/>
      <c r="O63" s="45"/>
      <c r="P63" s="45"/>
      <c r="Q63" s="45"/>
      <c r="R63" s="45"/>
      <c r="S63" s="45"/>
      <c r="T63" s="45"/>
      <c r="U63" s="45"/>
      <c r="V63" s="16"/>
      <c r="W63" s="16"/>
      <c r="X63" s="45"/>
      <c r="Y63" s="45"/>
      <c r="Z63" s="45"/>
      <c r="AA63" s="45"/>
      <c r="AB63" s="45"/>
      <c r="AC63" s="45"/>
    </row>
    <row r="64" spans="1:29" s="17" customFormat="1" x14ac:dyDescent="0.25">
      <c r="A64" s="16"/>
      <c r="B64" s="45"/>
      <c r="C64" s="16"/>
      <c r="D64" s="15"/>
      <c r="E64" s="15"/>
      <c r="F64" s="15"/>
      <c r="G64" s="15"/>
      <c r="H64" s="18"/>
      <c r="I64" s="45"/>
      <c r="J64" s="45"/>
      <c r="K64" s="19"/>
      <c r="L64" s="16"/>
      <c r="N64" s="45"/>
      <c r="O64" s="45"/>
      <c r="P64" s="45"/>
      <c r="Q64" s="45"/>
      <c r="R64" s="45"/>
      <c r="S64" s="45"/>
      <c r="T64" s="45"/>
      <c r="U64" s="45"/>
      <c r="V64" s="16"/>
      <c r="W64" s="16"/>
      <c r="X64" s="45"/>
      <c r="Y64" s="45"/>
      <c r="Z64" s="45"/>
      <c r="AA64" s="45"/>
      <c r="AB64" s="45"/>
      <c r="AC64" s="45"/>
    </row>
    <row r="65" spans="1:29" s="17" customFormat="1" x14ac:dyDescent="0.25">
      <c r="A65" s="16"/>
      <c r="B65" s="45"/>
      <c r="C65" s="16"/>
      <c r="D65" s="15"/>
      <c r="E65" s="15"/>
      <c r="F65" s="15"/>
      <c r="G65" s="15"/>
      <c r="H65" s="18"/>
      <c r="I65" s="45"/>
      <c r="J65" s="45"/>
      <c r="K65" s="19"/>
      <c r="L65" s="16"/>
      <c r="N65" s="45"/>
      <c r="O65" s="45"/>
      <c r="P65" s="45"/>
      <c r="Q65" s="45"/>
      <c r="R65" s="45"/>
      <c r="S65" s="45"/>
      <c r="T65" s="45"/>
      <c r="U65" s="45"/>
      <c r="V65" s="16"/>
      <c r="W65" s="16"/>
      <c r="X65" s="45"/>
      <c r="Y65" s="45"/>
      <c r="Z65" s="45"/>
      <c r="AA65" s="45"/>
      <c r="AB65" s="45"/>
      <c r="AC65" s="45"/>
    </row>
    <row r="66" spans="1:29" s="17" customFormat="1" x14ac:dyDescent="0.25">
      <c r="A66" s="16"/>
      <c r="B66" s="45"/>
      <c r="C66" s="16"/>
      <c r="D66" s="15"/>
      <c r="E66" s="15"/>
      <c r="F66" s="15"/>
      <c r="G66" s="15"/>
      <c r="H66" s="18"/>
      <c r="I66" s="45"/>
      <c r="J66" s="45"/>
      <c r="K66" s="19"/>
      <c r="L66" s="16"/>
      <c r="N66" s="45"/>
      <c r="O66" s="45"/>
      <c r="P66" s="45"/>
      <c r="Q66" s="45"/>
      <c r="R66" s="45"/>
      <c r="S66" s="45"/>
      <c r="T66" s="45"/>
      <c r="U66" s="45"/>
      <c r="V66" s="16"/>
      <c r="W66" s="16"/>
      <c r="X66" s="45"/>
      <c r="Y66" s="45"/>
      <c r="Z66" s="45"/>
      <c r="AA66" s="45"/>
      <c r="AB66" s="45"/>
      <c r="AC66" s="45"/>
    </row>
    <row r="67" spans="1:29" s="17" customFormat="1" x14ac:dyDescent="0.25">
      <c r="A67" s="16"/>
      <c r="B67" s="45"/>
      <c r="C67" s="16"/>
      <c r="D67" s="15"/>
      <c r="E67" s="15"/>
      <c r="F67" s="15"/>
      <c r="G67" s="15"/>
      <c r="H67" s="18"/>
      <c r="I67" s="45"/>
      <c r="J67" s="45"/>
      <c r="K67" s="19"/>
      <c r="L67" s="16"/>
      <c r="N67" s="45"/>
      <c r="O67" s="45"/>
      <c r="P67" s="45"/>
      <c r="Q67" s="45"/>
      <c r="R67" s="45"/>
      <c r="S67" s="45"/>
      <c r="T67" s="45"/>
      <c r="U67" s="45"/>
      <c r="V67" s="16"/>
      <c r="W67" s="16"/>
      <c r="X67" s="45"/>
      <c r="Y67" s="45"/>
      <c r="Z67" s="45"/>
      <c r="AA67" s="45"/>
      <c r="AB67" s="45"/>
      <c r="AC67" s="45"/>
    </row>
    <row r="68" spans="1:29" s="17" customFormat="1" x14ac:dyDescent="0.25">
      <c r="A68" s="16"/>
      <c r="B68" s="45"/>
      <c r="C68" s="16"/>
      <c r="D68" s="15"/>
      <c r="E68" s="15"/>
      <c r="F68" s="15"/>
      <c r="G68" s="15"/>
      <c r="H68" s="18"/>
      <c r="I68" s="45"/>
      <c r="J68" s="45"/>
      <c r="K68" s="19"/>
      <c r="L68" s="16"/>
      <c r="N68" s="45"/>
      <c r="O68" s="45"/>
      <c r="P68" s="45"/>
      <c r="Q68" s="45"/>
      <c r="R68" s="45"/>
      <c r="S68" s="45"/>
      <c r="T68" s="45"/>
      <c r="U68" s="45"/>
      <c r="V68" s="16"/>
      <c r="W68" s="16"/>
      <c r="X68" s="45"/>
      <c r="Y68" s="45"/>
      <c r="Z68" s="45"/>
      <c r="AA68" s="45"/>
      <c r="AB68" s="45"/>
      <c r="AC68" s="45"/>
    </row>
    <row r="69" spans="1:29" s="17" customFormat="1" x14ac:dyDescent="0.25">
      <c r="A69" s="16"/>
      <c r="B69" s="45"/>
      <c r="C69" s="16"/>
      <c r="D69" s="15"/>
      <c r="E69" s="15"/>
      <c r="F69" s="15"/>
      <c r="G69" s="15"/>
      <c r="H69" s="18"/>
      <c r="I69" s="45"/>
      <c r="J69" s="45"/>
      <c r="K69" s="19"/>
      <c r="L69" s="16"/>
      <c r="N69" s="45"/>
      <c r="O69" s="45"/>
      <c r="P69" s="45"/>
      <c r="Q69" s="45"/>
      <c r="R69" s="45"/>
      <c r="S69" s="45"/>
      <c r="T69" s="45"/>
      <c r="U69" s="45"/>
      <c r="V69" s="16"/>
      <c r="W69" s="16"/>
      <c r="X69" s="45"/>
      <c r="Y69" s="45"/>
      <c r="Z69" s="45"/>
      <c r="AA69" s="45"/>
      <c r="AB69" s="45"/>
      <c r="AC69" s="45"/>
    </row>
    <row r="70" spans="1:29" s="17" customFormat="1" x14ac:dyDescent="0.25">
      <c r="A70" s="16"/>
      <c r="B70" s="45"/>
      <c r="C70" s="16"/>
      <c r="D70" s="15"/>
      <c r="E70" s="15"/>
      <c r="F70" s="15"/>
      <c r="G70" s="15"/>
      <c r="H70" s="18"/>
      <c r="I70" s="45"/>
      <c r="J70" s="45"/>
      <c r="K70" s="19"/>
      <c r="L70" s="16"/>
      <c r="N70" s="45"/>
      <c r="O70" s="45"/>
      <c r="P70" s="45"/>
      <c r="Q70" s="45"/>
      <c r="R70" s="45"/>
      <c r="S70" s="45"/>
      <c r="T70" s="45"/>
      <c r="U70" s="45"/>
      <c r="V70" s="16"/>
      <c r="W70" s="16"/>
      <c r="X70" s="45"/>
      <c r="Y70" s="45"/>
      <c r="Z70" s="45"/>
      <c r="AA70" s="45"/>
      <c r="AB70" s="45"/>
      <c r="AC70" s="45"/>
    </row>
    <row r="71" spans="1:29" s="17" customFormat="1" x14ac:dyDescent="0.25">
      <c r="A71" s="16"/>
      <c r="B71" s="45"/>
      <c r="C71" s="16"/>
      <c r="D71" s="15"/>
      <c r="E71" s="15"/>
      <c r="F71" s="15"/>
      <c r="G71" s="15"/>
      <c r="H71" s="18"/>
      <c r="I71" s="45"/>
      <c r="J71" s="45"/>
      <c r="K71" s="19"/>
      <c r="L71" s="16"/>
      <c r="N71" s="45"/>
      <c r="O71" s="45"/>
      <c r="P71" s="45"/>
      <c r="Q71" s="45"/>
      <c r="R71" s="45"/>
      <c r="S71" s="45"/>
      <c r="T71" s="45"/>
      <c r="U71" s="45"/>
      <c r="V71" s="16"/>
      <c r="W71" s="16"/>
      <c r="X71" s="45"/>
      <c r="Y71" s="45"/>
      <c r="Z71" s="45"/>
      <c r="AA71" s="45"/>
      <c r="AB71" s="45"/>
      <c r="AC71" s="45"/>
    </row>
    <row r="72" spans="1:29" s="17" customFormat="1" x14ac:dyDescent="0.25">
      <c r="A72" s="16"/>
      <c r="B72" s="45"/>
      <c r="C72" s="16"/>
      <c r="D72" s="15"/>
      <c r="E72" s="15"/>
      <c r="F72" s="15"/>
      <c r="G72" s="15"/>
      <c r="H72" s="18"/>
      <c r="I72" s="45"/>
      <c r="J72" s="45"/>
      <c r="K72" s="19"/>
      <c r="L72" s="16"/>
      <c r="N72" s="45"/>
      <c r="O72" s="45"/>
      <c r="P72" s="45"/>
      <c r="Q72" s="45"/>
      <c r="R72" s="45"/>
      <c r="S72" s="45"/>
      <c r="T72" s="45"/>
      <c r="U72" s="45"/>
      <c r="V72" s="16"/>
      <c r="W72" s="16"/>
      <c r="X72" s="45"/>
      <c r="Y72" s="45"/>
      <c r="Z72" s="45"/>
      <c r="AA72" s="45"/>
      <c r="AB72" s="45"/>
      <c r="AC72" s="45"/>
    </row>
    <row r="73" spans="1:29" s="17" customFormat="1" x14ac:dyDescent="0.25">
      <c r="A73" s="16"/>
      <c r="B73" s="45"/>
      <c r="C73" s="16"/>
      <c r="D73" s="15"/>
      <c r="E73" s="15"/>
      <c r="F73" s="15"/>
      <c r="G73" s="15"/>
      <c r="H73" s="18"/>
      <c r="I73" s="45"/>
      <c r="J73" s="45"/>
      <c r="K73" s="19"/>
      <c r="L73" s="16"/>
      <c r="N73" s="45"/>
      <c r="O73" s="45"/>
      <c r="P73" s="45"/>
      <c r="Q73" s="45"/>
      <c r="R73" s="45"/>
      <c r="S73" s="45"/>
      <c r="T73" s="45"/>
      <c r="U73" s="45"/>
      <c r="V73" s="16"/>
      <c r="W73" s="16"/>
      <c r="X73" s="45"/>
      <c r="Y73" s="45"/>
      <c r="Z73" s="45"/>
      <c r="AA73" s="45"/>
      <c r="AB73" s="45"/>
      <c r="AC73" s="45"/>
    </row>
    <row r="74" spans="1:29" s="17" customFormat="1" x14ac:dyDescent="0.25">
      <c r="A74" s="16"/>
      <c r="B74" s="45"/>
      <c r="C74" s="16"/>
      <c r="D74" s="15"/>
      <c r="E74" s="15"/>
      <c r="F74" s="15"/>
      <c r="G74" s="15"/>
      <c r="H74" s="18"/>
      <c r="I74" s="45"/>
      <c r="J74" s="45"/>
      <c r="K74" s="19"/>
      <c r="L74" s="16"/>
      <c r="N74" s="45"/>
      <c r="O74" s="45"/>
      <c r="P74" s="45"/>
      <c r="Q74" s="45"/>
      <c r="R74" s="45"/>
      <c r="S74" s="45"/>
      <c r="T74" s="45"/>
      <c r="U74" s="45"/>
      <c r="V74" s="16"/>
      <c r="W74" s="16"/>
      <c r="X74" s="45"/>
      <c r="Y74" s="45"/>
      <c r="Z74" s="45"/>
      <c r="AA74" s="45"/>
      <c r="AB74" s="45"/>
      <c r="AC74" s="45"/>
    </row>
    <row r="75" spans="1:29" s="17" customFormat="1" x14ac:dyDescent="0.25">
      <c r="A75" s="16"/>
      <c r="B75" s="45"/>
      <c r="C75" s="16"/>
      <c r="D75" s="15"/>
      <c r="E75" s="15"/>
      <c r="F75" s="15"/>
      <c r="G75" s="15"/>
      <c r="H75" s="18"/>
      <c r="I75" s="45"/>
      <c r="J75" s="45"/>
      <c r="K75" s="19"/>
      <c r="L75" s="16"/>
      <c r="N75" s="45"/>
      <c r="O75" s="45"/>
      <c r="P75" s="45"/>
      <c r="Q75" s="45"/>
      <c r="R75" s="45"/>
      <c r="S75" s="45"/>
      <c r="T75" s="45"/>
      <c r="U75" s="45"/>
      <c r="V75" s="16"/>
      <c r="W75" s="16"/>
      <c r="X75" s="45"/>
      <c r="Y75" s="45"/>
      <c r="Z75" s="45"/>
      <c r="AA75" s="45"/>
      <c r="AB75" s="45"/>
      <c r="AC75" s="45"/>
    </row>
    <row r="76" spans="1:29" s="17" customFormat="1" x14ac:dyDescent="0.25">
      <c r="A76" s="16"/>
      <c r="B76" s="45"/>
      <c r="C76" s="16"/>
      <c r="D76" s="15"/>
      <c r="E76" s="15"/>
      <c r="F76" s="15"/>
      <c r="G76" s="15"/>
      <c r="H76" s="18"/>
      <c r="I76" s="45"/>
      <c r="J76" s="45"/>
      <c r="K76" s="19"/>
      <c r="L76" s="16"/>
      <c r="N76" s="45"/>
      <c r="O76" s="45"/>
      <c r="P76" s="45"/>
      <c r="Q76" s="45"/>
      <c r="R76" s="45"/>
      <c r="S76" s="45"/>
      <c r="T76" s="45"/>
      <c r="U76" s="45"/>
      <c r="V76" s="16"/>
      <c r="W76" s="16"/>
      <c r="X76" s="45"/>
      <c r="Y76" s="45"/>
      <c r="Z76" s="45"/>
      <c r="AA76" s="45"/>
      <c r="AB76" s="45"/>
      <c r="AC76" s="45"/>
    </row>
    <row r="77" spans="1:29" s="17" customFormat="1" x14ac:dyDescent="0.25">
      <c r="A77" s="16"/>
      <c r="B77" s="45"/>
      <c r="C77" s="16"/>
      <c r="D77" s="15"/>
      <c r="E77" s="15"/>
      <c r="F77" s="15"/>
      <c r="G77" s="15"/>
      <c r="H77" s="18"/>
      <c r="I77" s="45"/>
      <c r="J77" s="45"/>
      <c r="K77" s="19"/>
      <c r="L77" s="16"/>
      <c r="N77" s="45"/>
      <c r="O77" s="45"/>
      <c r="P77" s="45"/>
      <c r="Q77" s="45"/>
      <c r="R77" s="45"/>
      <c r="S77" s="45"/>
      <c r="T77" s="45"/>
      <c r="U77" s="45"/>
      <c r="V77" s="16"/>
      <c r="W77" s="16"/>
      <c r="X77" s="45"/>
      <c r="Y77" s="45"/>
      <c r="Z77" s="45"/>
      <c r="AA77" s="45"/>
      <c r="AB77" s="45"/>
      <c r="AC77" s="45"/>
    </row>
    <row r="78" spans="1:29" s="17" customFormat="1" x14ac:dyDescent="0.25">
      <c r="A78" s="16"/>
      <c r="B78" s="45"/>
      <c r="C78" s="16"/>
      <c r="D78" s="15"/>
      <c r="E78" s="15"/>
      <c r="F78" s="15"/>
      <c r="G78" s="15"/>
      <c r="H78" s="18"/>
      <c r="I78" s="45"/>
      <c r="J78" s="45"/>
      <c r="K78" s="19"/>
      <c r="L78" s="16"/>
      <c r="N78" s="45"/>
      <c r="O78" s="45"/>
      <c r="P78" s="45"/>
      <c r="Q78" s="45"/>
      <c r="R78" s="45"/>
      <c r="S78" s="45"/>
      <c r="T78" s="45"/>
      <c r="U78" s="45"/>
      <c r="V78" s="16"/>
      <c r="W78" s="16"/>
      <c r="X78" s="45"/>
      <c r="Y78" s="45"/>
      <c r="Z78" s="45"/>
      <c r="AA78" s="45"/>
      <c r="AB78" s="45"/>
      <c r="AC78" s="45"/>
    </row>
    <row r="79" spans="1:29" s="17" customFormat="1" x14ac:dyDescent="0.25">
      <c r="A79" s="16"/>
      <c r="B79" s="45"/>
      <c r="C79" s="16"/>
      <c r="D79" s="15"/>
      <c r="E79" s="15"/>
      <c r="F79" s="15"/>
      <c r="G79" s="15"/>
      <c r="H79" s="18"/>
      <c r="I79" s="45"/>
      <c r="J79" s="45"/>
      <c r="K79" s="19"/>
      <c r="L79" s="16"/>
      <c r="N79" s="45"/>
      <c r="O79" s="45"/>
      <c r="P79" s="45"/>
      <c r="Q79" s="45"/>
      <c r="R79" s="45"/>
      <c r="S79" s="45"/>
      <c r="T79" s="45"/>
      <c r="U79" s="45"/>
      <c r="V79" s="16"/>
      <c r="W79" s="16"/>
      <c r="X79" s="45"/>
      <c r="Y79" s="45"/>
      <c r="Z79" s="45"/>
      <c r="AA79" s="45"/>
      <c r="AB79" s="45"/>
      <c r="AC79" s="45"/>
    </row>
    <row r="80" spans="1:29" s="17" customFormat="1" x14ac:dyDescent="0.25">
      <c r="A80" s="16"/>
      <c r="B80" s="45"/>
      <c r="C80" s="16"/>
      <c r="D80" s="15"/>
      <c r="E80" s="15"/>
      <c r="F80" s="15"/>
      <c r="G80" s="15"/>
      <c r="H80" s="18"/>
      <c r="I80" s="45"/>
      <c r="J80" s="45"/>
      <c r="K80" s="19"/>
      <c r="L80" s="16"/>
      <c r="N80" s="45"/>
      <c r="O80" s="45"/>
      <c r="P80" s="45"/>
      <c r="Q80" s="45"/>
      <c r="R80" s="45"/>
      <c r="S80" s="45"/>
      <c r="T80" s="45"/>
      <c r="U80" s="45"/>
      <c r="V80" s="16"/>
      <c r="W80" s="16"/>
      <c r="X80" s="45"/>
      <c r="Y80" s="45"/>
      <c r="Z80" s="45"/>
      <c r="AA80" s="45"/>
      <c r="AB80" s="45"/>
      <c r="AC80" s="45"/>
    </row>
    <row r="81" spans="1:29" s="17" customFormat="1" x14ac:dyDescent="0.25">
      <c r="A81" s="16"/>
      <c r="B81" s="45"/>
      <c r="C81" s="16"/>
      <c r="D81" s="15"/>
      <c r="E81" s="15"/>
      <c r="F81" s="15"/>
      <c r="G81" s="15"/>
      <c r="H81" s="18"/>
      <c r="I81" s="45"/>
      <c r="J81" s="45"/>
      <c r="K81" s="19"/>
      <c r="L81" s="16"/>
      <c r="N81" s="45"/>
      <c r="O81" s="45"/>
      <c r="P81" s="45"/>
      <c r="Q81" s="45"/>
      <c r="R81" s="45"/>
      <c r="S81" s="45"/>
      <c r="T81" s="45"/>
      <c r="U81" s="45"/>
      <c r="V81" s="16"/>
      <c r="W81" s="16"/>
      <c r="X81" s="45"/>
      <c r="Y81" s="45"/>
      <c r="Z81" s="45"/>
      <c r="AA81" s="45"/>
      <c r="AB81" s="45"/>
      <c r="AC81" s="45"/>
    </row>
    <row r="82" spans="1:29" s="17" customFormat="1" x14ac:dyDescent="0.25">
      <c r="A82" s="16"/>
      <c r="B82" s="45"/>
      <c r="C82" s="16"/>
      <c r="D82" s="15"/>
      <c r="E82" s="15"/>
      <c r="F82" s="15"/>
      <c r="G82" s="15"/>
      <c r="H82" s="18"/>
      <c r="I82" s="45"/>
      <c r="J82" s="45"/>
      <c r="K82" s="19"/>
      <c r="L82" s="16"/>
      <c r="N82" s="45"/>
      <c r="O82" s="45"/>
      <c r="P82" s="45"/>
      <c r="Q82" s="45"/>
      <c r="R82" s="45"/>
      <c r="S82" s="45"/>
      <c r="T82" s="45"/>
      <c r="U82" s="45"/>
      <c r="V82" s="16"/>
      <c r="W82" s="16"/>
      <c r="X82" s="45"/>
      <c r="Y82" s="45"/>
      <c r="Z82" s="45"/>
      <c r="AA82" s="45"/>
      <c r="AB82" s="45"/>
      <c r="AC82" s="45"/>
    </row>
    <row r="83" spans="1:29" s="17" customFormat="1" x14ac:dyDescent="0.25">
      <c r="A83" s="16"/>
      <c r="B83" s="45"/>
      <c r="C83" s="16"/>
      <c r="D83" s="15"/>
      <c r="E83" s="15"/>
      <c r="F83" s="15"/>
      <c r="G83" s="15"/>
      <c r="H83" s="18"/>
      <c r="I83" s="45"/>
      <c r="J83" s="45"/>
      <c r="K83" s="19"/>
      <c r="L83" s="16"/>
      <c r="N83" s="45"/>
      <c r="O83" s="45"/>
      <c r="P83" s="45"/>
      <c r="Q83" s="45"/>
      <c r="R83" s="45"/>
      <c r="S83" s="45"/>
      <c r="T83" s="45"/>
      <c r="U83" s="45"/>
      <c r="V83" s="16"/>
      <c r="W83" s="16"/>
      <c r="X83" s="45"/>
      <c r="Y83" s="45"/>
      <c r="Z83" s="45"/>
      <c r="AA83" s="45"/>
      <c r="AB83" s="45"/>
      <c r="AC83" s="45"/>
    </row>
    <row r="84" spans="1:29" s="17" customFormat="1" x14ac:dyDescent="0.25">
      <c r="A84" s="16"/>
      <c r="B84" s="45"/>
      <c r="C84" s="16"/>
      <c r="D84" s="15"/>
      <c r="E84" s="15"/>
      <c r="F84" s="15"/>
      <c r="G84" s="15"/>
      <c r="H84" s="18"/>
      <c r="I84" s="45"/>
      <c r="J84" s="45"/>
      <c r="K84" s="19"/>
      <c r="L84" s="16"/>
      <c r="N84" s="45"/>
      <c r="O84" s="45"/>
      <c r="P84" s="45"/>
      <c r="Q84" s="45"/>
      <c r="R84" s="45"/>
      <c r="S84" s="45"/>
      <c r="T84" s="45"/>
      <c r="U84" s="45"/>
      <c r="V84" s="16"/>
      <c r="W84" s="16"/>
      <c r="X84" s="45"/>
      <c r="Y84" s="45"/>
      <c r="Z84" s="45"/>
      <c r="AA84" s="45"/>
      <c r="AB84" s="45"/>
      <c r="AC84" s="45"/>
    </row>
    <row r="85" spans="1:29" s="17" customFormat="1" x14ac:dyDescent="0.25">
      <c r="A85" s="16"/>
      <c r="B85" s="45"/>
      <c r="C85" s="16"/>
      <c r="D85" s="15"/>
      <c r="E85" s="15"/>
      <c r="F85" s="15"/>
      <c r="G85" s="15"/>
      <c r="H85" s="18"/>
      <c r="I85" s="45"/>
      <c r="J85" s="45"/>
      <c r="K85" s="19"/>
      <c r="L85" s="16"/>
      <c r="N85" s="45"/>
      <c r="O85" s="45"/>
      <c r="P85" s="45"/>
      <c r="Q85" s="45"/>
      <c r="R85" s="45"/>
      <c r="S85" s="45"/>
      <c r="T85" s="45"/>
      <c r="U85" s="45"/>
      <c r="V85" s="16"/>
      <c r="W85" s="16"/>
      <c r="X85" s="45"/>
      <c r="Y85" s="45"/>
      <c r="Z85" s="45"/>
      <c r="AA85" s="45"/>
      <c r="AB85" s="45"/>
      <c r="AC85" s="45"/>
    </row>
    <row r="86" spans="1:29" s="17" customFormat="1" x14ac:dyDescent="0.25">
      <c r="A86" s="16"/>
      <c r="B86" s="45"/>
      <c r="C86" s="16"/>
      <c r="D86" s="15"/>
      <c r="E86" s="15"/>
      <c r="F86" s="15"/>
      <c r="G86" s="15"/>
      <c r="H86" s="18"/>
      <c r="I86" s="45"/>
      <c r="J86" s="45"/>
      <c r="K86" s="19"/>
      <c r="L86" s="16"/>
      <c r="N86" s="45"/>
      <c r="O86" s="45"/>
      <c r="P86" s="45"/>
      <c r="Q86" s="45"/>
      <c r="R86" s="45"/>
      <c r="S86" s="45"/>
      <c r="T86" s="45"/>
      <c r="U86" s="45"/>
      <c r="V86" s="16"/>
      <c r="W86" s="16"/>
      <c r="X86" s="45"/>
      <c r="Y86" s="45"/>
      <c r="Z86" s="45"/>
      <c r="AA86" s="45"/>
      <c r="AB86" s="45"/>
      <c r="AC86" s="45"/>
    </row>
    <row r="87" spans="1:29" s="17" customFormat="1" x14ac:dyDescent="0.25">
      <c r="A87" s="16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16"/>
      <c r="W87" s="16"/>
      <c r="X87" s="45"/>
      <c r="Y87" s="45"/>
      <c r="Z87" s="45"/>
      <c r="AA87" s="45"/>
      <c r="AB87" s="45"/>
      <c r="AC87" s="45"/>
    </row>
    <row r="88" spans="1:29" s="17" customFormat="1" x14ac:dyDescent="0.25">
      <c r="A88" s="16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16"/>
      <c r="W88" s="16"/>
      <c r="X88" s="45"/>
      <c r="Y88" s="45"/>
      <c r="Z88" s="45"/>
      <c r="AA88" s="45"/>
      <c r="AB88" s="45"/>
      <c r="AC88" s="45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16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16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15"/>
      <c r="J101" s="1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15"/>
      <c r="J102" s="1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15"/>
      <c r="J103" s="1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15"/>
      <c r="J104" s="1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15"/>
      <c r="J105" s="1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15"/>
      <c r="J106" s="1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15"/>
      <c r="J107" s="1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15"/>
      <c r="J108" s="1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15"/>
      <c r="J109" s="1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15"/>
      <c r="J110" s="1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15"/>
      <c r="J111" s="1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15"/>
      <c r="J112" s="1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15"/>
      <c r="J113" s="1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15"/>
      <c r="J114" s="1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15"/>
      <c r="J115" s="1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15"/>
      <c r="J116" s="1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15"/>
      <c r="J117" s="1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15"/>
      <c r="J118" s="1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15"/>
      <c r="J119" s="1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15"/>
      <c r="J120" s="1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15"/>
      <c r="J121" s="1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15"/>
      <c r="J122" s="1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15"/>
      <c r="J123" s="1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15"/>
      <c r="J124" s="1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15"/>
      <c r="J125" s="1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15"/>
      <c r="J126" s="1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x14ac:dyDescent="0.25">
      <c r="L509" s="16"/>
    </row>
    <row r="510" spans="1:29" x14ac:dyDescent="0.25">
      <c r="L510" s="16"/>
      <c r="N510" s="17"/>
      <c r="O510" s="38"/>
    </row>
    <row r="511" spans="1:29" x14ac:dyDescent="0.25">
      <c r="L511" s="16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C54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346.12496373562198</v>
      </c>
      <c r="E2" s="55"/>
      <c r="F2" s="53" t="s">
        <v>620</v>
      </c>
      <c r="G2" s="53">
        <v>101858757344</v>
      </c>
      <c r="H2" s="62"/>
      <c r="K2" s="51" t="s">
        <v>1</v>
      </c>
      <c r="L2" s="60" t="s">
        <v>605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2.6316450959941902E+40</v>
      </c>
      <c r="E3" s="53"/>
      <c r="F3" s="53" t="s">
        <v>621</v>
      </c>
      <c r="G3" s="53">
        <f>H41/SolarMass</f>
        <v>172467544624.59839</v>
      </c>
      <c r="H3" s="62"/>
      <c r="K3" s="51" t="s">
        <v>562</v>
      </c>
      <c r="L3" s="57">
        <v>1.5814000000000002E-2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1210.7473865193599</v>
      </c>
      <c r="E4" s="55"/>
      <c r="F4" s="53" t="s">
        <v>622</v>
      </c>
      <c r="G4" s="52">
        <f>G3/G2</f>
        <v>1.6932029127563042</v>
      </c>
      <c r="H4" s="62"/>
      <c r="K4" s="61" t="s">
        <v>614</v>
      </c>
      <c r="L4" s="52">
        <f>QEHModelChiSquare</f>
        <v>1751.6790013799107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17288.533205142299</v>
      </c>
      <c r="F5" s="53"/>
      <c r="G5" s="52"/>
      <c r="H5" s="62"/>
      <c r="K5" s="61" t="s">
        <v>615</v>
      </c>
      <c r="L5" s="52">
        <f>LCDMModelChiSquare</f>
        <v>1314.9378796767251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45">
        <v>0.21</v>
      </c>
      <c r="B8" s="45">
        <f t="shared" ref="B8:B41" si="0">RadiusKpc*1000</f>
        <v>210</v>
      </c>
      <c r="C8" s="16">
        <f t="shared" ref="C8:C41" si="1">IF(QESBulgeEffectiveRadius=0,0,RadiusPc/QESBulgeEffectiveRadius)</f>
        <v>0.60671729000281738</v>
      </c>
      <c r="D8" s="15">
        <f t="shared" ref="D8:D41" si="2">RadiusKpc*kpc</f>
        <v>6.479922918E+18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7.5678380993558189E+39</v>
      </c>
      <c r="F8" s="15">
        <f t="shared" ref="F8:F41" si="3">2*PI()*QESDiskSurfaceDensity*QESDiskScaleLength*(QESDiskScaleLength-EXP(-RadiusPc/QESDiskScaleLength)*(RadiusPc+QESDiskScaleLength))*SolarMass</f>
        <v>4.2476721237943978E+39</v>
      </c>
      <c r="H8" s="18">
        <f t="shared" ref="H8:H41" si="4">BulgeMass+DiskMass+HaloMass</f>
        <v>1.1815510223150216E+40</v>
      </c>
      <c r="I8" s="45">
        <v>277.57</v>
      </c>
      <c r="J8" s="45">
        <v>1</v>
      </c>
      <c r="K8" s="19">
        <f t="shared" ref="K8:K41" si="5">SQRT(TotalMass*GravitationalConstant/RadiusKm+UniverseAcceleration*RadiusKm)/km</f>
        <v>349.18715040022505</v>
      </c>
      <c r="L8" s="16">
        <f t="shared" ref="L8:L41" si="6">(ObservedVelocity-ModelVelocity)^2/(VelocityError)^2</f>
        <v>5129.016231448456</v>
      </c>
    </row>
    <row r="9" spans="1:23" x14ac:dyDescent="0.25">
      <c r="A9" s="45">
        <v>0.45</v>
      </c>
      <c r="B9" s="45">
        <f t="shared" si="0"/>
        <v>450</v>
      </c>
      <c r="C9" s="16">
        <f t="shared" si="1"/>
        <v>1.3001084785774657</v>
      </c>
      <c r="D9" s="15">
        <f t="shared" si="2"/>
        <v>1.3885549110000001E+19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1.2883040565894105E+40</v>
      </c>
      <c r="F9" s="15">
        <f t="shared" si="3"/>
        <v>1.7142459737252724E+40</v>
      </c>
      <c r="H9" s="18">
        <f t="shared" si="4"/>
        <v>3.0025500303146829E+40</v>
      </c>
      <c r="I9" s="45">
        <v>475.77</v>
      </c>
      <c r="J9" s="45">
        <v>1</v>
      </c>
      <c r="K9" s="19">
        <f t="shared" si="5"/>
        <v>380.55711973749135</v>
      </c>
      <c r="L9" s="16">
        <f t="shared" si="6"/>
        <v>9065.4925678828058</v>
      </c>
    </row>
    <row r="10" spans="1:23" x14ac:dyDescent="0.25">
      <c r="A10" s="45">
        <v>0.7</v>
      </c>
      <c r="B10" s="45">
        <f t="shared" si="0"/>
        <v>700</v>
      </c>
      <c r="C10" s="16">
        <f t="shared" si="1"/>
        <v>2.022390966676058</v>
      </c>
      <c r="D10" s="15">
        <f t="shared" si="2"/>
        <v>2.1599743059999998E+19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1.6247166874739399E+40</v>
      </c>
      <c r="F10" s="15">
        <f t="shared" si="3"/>
        <v>3.6349592512224585E+40</v>
      </c>
      <c r="H10" s="18">
        <f t="shared" si="4"/>
        <v>5.2596759386963978E+40</v>
      </c>
      <c r="I10" s="45">
        <v>472.83</v>
      </c>
      <c r="J10" s="45">
        <v>1</v>
      </c>
      <c r="K10" s="19">
        <f t="shared" si="5"/>
        <v>404.11110764462904</v>
      </c>
      <c r="L10" s="16">
        <f t="shared" si="6"/>
        <v>4722.2861665490582</v>
      </c>
    </row>
    <row r="11" spans="1:23" x14ac:dyDescent="0.25">
      <c r="A11" s="45">
        <v>0.99</v>
      </c>
      <c r="B11" s="45">
        <f t="shared" si="0"/>
        <v>990</v>
      </c>
      <c r="C11" s="16">
        <f t="shared" si="1"/>
        <v>2.8602386528704247</v>
      </c>
      <c r="D11" s="15">
        <f t="shared" si="2"/>
        <v>3.0548208041999999E+19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1.8762577604311641E+40</v>
      </c>
      <c r="F11" s="15">
        <f t="shared" si="3"/>
        <v>6.2579909168629734E+40</v>
      </c>
      <c r="H11" s="18">
        <f t="shared" si="4"/>
        <v>8.1342486772941377E+40</v>
      </c>
      <c r="I11" s="45">
        <v>456.91</v>
      </c>
      <c r="J11" s="45">
        <v>1</v>
      </c>
      <c r="K11" s="19">
        <f t="shared" si="5"/>
        <v>422.88128135360085</v>
      </c>
      <c r="L11" s="16">
        <f t="shared" si="6"/>
        <v>1157.9536927157947</v>
      </c>
    </row>
    <row r="12" spans="1:23" x14ac:dyDescent="0.25">
      <c r="A12" s="45">
        <v>1.3</v>
      </c>
      <c r="B12" s="45">
        <f t="shared" si="0"/>
        <v>1300</v>
      </c>
      <c r="C12" s="16">
        <f t="shared" si="1"/>
        <v>3.7558689381126791</v>
      </c>
      <c r="D12" s="15">
        <f t="shared" si="2"/>
        <v>4.0113808540000002E+19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2.0545649273080887E+40</v>
      </c>
      <c r="F12" s="15">
        <f t="shared" si="3"/>
        <v>9.2277635189079961E+40</v>
      </c>
      <c r="H12" s="18">
        <f t="shared" si="4"/>
        <v>1.1282328446216085E+41</v>
      </c>
      <c r="I12" s="45">
        <v>442.26</v>
      </c>
      <c r="J12" s="45">
        <v>1</v>
      </c>
      <c r="K12" s="19">
        <f t="shared" si="5"/>
        <v>434.94438415506892</v>
      </c>
      <c r="L12" s="16">
        <f t="shared" si="6"/>
        <v>53.518235190606589</v>
      </c>
    </row>
    <row r="13" spans="1:23" x14ac:dyDescent="0.25">
      <c r="A13" s="45">
        <v>1.64</v>
      </c>
      <c r="B13" s="45">
        <f t="shared" si="0"/>
        <v>1640</v>
      </c>
      <c r="C13" s="16">
        <f t="shared" si="1"/>
        <v>4.7381731219267644</v>
      </c>
      <c r="D13" s="15">
        <f t="shared" si="2"/>
        <v>5.0605112311999996E+19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2.1880186161043788E+40</v>
      </c>
      <c r="F13" s="15">
        <f t="shared" si="3"/>
        <v>1.2427945966853819E+41</v>
      </c>
      <c r="H13" s="18">
        <f t="shared" si="4"/>
        <v>1.4615964582958198E+41</v>
      </c>
      <c r="I13" s="45">
        <v>426.53</v>
      </c>
      <c r="J13" s="45">
        <v>1</v>
      </c>
      <c r="K13" s="19">
        <f t="shared" si="5"/>
        <v>441.14480423000816</v>
      </c>
      <c r="L13" s="16">
        <f t="shared" si="6"/>
        <v>213.59250268146528</v>
      </c>
    </row>
    <row r="14" spans="1:23" x14ac:dyDescent="0.25">
      <c r="A14" s="45">
        <v>2.02</v>
      </c>
      <c r="B14" s="45">
        <f t="shared" si="0"/>
        <v>2020</v>
      </c>
      <c r="C14" s="16">
        <f t="shared" si="1"/>
        <v>5.8360425038366239</v>
      </c>
      <c r="D14" s="15">
        <f t="shared" si="2"/>
        <v>6.2330687116000002E+19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2.2892151473522185E+40</v>
      </c>
      <c r="F14" s="15">
        <f t="shared" si="3"/>
        <v>1.5737954279630605E+41</v>
      </c>
      <c r="H14" s="18">
        <f t="shared" si="4"/>
        <v>1.8027169426982822E+41</v>
      </c>
      <c r="I14" s="45">
        <v>412.41</v>
      </c>
      <c r="J14" s="45">
        <v>1</v>
      </c>
      <c r="K14" s="19">
        <f t="shared" si="5"/>
        <v>441.92703523525097</v>
      </c>
      <c r="L14" s="16">
        <f t="shared" si="6"/>
        <v>871.25536907904575</v>
      </c>
    </row>
    <row r="15" spans="1:23" x14ac:dyDescent="0.25">
      <c r="A15" s="45">
        <v>2.4300000000000002</v>
      </c>
      <c r="B15" s="45">
        <f t="shared" si="0"/>
        <v>2430</v>
      </c>
      <c r="C15" s="16">
        <f t="shared" si="1"/>
        <v>7.0205857843183148</v>
      </c>
      <c r="D15" s="15">
        <f t="shared" si="2"/>
        <v>7.4981965194000007E+19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2.3684724959568539E+40</v>
      </c>
      <c r="F15" s="15">
        <f t="shared" si="3"/>
        <v>1.8874237829179846E+41</v>
      </c>
      <c r="H15" s="18">
        <f t="shared" si="4"/>
        <v>2.12427103251367E+41</v>
      </c>
      <c r="I15" s="45">
        <v>399.06</v>
      </c>
      <c r="J15" s="45">
        <v>1</v>
      </c>
      <c r="K15" s="19">
        <f t="shared" si="5"/>
        <v>437.96556422228156</v>
      </c>
      <c r="L15" s="16">
        <f t="shared" si="6"/>
        <v>1513.6429274540747</v>
      </c>
    </row>
    <row r="16" spans="1:23" x14ac:dyDescent="0.25">
      <c r="A16" s="45">
        <v>2.89</v>
      </c>
      <c r="B16" s="45">
        <f t="shared" si="0"/>
        <v>2890</v>
      </c>
      <c r="C16" s="16">
        <f t="shared" si="1"/>
        <v>8.3495855624197244</v>
      </c>
      <c r="D16" s="15">
        <f t="shared" si="2"/>
        <v>8.9176082061999997E+19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2.4286285734613461E+40</v>
      </c>
      <c r="F16" s="15">
        <f t="shared" si="3"/>
        <v>2.1814077885831075E+41</v>
      </c>
      <c r="H16" s="18">
        <f t="shared" si="4"/>
        <v>2.4242706459292421E+41</v>
      </c>
      <c r="I16" s="45">
        <v>385.11</v>
      </c>
      <c r="J16" s="45">
        <v>1</v>
      </c>
      <c r="K16" s="19">
        <f t="shared" si="5"/>
        <v>429.75363330575061</v>
      </c>
      <c r="L16" s="16">
        <f t="shared" si="6"/>
        <v>1993.053994738324</v>
      </c>
    </row>
    <row r="17" spans="1:12" x14ac:dyDescent="0.25">
      <c r="A17" s="45">
        <v>3.39</v>
      </c>
      <c r="B17" s="45">
        <f t="shared" si="0"/>
        <v>3390</v>
      </c>
      <c r="C17" s="16">
        <f t="shared" si="1"/>
        <v>9.7941505386169094</v>
      </c>
      <c r="D17" s="15">
        <f t="shared" si="2"/>
        <v>1.0460446996200001E+20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2.475860403785487E+40</v>
      </c>
      <c r="F17" s="15">
        <f t="shared" si="3"/>
        <v>2.4354347877277826E+41</v>
      </c>
      <c r="H17" s="18">
        <f t="shared" si="4"/>
        <v>2.6830208281063313E+41</v>
      </c>
      <c r="I17" s="45">
        <v>373.74</v>
      </c>
      <c r="J17" s="45">
        <v>1</v>
      </c>
      <c r="K17" s="19">
        <f t="shared" si="5"/>
        <v>418.32920899722041</v>
      </c>
      <c r="L17" s="16">
        <f t="shared" si="6"/>
        <v>1988.1975589978003</v>
      </c>
    </row>
    <row r="18" spans="1:12" x14ac:dyDescent="0.25">
      <c r="A18" s="45">
        <v>3.94</v>
      </c>
      <c r="B18" s="45">
        <f t="shared" si="0"/>
        <v>3940</v>
      </c>
      <c r="C18" s="16">
        <f t="shared" si="1"/>
        <v>11.383172012433812</v>
      </c>
      <c r="D18" s="15">
        <f t="shared" si="2"/>
        <v>1.21575696652E+20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2.5121798642092741E+40</v>
      </c>
      <c r="F18" s="15">
        <f t="shared" si="3"/>
        <v>2.6471049579597854E+41</v>
      </c>
      <c r="H18" s="18">
        <f t="shared" si="4"/>
        <v>2.8983229443807128E+41</v>
      </c>
      <c r="I18" s="45">
        <v>365.19</v>
      </c>
      <c r="J18" s="45">
        <v>1</v>
      </c>
      <c r="K18" s="19">
        <f t="shared" si="5"/>
        <v>404.40224896965225</v>
      </c>
      <c r="L18" s="16">
        <f t="shared" si="6"/>
        <v>1537.6004692579941</v>
      </c>
    </row>
    <row r="19" spans="1:12" x14ac:dyDescent="0.25">
      <c r="A19" s="45">
        <v>4.55</v>
      </c>
      <c r="B19" s="45">
        <f t="shared" si="0"/>
        <v>4550</v>
      </c>
      <c r="C19" s="16">
        <f t="shared" si="1"/>
        <v>13.145541283394376</v>
      </c>
      <c r="D19" s="15">
        <f t="shared" si="2"/>
        <v>1.4039832988999999E+20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2.5408195044567932E+40</v>
      </c>
      <c r="F19" s="15">
        <f t="shared" si="3"/>
        <v>2.8157949764244313E+41</v>
      </c>
      <c r="H19" s="18">
        <f t="shared" si="4"/>
        <v>3.0698769268701107E+41</v>
      </c>
      <c r="I19" s="45">
        <v>355.09</v>
      </c>
      <c r="J19" s="45">
        <v>1</v>
      </c>
      <c r="K19" s="19">
        <f t="shared" si="5"/>
        <v>388.65377060968024</v>
      </c>
      <c r="L19" s="16">
        <f t="shared" si="6"/>
        <v>1126.5266975392365</v>
      </c>
    </row>
    <row r="20" spans="1:12" x14ac:dyDescent="0.25">
      <c r="A20" s="45">
        <v>5.21</v>
      </c>
      <c r="B20" s="45">
        <f t="shared" si="0"/>
        <v>5210</v>
      </c>
      <c r="C20" s="16">
        <f t="shared" si="1"/>
        <v>15.05236705197466</v>
      </c>
      <c r="D20" s="15">
        <f t="shared" si="2"/>
        <v>1.6076380191800001E+20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2.562405620919013E+40</v>
      </c>
      <c r="F20" s="15">
        <f t="shared" si="3"/>
        <v>2.9401907222714345E+41</v>
      </c>
      <c r="H20" s="18">
        <f t="shared" si="4"/>
        <v>3.1964312843633358E+41</v>
      </c>
      <c r="I20" s="45">
        <v>347.76</v>
      </c>
      <c r="J20" s="45">
        <v>1</v>
      </c>
      <c r="K20" s="19">
        <f t="shared" si="5"/>
        <v>372.23877041840598</v>
      </c>
      <c r="L20" s="16">
        <f t="shared" si="6"/>
        <v>599.21020119702803</v>
      </c>
    </row>
    <row r="21" spans="1:12" x14ac:dyDescent="0.25">
      <c r="A21" s="45">
        <v>5.95</v>
      </c>
      <c r="B21" s="45">
        <f t="shared" si="0"/>
        <v>5950</v>
      </c>
      <c r="C21" s="16">
        <f t="shared" si="1"/>
        <v>17.190323216746492</v>
      </c>
      <c r="D21" s="15">
        <f t="shared" si="2"/>
        <v>1.8359781601000001E+20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2.5763364433556388E+40</v>
      </c>
      <c r="F21" s="15">
        <f t="shared" si="3"/>
        <v>3.0298780283204096E+41</v>
      </c>
      <c r="H21" s="18">
        <f t="shared" si="4"/>
        <v>3.2875116726559735E+41</v>
      </c>
      <c r="I21" s="45">
        <v>343.27</v>
      </c>
      <c r="J21" s="45">
        <v>1</v>
      </c>
      <c r="K21" s="19">
        <f t="shared" si="5"/>
        <v>355.24852953625094</v>
      </c>
      <c r="L21" s="16">
        <f t="shared" si="6"/>
        <v>143.48516985083663</v>
      </c>
    </row>
    <row r="22" spans="1:12" x14ac:dyDescent="0.25">
      <c r="A22" s="45">
        <v>6.75</v>
      </c>
      <c r="B22" s="45">
        <f t="shared" si="0"/>
        <v>6750</v>
      </c>
      <c r="C22" s="16">
        <f t="shared" si="1"/>
        <v>19.501627178661987</v>
      </c>
      <c r="D22" s="15">
        <f t="shared" si="2"/>
        <v>2.0828323664999999E+20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2.5913967919357746E+40</v>
      </c>
      <c r="F22" s="15">
        <f t="shared" si="3"/>
        <v>3.0884361274405809E+41</v>
      </c>
      <c r="H22" s="18">
        <f t="shared" si="4"/>
        <v>3.3475758066341584E+41</v>
      </c>
      <c r="I22" s="45">
        <v>339.17</v>
      </c>
      <c r="J22" s="45">
        <v>1</v>
      </c>
      <c r="K22" s="19">
        <f t="shared" si="5"/>
        <v>338.91389762469998</v>
      </c>
      <c r="L22" s="16">
        <f t="shared" si="6"/>
        <v>6.5588426634318089E-2</v>
      </c>
    </row>
    <row r="23" spans="1:12" x14ac:dyDescent="0.25">
      <c r="A23" s="45">
        <v>7.64</v>
      </c>
      <c r="B23" s="45">
        <f t="shared" si="0"/>
        <v>7640</v>
      </c>
      <c r="C23" s="16">
        <f t="shared" si="1"/>
        <v>22.072952836292973</v>
      </c>
      <c r="D23" s="15">
        <f t="shared" si="2"/>
        <v>2.3574576711199998E+20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2.6007540752502722E+40</v>
      </c>
      <c r="F23" s="15">
        <f t="shared" si="3"/>
        <v>3.1253027170504423E+41</v>
      </c>
      <c r="H23" s="18">
        <f t="shared" si="4"/>
        <v>3.3853781245754694E+41</v>
      </c>
      <c r="I23" s="45">
        <v>337.17</v>
      </c>
      <c r="J23" s="45">
        <v>1</v>
      </c>
      <c r="K23" s="19">
        <f t="shared" si="5"/>
        <v>323.16943361252021</v>
      </c>
      <c r="L23" s="16">
        <f t="shared" si="6"/>
        <v>196.01585917022939</v>
      </c>
    </row>
    <row r="24" spans="1:12" x14ac:dyDescent="0.25">
      <c r="A24" s="45">
        <v>8.6199999999999992</v>
      </c>
      <c r="B24" s="45">
        <f t="shared" si="0"/>
        <v>8620</v>
      </c>
      <c r="C24" s="16">
        <f t="shared" si="1"/>
        <v>24.904300189639457</v>
      </c>
      <c r="D24" s="15">
        <f t="shared" si="2"/>
        <v>2.6598540739599997E+20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2.6090993087930614E+40</v>
      </c>
      <c r="F24" s="15">
        <f t="shared" si="3"/>
        <v>3.1465825613394631E+41</v>
      </c>
      <c r="H24" s="18">
        <f t="shared" si="4"/>
        <v>3.4074924922187693E+41</v>
      </c>
      <c r="I24" s="45">
        <v>335.17</v>
      </c>
      <c r="J24" s="45">
        <v>1</v>
      </c>
      <c r="K24" s="19">
        <f t="shared" si="5"/>
        <v>308.54487085599771</v>
      </c>
      <c r="L24" s="16">
        <f t="shared" si="6"/>
        <v>708.89750193480074</v>
      </c>
    </row>
    <row r="25" spans="1:12" x14ac:dyDescent="0.25">
      <c r="A25" s="45">
        <v>9.69</v>
      </c>
      <c r="B25" s="45">
        <f t="shared" si="0"/>
        <v>9690</v>
      </c>
      <c r="C25" s="16">
        <f t="shared" si="1"/>
        <v>27.995669238701428</v>
      </c>
      <c r="D25" s="15">
        <f t="shared" si="2"/>
        <v>2.9900215750200001E+20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2.6147894857292964E+40</v>
      </c>
      <c r="F25" s="15">
        <f t="shared" si="3"/>
        <v>3.1578565810336435E+41</v>
      </c>
      <c r="H25" s="18">
        <f t="shared" si="4"/>
        <v>3.419335529606573E+41</v>
      </c>
      <c r="I25" s="45">
        <v>332.17</v>
      </c>
      <c r="J25" s="45">
        <v>1</v>
      </c>
      <c r="K25" s="19">
        <f t="shared" si="5"/>
        <v>295.34226512262308</v>
      </c>
      <c r="L25" s="16">
        <f t="shared" si="6"/>
        <v>1356.282056198366</v>
      </c>
    </row>
    <row r="26" spans="1:12" x14ac:dyDescent="0.25">
      <c r="A26" s="45">
        <v>10.88</v>
      </c>
      <c r="B26" s="45">
        <f t="shared" si="0"/>
        <v>10880</v>
      </c>
      <c r="C26" s="16">
        <f t="shared" si="1"/>
        <v>31.433733882050728</v>
      </c>
      <c r="D26" s="15">
        <f t="shared" si="2"/>
        <v>3.35721720704E+20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2.6197511371926579E+40</v>
      </c>
      <c r="F26" s="15">
        <f t="shared" si="3"/>
        <v>3.1634334929432927E+41</v>
      </c>
      <c r="H26" s="18">
        <f t="shared" si="4"/>
        <v>3.4254086066625585E+41</v>
      </c>
      <c r="I26" s="45">
        <v>329.63</v>
      </c>
      <c r="J26" s="45">
        <v>1</v>
      </c>
      <c r="K26" s="19">
        <f t="shared" si="5"/>
        <v>283.44119969146351</v>
      </c>
      <c r="L26" s="16">
        <f t="shared" si="6"/>
        <v>2133.4052739418603</v>
      </c>
    </row>
    <row r="27" spans="1:12" x14ac:dyDescent="0.25">
      <c r="A27" s="45">
        <v>12.18</v>
      </c>
      <c r="B27" s="45">
        <f t="shared" si="0"/>
        <v>12180</v>
      </c>
      <c r="C27" s="16">
        <f t="shared" si="1"/>
        <v>35.189602820163408</v>
      </c>
      <c r="D27" s="15">
        <f t="shared" si="2"/>
        <v>3.7583552924399999E+20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2.6231990284412289E+40</v>
      </c>
      <c r="F27" s="15">
        <f t="shared" si="3"/>
        <v>3.1658933294761928E+41</v>
      </c>
      <c r="H27" s="18">
        <f t="shared" si="4"/>
        <v>3.4282132323203156E+41</v>
      </c>
      <c r="I27" s="45">
        <v>326.01</v>
      </c>
      <c r="J27" s="45">
        <v>1</v>
      </c>
      <c r="K27" s="19">
        <f t="shared" si="5"/>
        <v>273.09965722934584</v>
      </c>
      <c r="L27" s="16">
        <f t="shared" si="6"/>
        <v>2799.5043721081142</v>
      </c>
    </row>
    <row r="28" spans="1:12" x14ac:dyDescent="0.25">
      <c r="A28" s="45">
        <v>13.61</v>
      </c>
      <c r="B28" s="45">
        <f t="shared" si="0"/>
        <v>13610</v>
      </c>
      <c r="C28" s="16">
        <f t="shared" si="1"/>
        <v>39.321058652087352</v>
      </c>
      <c r="D28" s="15">
        <f t="shared" si="2"/>
        <v>4.1996071863799998E+20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2.6255257488938205E+40</v>
      </c>
      <c r="F28" s="15">
        <f t="shared" si="3"/>
        <v>3.1668823817067687E+41</v>
      </c>
      <c r="H28" s="18">
        <f t="shared" si="4"/>
        <v>3.4294349565961508E+41</v>
      </c>
      <c r="I28" s="45">
        <v>320.60000000000002</v>
      </c>
      <c r="J28" s="45">
        <v>1</v>
      </c>
      <c r="K28" s="19">
        <f t="shared" si="5"/>
        <v>264.22615388798567</v>
      </c>
      <c r="L28" s="16">
        <f t="shared" si="6"/>
        <v>3178.0105254610753</v>
      </c>
    </row>
    <row r="29" spans="1:12" x14ac:dyDescent="0.25">
      <c r="A29" s="45">
        <v>15.18</v>
      </c>
      <c r="B29" s="45">
        <f t="shared" si="0"/>
        <v>15180</v>
      </c>
      <c r="C29" s="16">
        <f t="shared" si="1"/>
        <v>43.856992677346511</v>
      </c>
      <c r="D29" s="15">
        <f t="shared" si="2"/>
        <v>4.6840585664399999E+20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2.6272682412907825E+40</v>
      </c>
      <c r="F29" s="15">
        <f t="shared" si="3"/>
        <v>3.1672373826271748E+41</v>
      </c>
      <c r="H29" s="18">
        <f t="shared" si="4"/>
        <v>3.4299642067562531E+41</v>
      </c>
      <c r="I29" s="45">
        <v>312.41000000000003</v>
      </c>
      <c r="J29" s="45">
        <v>1</v>
      </c>
      <c r="K29" s="19">
        <f t="shared" si="5"/>
        <v>256.81277679741044</v>
      </c>
      <c r="L29" s="16">
        <f t="shared" si="6"/>
        <v>3091.0512278385663</v>
      </c>
    </row>
    <row r="30" spans="1:12" x14ac:dyDescent="0.25">
      <c r="A30" s="45">
        <v>16.91</v>
      </c>
      <c r="B30" s="45">
        <f t="shared" si="0"/>
        <v>16910</v>
      </c>
      <c r="C30" s="16">
        <f t="shared" si="1"/>
        <v>48.855187494988769</v>
      </c>
      <c r="D30" s="15">
        <f t="shared" si="2"/>
        <v>5.2178807877800002E+20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2.6285641146025875E+40</v>
      </c>
      <c r="F30" s="15">
        <f t="shared" si="3"/>
        <v>3.1673505066063754E+41</v>
      </c>
      <c r="H30" s="18">
        <f t="shared" si="4"/>
        <v>3.4302069180666342E+41</v>
      </c>
      <c r="I30" s="45">
        <v>299.52</v>
      </c>
      <c r="J30" s="45">
        <v>1</v>
      </c>
      <c r="K30" s="19">
        <f t="shared" si="5"/>
        <v>250.80401346379534</v>
      </c>
      <c r="L30" s="16">
        <f t="shared" si="6"/>
        <v>2373.2473441956718</v>
      </c>
    </row>
    <row r="31" spans="1:12" x14ac:dyDescent="0.25">
      <c r="A31" s="45">
        <v>18.809999999999999</v>
      </c>
      <c r="B31" s="45">
        <f t="shared" si="0"/>
        <v>18810</v>
      </c>
      <c r="C31" s="16">
        <f t="shared" si="1"/>
        <v>54.344534404538066</v>
      </c>
      <c r="D31" s="15">
        <f t="shared" si="2"/>
        <v>5.8041595279799996E+20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2.6295152321010813E+40</v>
      </c>
      <c r="F31" s="15">
        <f t="shared" si="3"/>
        <v>3.1673818894531631E+41</v>
      </c>
      <c r="H31" s="18">
        <f t="shared" si="4"/>
        <v>3.4303334126632712E+41</v>
      </c>
      <c r="I31" s="45">
        <v>292.08999999999997</v>
      </c>
      <c r="J31" s="45">
        <v>1</v>
      </c>
      <c r="K31" s="19">
        <f t="shared" si="5"/>
        <v>246.19142653453235</v>
      </c>
      <c r="L31" s="16">
        <f t="shared" si="6"/>
        <v>2106.6790461649284</v>
      </c>
    </row>
    <row r="32" spans="1:12" x14ac:dyDescent="0.25">
      <c r="A32" s="45">
        <v>20.91</v>
      </c>
      <c r="B32" s="45">
        <f t="shared" si="0"/>
        <v>20910</v>
      </c>
      <c r="C32" s="16">
        <f t="shared" si="1"/>
        <v>60.411707304566242</v>
      </c>
      <c r="D32" s="15">
        <f t="shared" si="2"/>
        <v>6.4521518197800003E+20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2.6301656441721451E+40</v>
      </c>
      <c r="F32" s="15">
        <f t="shared" si="3"/>
        <v>3.1673894366015038E+41</v>
      </c>
      <c r="H32" s="18">
        <f t="shared" si="4"/>
        <v>3.4304060010187182E+41</v>
      </c>
      <c r="I32" s="45">
        <v>279.49</v>
      </c>
      <c r="J32" s="45">
        <v>1</v>
      </c>
      <c r="K32" s="19">
        <f t="shared" si="5"/>
        <v>242.92489209813024</v>
      </c>
      <c r="L32" s="16">
        <f t="shared" si="6"/>
        <v>1337.0071158753788</v>
      </c>
    </row>
    <row r="33" spans="1:13" x14ac:dyDescent="0.25">
      <c r="A33" s="45">
        <v>23.21</v>
      </c>
      <c r="B33" s="45">
        <f t="shared" si="0"/>
        <v>23210</v>
      </c>
      <c r="C33" s="16">
        <f t="shared" si="1"/>
        <v>67.056706195073289</v>
      </c>
      <c r="D33" s="15">
        <f t="shared" si="2"/>
        <v>7.1618576631800005E+20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2.6304979024682637E+40</v>
      </c>
      <c r="F33" s="15">
        <f t="shared" si="3"/>
        <v>3.1673909628866973E+41</v>
      </c>
      <c r="H33" s="18">
        <f t="shared" si="4"/>
        <v>3.4304407531335235E+41</v>
      </c>
      <c r="I33" s="45">
        <v>271.47000000000003</v>
      </c>
      <c r="J33" s="45">
        <v>1</v>
      </c>
      <c r="K33" s="19">
        <f t="shared" si="5"/>
        <v>241.00738347055329</v>
      </c>
      <c r="L33" s="16">
        <f t="shared" si="6"/>
        <v>927.97100582012138</v>
      </c>
    </row>
    <row r="34" spans="1:13" x14ac:dyDescent="0.25">
      <c r="A34" s="45">
        <v>25.75</v>
      </c>
      <c r="B34" s="45">
        <f t="shared" si="0"/>
        <v>25750</v>
      </c>
      <c r="C34" s="16">
        <f t="shared" si="1"/>
        <v>74.39509627415498</v>
      </c>
      <c r="D34" s="15">
        <f t="shared" si="2"/>
        <v>7.9456197684999999E+20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2.6308648311952821E+40</v>
      </c>
      <c r="F34" s="15">
        <f t="shared" si="3"/>
        <v>3.1673912239624959E+41</v>
      </c>
      <c r="H34" s="18">
        <f t="shared" si="4"/>
        <v>3.4304777070820243E+41</v>
      </c>
      <c r="I34" s="45">
        <v>262.45999999999998</v>
      </c>
      <c r="J34" s="45">
        <v>1</v>
      </c>
      <c r="K34" s="19">
        <f t="shared" si="5"/>
        <v>240.39467377040995</v>
      </c>
      <c r="L34" s="16">
        <f t="shared" si="6"/>
        <v>486.87862161823364</v>
      </c>
    </row>
    <row r="35" spans="1:13" x14ac:dyDescent="0.25">
      <c r="A35" s="45">
        <v>28.53</v>
      </c>
      <c r="B35" s="45">
        <f t="shared" si="0"/>
        <v>28530</v>
      </c>
      <c r="C35" s="16">
        <f t="shared" si="1"/>
        <v>82.426877541811336</v>
      </c>
      <c r="D35" s="15">
        <f t="shared" si="2"/>
        <v>8.8034381357399998E+20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2.6311802101680494E+40</v>
      </c>
      <c r="F35" s="15">
        <f t="shared" si="3"/>
        <v>3.1673912603335356E+41</v>
      </c>
      <c r="H35" s="18">
        <f t="shared" si="4"/>
        <v>3.4305092813503405E+41</v>
      </c>
      <c r="I35" s="45">
        <v>255.2</v>
      </c>
      <c r="J35" s="45">
        <v>1</v>
      </c>
      <c r="K35" s="19">
        <f t="shared" si="5"/>
        <v>241.06058287941403</v>
      </c>
      <c r="L35" s="16">
        <f t="shared" si="6"/>
        <v>199.92311650991937</v>
      </c>
    </row>
    <row r="36" spans="1:13" x14ac:dyDescent="0.25">
      <c r="A36" s="45">
        <v>31.6</v>
      </c>
      <c r="B36" s="45">
        <f t="shared" si="0"/>
        <v>31600</v>
      </c>
      <c r="C36" s="16">
        <f t="shared" si="1"/>
        <v>91.296506495662044</v>
      </c>
      <c r="D36" s="15">
        <f t="shared" si="2"/>
        <v>9.7507411527999999E+20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2.6313085896035178E+40</v>
      </c>
      <c r="F36" s="15">
        <f t="shared" si="3"/>
        <v>3.1673912644791507E+41</v>
      </c>
      <c r="H36" s="18">
        <f t="shared" si="4"/>
        <v>3.4305221234395026E+41</v>
      </c>
      <c r="I36" s="45">
        <v>248.26</v>
      </c>
      <c r="J36" s="45">
        <v>1</v>
      </c>
      <c r="K36" s="19">
        <f t="shared" si="5"/>
        <v>242.97750989083832</v>
      </c>
      <c r="L36" s="16">
        <f t="shared" si="6"/>
        <v>27.904701753390881</v>
      </c>
    </row>
    <row r="37" spans="1:13" x14ac:dyDescent="0.25">
      <c r="A37" s="45">
        <v>34.97</v>
      </c>
      <c r="B37" s="45">
        <f t="shared" si="0"/>
        <v>34970</v>
      </c>
      <c r="C37" s="16">
        <f t="shared" si="1"/>
        <v>101.03287443523107</v>
      </c>
      <c r="D37" s="15">
        <f t="shared" si="2"/>
        <v>1.079061449726E+21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2.6314413597838665E+40</v>
      </c>
      <c r="F37" s="15">
        <f t="shared" si="3"/>
        <v>3.1673912648490584E+41</v>
      </c>
      <c r="H37" s="18">
        <f t="shared" si="4"/>
        <v>3.4305354008274452E+41</v>
      </c>
      <c r="I37" s="45">
        <v>243.96</v>
      </c>
      <c r="J37" s="45">
        <v>1</v>
      </c>
      <c r="K37" s="19">
        <f t="shared" si="5"/>
        <v>246.10436889636841</v>
      </c>
      <c r="L37" s="16">
        <f t="shared" si="6"/>
        <v>4.5983179637122529</v>
      </c>
    </row>
    <row r="38" spans="1:13" x14ac:dyDescent="0.25">
      <c r="A38" s="45">
        <v>38.68</v>
      </c>
      <c r="B38" s="45">
        <f t="shared" si="0"/>
        <v>38680</v>
      </c>
      <c r="C38" s="16">
        <f t="shared" si="1"/>
        <v>111.75154655861417</v>
      </c>
      <c r="D38" s="15">
        <f t="shared" si="2"/>
        <v>1.193540087944E+21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2.6315118791361893E+40</v>
      </c>
      <c r="F38" s="15">
        <f t="shared" si="3"/>
        <v>3.1673912648747295E+41</v>
      </c>
      <c r="H38" s="18">
        <f t="shared" si="4"/>
        <v>3.4305424527883483E+41</v>
      </c>
      <c r="I38" s="45">
        <v>241.65</v>
      </c>
      <c r="J38" s="45">
        <v>1</v>
      </c>
      <c r="K38" s="19">
        <f t="shared" si="5"/>
        <v>250.4133681635839</v>
      </c>
      <c r="L38" s="16">
        <f t="shared" si="6"/>
        <v>76.796621570515697</v>
      </c>
    </row>
    <row r="39" spans="1:13" x14ac:dyDescent="0.25">
      <c r="A39" s="45">
        <v>42.76</v>
      </c>
      <c r="B39" s="45">
        <f t="shared" si="0"/>
        <v>42760</v>
      </c>
      <c r="C39" s="16">
        <f t="shared" si="1"/>
        <v>123.53919676438319</v>
      </c>
      <c r="D39" s="15">
        <f t="shared" si="2"/>
        <v>1.3194357332079998E+21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2.631570803596215E+40</v>
      </c>
      <c r="F39" s="15">
        <f t="shared" si="3"/>
        <v>3.1673912648760699E+41</v>
      </c>
      <c r="H39" s="18">
        <f t="shared" si="4"/>
        <v>3.4305483452356913E+41</v>
      </c>
      <c r="I39" s="45">
        <v>239.43</v>
      </c>
      <c r="J39" s="45">
        <v>1</v>
      </c>
      <c r="K39" s="19">
        <f t="shared" si="5"/>
        <v>255.86606342645655</v>
      </c>
      <c r="L39" s="16">
        <f t="shared" si="6"/>
        <v>270.14418095850237</v>
      </c>
    </row>
    <row r="40" spans="1:13" x14ac:dyDescent="0.25">
      <c r="A40" s="45">
        <v>47.25</v>
      </c>
      <c r="B40" s="45">
        <f t="shared" si="0"/>
        <v>47250</v>
      </c>
      <c r="C40" s="16">
        <f t="shared" si="1"/>
        <v>136.51139025063389</v>
      </c>
      <c r="D40" s="15">
        <f t="shared" si="2"/>
        <v>1.4579826565499999E+21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2.6315878727009011E+40</v>
      </c>
      <c r="F40" s="15">
        <f t="shared" si="3"/>
        <v>3.1673912648761214E+41</v>
      </c>
      <c r="H40" s="18">
        <f t="shared" si="4"/>
        <v>3.4305500521462114E+41</v>
      </c>
      <c r="I40" s="45">
        <v>240.56</v>
      </c>
      <c r="J40" s="45">
        <v>1</v>
      </c>
      <c r="K40" s="19">
        <f t="shared" si="5"/>
        <v>262.43239213429911</v>
      </c>
      <c r="L40" s="16">
        <f t="shared" si="6"/>
        <v>478.40153767654937</v>
      </c>
    </row>
    <row r="41" spans="1:13" x14ac:dyDescent="0.25">
      <c r="A41" s="45">
        <v>52.19</v>
      </c>
      <c r="B41" s="45">
        <f t="shared" si="0"/>
        <v>52190</v>
      </c>
      <c r="C41" s="16">
        <f t="shared" si="1"/>
        <v>150.78369221546208</v>
      </c>
      <c r="D41" s="15">
        <f t="shared" si="2"/>
        <v>1.610415129002E+21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2.6316066525176384E+40</v>
      </c>
      <c r="F41" s="15">
        <f t="shared" si="3"/>
        <v>3.1673912648761225E+41</v>
      </c>
      <c r="H41" s="18">
        <f t="shared" si="4"/>
        <v>3.4305519301278864E+41</v>
      </c>
      <c r="I41" s="45">
        <v>243.95</v>
      </c>
      <c r="J41" s="45">
        <v>1</v>
      </c>
      <c r="K41" s="19">
        <f t="shared" si="5"/>
        <v>270.07956642633428</v>
      </c>
      <c r="L41" s="16">
        <f t="shared" si="6"/>
        <v>682.75424162821628</v>
      </c>
    </row>
    <row r="42" spans="1:13" x14ac:dyDescent="0.25">
      <c r="I42" s="45"/>
      <c r="J42" s="45"/>
      <c r="L42" s="16">
        <f>SUM(L8:L41)/(COUNT(L8:L41)-4)</f>
        <v>1751.6790013799107</v>
      </c>
    </row>
    <row r="43" spans="1:13" x14ac:dyDescent="0.25">
      <c r="I43" s="45"/>
      <c r="J43" s="45"/>
      <c r="L43" s="16"/>
    </row>
    <row r="44" spans="1:13" ht="21" x14ac:dyDescent="0.35">
      <c r="A44" s="48" t="s">
        <v>564</v>
      </c>
      <c r="I44" s="45"/>
      <c r="J44" s="45"/>
      <c r="L44" s="16"/>
    </row>
    <row r="45" spans="1:13" x14ac:dyDescent="0.25">
      <c r="A45" s="16" t="s">
        <v>30</v>
      </c>
      <c r="D45" s="16">
        <v>1.08</v>
      </c>
      <c r="E45" s="17">
        <f>$D$45*1000</f>
        <v>1080</v>
      </c>
      <c r="F45" s="17"/>
      <c r="G45" s="17"/>
      <c r="H45" s="15"/>
      <c r="K45" s="15"/>
      <c r="L45" s="17"/>
      <c r="M45" s="45"/>
    </row>
    <row r="46" spans="1:13" x14ac:dyDescent="0.25">
      <c r="A46" s="16" t="s">
        <v>16</v>
      </c>
      <c r="D46" s="16">
        <v>10.029999999999999</v>
      </c>
      <c r="E46" s="15">
        <f>D46*10000000000*SolarMass</f>
        <v>1.9950672999999998E+41</v>
      </c>
      <c r="F46" s="43"/>
      <c r="G46" s="43"/>
      <c r="H46" s="15"/>
      <c r="K46" s="15"/>
      <c r="L46" s="17"/>
      <c r="M46" s="45"/>
    </row>
    <row r="47" spans="1:13" x14ac:dyDescent="0.25">
      <c r="A47" s="16" t="s">
        <v>569</v>
      </c>
      <c r="D47" s="16">
        <v>3.5</v>
      </c>
      <c r="E47" s="15">
        <f>D47*1000</f>
        <v>3500</v>
      </c>
      <c r="H47" s="15"/>
      <c r="K47" s="15"/>
      <c r="L47" s="17"/>
      <c r="M47" s="45"/>
    </row>
    <row r="48" spans="1:13" x14ac:dyDescent="0.25">
      <c r="A48" s="16" t="s">
        <v>17</v>
      </c>
      <c r="D48" s="45">
        <v>12.5</v>
      </c>
      <c r="G48" s="16"/>
      <c r="H48" s="15"/>
      <c r="K48" s="15"/>
      <c r="L48" s="17"/>
      <c r="M48" s="45"/>
    </row>
    <row r="49" spans="1:29" x14ac:dyDescent="0.25">
      <c r="A49" s="16" t="s">
        <v>570</v>
      </c>
      <c r="D49" s="16">
        <v>50.2</v>
      </c>
      <c r="E49" s="17">
        <f>D49*1000</f>
        <v>50200</v>
      </c>
      <c r="H49" s="15"/>
      <c r="K49" s="15"/>
      <c r="L49" s="17"/>
      <c r="M49" s="45"/>
    </row>
    <row r="50" spans="1:29" x14ac:dyDescent="0.25">
      <c r="A50" s="16" t="s">
        <v>571</v>
      </c>
      <c r="D50" s="16">
        <v>43.8</v>
      </c>
      <c r="G50" s="9"/>
      <c r="H50" s="15"/>
      <c r="K50" s="15"/>
      <c r="L50" s="17"/>
      <c r="M50" s="45"/>
    </row>
    <row r="51" spans="1:29" x14ac:dyDescent="0.25">
      <c r="D51" s="12"/>
      <c r="H51" s="15"/>
      <c r="K51" s="15"/>
      <c r="L51" s="17"/>
      <c r="M51" s="45"/>
    </row>
    <row r="52" spans="1:29" x14ac:dyDescent="0.25">
      <c r="A52" s="16" t="s">
        <v>567</v>
      </c>
      <c r="D52" s="17">
        <f>(D48*10000000000)/(2*PI()*DiskScaleLengthPc^2)</f>
        <v>1624.0300315499526</v>
      </c>
      <c r="H52" s="15"/>
      <c r="K52" s="15"/>
      <c r="L52" s="17"/>
      <c r="M52" s="45"/>
    </row>
    <row r="53" spans="1:29" x14ac:dyDescent="0.25">
      <c r="A53" s="16" t="s">
        <v>565</v>
      </c>
      <c r="D53" s="9">
        <f>(D50*10000000000)/(4*PI()*(LCDMHaloScaleLengthPc)^3*(LN(2)-1/2))</f>
        <v>1.4264768306241941E-3</v>
      </c>
      <c r="H53" s="15"/>
      <c r="K53" s="15"/>
      <c r="L53" s="17"/>
      <c r="M53" s="45"/>
    </row>
    <row r="54" spans="1:29" x14ac:dyDescent="0.25">
      <c r="H54" s="15"/>
      <c r="K54" s="15"/>
      <c r="L54" s="17"/>
      <c r="M54" s="45"/>
    </row>
    <row r="55" spans="1:29" ht="45" x14ac:dyDescent="0.25">
      <c r="A55" s="7" t="s">
        <v>20</v>
      </c>
      <c r="B55" s="3" t="s">
        <v>19</v>
      </c>
      <c r="C55" s="7" t="s">
        <v>27</v>
      </c>
      <c r="D55" s="4" t="s">
        <v>649</v>
      </c>
      <c r="E55" s="4" t="s">
        <v>21</v>
      </c>
      <c r="F55" s="4" t="s">
        <v>22</v>
      </c>
      <c r="G55" s="4" t="s">
        <v>28</v>
      </c>
      <c r="H55" s="4" t="s">
        <v>23</v>
      </c>
      <c r="I55" s="7" t="s">
        <v>645</v>
      </c>
      <c r="J55" s="7" t="s">
        <v>646</v>
      </c>
      <c r="K55" s="25" t="s">
        <v>647</v>
      </c>
      <c r="L55" s="3" t="s">
        <v>648</v>
      </c>
      <c r="M55" s="3"/>
      <c r="N55" s="3"/>
      <c r="O55" s="3"/>
      <c r="P55" s="3"/>
      <c r="Q55" s="3"/>
      <c r="R55" s="3"/>
      <c r="S55" s="3"/>
      <c r="T55" s="3"/>
      <c r="U55" s="3"/>
      <c r="V55" s="7"/>
      <c r="W55" s="7"/>
      <c r="X55" s="3"/>
      <c r="Y55" s="3"/>
      <c r="Z55" s="3"/>
      <c r="AA55" s="3"/>
      <c r="AB55" s="3"/>
      <c r="AC55" s="3"/>
    </row>
    <row r="56" spans="1:29" x14ac:dyDescent="0.25">
      <c r="A56" s="45">
        <v>0.21</v>
      </c>
      <c r="B56" s="45">
        <f>A56*1000</f>
        <v>210</v>
      </c>
      <c r="C56" s="16">
        <f>B56/LCDMBulgeEffectiveRadius</f>
        <v>0.19444444444444445</v>
      </c>
      <c r="D56" s="15">
        <f>A56*kpc</f>
        <v>6.479922918E+18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1.9282502793815552E+40</v>
      </c>
      <c r="F56" s="15">
        <f t="shared" ref="F56:F89" si="7">2*PI()*LCDMDiskSurfaceDensity*LCDMScaleLength*(LCDMScaleLength-EXP(-RadiusPc/LCDMScaleLength)*(RadiusPc+LCDMScaleLength))*SolarMass</f>
        <v>4.3004202780312927E+38</v>
      </c>
      <c r="G56" s="15">
        <f t="shared" ref="G56:G89" si="8">4*PI()*LCDMHaloRepresentativeDensity*LCDMHaloScaleLengthPc^3*(LN(1+RadiusPc/LCDMHaloScaleLengthPc)-RadiusPc/(RadiusPc+LCDMHaloScaleLengthPc))*SolarMass</f>
        <v>3.9248746118822717E+37</v>
      </c>
      <c r="H56" s="15">
        <f t="shared" ref="H56:H89" si="9">BulgeMass+DiskMass+HaloMass</f>
        <v>1.9751793567737503E+40</v>
      </c>
      <c r="I56" s="45">
        <v>277.57</v>
      </c>
      <c r="J56" s="45">
        <v>1</v>
      </c>
      <c r="K56" s="19">
        <f t="shared" ref="K56:K89" si="10">SQRT(TotalMass*GravitationalConstant/RadiusKm)/km</f>
        <v>451.03895588274059</v>
      </c>
      <c r="L56" s="16">
        <f t="shared" ref="L56:L89" si="11">(ObservedVelocity-ModelVelocity)^2/(VelocityError)^2</f>
        <v>30091.478655048206</v>
      </c>
      <c r="M56" s="45"/>
    </row>
    <row r="57" spans="1:29" x14ac:dyDescent="0.25">
      <c r="A57" s="45">
        <v>0.45</v>
      </c>
      <c r="B57" s="45">
        <f t="shared" ref="B57:B89" si="12">A57*1000</f>
        <v>450</v>
      </c>
      <c r="C57" s="16">
        <f t="shared" ref="C57:C89" si="13">B57/LCDMBulgeEffectiveRadius</f>
        <v>0.41666666666666669</v>
      </c>
      <c r="D57" s="15">
        <f t="shared" ref="D57:D89" si="14">A57*kpc</f>
        <v>1.3885549110000001E+19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4.1526660827066666E+40</v>
      </c>
      <c r="F57" s="15">
        <f t="shared" si="7"/>
        <v>1.8871259356433839E+39</v>
      </c>
      <c r="G57" s="15">
        <f t="shared" si="8"/>
        <v>1.790854849092421E+38</v>
      </c>
      <c r="H57" s="15">
        <f t="shared" si="9"/>
        <v>4.3592872247619294E+40</v>
      </c>
      <c r="I57" s="45">
        <v>475.77</v>
      </c>
      <c r="J57" s="45">
        <v>1</v>
      </c>
      <c r="K57" s="19">
        <f t="shared" si="10"/>
        <v>457.74321651573945</v>
      </c>
      <c r="L57" s="16">
        <f t="shared" si="11"/>
        <v>324.96492278840833</v>
      </c>
      <c r="M57" s="45"/>
    </row>
    <row r="58" spans="1:29" x14ac:dyDescent="0.25">
      <c r="A58" s="45">
        <v>0.7</v>
      </c>
      <c r="B58" s="45">
        <f t="shared" si="12"/>
        <v>700</v>
      </c>
      <c r="C58" s="16">
        <f t="shared" si="13"/>
        <v>0.64814814814814814</v>
      </c>
      <c r="D58" s="15">
        <f t="shared" si="14"/>
        <v>2.1599743059999998E+19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6.0412411237155564E+40</v>
      </c>
      <c r="F58" s="15">
        <f t="shared" si="7"/>
        <v>4.3568988578879462E+39</v>
      </c>
      <c r="G58" s="15">
        <f t="shared" si="8"/>
        <v>4.3050442840945231E+38</v>
      </c>
      <c r="H58" s="15">
        <f t="shared" si="9"/>
        <v>6.5199814523452958E+40</v>
      </c>
      <c r="I58" s="45">
        <v>472.83</v>
      </c>
      <c r="J58" s="45">
        <v>1</v>
      </c>
      <c r="K58" s="19">
        <f t="shared" si="10"/>
        <v>448.84313973698556</v>
      </c>
      <c r="L58" s="16">
        <f t="shared" si="11"/>
        <v>575.3694652773803</v>
      </c>
      <c r="M58" s="45"/>
    </row>
    <row r="59" spans="1:29" x14ac:dyDescent="0.25">
      <c r="A59" s="45">
        <v>0.99</v>
      </c>
      <c r="B59" s="45">
        <f t="shared" si="12"/>
        <v>990</v>
      </c>
      <c r="C59" s="16">
        <f t="shared" si="13"/>
        <v>0.91666666666666663</v>
      </c>
      <c r="D59" s="15">
        <f t="shared" si="14"/>
        <v>3.0548208041999999E+19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7.8098904525800013E+40</v>
      </c>
      <c r="F59" s="15">
        <f t="shared" si="7"/>
        <v>8.2556735117385731E+39</v>
      </c>
      <c r="G59" s="15">
        <f t="shared" si="8"/>
        <v>8.5458951157462631E+38</v>
      </c>
      <c r="H59" s="15">
        <f t="shared" si="9"/>
        <v>8.720916754911321E+40</v>
      </c>
      <c r="I59" s="45">
        <v>456.91</v>
      </c>
      <c r="J59" s="45">
        <v>1</v>
      </c>
      <c r="K59" s="19">
        <f t="shared" si="10"/>
        <v>436.49965494412538</v>
      </c>
      <c r="L59" s="16">
        <f t="shared" si="11"/>
        <v>416.58218529986647</v>
      </c>
      <c r="M59" s="45"/>
    </row>
    <row r="60" spans="1:29" x14ac:dyDescent="0.25">
      <c r="A60" s="45">
        <v>1.3</v>
      </c>
      <c r="B60" s="45">
        <f t="shared" si="12"/>
        <v>1300</v>
      </c>
      <c r="C60" s="16">
        <f t="shared" si="13"/>
        <v>1.2037037037037037</v>
      </c>
      <c r="D60" s="15">
        <f t="shared" si="14"/>
        <v>4.0113808540000002E+19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9.3253435736599993E+40</v>
      </c>
      <c r="F60" s="15">
        <f t="shared" si="7"/>
        <v>1.3441222152463861E+40</v>
      </c>
      <c r="G60" s="15">
        <f t="shared" si="8"/>
        <v>1.4617434856024486E+39</v>
      </c>
      <c r="H60" s="15">
        <f t="shared" si="9"/>
        <v>1.0815640137466631E+41</v>
      </c>
      <c r="I60" s="45">
        <v>442.26</v>
      </c>
      <c r="J60" s="45">
        <v>1</v>
      </c>
      <c r="K60" s="19">
        <f t="shared" si="10"/>
        <v>424.20410787908747</v>
      </c>
      <c r="L60" s="16">
        <f t="shared" si="11"/>
        <v>326.01524028203073</v>
      </c>
      <c r="M60" s="45"/>
    </row>
    <row r="61" spans="1:29" x14ac:dyDescent="0.25">
      <c r="A61" s="45">
        <v>1.64</v>
      </c>
      <c r="B61" s="45">
        <f t="shared" si="12"/>
        <v>1640</v>
      </c>
      <c r="C61" s="16">
        <f t="shared" si="13"/>
        <v>1.5185185185185186</v>
      </c>
      <c r="D61" s="15">
        <f t="shared" si="14"/>
        <v>5.0605112311999996E+19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1.0662356397600372E+41</v>
      </c>
      <c r="F61" s="15">
        <f t="shared" si="7"/>
        <v>2.0096712652544175E+40</v>
      </c>
      <c r="G61" s="15">
        <f t="shared" si="8"/>
        <v>2.3059645958884458E+39</v>
      </c>
      <c r="H61" s="15">
        <f t="shared" si="9"/>
        <v>1.2902624122443633E+41</v>
      </c>
      <c r="I61" s="45">
        <v>426.53</v>
      </c>
      <c r="J61" s="45">
        <v>1</v>
      </c>
      <c r="K61" s="19">
        <f t="shared" si="10"/>
        <v>412.51289629092395</v>
      </c>
      <c r="L61" s="16">
        <f t="shared" si="11"/>
        <v>196.47919639099285</v>
      </c>
      <c r="M61" s="45"/>
    </row>
    <row r="62" spans="1:29" x14ac:dyDescent="0.25">
      <c r="A62" s="45">
        <v>2.02</v>
      </c>
      <c r="B62" s="45">
        <f t="shared" si="12"/>
        <v>2020</v>
      </c>
      <c r="C62" s="16">
        <f t="shared" si="13"/>
        <v>1.8703703703703705</v>
      </c>
      <c r="D62" s="15">
        <f t="shared" si="14"/>
        <v>6.2330687116000002E+19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1.1868751426495925E+41</v>
      </c>
      <c r="F62" s="15">
        <f t="shared" si="7"/>
        <v>2.8452512109150442E+40</v>
      </c>
      <c r="G62" s="15">
        <f t="shared" si="8"/>
        <v>3.4643828536640537E+39</v>
      </c>
      <c r="H62" s="15">
        <f t="shared" si="9"/>
        <v>1.5060440922777374E+41</v>
      </c>
      <c r="I62" s="45">
        <v>412.41</v>
      </c>
      <c r="J62" s="45">
        <v>1</v>
      </c>
      <c r="K62" s="19">
        <f t="shared" si="10"/>
        <v>401.5721540957652</v>
      </c>
      <c r="L62" s="16">
        <f t="shared" si="11"/>
        <v>117.45890384393958</v>
      </c>
      <c r="M62" s="45"/>
    </row>
    <row r="63" spans="1:29" x14ac:dyDescent="0.25">
      <c r="A63" s="45">
        <v>2.4300000000000002</v>
      </c>
      <c r="B63" s="45">
        <f t="shared" si="12"/>
        <v>2430</v>
      </c>
      <c r="C63" s="16">
        <f t="shared" si="13"/>
        <v>2.25</v>
      </c>
      <c r="D63" s="15">
        <f t="shared" si="14"/>
        <v>7.4981965194000007E+19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1.2919656821339999E+41</v>
      </c>
      <c r="F63" s="15">
        <f t="shared" si="7"/>
        <v>3.8245692438584063E+40</v>
      </c>
      <c r="G63" s="15">
        <f t="shared" si="8"/>
        <v>4.961244515002744E+39</v>
      </c>
      <c r="H63" s="15">
        <f t="shared" si="9"/>
        <v>1.724035051669868E+41</v>
      </c>
      <c r="I63" s="45">
        <v>399.06</v>
      </c>
      <c r="J63" s="45">
        <v>1</v>
      </c>
      <c r="K63" s="19">
        <f t="shared" si="10"/>
        <v>391.73316405417023</v>
      </c>
      <c r="L63" s="16">
        <f t="shared" si="11"/>
        <v>53.682524977103235</v>
      </c>
      <c r="M63" s="45"/>
    </row>
    <row r="64" spans="1:29" x14ac:dyDescent="0.25">
      <c r="A64" s="45">
        <v>2.89</v>
      </c>
      <c r="B64" s="45">
        <f t="shared" si="12"/>
        <v>2890</v>
      </c>
      <c r="C64" s="16">
        <f t="shared" si="13"/>
        <v>2.675925925925926</v>
      </c>
      <c r="D64" s="15">
        <f t="shared" si="14"/>
        <v>8.9176082061999997E+19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1.3871185697229626E+41</v>
      </c>
      <c r="F64" s="15">
        <f t="shared" si="7"/>
        <v>4.9846697788385694E+40</v>
      </c>
      <c r="G64" s="15">
        <f t="shared" si="8"/>
        <v>6.9360611901585747E+39</v>
      </c>
      <c r="H64" s="15">
        <f t="shared" si="9"/>
        <v>1.9549461595084053E+41</v>
      </c>
      <c r="I64" s="45">
        <v>385.11</v>
      </c>
      <c r="J64" s="45">
        <v>1</v>
      </c>
      <c r="K64" s="19">
        <f t="shared" si="10"/>
        <v>382.50658027210284</v>
      </c>
      <c r="L64" s="16">
        <f t="shared" si="11"/>
        <v>6.7777942796042057</v>
      </c>
      <c r="M64" s="45"/>
    </row>
    <row r="65" spans="1:13" x14ac:dyDescent="0.25">
      <c r="A65" s="45">
        <v>3.39</v>
      </c>
      <c r="B65" s="45">
        <f t="shared" si="12"/>
        <v>3390</v>
      </c>
      <c r="C65" s="16">
        <f t="shared" si="13"/>
        <v>3.1388888888888888</v>
      </c>
      <c r="D65" s="15">
        <f t="shared" si="14"/>
        <v>1.0460446996200001E+20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1.4703180485296664E+41</v>
      </c>
      <c r="F65" s="15">
        <f t="shared" si="7"/>
        <v>6.2826003453237612E+40</v>
      </c>
      <c r="G65" s="15">
        <f t="shared" si="8"/>
        <v>9.4245601845494747E+39</v>
      </c>
      <c r="H65" s="15">
        <f t="shared" si="9"/>
        <v>2.192823684907537E+41</v>
      </c>
      <c r="I65" s="45">
        <v>373.74</v>
      </c>
      <c r="J65" s="45">
        <v>1</v>
      </c>
      <c r="K65" s="19">
        <f t="shared" si="10"/>
        <v>374.04378165443489</v>
      </c>
      <c r="L65" s="16">
        <f t="shared" si="11"/>
        <v>9.2283293571196301E-2</v>
      </c>
      <c r="M65" s="45"/>
    </row>
    <row r="66" spans="1:13" x14ac:dyDescent="0.25">
      <c r="A66" s="45">
        <v>3.94</v>
      </c>
      <c r="B66" s="45">
        <f t="shared" si="12"/>
        <v>3940</v>
      </c>
      <c r="C66" s="16">
        <f t="shared" si="13"/>
        <v>3.6481481481481484</v>
      </c>
      <c r="D66" s="15">
        <f t="shared" si="14"/>
        <v>1.21575696652E+20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1.5439323373305924E+41</v>
      </c>
      <c r="F66" s="15">
        <f t="shared" si="7"/>
        <v>7.7170709395257023E+40</v>
      </c>
      <c r="G66" s="15">
        <f t="shared" si="8"/>
        <v>1.2557601257584298E+40</v>
      </c>
      <c r="H66" s="15">
        <f t="shared" si="9"/>
        <v>2.4412154438590055E+41</v>
      </c>
      <c r="I66" s="45">
        <v>365.19</v>
      </c>
      <c r="J66" s="45">
        <v>1</v>
      </c>
      <c r="K66" s="19">
        <f t="shared" si="10"/>
        <v>366.07947083962756</v>
      </c>
      <c r="L66" s="16">
        <f t="shared" si="11"/>
        <v>0.79115837454776228</v>
      </c>
      <c r="M66" s="45"/>
    </row>
    <row r="67" spans="1:13" x14ac:dyDescent="0.25">
      <c r="A67" s="45">
        <v>4.55</v>
      </c>
      <c r="B67" s="45">
        <f t="shared" si="12"/>
        <v>4550</v>
      </c>
      <c r="C67" s="16">
        <f t="shared" si="13"/>
        <v>4.2129629629629628</v>
      </c>
      <c r="D67" s="15">
        <f t="shared" si="14"/>
        <v>1.4039832988999999E+20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1.6093882787021478E+41</v>
      </c>
      <c r="F67" s="15">
        <f t="shared" si="7"/>
        <v>9.2785765511863104E+40</v>
      </c>
      <c r="G67" s="15">
        <f t="shared" si="8"/>
        <v>1.6497009216759028E+40</v>
      </c>
      <c r="H67" s="15">
        <f t="shared" si="9"/>
        <v>2.7022160259883694E+41</v>
      </c>
      <c r="I67" s="45">
        <v>355.09</v>
      </c>
      <c r="J67" s="45">
        <v>1</v>
      </c>
      <c r="K67" s="19">
        <f t="shared" si="10"/>
        <v>358.4055827379434</v>
      </c>
      <c r="L67" s="16">
        <f t="shared" si="11"/>
        <v>10.993088892148451</v>
      </c>
      <c r="M67" s="45"/>
    </row>
    <row r="68" spans="1:13" x14ac:dyDescent="0.25">
      <c r="A68" s="45">
        <v>5.21</v>
      </c>
      <c r="B68" s="45">
        <f t="shared" si="12"/>
        <v>5210</v>
      </c>
      <c r="C68" s="16">
        <f t="shared" si="13"/>
        <v>4.8240740740740744</v>
      </c>
      <c r="D68" s="15">
        <f t="shared" si="14"/>
        <v>1.6076380191800001E+20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1.6659798404942775E+41</v>
      </c>
      <c r="F68" s="15">
        <f t="shared" si="7"/>
        <v>1.0898832200015883E+41</v>
      </c>
      <c r="G68" s="15">
        <f t="shared" si="8"/>
        <v>2.1284594459435486E+40</v>
      </c>
      <c r="H68" s="15">
        <f t="shared" si="9"/>
        <v>2.9687090050902209E+41</v>
      </c>
      <c r="I68" s="45">
        <v>347.76</v>
      </c>
      <c r="J68" s="45">
        <v>1</v>
      </c>
      <c r="K68" s="19">
        <f t="shared" si="10"/>
        <v>351.06326275284204</v>
      </c>
      <c r="L68" s="16">
        <f t="shared" si="11"/>
        <v>10.911544814313604</v>
      </c>
      <c r="M68" s="45"/>
    </row>
    <row r="69" spans="1:13" x14ac:dyDescent="0.25">
      <c r="A69" s="45">
        <v>5.95</v>
      </c>
      <c r="B69" s="45">
        <f t="shared" si="12"/>
        <v>5950</v>
      </c>
      <c r="C69" s="16">
        <f t="shared" si="13"/>
        <v>5.5092592592592595</v>
      </c>
      <c r="D69" s="15">
        <f t="shared" si="14"/>
        <v>1.8359781601000001E+20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1.7138370715383888E+41</v>
      </c>
      <c r="F69" s="15">
        <f t="shared" si="7"/>
        <v>1.2599816827851311E+41</v>
      </c>
      <c r="G69" s="15">
        <f t="shared" si="8"/>
        <v>2.7269302898962526E+40</v>
      </c>
      <c r="H69" s="15">
        <f t="shared" si="9"/>
        <v>3.2465117833131453E+41</v>
      </c>
      <c r="I69" s="45">
        <v>343.27</v>
      </c>
      <c r="J69" s="45">
        <v>1</v>
      </c>
      <c r="K69" s="19">
        <f t="shared" si="10"/>
        <v>343.53456496131832</v>
      </c>
      <c r="L69" s="16">
        <f t="shared" si="11"/>
        <v>6.9994618757375948E-2</v>
      </c>
      <c r="M69" s="45"/>
    </row>
    <row r="70" spans="1:13" x14ac:dyDescent="0.25">
      <c r="A70" s="45">
        <v>6.75</v>
      </c>
      <c r="B70" s="45">
        <f t="shared" si="12"/>
        <v>6750</v>
      </c>
      <c r="C70" s="16">
        <f t="shared" si="13"/>
        <v>6.25</v>
      </c>
      <c r="D70" s="15">
        <f t="shared" si="14"/>
        <v>2.0828323664999999E+20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1.7584423428834999E+41</v>
      </c>
      <c r="F70" s="15">
        <f t="shared" si="7"/>
        <v>1.427963568009463E+41</v>
      </c>
      <c r="G70" s="15">
        <f t="shared" si="8"/>
        <v>3.4432939598460849E+40</v>
      </c>
      <c r="H70" s="15">
        <f t="shared" si="9"/>
        <v>3.5307353068775714E+41</v>
      </c>
      <c r="I70" s="45">
        <v>339.17</v>
      </c>
      <c r="J70" s="45">
        <v>1</v>
      </c>
      <c r="K70" s="19">
        <f t="shared" si="10"/>
        <v>336.35750733264069</v>
      </c>
      <c r="L70" s="16">
        <f t="shared" si="11"/>
        <v>7.9101150039499553</v>
      </c>
      <c r="M70" s="45"/>
    </row>
    <row r="71" spans="1:13" x14ac:dyDescent="0.25">
      <c r="A71" s="45">
        <v>7.64</v>
      </c>
      <c r="B71" s="45">
        <f t="shared" si="12"/>
        <v>7640</v>
      </c>
      <c r="C71" s="16">
        <f t="shared" si="13"/>
        <v>7.0740740740740744</v>
      </c>
      <c r="D71" s="15">
        <f t="shared" si="14"/>
        <v>2.3574576711199998E+20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1.7975083468158515E+41</v>
      </c>
      <c r="F71" s="15">
        <f t="shared" si="7"/>
        <v>1.5943419097615225E+41</v>
      </c>
      <c r="G71" s="15">
        <f t="shared" si="8"/>
        <v>4.3198956129495968E+40</v>
      </c>
      <c r="H71" s="15">
        <f t="shared" si="9"/>
        <v>3.823839817872334E+41</v>
      </c>
      <c r="I71" s="45">
        <v>337.17</v>
      </c>
      <c r="J71" s="45">
        <v>1</v>
      </c>
      <c r="K71" s="19">
        <f t="shared" si="10"/>
        <v>329.02098475298715</v>
      </c>
      <c r="L71" s="16">
        <f t="shared" si="11"/>
        <v>66.406449496048211</v>
      </c>
      <c r="M71" s="45"/>
    </row>
    <row r="72" spans="1:13" x14ac:dyDescent="0.25">
      <c r="A72" s="45">
        <v>8.6199999999999992</v>
      </c>
      <c r="B72" s="45">
        <f t="shared" si="12"/>
        <v>8620</v>
      </c>
      <c r="C72" s="16">
        <f t="shared" si="13"/>
        <v>7.9814814814814818</v>
      </c>
      <c r="D72" s="15">
        <f t="shared" si="14"/>
        <v>2.6598540739599997E+20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1.8306556510915371E+41</v>
      </c>
      <c r="F72" s="15">
        <f t="shared" si="7"/>
        <v>1.7528820583405639E+41</v>
      </c>
      <c r="G72" s="15">
        <f t="shared" si="8"/>
        <v>5.3758837892120086E+40</v>
      </c>
      <c r="H72" s="15">
        <f t="shared" si="9"/>
        <v>4.1211260883533016E+41</v>
      </c>
      <c r="I72" s="45">
        <v>335.17</v>
      </c>
      <c r="J72" s="45">
        <v>1</v>
      </c>
      <c r="K72" s="19">
        <f t="shared" si="10"/>
        <v>321.56942549339595</v>
      </c>
      <c r="L72" s="16">
        <f t="shared" si="11"/>
        <v>184.97562690968832</v>
      </c>
      <c r="M72" s="45"/>
    </row>
    <row r="73" spans="1:13" x14ac:dyDescent="0.25">
      <c r="A73" s="45">
        <v>9.69</v>
      </c>
      <c r="B73" s="45">
        <f t="shared" si="12"/>
        <v>9690</v>
      </c>
      <c r="C73" s="16">
        <f t="shared" si="13"/>
        <v>8.9722222222222214</v>
      </c>
      <c r="D73" s="15">
        <f t="shared" si="14"/>
        <v>2.9900215750200001E+20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1.8586617777721943E+41</v>
      </c>
      <c r="F73" s="15">
        <f t="shared" si="7"/>
        <v>1.89838750827981E+41</v>
      </c>
      <c r="G73" s="15">
        <f t="shared" si="8"/>
        <v>6.6297540831663227E+40</v>
      </c>
      <c r="H73" s="15">
        <f t="shared" si="9"/>
        <v>4.4200246943686362E+41</v>
      </c>
      <c r="I73" s="45">
        <v>332.17</v>
      </c>
      <c r="J73" s="45">
        <v>1</v>
      </c>
      <c r="K73" s="19">
        <f t="shared" si="10"/>
        <v>314.1021368125663</v>
      </c>
      <c r="L73" s="16">
        <f t="shared" si="11"/>
        <v>326.44768015982243</v>
      </c>
      <c r="M73" s="45"/>
    </row>
    <row r="74" spans="1:13" x14ac:dyDescent="0.25">
      <c r="A74" s="45">
        <v>10.88</v>
      </c>
      <c r="B74" s="45">
        <f t="shared" si="12"/>
        <v>10880</v>
      </c>
      <c r="C74" s="16">
        <f t="shared" si="13"/>
        <v>10.074074074074074</v>
      </c>
      <c r="D74" s="15">
        <f t="shared" si="14"/>
        <v>3.35721720704E+20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1.8828085575980739E+41</v>
      </c>
      <c r="F74" s="15">
        <f t="shared" si="7"/>
        <v>2.0301048534921623E+41</v>
      </c>
      <c r="G74" s="15">
        <f t="shared" si="8"/>
        <v>8.1383588220891792E+40</v>
      </c>
      <c r="H74" s="15">
        <f t="shared" si="9"/>
        <v>4.7267492932991541E+41</v>
      </c>
      <c r="I74" s="45">
        <v>329.63</v>
      </c>
      <c r="J74" s="45">
        <v>1</v>
      </c>
      <c r="K74" s="19">
        <f t="shared" si="10"/>
        <v>306.54008100535401</v>
      </c>
      <c r="L74" s="16">
        <f t="shared" si="11"/>
        <v>533.14435917931337</v>
      </c>
      <c r="M74" s="45"/>
    </row>
    <row r="75" spans="1:13" x14ac:dyDescent="0.25">
      <c r="A75" s="45">
        <v>12.18</v>
      </c>
      <c r="B75" s="45">
        <f t="shared" si="12"/>
        <v>12180</v>
      </c>
      <c r="C75" s="16">
        <f t="shared" si="13"/>
        <v>11.277777777777779</v>
      </c>
      <c r="D75" s="15">
        <f t="shared" si="14"/>
        <v>3.7583552924399999E+20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1.9030049194414997E+41</v>
      </c>
      <c r="F75" s="15">
        <f t="shared" si="7"/>
        <v>2.1432124808026272E+41</v>
      </c>
      <c r="G75" s="15">
        <f t="shared" si="8"/>
        <v>9.9121345599807246E+40</v>
      </c>
      <c r="H75" s="15">
        <f t="shared" si="9"/>
        <v>5.0374308562421991E+41</v>
      </c>
      <c r="I75" s="45">
        <v>326.01</v>
      </c>
      <c r="J75" s="45">
        <v>1</v>
      </c>
      <c r="K75" s="19">
        <f t="shared" si="10"/>
        <v>299.08961687369271</v>
      </c>
      <c r="L75" s="16">
        <f t="shared" si="11"/>
        <v>724.70702766717</v>
      </c>
      <c r="M75" s="45"/>
    </row>
    <row r="76" spans="1:13" x14ac:dyDescent="0.25">
      <c r="A76" s="45">
        <v>13.61</v>
      </c>
      <c r="B76" s="45">
        <f t="shared" si="12"/>
        <v>13610</v>
      </c>
      <c r="C76" s="16">
        <f t="shared" si="13"/>
        <v>12.601851851851851</v>
      </c>
      <c r="D76" s="15">
        <f t="shared" si="14"/>
        <v>4.1996071863799998E+20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1.9202138527316293E+41</v>
      </c>
      <c r="F76" s="15">
        <f t="shared" si="7"/>
        <v>2.2375101952347396E+41</v>
      </c>
      <c r="G76" s="15">
        <f t="shared" si="8"/>
        <v>1.2000871067438878E+41</v>
      </c>
      <c r="H76" s="15">
        <f t="shared" si="9"/>
        <v>5.3578111547102566E+41</v>
      </c>
      <c r="I76" s="45">
        <v>320.60000000000002</v>
      </c>
      <c r="J76" s="45">
        <v>1</v>
      </c>
      <c r="K76" s="19">
        <f t="shared" si="10"/>
        <v>291.79985381224134</v>
      </c>
      <c r="L76" s="16">
        <f t="shared" si="11"/>
        <v>829.44842043627114</v>
      </c>
      <c r="M76" s="45"/>
    </row>
    <row r="77" spans="1:13" x14ac:dyDescent="0.25">
      <c r="A77" s="45">
        <v>15.18</v>
      </c>
      <c r="B77" s="45">
        <f t="shared" si="12"/>
        <v>15180</v>
      </c>
      <c r="C77" s="16">
        <f t="shared" si="13"/>
        <v>14.055555555555555</v>
      </c>
      <c r="D77" s="15">
        <f t="shared" si="14"/>
        <v>4.6840585664399999E+20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1.9348184842814444E+41</v>
      </c>
      <c r="F77" s="15">
        <f t="shared" si="7"/>
        <v>2.3128834816523419E+41</v>
      </c>
      <c r="G77" s="15">
        <f t="shared" si="8"/>
        <v>1.4443334616560729E+41</v>
      </c>
      <c r="H77" s="15">
        <f t="shared" si="9"/>
        <v>5.6920354275898592E+41</v>
      </c>
      <c r="I77" s="45">
        <v>312.41000000000003</v>
      </c>
      <c r="J77" s="45">
        <v>1</v>
      </c>
      <c r="K77" s="19">
        <f t="shared" si="10"/>
        <v>284.78580807409111</v>
      </c>
      <c r="L77" s="16">
        <f t="shared" si="11"/>
        <v>763.09597955945139</v>
      </c>
      <c r="M77" s="45"/>
    </row>
    <row r="78" spans="1:13" x14ac:dyDescent="0.25">
      <c r="A78" s="45">
        <v>16.91</v>
      </c>
      <c r="B78" s="45">
        <f t="shared" si="12"/>
        <v>16910</v>
      </c>
      <c r="C78" s="16">
        <f t="shared" si="13"/>
        <v>15.657407407407407</v>
      </c>
      <c r="D78" s="15">
        <f t="shared" si="14"/>
        <v>5.2178807877800002E+20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1.9455651729127295E+41</v>
      </c>
      <c r="F78" s="15">
        <f t="shared" si="7"/>
        <v>2.3707427909623155E+41</v>
      </c>
      <c r="G78" s="15">
        <f t="shared" si="8"/>
        <v>1.7295614614415573E+41</v>
      </c>
      <c r="H78" s="15">
        <f t="shared" si="9"/>
        <v>6.0458694253166025E+41</v>
      </c>
      <c r="I78" s="45">
        <v>299.52</v>
      </c>
      <c r="J78" s="45">
        <v>1</v>
      </c>
      <c r="K78" s="19">
        <f t="shared" si="10"/>
        <v>278.08528552189017</v>
      </c>
      <c r="L78" s="16">
        <f t="shared" si="11"/>
        <v>459.44698475809037</v>
      </c>
      <c r="M78" s="45"/>
    </row>
    <row r="79" spans="1:13" x14ac:dyDescent="0.25">
      <c r="A79" s="45">
        <v>18.809999999999999</v>
      </c>
      <c r="B79" s="45">
        <f t="shared" si="12"/>
        <v>18810</v>
      </c>
      <c r="C79" s="16">
        <f t="shared" si="13"/>
        <v>17.416666666666668</v>
      </c>
      <c r="D79" s="15">
        <f t="shared" si="14"/>
        <v>5.8041595279799996E+20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1.9542555382887664E+41</v>
      </c>
      <c r="F79" s="15">
        <f t="shared" si="7"/>
        <v>2.4129277522324085E+41</v>
      </c>
      <c r="G79" s="15">
        <f t="shared" si="8"/>
        <v>2.0599029474220542E+41</v>
      </c>
      <c r="H79" s="15">
        <f t="shared" si="9"/>
        <v>6.4270862379432298E+41</v>
      </c>
      <c r="I79" s="45">
        <v>292.08999999999997</v>
      </c>
      <c r="J79" s="45">
        <v>1</v>
      </c>
      <c r="K79" s="19">
        <f t="shared" si="10"/>
        <v>271.85235364968253</v>
      </c>
      <c r="L79" s="16">
        <f t="shared" si="11"/>
        <v>409.56232980051709</v>
      </c>
      <c r="M79" s="45"/>
    </row>
    <row r="80" spans="1:13" x14ac:dyDescent="0.25">
      <c r="A80" s="45">
        <v>20.91</v>
      </c>
      <c r="B80" s="45">
        <f t="shared" si="12"/>
        <v>20910</v>
      </c>
      <c r="C80" s="16">
        <f t="shared" si="13"/>
        <v>19.361111111111111</v>
      </c>
      <c r="D80" s="15">
        <f t="shared" si="14"/>
        <v>6.4521518197800003E+20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1.9638606789675444E+41</v>
      </c>
      <c r="F80" s="15">
        <f t="shared" si="7"/>
        <v>2.4422721102706338E+41</v>
      </c>
      <c r="G80" s="15">
        <f t="shared" si="8"/>
        <v>2.4430528342360485E+41</v>
      </c>
      <c r="H80" s="15">
        <f t="shared" si="9"/>
        <v>6.8491856234742271E+41</v>
      </c>
      <c r="I80" s="45">
        <v>279.49</v>
      </c>
      <c r="J80" s="45">
        <v>1</v>
      </c>
      <c r="K80" s="19">
        <f t="shared" si="10"/>
        <v>266.17231592199556</v>
      </c>
      <c r="L80" s="16">
        <f t="shared" si="11"/>
        <v>177.36070920153315</v>
      </c>
      <c r="M80" s="45"/>
    </row>
    <row r="81" spans="1:13" x14ac:dyDescent="0.25">
      <c r="A81" s="45">
        <v>23.21</v>
      </c>
      <c r="B81" s="45">
        <f t="shared" si="12"/>
        <v>23210</v>
      </c>
      <c r="C81" s="16">
        <f t="shared" si="13"/>
        <v>21.49074074074074</v>
      </c>
      <c r="D81" s="15">
        <f t="shared" si="14"/>
        <v>7.1618576631800005E+20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1.9703476772391846E+41</v>
      </c>
      <c r="F81" s="15">
        <f t="shared" si="7"/>
        <v>2.4613612019998304E+41</v>
      </c>
      <c r="G81" s="15">
        <f t="shared" si="8"/>
        <v>2.8812297669436949E+41</v>
      </c>
      <c r="H81" s="15">
        <f t="shared" si="9"/>
        <v>7.3129386461827099E+41</v>
      </c>
      <c r="I81" s="45">
        <v>271.47000000000003</v>
      </c>
      <c r="J81" s="45">
        <v>1</v>
      </c>
      <c r="K81" s="19">
        <f t="shared" si="10"/>
        <v>261.053082811244</v>
      </c>
      <c r="L81" s="16">
        <f t="shared" si="11"/>
        <v>108.51216371740085</v>
      </c>
      <c r="M81" s="45"/>
    </row>
    <row r="82" spans="1:13" x14ac:dyDescent="0.25">
      <c r="A82" s="45">
        <v>25.75</v>
      </c>
      <c r="B82" s="45">
        <f t="shared" si="12"/>
        <v>25750</v>
      </c>
      <c r="C82" s="16">
        <f t="shared" si="13"/>
        <v>23.842592592592592</v>
      </c>
      <c r="D82" s="15">
        <f t="shared" si="14"/>
        <v>7.9456197684999999E+20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1.9756028322901477E+41</v>
      </c>
      <c r="F82" s="15">
        <f t="shared" si="7"/>
        <v>2.4731176137033133E+41</v>
      </c>
      <c r="G82" s="15">
        <f t="shared" si="8"/>
        <v>3.3839761505084528E+41</v>
      </c>
      <c r="H82" s="15">
        <f t="shared" si="9"/>
        <v>7.8326965965019127E+41</v>
      </c>
      <c r="I82" s="45">
        <v>262.45999999999998</v>
      </c>
      <c r="J82" s="45">
        <v>1</v>
      </c>
      <c r="K82" s="19">
        <f t="shared" si="10"/>
        <v>256.50005760249383</v>
      </c>
      <c r="L82" s="16">
        <f t="shared" si="11"/>
        <v>35.520913381591406</v>
      </c>
      <c r="M82" s="45"/>
    </row>
    <row r="83" spans="1:13" x14ac:dyDescent="0.25">
      <c r="A83" s="45">
        <v>28.53</v>
      </c>
      <c r="B83" s="45">
        <f t="shared" si="12"/>
        <v>28530</v>
      </c>
      <c r="C83" s="16">
        <f t="shared" si="13"/>
        <v>26.416666666666668</v>
      </c>
      <c r="D83" s="15">
        <f t="shared" si="14"/>
        <v>8.8034381357399998E+20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1.9801279035463831E+41</v>
      </c>
      <c r="F83" s="15">
        <f t="shared" si="7"/>
        <v>2.4798145281473796E+41</v>
      </c>
      <c r="G83" s="15">
        <f t="shared" si="8"/>
        <v>3.9527797794062164E+41</v>
      </c>
      <c r="H83" s="15">
        <f t="shared" si="9"/>
        <v>8.4127222110999791E+41</v>
      </c>
      <c r="I83" s="45">
        <v>255.2</v>
      </c>
      <c r="J83" s="45">
        <v>1</v>
      </c>
      <c r="K83" s="19">
        <f t="shared" si="10"/>
        <v>252.5444449475668</v>
      </c>
      <c r="L83" s="16">
        <f t="shared" si="11"/>
        <v>7.0519726365034234</v>
      </c>
      <c r="M83" s="45"/>
    </row>
    <row r="84" spans="1:13" x14ac:dyDescent="0.25">
      <c r="A84" s="45">
        <v>31.6</v>
      </c>
      <c r="B84" s="45">
        <f t="shared" si="12"/>
        <v>31600</v>
      </c>
      <c r="C84" s="16">
        <f t="shared" si="13"/>
        <v>29.25925925925926</v>
      </c>
      <c r="D84" s="15">
        <f t="shared" si="14"/>
        <v>9.7507411527999999E+20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1.984018321727074E+41</v>
      </c>
      <c r="F84" s="15">
        <f t="shared" si="7"/>
        <v>2.4833844783447312E+41</v>
      </c>
      <c r="G84" s="15">
        <f t="shared" si="8"/>
        <v>4.5988289495267638E+41</v>
      </c>
      <c r="H84" s="15">
        <f t="shared" si="9"/>
        <v>9.0662317495985683E+41</v>
      </c>
      <c r="I84" s="45">
        <v>248.26</v>
      </c>
      <c r="J84" s="45">
        <v>1</v>
      </c>
      <c r="K84" s="19">
        <f t="shared" si="10"/>
        <v>249.10950476723059</v>
      </c>
      <c r="L84" s="16">
        <f t="shared" si="11"/>
        <v>0.72165834954751362</v>
      </c>
      <c r="M84" s="45"/>
    </row>
    <row r="85" spans="1:13" x14ac:dyDescent="0.25">
      <c r="A85" s="45">
        <v>34.97</v>
      </c>
      <c r="B85" s="45">
        <f t="shared" si="12"/>
        <v>34970</v>
      </c>
      <c r="C85" s="16">
        <f t="shared" si="13"/>
        <v>32.379629629629626</v>
      </c>
      <c r="D85" s="15">
        <f t="shared" si="14"/>
        <v>1.079061449726E+21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1.9867222290496257E+41</v>
      </c>
      <c r="F85" s="15">
        <f t="shared" si="7"/>
        <v>2.485123593295377E+41</v>
      </c>
      <c r="G85" s="15">
        <f t="shared" si="8"/>
        <v>5.3245753918877244E+41</v>
      </c>
      <c r="H85" s="15">
        <f t="shared" si="9"/>
        <v>9.7964212142327264E+41</v>
      </c>
      <c r="I85" s="45">
        <v>243.96</v>
      </c>
      <c r="J85" s="45">
        <v>1</v>
      </c>
      <c r="K85" s="19">
        <f t="shared" si="10"/>
        <v>246.15368429305659</v>
      </c>
      <c r="L85" s="16">
        <f t="shared" si="11"/>
        <v>4.8122507776031362</v>
      </c>
      <c r="M85" s="45"/>
    </row>
    <row r="86" spans="1:13" x14ac:dyDescent="0.25">
      <c r="A86" s="45">
        <v>38.68</v>
      </c>
      <c r="B86" s="45">
        <f t="shared" si="12"/>
        <v>38680</v>
      </c>
      <c r="C86" s="16">
        <f t="shared" si="13"/>
        <v>35.814814814814817</v>
      </c>
      <c r="D86" s="15">
        <f t="shared" si="14"/>
        <v>1.193540087944E+21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1.9889312118990144E+41</v>
      </c>
      <c r="F86" s="15">
        <f t="shared" si="7"/>
        <v>2.4858996311545046E+41</v>
      </c>
      <c r="G86" s="15">
        <f t="shared" si="8"/>
        <v>6.1380749218512325E+41</v>
      </c>
      <c r="H86" s="15">
        <f t="shared" si="9"/>
        <v>1.0612905764904751E+42</v>
      </c>
      <c r="I86" s="45">
        <v>241.65</v>
      </c>
      <c r="J86" s="45">
        <v>1</v>
      </c>
      <c r="K86" s="19">
        <f t="shared" si="10"/>
        <v>243.60957429156116</v>
      </c>
      <c r="L86" s="16">
        <f t="shared" si="11"/>
        <v>3.8399314041473978</v>
      </c>
      <c r="M86" s="45"/>
    </row>
    <row r="87" spans="1:13" x14ac:dyDescent="0.25">
      <c r="A87" s="45">
        <v>42.76</v>
      </c>
      <c r="B87" s="45">
        <f t="shared" si="12"/>
        <v>42760</v>
      </c>
      <c r="C87" s="16">
        <f t="shared" si="13"/>
        <v>39.592592592592595</v>
      </c>
      <c r="D87" s="15">
        <f t="shared" si="14"/>
        <v>1.3194357332079998E+21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1.9905441129739925E+41</v>
      </c>
      <c r="F87" s="15">
        <f t="shared" si="7"/>
        <v>2.4862124950901827E+41</v>
      </c>
      <c r="G87" s="15">
        <f t="shared" si="8"/>
        <v>7.0444010913859333E+41</v>
      </c>
      <c r="H87" s="15">
        <f t="shared" si="9"/>
        <v>1.1521157699450108E+42</v>
      </c>
      <c r="I87" s="45">
        <v>239.43</v>
      </c>
      <c r="J87" s="45">
        <v>1</v>
      </c>
      <c r="K87" s="19">
        <f t="shared" si="10"/>
        <v>241.40688039963209</v>
      </c>
      <c r="L87" s="16">
        <f t="shared" si="11"/>
        <v>3.9080561144494919</v>
      </c>
      <c r="M87" s="45"/>
    </row>
    <row r="88" spans="1:13" x14ac:dyDescent="0.25">
      <c r="A88" s="45">
        <v>47.25</v>
      </c>
      <c r="B88" s="45">
        <f t="shared" si="12"/>
        <v>47250</v>
      </c>
      <c r="C88" s="16">
        <f t="shared" si="13"/>
        <v>43.75</v>
      </c>
      <c r="D88" s="15">
        <f t="shared" si="14"/>
        <v>1.4579826565499999E+21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1.9917205746042497E+41</v>
      </c>
      <c r="F88" s="15">
        <f t="shared" si="7"/>
        <v>2.4863255735832232E+41</v>
      </c>
      <c r="G88" s="15">
        <f t="shared" si="8"/>
        <v>8.0497822981695382E+41</v>
      </c>
      <c r="H88" s="15">
        <f t="shared" si="9"/>
        <v>1.2527828446357011E+42</v>
      </c>
      <c r="I88" s="45">
        <v>240.56</v>
      </c>
      <c r="J88" s="45">
        <v>1</v>
      </c>
      <c r="K88" s="19">
        <f t="shared" si="10"/>
        <v>239.47347920778719</v>
      </c>
      <c r="L88" s="16">
        <f t="shared" si="11"/>
        <v>1.1805274319107506</v>
      </c>
      <c r="M88" s="45"/>
    </row>
    <row r="89" spans="1:13" x14ac:dyDescent="0.25">
      <c r="A89" s="45">
        <v>52.19</v>
      </c>
      <c r="B89" s="45">
        <f t="shared" si="12"/>
        <v>52190</v>
      </c>
      <c r="C89" s="16">
        <f t="shared" si="13"/>
        <v>48.324074074074076</v>
      </c>
      <c r="D89" s="15">
        <f t="shared" si="14"/>
        <v>1.610415129002E+21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1.9926383425079405E+41</v>
      </c>
      <c r="F89" s="15">
        <f t="shared" si="7"/>
        <v>2.4863617771625825E+41</v>
      </c>
      <c r="G89" s="15">
        <f t="shared" si="8"/>
        <v>9.1592260688127615E+41</v>
      </c>
      <c r="H89" s="15">
        <f t="shared" si="9"/>
        <v>1.3638226188483285E+42</v>
      </c>
      <c r="I89" s="45">
        <v>243.95</v>
      </c>
      <c r="J89" s="45">
        <v>1</v>
      </c>
      <c r="K89" s="19">
        <f t="shared" si="10"/>
        <v>237.74189910017418</v>
      </c>
      <c r="L89" s="16">
        <f t="shared" si="11"/>
        <v>38.54051678241801</v>
      </c>
      <c r="M89" s="45"/>
    </row>
    <row r="90" spans="1:13" x14ac:dyDescent="0.25">
      <c r="H90" s="15"/>
      <c r="K90" s="45"/>
      <c r="L90" s="16">
        <f>SUM(L56:L89)/(COUNT(L56:L89)-6)</f>
        <v>1314.9378796767251</v>
      </c>
      <c r="M90" s="45"/>
    </row>
    <row r="91" spans="1:13" x14ac:dyDescent="0.25">
      <c r="H91" s="15"/>
      <c r="K91" s="45"/>
      <c r="L91" s="17"/>
      <c r="M91" s="45"/>
    </row>
    <row r="92" spans="1:13" x14ac:dyDescent="0.25">
      <c r="I92" s="45"/>
      <c r="J92" s="45"/>
      <c r="L92" s="16"/>
    </row>
    <row r="93" spans="1:13" x14ac:dyDescent="0.25">
      <c r="I93" s="45"/>
      <c r="J93" s="45"/>
      <c r="L93" s="16"/>
    </row>
    <row r="94" spans="1:13" x14ac:dyDescent="0.25">
      <c r="I94" s="45"/>
      <c r="J94" s="45"/>
      <c r="L94" s="16"/>
    </row>
    <row r="95" spans="1:13" x14ac:dyDescent="0.25">
      <c r="I95" s="45"/>
      <c r="J95" s="45"/>
      <c r="L95" s="16"/>
    </row>
    <row r="96" spans="1:13" x14ac:dyDescent="0.25">
      <c r="I96" s="45"/>
      <c r="J96" s="45"/>
      <c r="L96" s="16"/>
    </row>
    <row r="97" spans="1:29" x14ac:dyDescent="0.25">
      <c r="I97" s="45"/>
      <c r="J97" s="45"/>
      <c r="L97" s="16"/>
    </row>
    <row r="98" spans="1:29" x14ac:dyDescent="0.25">
      <c r="I98" s="45"/>
      <c r="J98" s="45"/>
      <c r="L98" s="16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x14ac:dyDescent="0.25">
      <c r="L547" s="16"/>
    </row>
    <row r="548" spans="1:29" x14ac:dyDescent="0.25">
      <c r="L548" s="16"/>
      <c r="N548" s="17"/>
      <c r="O548" s="38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C505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0</v>
      </c>
      <c r="E2" s="55"/>
      <c r="F2" s="53" t="s">
        <v>620</v>
      </c>
      <c r="G2" s="53">
        <v>31332739902</v>
      </c>
      <c r="H2" s="62"/>
      <c r="K2" s="51" t="s">
        <v>1</v>
      </c>
      <c r="L2" s="60" t="s">
        <v>603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2">
        <v>0</v>
      </c>
      <c r="E3" s="53"/>
      <c r="F3" s="53" t="s">
        <v>621</v>
      </c>
      <c r="G3" s="53">
        <f>H19/SolarMass</f>
        <v>57761768140.483315</v>
      </c>
      <c r="H3" s="62"/>
      <c r="K3" s="51" t="s">
        <v>562</v>
      </c>
      <c r="L3" s="57">
        <v>1.4126E-2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3741.2870764059498</v>
      </c>
      <c r="E4" s="55"/>
      <c r="F4" s="53" t="s">
        <v>622</v>
      </c>
      <c r="G4" s="52">
        <f>G3/G2</f>
        <v>1.8434955998468656</v>
      </c>
      <c r="H4" s="62"/>
      <c r="K4" s="61" t="s">
        <v>614</v>
      </c>
      <c r="L4" s="52">
        <f>QEHModelChiSquare</f>
        <v>45.999682791341982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728.261815953206</v>
      </c>
      <c r="F5" s="53"/>
      <c r="G5" s="52"/>
      <c r="H5" s="62"/>
      <c r="K5" s="61" t="s">
        <v>615</v>
      </c>
      <c r="L5" s="52">
        <f>LCDMModelChiSquare</f>
        <v>124.31881483757935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0.68</v>
      </c>
      <c r="B8" s="45">
        <f t="shared" ref="B8:B19" si="0">RadiusKpc*1000</f>
        <v>680</v>
      </c>
      <c r="C8" s="16">
        <f t="shared" ref="C8:C19" si="1">IF(QESBulgeEffectiveRadius=0,0,RadiusPc/QESBulgeEffectiveRadius)</f>
        <v>0</v>
      </c>
      <c r="D8" s="15">
        <f t="shared" ref="D8:D19" si="2">RadiusKpc*kpc</f>
        <v>2.0982607544E+19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0</v>
      </c>
      <c r="F8" s="15">
        <f t="shared" ref="F8:F19" si="3">2*PI()*QESDiskSurfaceDensity*QESDiskScaleLength*(QESDiskScaleLength-EXP(-RadiusPc/QESDiskScaleLength)*(RadiusPc+QESDiskScaleLength))*SolarMass</f>
        <v>1.8659066733947192E+39</v>
      </c>
      <c r="H8" s="18">
        <f t="shared" ref="H8:H19" si="4">BulgeMass+DiskMass+HaloMass</f>
        <v>1.8659066733947192E+39</v>
      </c>
      <c r="I8" s="16">
        <v>82.03</v>
      </c>
      <c r="J8" s="45">
        <v>1</v>
      </c>
      <c r="K8" s="19">
        <f t="shared" ref="K8:K19" si="5">SQRT(TotalMass*GravitationalConstant/RadiusKm+UniverseAcceleration*RadiusKm)/km</f>
        <v>81.854571038244643</v>
      </c>
      <c r="L8" s="16">
        <f t="shared" ref="L8:L19" si="6">(ObservedVelocity-ModelVelocity)^2/(VelocityError)^2</f>
        <v>3.0775320622562916E-2</v>
      </c>
    </row>
    <row r="9" spans="1:23" x14ac:dyDescent="0.25">
      <c r="A9" s="16">
        <v>1.44</v>
      </c>
      <c r="B9" s="45">
        <f t="shared" si="0"/>
        <v>1440</v>
      </c>
      <c r="C9" s="16">
        <f t="shared" si="1"/>
        <v>0</v>
      </c>
      <c r="D9" s="15">
        <f t="shared" si="2"/>
        <v>4.4433757152E+19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0</v>
      </c>
      <c r="F9" s="15">
        <f t="shared" si="3"/>
        <v>7.3315812798293E+39</v>
      </c>
      <c r="H9" s="18">
        <f t="shared" si="4"/>
        <v>7.3315812798293E+39</v>
      </c>
      <c r="I9" s="16">
        <v>117.66</v>
      </c>
      <c r="J9" s="45">
        <v>1</v>
      </c>
      <c r="K9" s="19">
        <f t="shared" si="5"/>
        <v>112.39474011137655</v>
      </c>
      <c r="L9" s="16">
        <f t="shared" si="6"/>
        <v>27.722961694746996</v>
      </c>
    </row>
    <row r="10" spans="1:23" x14ac:dyDescent="0.25">
      <c r="A10" s="16">
        <v>2.27</v>
      </c>
      <c r="B10" s="45">
        <f t="shared" si="0"/>
        <v>2270</v>
      </c>
      <c r="C10" s="16">
        <f t="shared" si="1"/>
        <v>0</v>
      </c>
      <c r="D10" s="15">
        <f t="shared" si="2"/>
        <v>7.0044881065999999E+19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0</v>
      </c>
      <c r="F10" s="15">
        <f t="shared" si="3"/>
        <v>1.581362504646525E+40</v>
      </c>
      <c r="H10" s="18">
        <f t="shared" si="4"/>
        <v>1.581362504646525E+40</v>
      </c>
      <c r="I10" s="16">
        <v>130.18</v>
      </c>
      <c r="J10" s="45">
        <v>1</v>
      </c>
      <c r="K10" s="19">
        <f t="shared" si="5"/>
        <v>132.7476923788189</v>
      </c>
      <c r="L10" s="16">
        <f t="shared" si="6"/>
        <v>6.5930441522446106</v>
      </c>
    </row>
    <row r="11" spans="1:23" x14ac:dyDescent="0.25">
      <c r="A11" s="16">
        <v>3.18</v>
      </c>
      <c r="B11" s="45">
        <f t="shared" si="0"/>
        <v>3180</v>
      </c>
      <c r="C11" s="16">
        <f t="shared" si="1"/>
        <v>0</v>
      </c>
      <c r="D11" s="15">
        <f t="shared" si="2"/>
        <v>9.8124547044000006E+19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0</v>
      </c>
      <c r="F11" s="15">
        <f t="shared" si="3"/>
        <v>2.6661206864117612E+40</v>
      </c>
      <c r="H11" s="18">
        <f t="shared" si="4"/>
        <v>2.6661206864117612E+40</v>
      </c>
      <c r="I11" s="16">
        <v>149.83000000000001</v>
      </c>
      <c r="J11" s="45">
        <v>1</v>
      </c>
      <c r="K11" s="19">
        <f t="shared" si="5"/>
        <v>147.35068002355175</v>
      </c>
      <c r="L11" s="16">
        <f t="shared" si="6"/>
        <v>6.1470275456154324</v>
      </c>
    </row>
    <row r="12" spans="1:23" x14ac:dyDescent="0.25">
      <c r="A12" s="16">
        <v>4.18</v>
      </c>
      <c r="B12" s="45">
        <f t="shared" si="0"/>
        <v>4180</v>
      </c>
      <c r="C12" s="16">
        <f t="shared" si="1"/>
        <v>0</v>
      </c>
      <c r="D12" s="15">
        <f t="shared" si="2"/>
        <v>1.2898132284399999E+20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0</v>
      </c>
      <c r="F12" s="15">
        <f t="shared" si="3"/>
        <v>3.9147979096683736E+40</v>
      </c>
      <c r="H12" s="18">
        <f t="shared" si="4"/>
        <v>3.9147979096683736E+40</v>
      </c>
      <c r="I12" s="16">
        <v>162.58000000000001</v>
      </c>
      <c r="J12" s="45">
        <v>1</v>
      </c>
      <c r="K12" s="19">
        <f t="shared" si="5"/>
        <v>157.98860022474122</v>
      </c>
      <c r="L12" s="16">
        <f t="shared" si="6"/>
        <v>21.080951896246496</v>
      </c>
    </row>
    <row r="13" spans="1:23" x14ac:dyDescent="0.25">
      <c r="A13" s="16">
        <v>5.28</v>
      </c>
      <c r="B13" s="45">
        <f t="shared" si="0"/>
        <v>5280</v>
      </c>
      <c r="C13" s="16">
        <f t="shared" si="1"/>
        <v>0</v>
      </c>
      <c r="D13" s="15">
        <f t="shared" si="2"/>
        <v>1.6292377622400002E+20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0</v>
      </c>
      <c r="F13" s="15">
        <f t="shared" si="3"/>
        <v>5.2495391382496044E+40</v>
      </c>
      <c r="H13" s="18">
        <f t="shared" si="4"/>
        <v>5.2495391382496044E+40</v>
      </c>
      <c r="I13" s="16">
        <v>170.03</v>
      </c>
      <c r="J13" s="45">
        <v>1</v>
      </c>
      <c r="K13" s="19">
        <f t="shared" si="5"/>
        <v>165.66726824829911</v>
      </c>
      <c r="L13" s="16">
        <f t="shared" si="6"/>
        <v>19.033428337299132</v>
      </c>
    </row>
    <row r="14" spans="1:23" x14ac:dyDescent="0.25">
      <c r="A14" s="16">
        <v>6.49</v>
      </c>
      <c r="B14" s="45">
        <f t="shared" si="0"/>
        <v>6490</v>
      </c>
      <c r="C14" s="16">
        <f t="shared" si="1"/>
        <v>0</v>
      </c>
      <c r="D14" s="15">
        <f t="shared" si="2"/>
        <v>2.0026047494200001E+20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0</v>
      </c>
      <c r="F14" s="15">
        <f t="shared" si="3"/>
        <v>6.5922974798984668E+40</v>
      </c>
      <c r="H14" s="18">
        <f t="shared" si="4"/>
        <v>6.5922974798984668E+40</v>
      </c>
      <c r="I14" s="16">
        <v>173.7</v>
      </c>
      <c r="J14" s="45">
        <v>1</v>
      </c>
      <c r="K14" s="19">
        <f t="shared" si="5"/>
        <v>171.09318457155476</v>
      </c>
      <c r="L14" s="16">
        <f t="shared" si="6"/>
        <v>6.7954866779800911</v>
      </c>
    </row>
    <row r="15" spans="1:23" x14ac:dyDescent="0.25">
      <c r="A15" s="16">
        <v>7.83</v>
      </c>
      <c r="B15" s="45">
        <f t="shared" si="0"/>
        <v>7830</v>
      </c>
      <c r="C15" s="16">
        <f t="shared" si="1"/>
        <v>0</v>
      </c>
      <c r="D15" s="15">
        <f t="shared" si="2"/>
        <v>2.4160855451399999E+20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0</v>
      </c>
      <c r="F15" s="15">
        <f t="shared" si="3"/>
        <v>7.8802182211804099E+40</v>
      </c>
      <c r="H15" s="18">
        <f t="shared" si="4"/>
        <v>7.8802182211804099E+40</v>
      </c>
      <c r="I15" s="16">
        <v>178.05</v>
      </c>
      <c r="J15" s="45">
        <v>1</v>
      </c>
      <c r="K15" s="19">
        <f t="shared" si="5"/>
        <v>174.86702722198035</v>
      </c>
      <c r="L15" s="16">
        <f t="shared" si="6"/>
        <v>10.131315705614195</v>
      </c>
    </row>
    <row r="16" spans="1:23" x14ac:dyDescent="0.25">
      <c r="A16" s="16">
        <v>9.3000000000000007</v>
      </c>
      <c r="B16" s="45">
        <f t="shared" si="0"/>
        <v>9300</v>
      </c>
      <c r="C16" s="16">
        <f t="shared" si="1"/>
        <v>0</v>
      </c>
      <c r="D16" s="15">
        <f t="shared" si="2"/>
        <v>2.8696801494000003E+20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0</v>
      </c>
      <c r="F16" s="15">
        <f t="shared" si="3"/>
        <v>9.0424130650815139E+40</v>
      </c>
      <c r="H16" s="18">
        <f t="shared" si="4"/>
        <v>9.0424130650815139E+40</v>
      </c>
      <c r="I16" s="16">
        <v>184.92</v>
      </c>
      <c r="J16" s="45">
        <v>1</v>
      </c>
      <c r="K16" s="19">
        <f t="shared" si="5"/>
        <v>177.46764894913304</v>
      </c>
      <c r="L16" s="16">
        <f t="shared" si="6"/>
        <v>55.537536185357759</v>
      </c>
    </row>
    <row r="17" spans="1:13" x14ac:dyDescent="0.25">
      <c r="A17" s="16">
        <v>10.91</v>
      </c>
      <c r="B17" s="45">
        <f t="shared" si="0"/>
        <v>10910</v>
      </c>
      <c r="C17" s="16">
        <f t="shared" si="1"/>
        <v>0</v>
      </c>
      <c r="D17" s="15">
        <f t="shared" si="2"/>
        <v>3.3664742397800002E+20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0</v>
      </c>
      <c r="F17" s="15">
        <f t="shared" si="3"/>
        <v>1.0038614125885686E+41</v>
      </c>
      <c r="H17" s="18">
        <f t="shared" si="4"/>
        <v>1.0038614125885686E+41</v>
      </c>
      <c r="I17" s="16">
        <v>190.38</v>
      </c>
      <c r="J17" s="45">
        <v>1</v>
      </c>
      <c r="K17" s="19">
        <f t="shared" si="5"/>
        <v>179.38206551903968</v>
      </c>
      <c r="L17" s="16">
        <f t="shared" si="6"/>
        <v>120.95456284749574</v>
      </c>
    </row>
    <row r="18" spans="1:13" x14ac:dyDescent="0.25">
      <c r="A18" s="16">
        <v>12.68</v>
      </c>
      <c r="B18" s="45">
        <f t="shared" si="0"/>
        <v>12680</v>
      </c>
      <c r="C18" s="16">
        <f t="shared" si="1"/>
        <v>0</v>
      </c>
      <c r="D18" s="15">
        <f t="shared" si="2"/>
        <v>3.9126391714399997E+20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0</v>
      </c>
      <c r="F18" s="15">
        <f t="shared" si="3"/>
        <v>1.0853484172754269E+41</v>
      </c>
      <c r="H18" s="18">
        <f t="shared" si="4"/>
        <v>1.0853484172754269E+41</v>
      </c>
      <c r="I18" s="16">
        <v>189.46</v>
      </c>
      <c r="J18" s="45">
        <v>1</v>
      </c>
      <c r="K18" s="19">
        <f t="shared" si="5"/>
        <v>181.05659147050292</v>
      </c>
      <c r="L18" s="16">
        <f t="shared" si="6"/>
        <v>70.617274913624357</v>
      </c>
    </row>
    <row r="19" spans="1:13" x14ac:dyDescent="0.25">
      <c r="A19" s="16">
        <v>14.64</v>
      </c>
      <c r="B19" s="45">
        <f t="shared" si="0"/>
        <v>14640</v>
      </c>
      <c r="C19" s="16">
        <f t="shared" si="1"/>
        <v>0</v>
      </c>
      <c r="D19" s="15">
        <f t="shared" si="2"/>
        <v>4.5174319771200002E+20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0</v>
      </c>
      <c r="F19" s="15">
        <f t="shared" si="3"/>
        <v>1.1489393300823535E+41</v>
      </c>
      <c r="H19" s="18">
        <f t="shared" si="4"/>
        <v>1.1489393300823535E+41</v>
      </c>
      <c r="I19" s="16">
        <v>187.72</v>
      </c>
      <c r="J19" s="45">
        <v>1</v>
      </c>
      <c r="K19" s="19">
        <f t="shared" si="5"/>
        <v>182.88749577818203</v>
      </c>
      <c r="L19" s="16">
        <f t="shared" si="6"/>
        <v>23.353097053888508</v>
      </c>
    </row>
    <row r="20" spans="1:13" x14ac:dyDescent="0.25">
      <c r="I20" s="45"/>
      <c r="J20" s="45"/>
      <c r="L20" s="16">
        <f>SUM(L8:L19)/(COUNT(L8:L19)-4)</f>
        <v>45.999682791341982</v>
      </c>
    </row>
    <row r="21" spans="1:13" x14ac:dyDescent="0.25">
      <c r="I21" s="45"/>
      <c r="J21" s="45"/>
      <c r="L21" s="16"/>
    </row>
    <row r="22" spans="1:13" ht="21" x14ac:dyDescent="0.35">
      <c r="A22" s="48" t="s">
        <v>564</v>
      </c>
      <c r="I22" s="45"/>
      <c r="J22" s="45"/>
      <c r="L22" s="16"/>
    </row>
    <row r="23" spans="1:13" x14ac:dyDescent="0.25">
      <c r="A23" s="16" t="s">
        <v>30</v>
      </c>
      <c r="D23" s="16">
        <v>1.56</v>
      </c>
      <c r="E23" s="17">
        <f>$D$23*1000</f>
        <v>1560</v>
      </c>
      <c r="F23" s="17"/>
      <c r="G23" s="17"/>
      <c r="H23" s="15"/>
      <c r="K23" s="15"/>
      <c r="L23" s="17"/>
      <c r="M23" s="45"/>
    </row>
    <row r="24" spans="1:13" x14ac:dyDescent="0.25">
      <c r="A24" s="16" t="s">
        <v>16</v>
      </c>
      <c r="D24" s="16">
        <v>0.16</v>
      </c>
      <c r="E24" s="15">
        <f>D24*10000000000*SolarMass</f>
        <v>3.1825599999999997E+39</v>
      </c>
      <c r="F24" s="43"/>
      <c r="G24" s="43"/>
      <c r="H24" s="15"/>
      <c r="K24" s="15"/>
      <c r="L24" s="17"/>
      <c r="M24" s="45"/>
    </row>
    <row r="25" spans="1:13" x14ac:dyDescent="0.25">
      <c r="A25" s="16" t="s">
        <v>569</v>
      </c>
      <c r="D25" s="16">
        <v>3.1</v>
      </c>
      <c r="E25" s="15">
        <f>D25*1000</f>
        <v>3100</v>
      </c>
      <c r="H25" s="15"/>
      <c r="K25" s="15"/>
      <c r="L25" s="17"/>
      <c r="M25" s="45"/>
    </row>
    <row r="26" spans="1:13" x14ac:dyDescent="0.25">
      <c r="A26" s="16" t="s">
        <v>17</v>
      </c>
      <c r="D26" s="45">
        <v>3.1</v>
      </c>
      <c r="G26" s="16"/>
      <c r="H26" s="15"/>
      <c r="K26" s="15"/>
      <c r="L26" s="17"/>
      <c r="M26" s="45"/>
    </row>
    <row r="27" spans="1:13" x14ac:dyDescent="0.25">
      <c r="A27" s="16" t="s">
        <v>570</v>
      </c>
      <c r="D27" s="16">
        <v>19.7</v>
      </c>
      <c r="E27" s="17">
        <f>D27*1000</f>
        <v>19700</v>
      </c>
      <c r="H27" s="15"/>
      <c r="K27" s="15"/>
      <c r="L27" s="17"/>
      <c r="M27" s="45"/>
    </row>
    <row r="28" spans="1:13" x14ac:dyDescent="0.25">
      <c r="A28" s="16" t="s">
        <v>571</v>
      </c>
      <c r="D28" s="16">
        <v>11.7</v>
      </c>
      <c r="G28" s="9"/>
      <c r="H28" s="15"/>
      <c r="K28" s="15"/>
      <c r="L28" s="17"/>
      <c r="M28" s="45"/>
    </row>
    <row r="29" spans="1:13" x14ac:dyDescent="0.25">
      <c r="D29" s="12"/>
      <c r="H29" s="15"/>
      <c r="K29" s="15"/>
      <c r="L29" s="17"/>
      <c r="M29" s="45"/>
    </row>
    <row r="30" spans="1:13" x14ac:dyDescent="0.25">
      <c r="A30" s="16" t="s">
        <v>567</v>
      </c>
      <c r="D30" s="17">
        <f>(D26*10000000000)/(2*PI()*DiskScaleLengthPc^2)</f>
        <v>513.40304223192049</v>
      </c>
      <c r="H30" s="15"/>
      <c r="K30" s="15"/>
      <c r="L30" s="17"/>
      <c r="M30" s="45"/>
    </row>
    <row r="31" spans="1:13" x14ac:dyDescent="0.25">
      <c r="A31" s="16" t="s">
        <v>565</v>
      </c>
      <c r="D31" s="9">
        <f>(D28*10000000000)/(4*PI()*(LCDMHaloScaleLengthPc)^3*(LN(2)-1/2))</f>
        <v>6.305055971568399E-3</v>
      </c>
      <c r="H31" s="15"/>
      <c r="K31" s="15"/>
      <c r="L31" s="17"/>
      <c r="M31" s="45"/>
    </row>
    <row r="32" spans="1:13" x14ac:dyDescent="0.25">
      <c r="H32" s="15"/>
      <c r="K32" s="15"/>
      <c r="L32" s="17"/>
      <c r="M32" s="45"/>
    </row>
    <row r="33" spans="1:29" ht="45" x14ac:dyDescent="0.25">
      <c r="A33" s="7" t="s">
        <v>20</v>
      </c>
      <c r="B33" s="3" t="s">
        <v>19</v>
      </c>
      <c r="C33" s="7" t="s">
        <v>27</v>
      </c>
      <c r="D33" s="4" t="s">
        <v>649</v>
      </c>
      <c r="E33" s="4" t="s">
        <v>21</v>
      </c>
      <c r="F33" s="4" t="s">
        <v>22</v>
      </c>
      <c r="G33" s="4" t="s">
        <v>28</v>
      </c>
      <c r="H33" s="4" t="s">
        <v>23</v>
      </c>
      <c r="I33" s="7" t="s">
        <v>645</v>
      </c>
      <c r="J33" s="7" t="s">
        <v>646</v>
      </c>
      <c r="K33" s="25" t="s">
        <v>647</v>
      </c>
      <c r="L33" s="3" t="s">
        <v>648</v>
      </c>
      <c r="M33" s="3"/>
      <c r="N33" s="3"/>
      <c r="O33" s="3"/>
      <c r="P33" s="3"/>
      <c r="Q33" s="3"/>
      <c r="R33" s="3"/>
      <c r="S33" s="3"/>
      <c r="T33" s="3"/>
      <c r="U33" s="3"/>
      <c r="V33" s="7"/>
      <c r="W33" s="7"/>
      <c r="X33" s="3"/>
      <c r="Y33" s="3"/>
      <c r="Z33" s="3"/>
      <c r="AA33" s="3"/>
      <c r="AB33" s="3"/>
      <c r="AC33" s="3"/>
    </row>
    <row r="34" spans="1:29" x14ac:dyDescent="0.25">
      <c r="A34" s="16">
        <v>0.68</v>
      </c>
      <c r="B34" s="45">
        <f>A34*1000</f>
        <v>680</v>
      </c>
      <c r="C34" s="16">
        <f>B34/LCDMBulgeEffectiveRadius</f>
        <v>0.4358974358974359</v>
      </c>
      <c r="D34" s="15">
        <f>A34*kpc</f>
        <v>2.0982607544E+19</v>
      </c>
      <c r="E34" s="15">
        <f>FORECAST($C34, OFFSET('De Vaucouleurs Deprojection'!$F$3:$F$126, MATCH($C34, 'De Vaucouleurs Deprojection'!$A$3:$A$126,1)-1,0,2), OFFSET('De Vaucouleurs Deprojection'!$A$3:$A$126, MATCH($C34, 'De Vaucouleurs Deprojection'!$A$3:$A$126,1)-1,0,2))*LCDMTotalBulgeMass</f>
        <v>6.8941757177435891E+38</v>
      </c>
      <c r="F34" s="15">
        <f t="shared" ref="F34:F45" si="7">2*PI()*LCDMDiskSurfaceDensity*LCDMScaleLength*(LCDMScaleLength-EXP(-RadiusPc/LCDMScaleLength)*(RadiusPc+LCDMScaleLength))*SolarMass</f>
        <v>1.2833912266192634E+39</v>
      </c>
      <c r="G34" s="15">
        <f t="shared" ref="G34:G45" si="8">4*PI()*LCDMHaloRepresentativeDensity*LCDMHaloScaleLengthPc^3*(LN(1+RadiusPc/LCDMHaloScaleLengthPc)-RadiusPc/(RadiusPc+LCDMHaloScaleLengthPc))*SolarMass</f>
        <v>6.8601098941805537E+38</v>
      </c>
      <c r="H34" s="15">
        <f t="shared" ref="H34:H45" si="9">BulgeMass+DiskMass+HaloMass</f>
        <v>2.6588197878116775E+39</v>
      </c>
      <c r="I34" s="16">
        <v>82.03</v>
      </c>
      <c r="J34" s="45">
        <v>1</v>
      </c>
      <c r="K34" s="19">
        <f t="shared" ref="K34:K45" si="10">SQRT(TotalMass*GravitationalConstant/RadiusKm)/km</f>
        <v>91.962427427707937</v>
      </c>
      <c r="L34" s="16">
        <f t="shared" ref="L34:L45" si="11">(ObservedVelocity-ModelVelocity)^2/(VelocityError)^2</f>
        <v>98.653114606684881</v>
      </c>
      <c r="M34" s="45"/>
    </row>
    <row r="35" spans="1:29" x14ac:dyDescent="0.25">
      <c r="A35" s="16">
        <v>1.44</v>
      </c>
      <c r="B35" s="45">
        <f t="shared" ref="B35:B45" si="12">A35*1000</f>
        <v>1440</v>
      </c>
      <c r="C35" s="16">
        <f t="shared" ref="C35:C45" si="13">B35/LCDMBulgeEffectiveRadius</f>
        <v>0.92307692307692313</v>
      </c>
      <c r="D35" s="15">
        <f t="shared" ref="D35:D45" si="14">A35*kpc</f>
        <v>4.4433757152E+19</v>
      </c>
      <c r="E35" s="15">
        <f>FORECAST($C35, OFFSET('De Vaucouleurs Deprojection'!$F$3:$F$126, MATCH($C35, 'De Vaucouleurs Deprojection'!$A$3:$A$126,1)-1,0,2), OFFSET('De Vaucouleurs Deprojection'!$A$3:$A$126, MATCH($C35, 'De Vaucouleurs Deprojection'!$A$3:$A$126,1)-1,0,2))*LCDMTotalBulgeMass</f>
        <v>1.2516959517538462E+39</v>
      </c>
      <c r="F35" s="15">
        <f t="shared" si="7"/>
        <v>4.9108177316119897E+39</v>
      </c>
      <c r="G35" s="15">
        <f t="shared" si="8"/>
        <v>2.9291708322853975E+39</v>
      </c>
      <c r="H35" s="15">
        <f t="shared" si="9"/>
        <v>9.0916845156512334E+39</v>
      </c>
      <c r="I35" s="16">
        <v>117.66</v>
      </c>
      <c r="J35" s="45">
        <v>1</v>
      </c>
      <c r="K35" s="19">
        <f t="shared" si="10"/>
        <v>116.85878432889851</v>
      </c>
      <c r="L35" s="16">
        <f t="shared" si="11"/>
        <v>0.64194655161860803</v>
      </c>
      <c r="M35" s="45"/>
    </row>
    <row r="36" spans="1:29" x14ac:dyDescent="0.25">
      <c r="A36" s="16">
        <v>2.27</v>
      </c>
      <c r="B36" s="45">
        <f t="shared" si="12"/>
        <v>2270</v>
      </c>
      <c r="C36" s="16">
        <f t="shared" si="13"/>
        <v>1.4551282051282051</v>
      </c>
      <c r="D36" s="15">
        <f t="shared" si="14"/>
        <v>7.0044881065999999E+19</v>
      </c>
      <c r="E36" s="15">
        <f>FORECAST($C36, OFFSET('De Vaucouleurs Deprojection'!$F$3:$F$126, MATCH($C36, 'De Vaucouleurs Deprojection'!$A$3:$A$126,1)-1,0,2), OFFSET('De Vaucouleurs Deprojection'!$A$3:$A$126, MATCH($C36, 'De Vaucouleurs Deprojection'!$A$3:$A$126,1)-1,0,2))*LCDMTotalBulgeMass</f>
        <v>1.6612220602666667E+39</v>
      </c>
      <c r="F36" s="15">
        <f t="shared" si="7"/>
        <v>1.0303252878032994E+40</v>
      </c>
      <c r="G36" s="15">
        <f t="shared" si="8"/>
        <v>6.9120038366447455E+39</v>
      </c>
      <c r="H36" s="15">
        <f t="shared" si="9"/>
        <v>1.8876478774944405E+40</v>
      </c>
      <c r="I36" s="16">
        <v>130.18</v>
      </c>
      <c r="J36" s="45">
        <v>1</v>
      </c>
      <c r="K36" s="19">
        <f t="shared" si="10"/>
        <v>134.11210988070945</v>
      </c>
      <c r="L36" s="16">
        <f t="shared" si="11"/>
        <v>15.461488113972864</v>
      </c>
      <c r="M36" s="45"/>
    </row>
    <row r="37" spans="1:29" x14ac:dyDescent="0.25">
      <c r="A37" s="16">
        <v>3.18</v>
      </c>
      <c r="B37" s="45">
        <f t="shared" si="12"/>
        <v>3180</v>
      </c>
      <c r="C37" s="16">
        <f t="shared" si="13"/>
        <v>2.0384615384615383</v>
      </c>
      <c r="D37" s="15">
        <f t="shared" si="14"/>
        <v>9.8124547044000006E+19</v>
      </c>
      <c r="E37" s="15">
        <f>FORECAST($C37, OFFSET('De Vaucouleurs Deprojection'!$F$3:$F$126, MATCH($C37, 'De Vaucouleurs Deprojection'!$A$3:$A$126,1)-1,0,2), OFFSET('De Vaucouleurs Deprojection'!$A$3:$A$126, MATCH($C37, 'De Vaucouleurs Deprojection'!$A$3:$A$126,1)-1,0,2))*LCDMTotalBulgeMass</f>
        <v>1.9719582422153845E+39</v>
      </c>
      <c r="F37" s="15">
        <f t="shared" si="7"/>
        <v>1.6878997273515709E+40</v>
      </c>
      <c r="G37" s="15">
        <f t="shared" si="8"/>
        <v>1.2842538592906659E+40</v>
      </c>
      <c r="H37" s="15">
        <f t="shared" si="9"/>
        <v>3.1693494108637755E+40</v>
      </c>
      <c r="I37" s="16">
        <v>149.83000000000001</v>
      </c>
      <c r="J37" s="45">
        <v>1</v>
      </c>
      <c r="K37" s="19">
        <f t="shared" si="10"/>
        <v>146.82226929366215</v>
      </c>
      <c r="L37" s="16">
        <f t="shared" si="11"/>
        <v>9.0464440018476839</v>
      </c>
      <c r="M37" s="45"/>
    </row>
    <row r="38" spans="1:29" x14ac:dyDescent="0.25">
      <c r="A38" s="16">
        <v>4.18</v>
      </c>
      <c r="B38" s="45">
        <f t="shared" si="12"/>
        <v>4180</v>
      </c>
      <c r="C38" s="16">
        <f t="shared" si="13"/>
        <v>2.6794871794871793</v>
      </c>
      <c r="D38" s="15">
        <f t="shared" si="14"/>
        <v>1.2898132284399999E+20</v>
      </c>
      <c r="E38" s="15">
        <f>FORECAST($C38, OFFSET('De Vaucouleurs Deprojection'!$F$3:$F$126, MATCH($C38, 'De Vaucouleurs Deprojection'!$A$3:$A$126,1)-1,0,2), OFFSET('De Vaucouleurs Deprojection'!$A$3:$A$126, MATCH($C38, 'De Vaucouleurs Deprojection'!$A$3:$A$126,1)-1,0,2))*LCDMTotalBulgeMass</f>
        <v>2.2139029817435894E+39</v>
      </c>
      <c r="F38" s="15">
        <f t="shared" si="7"/>
        <v>2.4061833672185286E+40</v>
      </c>
      <c r="G38" s="15">
        <f t="shared" si="8"/>
        <v>2.0942247457910524E+40</v>
      </c>
      <c r="H38" s="15">
        <f t="shared" si="9"/>
        <v>4.7217984111839396E+40</v>
      </c>
      <c r="I38" s="16">
        <v>162.58000000000001</v>
      </c>
      <c r="J38" s="45">
        <v>1</v>
      </c>
      <c r="K38" s="19">
        <f t="shared" si="10"/>
        <v>156.30972949402343</v>
      </c>
      <c r="L38" s="16">
        <f t="shared" si="11"/>
        <v>39.316292218119841</v>
      </c>
      <c r="M38" s="45"/>
    </row>
    <row r="39" spans="1:29" x14ac:dyDescent="0.25">
      <c r="A39" s="16">
        <v>5.28</v>
      </c>
      <c r="B39" s="45">
        <f t="shared" si="12"/>
        <v>5280</v>
      </c>
      <c r="C39" s="16">
        <f t="shared" si="13"/>
        <v>3.3846153846153846</v>
      </c>
      <c r="D39" s="15">
        <f t="shared" si="14"/>
        <v>1.6292377622400002E+20</v>
      </c>
      <c r="E39" s="15">
        <f>FORECAST($C39, OFFSET('De Vaucouleurs Deprojection'!$F$3:$F$126, MATCH($C39, 'De Vaucouleurs Deprojection'!$A$3:$A$126,1)-1,0,2), OFFSET('De Vaucouleurs Deprojection'!$A$3:$A$126, MATCH($C39, 'De Vaucouleurs Deprojection'!$A$3:$A$126,1)-1,0,2))*LCDMTotalBulgeMass</f>
        <v>2.4054033292307692E+39</v>
      </c>
      <c r="F39" s="15">
        <f t="shared" si="7"/>
        <v>3.1309278573539234E+40</v>
      </c>
      <c r="G39" s="15">
        <f t="shared" si="8"/>
        <v>3.1433383004137429E+40</v>
      </c>
      <c r="H39" s="15">
        <f t="shared" si="9"/>
        <v>6.5148064906907433E+40</v>
      </c>
      <c r="I39" s="16">
        <v>170.03</v>
      </c>
      <c r="J39" s="45">
        <v>1</v>
      </c>
      <c r="K39" s="19">
        <f t="shared" si="10"/>
        <v>163.36319946303124</v>
      </c>
      <c r="L39" s="16">
        <f t="shared" si="11"/>
        <v>44.446229399727009</v>
      </c>
      <c r="M39" s="45"/>
    </row>
    <row r="40" spans="1:29" x14ac:dyDescent="0.25">
      <c r="A40" s="16">
        <v>6.49</v>
      </c>
      <c r="B40" s="45">
        <f t="shared" si="12"/>
        <v>6490</v>
      </c>
      <c r="C40" s="16">
        <f t="shared" si="13"/>
        <v>4.1602564102564106</v>
      </c>
      <c r="D40" s="15">
        <f t="shared" si="14"/>
        <v>2.0026047494200001E+20</v>
      </c>
      <c r="E40" s="15">
        <f>FORECAST($C40, OFFSET('De Vaucouleurs Deprojection'!$F$3:$F$126, MATCH($C40, 'De Vaucouleurs Deprojection'!$A$3:$A$126,1)-1,0,2), OFFSET('De Vaucouleurs Deprojection'!$A$3:$A$126, MATCH($C40, 'De Vaucouleurs Deprojection'!$A$3:$A$126,1)-1,0,2))*LCDMTotalBulgeMass</f>
        <v>2.5584905855384612E+39</v>
      </c>
      <c r="F40" s="15">
        <f t="shared" si="7"/>
        <v>3.815177068443621E+40</v>
      </c>
      <c r="G40" s="15">
        <f t="shared" si="8"/>
        <v>4.4526815836546012E+40</v>
      </c>
      <c r="H40" s="15">
        <f t="shared" si="9"/>
        <v>8.5237077106520685E+40</v>
      </c>
      <c r="I40" s="16">
        <v>173.7</v>
      </c>
      <c r="J40" s="45">
        <v>1</v>
      </c>
      <c r="K40" s="19">
        <f t="shared" si="10"/>
        <v>168.54363552584886</v>
      </c>
      <c r="L40" s="16">
        <f t="shared" si="11"/>
        <v>26.588094590287884</v>
      </c>
      <c r="M40" s="45"/>
    </row>
    <row r="41" spans="1:29" x14ac:dyDescent="0.25">
      <c r="A41" s="16">
        <v>7.83</v>
      </c>
      <c r="B41" s="45">
        <f t="shared" si="12"/>
        <v>7830</v>
      </c>
      <c r="C41" s="16">
        <f t="shared" si="13"/>
        <v>5.0192307692307692</v>
      </c>
      <c r="D41" s="15">
        <f t="shared" si="14"/>
        <v>2.4160855451399999E+20</v>
      </c>
      <c r="E41" s="15">
        <f>FORECAST($C41, OFFSET('De Vaucouleurs Deprojection'!$F$3:$F$126, MATCH($C41, 'De Vaucouleurs Deprojection'!$A$3:$A$126,1)-1,0,2), OFFSET('De Vaucouleurs Deprojection'!$A$3:$A$126, MATCH($C41, 'De Vaucouleurs Deprojection'!$A$3:$A$126,1)-1,0,2))*LCDMTotalBulgeMass</f>
        <v>2.6821917964923076E+39</v>
      </c>
      <c r="F41" s="15">
        <f t="shared" si="7"/>
        <v>4.4270762825714492E+40</v>
      </c>
      <c r="G41" s="15">
        <f t="shared" si="8"/>
        <v>6.0535432229241135E+40</v>
      </c>
      <c r="H41" s="15">
        <f t="shared" si="9"/>
        <v>1.0748838685144793E+41</v>
      </c>
      <c r="I41" s="16">
        <v>178.05</v>
      </c>
      <c r="J41" s="45">
        <v>1</v>
      </c>
      <c r="K41" s="19">
        <f t="shared" si="10"/>
        <v>172.31390441573623</v>
      </c>
      <c r="L41" s="16">
        <f t="shared" si="11"/>
        <v>32.902792551810428</v>
      </c>
      <c r="M41" s="45"/>
    </row>
    <row r="42" spans="1:29" x14ac:dyDescent="0.25">
      <c r="A42" s="16">
        <v>9.3000000000000007</v>
      </c>
      <c r="B42" s="45">
        <f t="shared" si="12"/>
        <v>9300</v>
      </c>
      <c r="C42" s="16">
        <f t="shared" si="13"/>
        <v>5.9615384615384617</v>
      </c>
      <c r="D42" s="15">
        <f t="shared" si="14"/>
        <v>2.8696801494000003E+20</v>
      </c>
      <c r="E42" s="15">
        <f>FORECAST($C42, OFFSET('De Vaucouleurs Deprojection'!$F$3:$F$126, MATCH($C42, 'De Vaucouleurs Deprojection'!$A$3:$A$126,1)-1,0,2), OFFSET('De Vaucouleurs Deprojection'!$A$3:$A$126, MATCH($C42, 'De Vaucouleurs Deprojection'!$A$3:$A$126,1)-1,0,2))*LCDMTotalBulgeMass</f>
        <v>2.7816969830153842E+39</v>
      </c>
      <c r="F42" s="15">
        <f t="shared" si="7"/>
        <v>4.9382199246375747E+40</v>
      </c>
      <c r="G42" s="15">
        <f t="shared" si="8"/>
        <v>7.950895368656527E+40</v>
      </c>
      <c r="H42" s="15">
        <f t="shared" si="9"/>
        <v>1.316728499159564E+41</v>
      </c>
      <c r="I42" s="16">
        <v>184.92</v>
      </c>
      <c r="J42" s="45">
        <v>1</v>
      </c>
      <c r="K42" s="19">
        <f t="shared" si="10"/>
        <v>174.99557818836513</v>
      </c>
      <c r="L42" s="16">
        <f t="shared" si="11"/>
        <v>98.494148295253709</v>
      </c>
      <c r="M42" s="45"/>
    </row>
    <row r="43" spans="1:29" x14ac:dyDescent="0.25">
      <c r="A43" s="16">
        <v>10.91</v>
      </c>
      <c r="B43" s="45">
        <f t="shared" si="12"/>
        <v>10910</v>
      </c>
      <c r="C43" s="16">
        <f t="shared" si="13"/>
        <v>6.9935897435897436</v>
      </c>
      <c r="D43" s="15">
        <f t="shared" si="14"/>
        <v>3.3664742397800002E+20</v>
      </c>
      <c r="E43" s="15">
        <f>FORECAST($C43, OFFSET('De Vaucouleurs Deprojection'!$F$3:$F$126, MATCH($C43, 'De Vaucouleurs Deprojection'!$A$3:$A$126,1)-1,0,2), OFFSET('De Vaucouleurs Deprojection'!$A$3:$A$126, MATCH($C43, 'De Vaucouleurs Deprojection'!$A$3:$A$126,1)-1,0,2))*LCDMTotalBulgeMass</f>
        <v>2.862598882276923E+39</v>
      </c>
      <c r="F43" s="15">
        <f t="shared" si="7"/>
        <v>5.3408215898290453E+40</v>
      </c>
      <c r="G43" s="15">
        <f t="shared" si="8"/>
        <v>1.0156011546284899E+41</v>
      </c>
      <c r="H43" s="15">
        <f t="shared" si="9"/>
        <v>1.5783093024341636E+41</v>
      </c>
      <c r="I43" s="16">
        <v>190.38</v>
      </c>
      <c r="J43" s="45">
        <v>1</v>
      </c>
      <c r="K43" s="19">
        <f t="shared" si="10"/>
        <v>176.89033905034981</v>
      </c>
      <c r="L43" s="16">
        <f t="shared" si="11"/>
        <v>181.97095253651719</v>
      </c>
      <c r="M43" s="45"/>
    </row>
    <row r="44" spans="1:29" x14ac:dyDescent="0.25">
      <c r="A44" s="16">
        <v>12.68</v>
      </c>
      <c r="B44" s="45">
        <f t="shared" si="12"/>
        <v>12680</v>
      </c>
      <c r="C44" s="16">
        <f t="shared" si="13"/>
        <v>8.1282051282051277</v>
      </c>
      <c r="D44" s="15">
        <f t="shared" si="14"/>
        <v>3.9126391714399997E+20</v>
      </c>
      <c r="E44" s="15">
        <f>FORECAST($C44, OFFSET('De Vaucouleurs Deprojection'!$F$3:$F$126, MATCH($C44, 'De Vaucouleurs Deprojection'!$A$3:$A$126,1)-1,0,2), OFFSET('De Vaucouleurs Deprojection'!$A$3:$A$126, MATCH($C44, 'De Vaucouleurs Deprojection'!$A$3:$A$126,1)-1,0,2))*LCDMTotalBulgeMass</f>
        <v>2.9271163098256408E+39</v>
      </c>
      <c r="F44" s="15">
        <f t="shared" si="7"/>
        <v>5.6409684306368519E+40</v>
      </c>
      <c r="G44" s="15">
        <f t="shared" si="8"/>
        <v>1.2690405838947217E+41</v>
      </c>
      <c r="H44" s="15">
        <f t="shared" si="9"/>
        <v>1.8624085900566631E+41</v>
      </c>
      <c r="I44" s="16">
        <v>189.46</v>
      </c>
      <c r="J44" s="45">
        <v>1</v>
      </c>
      <c r="K44" s="19">
        <f t="shared" si="10"/>
        <v>178.23717405076755</v>
      </c>
      <c r="L44" s="16">
        <f t="shared" si="11"/>
        <v>125.95182228676543</v>
      </c>
      <c r="M44" s="45"/>
    </row>
    <row r="45" spans="1:29" x14ac:dyDescent="0.25">
      <c r="A45" s="16">
        <v>14.64</v>
      </c>
      <c r="B45" s="45">
        <f t="shared" si="12"/>
        <v>14640</v>
      </c>
      <c r="C45" s="16">
        <f t="shared" si="13"/>
        <v>9.384615384615385</v>
      </c>
      <c r="D45" s="15">
        <f t="shared" si="14"/>
        <v>4.5174319771200002E+20</v>
      </c>
      <c r="E45" s="15">
        <f>FORECAST($C45, OFFSET('De Vaucouleurs Deprojection'!$F$3:$F$126, MATCH($C45, 'De Vaucouleurs Deprojection'!$A$3:$A$126,1)-1,0,2), OFFSET('De Vaucouleurs Deprojection'!$A$3:$A$126, MATCH($C45, 'De Vaucouleurs Deprojection'!$A$3:$A$126,1)-1,0,2))*LCDMTotalBulgeMass</f>
        <v>2.9797476918153844E+39</v>
      </c>
      <c r="F45" s="15">
        <f t="shared" si="7"/>
        <v>5.8524341473828513E+40</v>
      </c>
      <c r="G45" s="15">
        <f t="shared" si="8"/>
        <v>1.5587569387075456E+41</v>
      </c>
      <c r="H45" s="15">
        <f t="shared" si="9"/>
        <v>2.1737978303639845E+41</v>
      </c>
      <c r="I45" s="16">
        <v>187.72</v>
      </c>
      <c r="J45" s="45">
        <v>1</v>
      </c>
      <c r="K45" s="19">
        <f t="shared" si="10"/>
        <v>179.20885648852808</v>
      </c>
      <c r="L45" s="16">
        <f t="shared" si="11"/>
        <v>72.439563872870465</v>
      </c>
      <c r="M45" s="45"/>
    </row>
    <row r="46" spans="1:29" x14ac:dyDescent="0.25">
      <c r="H46" s="15"/>
      <c r="K46" s="45"/>
      <c r="L46" s="16">
        <f>SUM(L34:L45)/(COUNT(L34:L45)-6)</f>
        <v>124.31881483757935</v>
      </c>
      <c r="M46" s="45"/>
    </row>
    <row r="47" spans="1:29" x14ac:dyDescent="0.25">
      <c r="H47" s="15"/>
      <c r="K47" s="45"/>
      <c r="L47" s="17"/>
      <c r="M47" s="45"/>
    </row>
    <row r="48" spans="1:29" x14ac:dyDescent="0.25">
      <c r="I48" s="45"/>
      <c r="J48" s="45"/>
      <c r="L48" s="16"/>
    </row>
    <row r="49" spans="1:29" x14ac:dyDescent="0.25">
      <c r="I49" s="45"/>
      <c r="J49" s="45"/>
      <c r="L49" s="16"/>
    </row>
    <row r="50" spans="1:29" x14ac:dyDescent="0.25">
      <c r="I50" s="45"/>
      <c r="J50" s="45"/>
      <c r="L50" s="16"/>
    </row>
    <row r="51" spans="1:29" x14ac:dyDescent="0.25">
      <c r="I51" s="45"/>
      <c r="J51" s="45"/>
      <c r="L51" s="16"/>
    </row>
    <row r="52" spans="1:29" x14ac:dyDescent="0.25">
      <c r="I52" s="45"/>
      <c r="J52" s="45"/>
      <c r="L52" s="16"/>
    </row>
    <row r="53" spans="1:29" x14ac:dyDescent="0.25">
      <c r="I53" s="45"/>
      <c r="J53" s="45"/>
      <c r="L53" s="16"/>
    </row>
    <row r="54" spans="1:29" x14ac:dyDescent="0.25">
      <c r="I54" s="45"/>
      <c r="J54" s="45"/>
      <c r="L54" s="16"/>
    </row>
    <row r="55" spans="1:29" s="17" customFormat="1" x14ac:dyDescent="0.25">
      <c r="A55" s="16"/>
      <c r="B55" s="45"/>
      <c r="C55" s="16"/>
      <c r="D55" s="15"/>
      <c r="E55" s="15"/>
      <c r="F55" s="15"/>
      <c r="G55" s="15"/>
      <c r="H55" s="18"/>
      <c r="I55" s="45"/>
      <c r="J55" s="45"/>
      <c r="K55" s="19"/>
      <c r="L55" s="16"/>
      <c r="N55" s="45"/>
      <c r="O55" s="45"/>
      <c r="P55" s="45"/>
      <c r="Q55" s="45"/>
      <c r="R55" s="45"/>
      <c r="S55" s="45"/>
      <c r="T55" s="45"/>
      <c r="U55" s="45"/>
      <c r="V55" s="16"/>
      <c r="W55" s="16"/>
      <c r="X55" s="45"/>
      <c r="Y55" s="45"/>
      <c r="Z55" s="45"/>
      <c r="AA55" s="45"/>
      <c r="AB55" s="45"/>
      <c r="AC55" s="45"/>
    </row>
    <row r="56" spans="1:29" s="17" customFormat="1" x14ac:dyDescent="0.25">
      <c r="A56" s="16"/>
      <c r="B56" s="45"/>
      <c r="C56" s="16"/>
      <c r="D56" s="15"/>
      <c r="E56" s="15"/>
      <c r="F56" s="15"/>
      <c r="G56" s="15"/>
      <c r="H56" s="18"/>
      <c r="I56" s="45"/>
      <c r="J56" s="45"/>
      <c r="K56" s="19"/>
      <c r="L56" s="16"/>
      <c r="N56" s="45"/>
      <c r="O56" s="45"/>
      <c r="P56" s="45"/>
      <c r="Q56" s="45"/>
      <c r="R56" s="45"/>
      <c r="S56" s="45"/>
      <c r="T56" s="45"/>
      <c r="U56" s="45"/>
      <c r="V56" s="16"/>
      <c r="W56" s="16"/>
      <c r="X56" s="45"/>
      <c r="Y56" s="45"/>
      <c r="Z56" s="45"/>
      <c r="AA56" s="45"/>
      <c r="AB56" s="45"/>
      <c r="AC56" s="45"/>
    </row>
    <row r="57" spans="1:29" s="17" customFormat="1" x14ac:dyDescent="0.25">
      <c r="A57" s="16"/>
      <c r="B57" s="45"/>
      <c r="C57" s="16"/>
      <c r="D57" s="15"/>
      <c r="E57" s="15"/>
      <c r="F57" s="15"/>
      <c r="G57" s="15"/>
      <c r="H57" s="18"/>
      <c r="I57" s="45"/>
      <c r="J57" s="45"/>
      <c r="K57" s="19"/>
      <c r="L57" s="16"/>
      <c r="N57" s="45"/>
      <c r="O57" s="45"/>
      <c r="P57" s="45"/>
      <c r="Q57" s="45"/>
      <c r="R57" s="45"/>
      <c r="S57" s="45"/>
      <c r="T57" s="45"/>
      <c r="U57" s="45"/>
      <c r="V57" s="16"/>
      <c r="W57" s="16"/>
      <c r="X57" s="45"/>
      <c r="Y57" s="45"/>
      <c r="Z57" s="45"/>
      <c r="AA57" s="45"/>
      <c r="AB57" s="45"/>
      <c r="AC57" s="45"/>
    </row>
    <row r="58" spans="1:29" s="17" customFormat="1" x14ac:dyDescent="0.25">
      <c r="A58" s="16"/>
      <c r="B58" s="45"/>
      <c r="C58" s="16"/>
      <c r="D58" s="15"/>
      <c r="E58" s="15"/>
      <c r="F58" s="15"/>
      <c r="G58" s="15"/>
      <c r="H58" s="18"/>
      <c r="I58" s="45"/>
      <c r="J58" s="45"/>
      <c r="K58" s="19"/>
      <c r="L58" s="16"/>
      <c r="N58" s="45"/>
      <c r="O58" s="45"/>
      <c r="P58" s="45"/>
      <c r="Q58" s="45"/>
      <c r="R58" s="45"/>
      <c r="S58" s="45"/>
      <c r="T58" s="45"/>
      <c r="U58" s="45"/>
      <c r="V58" s="16"/>
      <c r="W58" s="16"/>
      <c r="X58" s="45"/>
      <c r="Y58" s="45"/>
      <c r="Z58" s="45"/>
      <c r="AA58" s="45"/>
      <c r="AB58" s="45"/>
      <c r="AC58" s="45"/>
    </row>
    <row r="59" spans="1:29" s="17" customFormat="1" x14ac:dyDescent="0.25">
      <c r="A59" s="16"/>
      <c r="B59" s="45"/>
      <c r="C59" s="16"/>
      <c r="D59" s="15"/>
      <c r="E59" s="15"/>
      <c r="F59" s="15"/>
      <c r="G59" s="15"/>
      <c r="H59" s="18"/>
      <c r="I59" s="45"/>
      <c r="J59" s="45"/>
      <c r="K59" s="19"/>
      <c r="L59" s="16"/>
      <c r="N59" s="45"/>
      <c r="O59" s="45"/>
      <c r="P59" s="45"/>
      <c r="Q59" s="45"/>
      <c r="R59" s="45"/>
      <c r="S59" s="45"/>
      <c r="T59" s="45"/>
      <c r="U59" s="45"/>
      <c r="V59" s="16"/>
      <c r="W59" s="16"/>
      <c r="X59" s="45"/>
      <c r="Y59" s="45"/>
      <c r="Z59" s="45"/>
      <c r="AA59" s="45"/>
      <c r="AB59" s="45"/>
      <c r="AC59" s="45"/>
    </row>
    <row r="60" spans="1:29" s="17" customFormat="1" x14ac:dyDescent="0.25">
      <c r="A60" s="16"/>
      <c r="B60" s="45"/>
      <c r="C60" s="16"/>
      <c r="D60" s="15"/>
      <c r="E60" s="15"/>
      <c r="F60" s="15"/>
      <c r="G60" s="15"/>
      <c r="H60" s="18"/>
      <c r="I60" s="45"/>
      <c r="J60" s="45"/>
      <c r="K60" s="19"/>
      <c r="L60" s="16"/>
      <c r="N60" s="45"/>
      <c r="O60" s="45"/>
      <c r="P60" s="45"/>
      <c r="Q60" s="45"/>
      <c r="R60" s="45"/>
      <c r="S60" s="45"/>
      <c r="T60" s="45"/>
      <c r="U60" s="45"/>
      <c r="V60" s="16"/>
      <c r="W60" s="16"/>
      <c r="X60" s="45"/>
      <c r="Y60" s="45"/>
      <c r="Z60" s="45"/>
      <c r="AA60" s="45"/>
      <c r="AB60" s="45"/>
      <c r="AC60" s="45"/>
    </row>
    <row r="61" spans="1:29" s="17" customFormat="1" x14ac:dyDescent="0.25">
      <c r="A61" s="16"/>
      <c r="B61" s="45"/>
      <c r="C61" s="16"/>
      <c r="D61" s="15"/>
      <c r="E61" s="15"/>
      <c r="F61" s="15"/>
      <c r="G61" s="15"/>
      <c r="H61" s="18"/>
      <c r="I61" s="45"/>
      <c r="J61" s="45"/>
      <c r="K61" s="19"/>
      <c r="L61" s="16"/>
      <c r="N61" s="45"/>
      <c r="O61" s="45"/>
      <c r="P61" s="45"/>
      <c r="Q61" s="45"/>
      <c r="R61" s="45"/>
      <c r="S61" s="45"/>
      <c r="T61" s="45"/>
      <c r="U61" s="45"/>
      <c r="V61" s="16"/>
      <c r="W61" s="16"/>
      <c r="X61" s="45"/>
      <c r="Y61" s="45"/>
      <c r="Z61" s="45"/>
      <c r="AA61" s="45"/>
      <c r="AB61" s="45"/>
      <c r="AC61" s="45"/>
    </row>
    <row r="62" spans="1:29" s="17" customFormat="1" x14ac:dyDescent="0.25">
      <c r="A62" s="16"/>
      <c r="B62" s="45"/>
      <c r="C62" s="16"/>
      <c r="D62" s="15"/>
      <c r="E62" s="15"/>
      <c r="F62" s="15"/>
      <c r="G62" s="15"/>
      <c r="H62" s="18"/>
      <c r="I62" s="45"/>
      <c r="J62" s="45"/>
      <c r="K62" s="19"/>
      <c r="L62" s="16"/>
      <c r="N62" s="45"/>
      <c r="O62" s="45"/>
      <c r="P62" s="45"/>
      <c r="Q62" s="45"/>
      <c r="R62" s="45"/>
      <c r="S62" s="45"/>
      <c r="T62" s="45"/>
      <c r="U62" s="45"/>
      <c r="V62" s="16"/>
      <c r="W62" s="16"/>
      <c r="X62" s="45"/>
      <c r="Y62" s="45"/>
      <c r="Z62" s="45"/>
      <c r="AA62" s="45"/>
      <c r="AB62" s="45"/>
      <c r="AC62" s="45"/>
    </row>
    <row r="63" spans="1:29" s="17" customFormat="1" x14ac:dyDescent="0.25">
      <c r="A63" s="16"/>
      <c r="B63" s="45"/>
      <c r="C63" s="16"/>
      <c r="D63" s="15"/>
      <c r="E63" s="15"/>
      <c r="F63" s="15"/>
      <c r="G63" s="15"/>
      <c r="H63" s="18"/>
      <c r="I63" s="45"/>
      <c r="J63" s="45"/>
      <c r="K63" s="19"/>
      <c r="L63" s="16"/>
      <c r="N63" s="45"/>
      <c r="O63" s="45"/>
      <c r="P63" s="45"/>
      <c r="Q63" s="45"/>
      <c r="R63" s="45"/>
      <c r="S63" s="45"/>
      <c r="T63" s="45"/>
      <c r="U63" s="45"/>
      <c r="V63" s="16"/>
      <c r="W63" s="16"/>
      <c r="X63" s="45"/>
      <c r="Y63" s="45"/>
      <c r="Z63" s="45"/>
      <c r="AA63" s="45"/>
      <c r="AB63" s="45"/>
      <c r="AC63" s="45"/>
    </row>
    <row r="64" spans="1:29" s="17" customFormat="1" x14ac:dyDescent="0.25">
      <c r="A64" s="16"/>
      <c r="B64" s="45"/>
      <c r="C64" s="16"/>
      <c r="D64" s="15"/>
      <c r="E64" s="15"/>
      <c r="F64" s="15"/>
      <c r="G64" s="15"/>
      <c r="H64" s="18"/>
      <c r="I64" s="45"/>
      <c r="J64" s="45"/>
      <c r="K64" s="19"/>
      <c r="L64" s="16"/>
      <c r="N64" s="45"/>
      <c r="O64" s="45"/>
      <c r="P64" s="45"/>
      <c r="Q64" s="45"/>
      <c r="R64" s="45"/>
      <c r="S64" s="45"/>
      <c r="T64" s="45"/>
      <c r="U64" s="45"/>
      <c r="V64" s="16"/>
      <c r="W64" s="16"/>
      <c r="X64" s="45"/>
      <c r="Y64" s="45"/>
      <c r="Z64" s="45"/>
      <c r="AA64" s="45"/>
      <c r="AB64" s="45"/>
      <c r="AC64" s="45"/>
    </row>
    <row r="65" spans="1:29" s="17" customFormat="1" x14ac:dyDescent="0.25">
      <c r="A65" s="16"/>
      <c r="B65" s="45"/>
      <c r="C65" s="16"/>
      <c r="D65" s="15"/>
      <c r="E65" s="15"/>
      <c r="F65" s="15"/>
      <c r="G65" s="15"/>
      <c r="H65" s="18"/>
      <c r="I65" s="45"/>
      <c r="J65" s="45"/>
      <c r="K65" s="19"/>
      <c r="L65" s="16"/>
      <c r="N65" s="45"/>
      <c r="O65" s="45"/>
      <c r="P65" s="45"/>
      <c r="Q65" s="45"/>
      <c r="R65" s="45"/>
      <c r="S65" s="45"/>
      <c r="T65" s="45"/>
      <c r="U65" s="45"/>
      <c r="V65" s="16"/>
      <c r="W65" s="16"/>
      <c r="X65" s="45"/>
      <c r="Y65" s="45"/>
      <c r="Z65" s="45"/>
      <c r="AA65" s="45"/>
      <c r="AB65" s="45"/>
      <c r="AC65" s="45"/>
    </row>
    <row r="66" spans="1:29" s="17" customFormat="1" x14ac:dyDescent="0.25">
      <c r="A66" s="16"/>
      <c r="B66" s="45"/>
      <c r="C66" s="16"/>
      <c r="D66" s="15"/>
      <c r="E66" s="15"/>
      <c r="F66" s="15"/>
      <c r="G66" s="15"/>
      <c r="H66" s="18"/>
      <c r="I66" s="45"/>
      <c r="J66" s="45"/>
      <c r="K66" s="19"/>
      <c r="L66" s="16"/>
      <c r="N66" s="45"/>
      <c r="O66" s="45"/>
      <c r="P66" s="45"/>
      <c r="Q66" s="45"/>
      <c r="R66" s="45"/>
      <c r="S66" s="45"/>
      <c r="T66" s="45"/>
      <c r="U66" s="45"/>
      <c r="V66" s="16"/>
      <c r="W66" s="16"/>
      <c r="X66" s="45"/>
      <c r="Y66" s="45"/>
      <c r="Z66" s="45"/>
      <c r="AA66" s="45"/>
      <c r="AB66" s="45"/>
      <c r="AC66" s="45"/>
    </row>
    <row r="67" spans="1:29" s="17" customFormat="1" x14ac:dyDescent="0.25">
      <c r="A67" s="16"/>
      <c r="B67" s="45"/>
      <c r="C67" s="16"/>
      <c r="D67" s="15"/>
      <c r="E67" s="15"/>
      <c r="F67" s="15"/>
      <c r="G67" s="15"/>
      <c r="H67" s="18"/>
      <c r="I67" s="45"/>
      <c r="J67" s="45"/>
      <c r="K67" s="19"/>
      <c r="L67" s="16"/>
      <c r="N67" s="45"/>
      <c r="O67" s="45"/>
      <c r="P67" s="45"/>
      <c r="Q67" s="45"/>
      <c r="R67" s="45"/>
      <c r="S67" s="45"/>
      <c r="T67" s="45"/>
      <c r="U67" s="45"/>
      <c r="V67" s="16"/>
      <c r="W67" s="16"/>
      <c r="X67" s="45"/>
      <c r="Y67" s="45"/>
      <c r="Z67" s="45"/>
      <c r="AA67" s="45"/>
      <c r="AB67" s="45"/>
      <c r="AC67" s="45"/>
    </row>
    <row r="68" spans="1:29" s="17" customFormat="1" x14ac:dyDescent="0.25">
      <c r="A68" s="16"/>
      <c r="B68" s="45"/>
      <c r="C68" s="16"/>
      <c r="D68" s="15"/>
      <c r="E68" s="15"/>
      <c r="F68" s="15"/>
      <c r="G68" s="15"/>
      <c r="H68" s="18"/>
      <c r="I68" s="45"/>
      <c r="J68" s="45"/>
      <c r="K68" s="19"/>
      <c r="L68" s="16"/>
      <c r="N68" s="45"/>
      <c r="O68" s="45"/>
      <c r="P68" s="45"/>
      <c r="Q68" s="45"/>
      <c r="R68" s="45"/>
      <c r="S68" s="45"/>
      <c r="T68" s="45"/>
      <c r="U68" s="45"/>
      <c r="V68" s="16"/>
      <c r="W68" s="16"/>
      <c r="X68" s="45"/>
      <c r="Y68" s="45"/>
      <c r="Z68" s="45"/>
      <c r="AA68" s="45"/>
      <c r="AB68" s="45"/>
      <c r="AC68" s="45"/>
    </row>
    <row r="69" spans="1:29" s="17" customFormat="1" x14ac:dyDescent="0.25">
      <c r="A69" s="16"/>
      <c r="B69" s="45"/>
      <c r="C69" s="16"/>
      <c r="D69" s="15"/>
      <c r="E69" s="15"/>
      <c r="F69" s="15"/>
      <c r="G69" s="15"/>
      <c r="H69" s="18"/>
      <c r="I69" s="45"/>
      <c r="J69" s="45"/>
      <c r="K69" s="19"/>
      <c r="L69" s="16"/>
      <c r="N69" s="45"/>
      <c r="O69" s="45"/>
      <c r="P69" s="45"/>
      <c r="Q69" s="45"/>
      <c r="R69" s="45"/>
      <c r="S69" s="45"/>
      <c r="T69" s="45"/>
      <c r="U69" s="45"/>
      <c r="V69" s="16"/>
      <c r="W69" s="16"/>
      <c r="X69" s="45"/>
      <c r="Y69" s="45"/>
      <c r="Z69" s="45"/>
      <c r="AA69" s="45"/>
      <c r="AB69" s="45"/>
      <c r="AC69" s="45"/>
    </row>
    <row r="70" spans="1:29" s="17" customFormat="1" x14ac:dyDescent="0.25">
      <c r="A70" s="16"/>
      <c r="B70" s="45"/>
      <c r="C70" s="16"/>
      <c r="D70" s="15"/>
      <c r="E70" s="15"/>
      <c r="F70" s="15"/>
      <c r="G70" s="15"/>
      <c r="H70" s="18"/>
      <c r="I70" s="45"/>
      <c r="J70" s="45"/>
      <c r="K70" s="19"/>
      <c r="L70" s="16"/>
      <c r="N70" s="45"/>
      <c r="O70" s="45"/>
      <c r="P70" s="45"/>
      <c r="Q70" s="45"/>
      <c r="R70" s="45"/>
      <c r="S70" s="45"/>
      <c r="T70" s="45"/>
      <c r="U70" s="45"/>
      <c r="V70" s="16"/>
      <c r="W70" s="16"/>
      <c r="X70" s="45"/>
      <c r="Y70" s="45"/>
      <c r="Z70" s="45"/>
      <c r="AA70" s="45"/>
      <c r="AB70" s="45"/>
      <c r="AC70" s="45"/>
    </row>
    <row r="71" spans="1:29" s="17" customFormat="1" x14ac:dyDescent="0.25">
      <c r="A71" s="16"/>
      <c r="B71" s="45"/>
      <c r="C71" s="16"/>
      <c r="D71" s="15"/>
      <c r="E71" s="15"/>
      <c r="F71" s="15"/>
      <c r="G71" s="15"/>
      <c r="H71" s="18"/>
      <c r="I71" s="45"/>
      <c r="J71" s="45"/>
      <c r="K71" s="19"/>
      <c r="L71" s="16"/>
      <c r="N71" s="45"/>
      <c r="O71" s="45"/>
      <c r="P71" s="45"/>
      <c r="Q71" s="45"/>
      <c r="R71" s="45"/>
      <c r="S71" s="45"/>
      <c r="T71" s="45"/>
      <c r="U71" s="45"/>
      <c r="V71" s="16"/>
      <c r="W71" s="16"/>
      <c r="X71" s="45"/>
      <c r="Y71" s="45"/>
      <c r="Z71" s="45"/>
      <c r="AA71" s="45"/>
      <c r="AB71" s="45"/>
      <c r="AC71" s="45"/>
    </row>
    <row r="72" spans="1:29" s="17" customFormat="1" x14ac:dyDescent="0.25">
      <c r="A72" s="16"/>
      <c r="B72" s="45"/>
      <c r="C72" s="16"/>
      <c r="D72" s="15"/>
      <c r="E72" s="15"/>
      <c r="F72" s="15"/>
      <c r="G72" s="15"/>
      <c r="H72" s="18"/>
      <c r="I72" s="45"/>
      <c r="J72" s="45"/>
      <c r="K72" s="19"/>
      <c r="L72" s="16"/>
      <c r="N72" s="45"/>
      <c r="O72" s="45"/>
      <c r="P72" s="45"/>
      <c r="Q72" s="45"/>
      <c r="R72" s="45"/>
      <c r="S72" s="45"/>
      <c r="T72" s="45"/>
      <c r="U72" s="45"/>
      <c r="V72" s="16"/>
      <c r="W72" s="16"/>
      <c r="X72" s="45"/>
      <c r="Y72" s="45"/>
      <c r="Z72" s="45"/>
      <c r="AA72" s="45"/>
      <c r="AB72" s="45"/>
      <c r="AC72" s="45"/>
    </row>
    <row r="73" spans="1:29" s="17" customFormat="1" x14ac:dyDescent="0.25">
      <c r="A73" s="16"/>
      <c r="B73" s="45"/>
      <c r="C73" s="16"/>
      <c r="D73" s="15"/>
      <c r="E73" s="15"/>
      <c r="F73" s="15"/>
      <c r="G73" s="15"/>
      <c r="H73" s="18"/>
      <c r="I73" s="45"/>
      <c r="J73" s="45"/>
      <c r="K73" s="19"/>
      <c r="L73" s="16"/>
      <c r="N73" s="45"/>
      <c r="O73" s="45"/>
      <c r="P73" s="45"/>
      <c r="Q73" s="45"/>
      <c r="R73" s="45"/>
      <c r="S73" s="45"/>
      <c r="T73" s="45"/>
      <c r="U73" s="45"/>
      <c r="V73" s="16"/>
      <c r="W73" s="16"/>
      <c r="X73" s="45"/>
      <c r="Y73" s="45"/>
      <c r="Z73" s="45"/>
      <c r="AA73" s="45"/>
      <c r="AB73" s="45"/>
      <c r="AC73" s="45"/>
    </row>
    <row r="74" spans="1:29" s="17" customFormat="1" x14ac:dyDescent="0.25">
      <c r="A74" s="16"/>
      <c r="B74" s="45"/>
      <c r="C74" s="16"/>
      <c r="D74" s="15"/>
      <c r="E74" s="15"/>
      <c r="F74" s="15"/>
      <c r="G74" s="15"/>
      <c r="H74" s="18"/>
      <c r="I74" s="45"/>
      <c r="J74" s="45"/>
      <c r="K74" s="19"/>
      <c r="L74" s="16"/>
      <c r="N74" s="45"/>
      <c r="O74" s="45"/>
      <c r="P74" s="45"/>
      <c r="Q74" s="45"/>
      <c r="R74" s="45"/>
      <c r="S74" s="45"/>
      <c r="T74" s="45"/>
      <c r="U74" s="45"/>
      <c r="V74" s="16"/>
      <c r="W74" s="16"/>
      <c r="X74" s="45"/>
      <c r="Y74" s="45"/>
      <c r="Z74" s="45"/>
      <c r="AA74" s="45"/>
      <c r="AB74" s="45"/>
      <c r="AC74" s="45"/>
    </row>
    <row r="75" spans="1:29" s="17" customFormat="1" x14ac:dyDescent="0.25">
      <c r="A75" s="16"/>
      <c r="B75" s="45"/>
      <c r="C75" s="16"/>
      <c r="D75" s="15"/>
      <c r="E75" s="15"/>
      <c r="F75" s="15"/>
      <c r="G75" s="15"/>
      <c r="H75" s="18"/>
      <c r="I75" s="45"/>
      <c r="J75" s="45"/>
      <c r="K75" s="19"/>
      <c r="L75" s="16"/>
      <c r="N75" s="45"/>
      <c r="O75" s="45"/>
      <c r="P75" s="45"/>
      <c r="Q75" s="45"/>
      <c r="R75" s="45"/>
      <c r="S75" s="45"/>
      <c r="T75" s="45"/>
      <c r="U75" s="45"/>
      <c r="V75" s="16"/>
      <c r="W75" s="16"/>
      <c r="X75" s="45"/>
      <c r="Y75" s="45"/>
      <c r="Z75" s="45"/>
      <c r="AA75" s="45"/>
      <c r="AB75" s="45"/>
      <c r="AC75" s="45"/>
    </row>
    <row r="76" spans="1:29" s="17" customFormat="1" x14ac:dyDescent="0.25">
      <c r="A76" s="16"/>
      <c r="B76" s="45"/>
      <c r="C76" s="16"/>
      <c r="D76" s="15"/>
      <c r="E76" s="15"/>
      <c r="F76" s="15"/>
      <c r="G76" s="15"/>
      <c r="H76" s="18"/>
      <c r="I76" s="45"/>
      <c r="J76" s="45"/>
      <c r="K76" s="19"/>
      <c r="L76" s="16"/>
      <c r="N76" s="45"/>
      <c r="O76" s="45"/>
      <c r="P76" s="45"/>
      <c r="Q76" s="45"/>
      <c r="R76" s="45"/>
      <c r="S76" s="45"/>
      <c r="T76" s="45"/>
      <c r="U76" s="45"/>
      <c r="V76" s="16"/>
      <c r="W76" s="16"/>
      <c r="X76" s="45"/>
      <c r="Y76" s="45"/>
      <c r="Z76" s="45"/>
      <c r="AA76" s="45"/>
      <c r="AB76" s="45"/>
      <c r="AC76" s="45"/>
    </row>
    <row r="77" spans="1:29" s="17" customFormat="1" x14ac:dyDescent="0.25">
      <c r="A77" s="16"/>
      <c r="B77" s="45"/>
      <c r="C77" s="16"/>
      <c r="D77" s="15"/>
      <c r="E77" s="15"/>
      <c r="F77" s="15"/>
      <c r="G77" s="15"/>
      <c r="H77" s="18"/>
      <c r="I77" s="45"/>
      <c r="J77" s="45"/>
      <c r="K77" s="19"/>
      <c r="L77" s="16"/>
      <c r="N77" s="45"/>
      <c r="O77" s="45"/>
      <c r="P77" s="45"/>
      <c r="Q77" s="45"/>
      <c r="R77" s="45"/>
      <c r="S77" s="45"/>
      <c r="T77" s="45"/>
      <c r="U77" s="45"/>
      <c r="V77" s="16"/>
      <c r="W77" s="16"/>
      <c r="X77" s="45"/>
      <c r="Y77" s="45"/>
      <c r="Z77" s="45"/>
      <c r="AA77" s="45"/>
      <c r="AB77" s="45"/>
      <c r="AC77" s="45"/>
    </row>
    <row r="78" spans="1:29" s="17" customFormat="1" x14ac:dyDescent="0.25">
      <c r="A78" s="16"/>
      <c r="B78" s="45"/>
      <c r="C78" s="16"/>
      <c r="D78" s="15"/>
      <c r="E78" s="15"/>
      <c r="F78" s="15"/>
      <c r="G78" s="15"/>
      <c r="H78" s="18"/>
      <c r="I78" s="45"/>
      <c r="J78" s="45"/>
      <c r="K78" s="19"/>
      <c r="L78" s="16"/>
      <c r="N78" s="45"/>
      <c r="O78" s="45"/>
      <c r="P78" s="45"/>
      <c r="Q78" s="45"/>
      <c r="R78" s="45"/>
      <c r="S78" s="45"/>
      <c r="T78" s="45"/>
      <c r="U78" s="45"/>
      <c r="V78" s="16"/>
      <c r="W78" s="16"/>
      <c r="X78" s="45"/>
      <c r="Y78" s="45"/>
      <c r="Z78" s="45"/>
      <c r="AA78" s="45"/>
      <c r="AB78" s="45"/>
      <c r="AC78" s="45"/>
    </row>
    <row r="79" spans="1:29" s="17" customFormat="1" x14ac:dyDescent="0.25">
      <c r="A79" s="16"/>
      <c r="B79" s="45"/>
      <c r="C79" s="16"/>
      <c r="D79" s="15"/>
      <c r="E79" s="15"/>
      <c r="F79" s="15"/>
      <c r="G79" s="15"/>
      <c r="H79" s="18"/>
      <c r="I79" s="45"/>
      <c r="J79" s="45"/>
      <c r="K79" s="19"/>
      <c r="L79" s="16"/>
      <c r="N79" s="45"/>
      <c r="O79" s="45"/>
      <c r="P79" s="45"/>
      <c r="Q79" s="45"/>
      <c r="R79" s="45"/>
      <c r="S79" s="45"/>
      <c r="T79" s="45"/>
      <c r="U79" s="45"/>
      <c r="V79" s="16"/>
      <c r="W79" s="16"/>
      <c r="X79" s="45"/>
      <c r="Y79" s="45"/>
      <c r="Z79" s="45"/>
      <c r="AA79" s="45"/>
      <c r="AB79" s="45"/>
      <c r="AC79" s="45"/>
    </row>
    <row r="80" spans="1:29" s="17" customFormat="1" x14ac:dyDescent="0.25">
      <c r="A80" s="16"/>
      <c r="B80" s="45"/>
      <c r="C80" s="16"/>
      <c r="D80" s="15"/>
      <c r="E80" s="15"/>
      <c r="F80" s="15"/>
      <c r="G80" s="15"/>
      <c r="H80" s="18"/>
      <c r="I80" s="45"/>
      <c r="J80" s="45"/>
      <c r="K80" s="19"/>
      <c r="L80" s="16"/>
      <c r="N80" s="45"/>
      <c r="O80" s="45"/>
      <c r="P80" s="45"/>
      <c r="Q80" s="45"/>
      <c r="R80" s="45"/>
      <c r="S80" s="45"/>
      <c r="T80" s="45"/>
      <c r="U80" s="45"/>
      <c r="V80" s="16"/>
      <c r="W80" s="16"/>
      <c r="X80" s="45"/>
      <c r="Y80" s="45"/>
      <c r="Z80" s="45"/>
      <c r="AA80" s="45"/>
      <c r="AB80" s="45"/>
      <c r="AC80" s="45"/>
    </row>
    <row r="81" spans="1:29" s="17" customFormat="1" x14ac:dyDescent="0.25">
      <c r="A81" s="16"/>
      <c r="B81" s="45"/>
      <c r="C81" s="16"/>
      <c r="D81" s="15"/>
      <c r="E81" s="15"/>
      <c r="F81" s="15"/>
      <c r="G81" s="15"/>
      <c r="H81" s="18"/>
      <c r="I81" s="45"/>
      <c r="J81" s="45"/>
      <c r="K81" s="19"/>
      <c r="L81" s="16"/>
      <c r="N81" s="45"/>
      <c r="O81" s="45"/>
      <c r="P81" s="45"/>
      <c r="Q81" s="45"/>
      <c r="R81" s="45"/>
      <c r="S81" s="45"/>
      <c r="T81" s="45"/>
      <c r="U81" s="45"/>
      <c r="V81" s="16"/>
      <c r="W81" s="16"/>
      <c r="X81" s="45"/>
      <c r="Y81" s="45"/>
      <c r="Z81" s="45"/>
      <c r="AA81" s="45"/>
      <c r="AB81" s="45"/>
      <c r="AC81" s="45"/>
    </row>
    <row r="82" spans="1:29" s="17" customFormat="1" x14ac:dyDescent="0.25">
      <c r="A82" s="16"/>
      <c r="B82" s="45"/>
      <c r="C82" s="16"/>
      <c r="D82" s="15"/>
      <c r="E82" s="15"/>
      <c r="F82" s="15"/>
      <c r="G82" s="15"/>
      <c r="H82" s="18"/>
      <c r="I82" s="45"/>
      <c r="J82" s="45"/>
      <c r="K82" s="19"/>
      <c r="L82" s="16"/>
      <c r="N82" s="45"/>
      <c r="O82" s="45"/>
      <c r="P82" s="45"/>
      <c r="Q82" s="45"/>
      <c r="R82" s="45"/>
      <c r="S82" s="45"/>
      <c r="T82" s="45"/>
      <c r="U82" s="45"/>
      <c r="V82" s="16"/>
      <c r="W82" s="16"/>
      <c r="X82" s="45"/>
      <c r="Y82" s="45"/>
      <c r="Z82" s="45"/>
      <c r="AA82" s="45"/>
      <c r="AB82" s="45"/>
      <c r="AC82" s="45"/>
    </row>
    <row r="83" spans="1:29" s="17" customFormat="1" x14ac:dyDescent="0.25">
      <c r="A83" s="16"/>
      <c r="B83" s="45"/>
      <c r="C83" s="16"/>
      <c r="D83" s="15"/>
      <c r="E83" s="15"/>
      <c r="F83" s="15"/>
      <c r="G83" s="15"/>
      <c r="H83" s="18"/>
      <c r="I83" s="45"/>
      <c r="J83" s="45"/>
      <c r="K83" s="19"/>
      <c r="L83" s="16"/>
      <c r="N83" s="45"/>
      <c r="O83" s="45"/>
      <c r="P83" s="45"/>
      <c r="Q83" s="45"/>
      <c r="R83" s="45"/>
      <c r="S83" s="45"/>
      <c r="T83" s="45"/>
      <c r="U83" s="45"/>
      <c r="V83" s="16"/>
      <c r="W83" s="16"/>
      <c r="X83" s="45"/>
      <c r="Y83" s="45"/>
      <c r="Z83" s="45"/>
      <c r="AA83" s="45"/>
      <c r="AB83" s="45"/>
      <c r="AC83" s="45"/>
    </row>
    <row r="84" spans="1:29" s="17" customFormat="1" x14ac:dyDescent="0.25">
      <c r="A84" s="16"/>
      <c r="B84" s="45"/>
      <c r="C84" s="16"/>
      <c r="D84" s="15"/>
      <c r="E84" s="15"/>
      <c r="F84" s="15"/>
      <c r="G84" s="15"/>
      <c r="H84" s="18"/>
      <c r="I84" s="45"/>
      <c r="J84" s="45"/>
      <c r="K84" s="19"/>
      <c r="L84" s="16"/>
      <c r="N84" s="45"/>
      <c r="O84" s="45"/>
      <c r="P84" s="45"/>
      <c r="Q84" s="45"/>
      <c r="R84" s="45"/>
      <c r="S84" s="45"/>
      <c r="T84" s="45"/>
      <c r="U84" s="45"/>
      <c r="V84" s="16"/>
      <c r="W84" s="16"/>
      <c r="X84" s="45"/>
      <c r="Y84" s="45"/>
      <c r="Z84" s="45"/>
      <c r="AA84" s="45"/>
      <c r="AB84" s="45"/>
      <c r="AC84" s="45"/>
    </row>
    <row r="85" spans="1:29" s="17" customFormat="1" x14ac:dyDescent="0.25">
      <c r="A85" s="16"/>
      <c r="B85" s="45"/>
      <c r="C85" s="16"/>
      <c r="D85" s="15"/>
      <c r="E85" s="15"/>
      <c r="F85" s="15"/>
      <c r="G85" s="15"/>
      <c r="H85" s="18"/>
      <c r="I85" s="45"/>
      <c r="J85" s="45"/>
      <c r="K85" s="19"/>
      <c r="L85" s="16"/>
      <c r="N85" s="45"/>
      <c r="O85" s="45"/>
      <c r="P85" s="45"/>
      <c r="Q85" s="45"/>
      <c r="R85" s="45"/>
      <c r="S85" s="45"/>
      <c r="T85" s="45"/>
      <c r="U85" s="45"/>
      <c r="V85" s="16"/>
      <c r="W85" s="16"/>
      <c r="X85" s="45"/>
      <c r="Y85" s="45"/>
      <c r="Z85" s="45"/>
      <c r="AA85" s="45"/>
      <c r="AB85" s="45"/>
      <c r="AC85" s="45"/>
    </row>
    <row r="86" spans="1:29" s="17" customFormat="1" x14ac:dyDescent="0.25">
      <c r="A86" s="16"/>
      <c r="B86" s="45"/>
      <c r="C86" s="16"/>
      <c r="D86" s="15"/>
      <c r="E86" s="15"/>
      <c r="F86" s="15"/>
      <c r="G86" s="15"/>
      <c r="H86" s="18"/>
      <c r="I86" s="45"/>
      <c r="J86" s="45"/>
      <c r="K86" s="19"/>
      <c r="L86" s="16"/>
      <c r="N86" s="45"/>
      <c r="O86" s="45"/>
      <c r="P86" s="45"/>
      <c r="Q86" s="45"/>
      <c r="R86" s="45"/>
      <c r="S86" s="45"/>
      <c r="T86" s="45"/>
      <c r="U86" s="45"/>
      <c r="V86" s="16"/>
      <c r="W86" s="16"/>
      <c r="X86" s="45"/>
      <c r="Y86" s="45"/>
      <c r="Z86" s="45"/>
      <c r="AA86" s="45"/>
      <c r="AB86" s="45"/>
      <c r="AC86" s="45"/>
    </row>
    <row r="87" spans="1:29" s="17" customFormat="1" x14ac:dyDescent="0.25">
      <c r="A87" s="16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16"/>
      <c r="W87" s="16"/>
      <c r="X87" s="45"/>
      <c r="Y87" s="45"/>
      <c r="Z87" s="45"/>
      <c r="AA87" s="45"/>
      <c r="AB87" s="45"/>
      <c r="AC87" s="45"/>
    </row>
    <row r="88" spans="1:29" s="17" customFormat="1" x14ac:dyDescent="0.25">
      <c r="A88" s="16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16"/>
      <c r="W88" s="16"/>
      <c r="X88" s="45"/>
      <c r="Y88" s="45"/>
      <c r="Z88" s="45"/>
      <c r="AA88" s="45"/>
      <c r="AB88" s="45"/>
      <c r="AC88" s="45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16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16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15"/>
      <c r="J95" s="1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15"/>
      <c r="J96" s="1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15"/>
      <c r="J97" s="1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15"/>
      <c r="J98" s="1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15"/>
      <c r="J99" s="1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15"/>
      <c r="J100" s="1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15"/>
      <c r="J101" s="1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15"/>
      <c r="J102" s="1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15"/>
      <c r="J103" s="1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15"/>
      <c r="J104" s="1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15"/>
      <c r="J105" s="1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15"/>
      <c r="J106" s="1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15"/>
      <c r="J107" s="1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15"/>
      <c r="J108" s="1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15"/>
      <c r="J109" s="1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15"/>
      <c r="J110" s="1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15"/>
      <c r="J111" s="1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15"/>
      <c r="J112" s="1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15"/>
      <c r="J113" s="1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15"/>
      <c r="J114" s="1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15"/>
      <c r="J115" s="1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15"/>
      <c r="J116" s="1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15"/>
      <c r="J117" s="1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15"/>
      <c r="J118" s="1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15"/>
      <c r="J119" s="1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15"/>
      <c r="J120" s="1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15"/>
      <c r="J121" s="1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15"/>
      <c r="J122" s="1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15"/>
      <c r="J123" s="1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15"/>
      <c r="J124" s="1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15"/>
      <c r="J125" s="1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15"/>
      <c r="J126" s="1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x14ac:dyDescent="0.25">
      <c r="L503" s="16"/>
    </row>
    <row r="504" spans="1:29" x14ac:dyDescent="0.25">
      <c r="L504" s="16"/>
      <c r="N504" s="17"/>
      <c r="O504" s="38"/>
    </row>
    <row r="505" spans="1:29" x14ac:dyDescent="0.25">
      <c r="L505" s="16"/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C557"/>
  <sheetViews>
    <sheetView zoomScaleNormal="100" workbookViewId="0">
      <selection activeCell="N8" sqref="N8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437.86910114713601</v>
      </c>
      <c r="E2" s="55"/>
      <c r="F2" s="53" t="s">
        <v>620</v>
      </c>
      <c r="G2" s="53">
        <v>21676959868</v>
      </c>
      <c r="H2" s="62"/>
      <c r="K2" s="51" t="s">
        <v>1</v>
      </c>
      <c r="L2" s="60" t="s">
        <v>598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7.1150182280356796E+39</v>
      </c>
      <c r="E3" s="53"/>
      <c r="F3" s="53" t="s">
        <v>621</v>
      </c>
      <c r="G3" s="53">
        <f>H45/SolarMass</f>
        <v>70616241508.262146</v>
      </c>
      <c r="H3" s="62"/>
      <c r="K3" s="51" t="s">
        <v>562</v>
      </c>
      <c r="L3" s="57">
        <v>4.4929999999999996E-3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2319.8608515433202</v>
      </c>
      <c r="E4" s="55"/>
      <c r="F4" s="53" t="s">
        <v>622</v>
      </c>
      <c r="G4" s="52">
        <f>G3/G2</f>
        <v>3.2576635256176942</v>
      </c>
      <c r="H4" s="62"/>
      <c r="K4" s="61" t="s">
        <v>614</v>
      </c>
      <c r="L4" s="52">
        <f>QEHModelChiSquare</f>
        <v>182.98863685568733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1982.60370764154</v>
      </c>
      <c r="F5" s="53"/>
      <c r="G5" s="52"/>
      <c r="H5" s="62"/>
      <c r="K5" s="61" t="s">
        <v>615</v>
      </c>
      <c r="L5" s="52">
        <f>LCDMModelChiSquare</f>
        <v>346.29869073075446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5" si="0">RadiusKpc*1000</f>
        <v>90</v>
      </c>
      <c r="C8" s="16">
        <f t="shared" ref="C8:C45" si="1">IF(QESBulgeEffectiveRadius=0,0,RadiusPc/QESBulgeEffectiveRadius)</f>
        <v>0.20554087914451294</v>
      </c>
      <c r="D8" s="15">
        <f t="shared" ref="D8:D45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7.3044546334853871E+38</v>
      </c>
      <c r="F8" s="15">
        <f t="shared" ref="F8:F45" si="3">2*PI()*QESDiskSurfaceDensity*QESDiskScaleLength*(QESDiskScaleLength-EXP(-RadiusPc/QESDiskScaleLength)*(RadiusPc+QESDiskScaleLength))*SolarMass</f>
        <v>9.7794219208178141E+37</v>
      </c>
      <c r="H8" s="18">
        <f t="shared" ref="H8:H45" si="4">BulgeMass+DiskMass+HaloMass</f>
        <v>8.2823968255671687E+38</v>
      </c>
      <c r="I8" s="16">
        <v>119.79</v>
      </c>
      <c r="J8" s="45">
        <v>1</v>
      </c>
      <c r="K8" s="19">
        <f t="shared" ref="K8:K45" si="5">SQRT(TotalMass*GravitationalConstant/RadiusKm+UniverseAcceleration*RadiusKm)/km</f>
        <v>141.44226146538364</v>
      </c>
      <c r="L8" s="16">
        <f t="shared" ref="L8:L45" si="6">(ObservedVelocity-ModelVelocity)^2/(VelocityError)^2</f>
        <v>468.8204265653369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0.43391963374952736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1.5350778087026171E+39</v>
      </c>
      <c r="F9" s="15">
        <f t="shared" si="3"/>
        <v>4.2356290493305922E+38</v>
      </c>
      <c r="H9" s="18">
        <f t="shared" si="4"/>
        <v>1.9586407136356763E+39</v>
      </c>
      <c r="I9" s="16">
        <v>163.85</v>
      </c>
      <c r="J9" s="45">
        <v>1</v>
      </c>
      <c r="K9" s="19">
        <f t="shared" si="5"/>
        <v>150.03522174957661</v>
      </c>
      <c r="L9" s="16">
        <f t="shared" si="6"/>
        <v>190.84809810837106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0.68513626381504322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2.2512851009583972E+39</v>
      </c>
      <c r="F10" s="15">
        <f t="shared" si="3"/>
        <v>1.02340228483928E+39</v>
      </c>
      <c r="H10" s="18">
        <f t="shared" si="4"/>
        <v>3.2746873857976772E+39</v>
      </c>
      <c r="I10" s="16">
        <v>173.69</v>
      </c>
      <c r="J10" s="45">
        <v>1</v>
      </c>
      <c r="K10" s="19">
        <f t="shared" si="5"/>
        <v>154.74887190463042</v>
      </c>
      <c r="L10" s="16">
        <f t="shared" si="6"/>
        <v>358.76633352519877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0.9591907693410604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2.872019176337898E+39</v>
      </c>
      <c r="F11" s="15">
        <f t="shared" si="3"/>
        <v>1.9387488457496816E+39</v>
      </c>
      <c r="H11" s="18">
        <f t="shared" si="4"/>
        <v>4.8107680220875796E+39</v>
      </c>
      <c r="I11" s="16">
        <v>172.95</v>
      </c>
      <c r="J11" s="45">
        <v>1</v>
      </c>
      <c r="K11" s="19">
        <f t="shared" si="5"/>
        <v>158.893542982486</v>
      </c>
      <c r="L11" s="16">
        <f t="shared" si="6"/>
        <v>197.58398388521834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1.2789210257880805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3.4485239359092961E+39</v>
      </c>
      <c r="F12" s="15">
        <f t="shared" si="3"/>
        <v>3.3131277813929452E+39</v>
      </c>
      <c r="H12" s="18">
        <f t="shared" si="4"/>
        <v>6.7616517173022419E+39</v>
      </c>
      <c r="I12" s="16">
        <v>170.55</v>
      </c>
      <c r="J12" s="45">
        <v>1</v>
      </c>
      <c r="K12" s="19">
        <f t="shared" si="5"/>
        <v>163.54224540252113</v>
      </c>
      <c r="L12" s="16">
        <f t="shared" si="6"/>
        <v>49.108624498486364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1.5986512822351007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3.9095377728649338E+39</v>
      </c>
      <c r="F13" s="15">
        <f t="shared" si="3"/>
        <v>4.9772330784981151E+39</v>
      </c>
      <c r="H13" s="18">
        <f t="shared" si="4"/>
        <v>8.8867708513630488E+39</v>
      </c>
      <c r="I13" s="16">
        <v>167.3</v>
      </c>
      <c r="J13" s="45">
        <v>1</v>
      </c>
      <c r="K13" s="19">
        <f t="shared" si="5"/>
        <v>168.06781882277377</v>
      </c>
      <c r="L13" s="16">
        <f t="shared" si="6"/>
        <v>0.58954574460568587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1.9640572896031239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4.3328016200144036E+39</v>
      </c>
      <c r="F14" s="15">
        <f t="shared" si="3"/>
        <v>7.1844205391183523E+39</v>
      </c>
      <c r="H14" s="18">
        <f t="shared" si="4"/>
        <v>1.1517222159132755E+40</v>
      </c>
      <c r="I14" s="16">
        <v>165.62</v>
      </c>
      <c r="J14" s="45">
        <v>1</v>
      </c>
      <c r="K14" s="19">
        <f t="shared" si="5"/>
        <v>173.0138864771873</v>
      </c>
      <c r="L14" s="16">
        <f t="shared" si="6"/>
        <v>54.669557237533134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2.3751390478921497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4.7151862546189121E+39</v>
      </c>
      <c r="F15" s="15">
        <f t="shared" si="3"/>
        <v>9.9950160091087405E+39</v>
      </c>
      <c r="H15" s="18">
        <f t="shared" si="4"/>
        <v>1.4710202263727653E+40</v>
      </c>
      <c r="I15" s="16">
        <v>165.01</v>
      </c>
      <c r="J15" s="45">
        <v>1</v>
      </c>
      <c r="K15" s="19">
        <f t="shared" si="5"/>
        <v>178.22324821392382</v>
      </c>
      <c r="L15" s="16">
        <f t="shared" si="6"/>
        <v>174.58992836276138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2.8090586816416772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5.0391128773381715E+39</v>
      </c>
      <c r="F16" s="15">
        <f t="shared" si="3"/>
        <v>1.3268172180499479E+40</v>
      </c>
      <c r="H16" s="18">
        <f t="shared" si="4"/>
        <v>1.830728505783765E+40</v>
      </c>
      <c r="I16" s="16">
        <v>169.89</v>
      </c>
      <c r="J16" s="45">
        <v>1</v>
      </c>
      <c r="K16" s="19">
        <f t="shared" si="5"/>
        <v>183.24000823657596</v>
      </c>
      <c r="L16" s="16">
        <f t="shared" si="6"/>
        <v>178.22271991664635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3.3114919417727089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5.3392932949848479E+39</v>
      </c>
      <c r="F17" s="15">
        <f t="shared" si="3"/>
        <v>1.7363996242373407E+40</v>
      </c>
      <c r="H17" s="18">
        <f t="shared" si="4"/>
        <v>2.2703289537358253E+40</v>
      </c>
      <c r="I17" s="16">
        <v>173.99</v>
      </c>
      <c r="J17" s="45">
        <v>1</v>
      </c>
      <c r="K17" s="19">
        <f t="shared" si="5"/>
        <v>188.40755017753983</v>
      </c>
      <c r="L17" s="16">
        <f t="shared" si="6"/>
        <v>207.86575312187858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3.8367630773642416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5.5899740648776372E+39</v>
      </c>
      <c r="F18" s="15">
        <f t="shared" si="3"/>
        <v>2.1903263134908241E+40</v>
      </c>
      <c r="H18" s="18">
        <f t="shared" si="4"/>
        <v>2.7493237199785876E+40</v>
      </c>
      <c r="I18" s="16">
        <v>181.96</v>
      </c>
      <c r="J18" s="45">
        <v>1</v>
      </c>
      <c r="K18" s="19">
        <f t="shared" si="5"/>
        <v>193.09751461263821</v>
      </c>
      <c r="L18" s="16">
        <f t="shared" si="6"/>
        <v>124.04423174672942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4.4305478393372795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5.8166058257721084E+39</v>
      </c>
      <c r="F19" s="15">
        <f t="shared" si="3"/>
        <v>2.7243048226035859E+40</v>
      </c>
      <c r="H19" s="18">
        <f t="shared" si="4"/>
        <v>3.3059654051807965E+40</v>
      </c>
      <c r="I19" s="16">
        <v>189.66</v>
      </c>
      <c r="J19" s="45">
        <v>1</v>
      </c>
      <c r="K19" s="19">
        <f t="shared" si="5"/>
        <v>197.58902810029898</v>
      </c>
      <c r="L19" s="16">
        <f t="shared" si="6"/>
        <v>62.869486615330828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5.0928462276918207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6.0137602449066494E+39</v>
      </c>
      <c r="F20" s="15">
        <f t="shared" si="3"/>
        <v>3.33370529606615E+40</v>
      </c>
      <c r="G20" s="15"/>
      <c r="H20" s="18">
        <f t="shared" si="4"/>
        <v>3.9350813205568149E+40</v>
      </c>
      <c r="I20" s="16">
        <v>197.95</v>
      </c>
      <c r="J20" s="45">
        <v>1</v>
      </c>
      <c r="K20" s="19">
        <f t="shared" si="5"/>
        <v>201.68392859125962</v>
      </c>
      <c r="L20" s="16">
        <f t="shared" si="6"/>
        <v>13.942222724626101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5.8008203669673657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6.1808961636051866E+39</v>
      </c>
      <c r="F21" s="15">
        <f t="shared" si="3"/>
        <v>3.9885339728368903E+40</v>
      </c>
      <c r="G21" s="15"/>
      <c r="H21" s="18">
        <f t="shared" si="4"/>
        <v>4.6066235891974094E+40</v>
      </c>
      <c r="I21" s="16">
        <v>206.15</v>
      </c>
      <c r="J21" s="45">
        <v>1</v>
      </c>
      <c r="K21" s="19">
        <f t="shared" si="5"/>
        <v>205.14753501234603</v>
      </c>
      <c r="L21" s="16">
        <f t="shared" si="6"/>
        <v>1.0049360514720937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6.6001460080849164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6.3316799651884621E+39</v>
      </c>
      <c r="F22" s="15">
        <f t="shared" si="3"/>
        <v>4.7185805174349865E+40</v>
      </c>
      <c r="G22" s="15"/>
      <c r="H22" s="18">
        <f t="shared" si="4"/>
        <v>5.3517485139538331E+40</v>
      </c>
      <c r="I22" s="16">
        <v>214.44</v>
      </c>
      <c r="J22" s="45">
        <v>1</v>
      </c>
      <c r="K22" s="19">
        <f t="shared" si="5"/>
        <v>208.09912919940035</v>
      </c>
      <c r="L22" s="16">
        <f t="shared" si="6"/>
        <v>40.206642509897193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7.4679852755839704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6.46177994046517E+39</v>
      </c>
      <c r="F23" s="15">
        <f t="shared" si="3"/>
        <v>5.4869365300862127E+40</v>
      </c>
      <c r="G23" s="15"/>
      <c r="H23" s="18">
        <f t="shared" si="4"/>
        <v>6.13311452413273E+40</v>
      </c>
      <c r="I23" s="16">
        <v>222.1</v>
      </c>
      <c r="J23" s="45">
        <v>1</v>
      </c>
      <c r="K23" s="19">
        <f t="shared" si="5"/>
        <v>210.34879807574265</v>
      </c>
      <c r="L23" s="16">
        <f t="shared" si="6"/>
        <v>138.09074666466952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8.4271760449250319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6.5739133397890556E+39</v>
      </c>
      <c r="F24" s="15">
        <f t="shared" si="3"/>
        <v>6.2945843497130572E+40</v>
      </c>
      <c r="G24" s="15"/>
      <c r="H24" s="18">
        <f t="shared" si="4"/>
        <v>6.9519756836919629E+40</v>
      </c>
      <c r="I24" s="16">
        <v>226.74</v>
      </c>
      <c r="J24" s="45">
        <v>1</v>
      </c>
      <c r="K24" s="19">
        <f t="shared" si="5"/>
        <v>211.9000585432791</v>
      </c>
      <c r="L24" s="16">
        <f t="shared" si="6"/>
        <v>220.22386243890386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9.4777183161080973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6.6689319471621647E+39</v>
      </c>
      <c r="F25" s="15">
        <f t="shared" si="3"/>
        <v>7.1189753418438584E+40</v>
      </c>
      <c r="G25" s="15"/>
      <c r="H25" s="18">
        <f t="shared" si="4"/>
        <v>7.785868536560075E+40</v>
      </c>
      <c r="I25" s="16">
        <v>227.22</v>
      </c>
      <c r="J25" s="45">
        <v>1</v>
      </c>
      <c r="K25" s="19">
        <f t="shared" si="5"/>
        <v>212.71707975686647</v>
      </c>
      <c r="L25" s="16">
        <f t="shared" si="6"/>
        <v>210.33469557869236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10.619612089133168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6.7488266420106339E+39</v>
      </c>
      <c r="F26" s="15">
        <f t="shared" si="3"/>
        <v>7.9369453611968642E+40</v>
      </c>
      <c r="G26" s="15"/>
      <c r="H26" s="18">
        <f t="shared" si="4"/>
        <v>8.6118280253979279E+40</v>
      </c>
      <c r="I26" s="16">
        <v>224.39</v>
      </c>
      <c r="J26" s="45">
        <v>1</v>
      </c>
      <c r="K26" s="19">
        <f t="shared" si="5"/>
        <v>212.8139028073368</v>
      </c>
      <c r="L26" s="16">
        <f t="shared" si="6"/>
        <v>134.00602621398446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11.89853311492125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6.8180983460847387E+39</v>
      </c>
      <c r="F27" s="15">
        <f t="shared" si="3"/>
        <v>8.7539746400859136E+40</v>
      </c>
      <c r="G27" s="15"/>
      <c r="H27" s="18">
        <f t="shared" si="4"/>
        <v>9.4357844746943866E+40</v>
      </c>
      <c r="I27" s="16">
        <v>220.94</v>
      </c>
      <c r="J27" s="45">
        <v>1</v>
      </c>
      <c r="K27" s="19">
        <f t="shared" si="5"/>
        <v>212.2143406663784</v>
      </c>
      <c r="L27" s="16">
        <f t="shared" si="6"/>
        <v>76.137130806417616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13.291643518011838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6.8744379206814395E+39</v>
      </c>
      <c r="F28" s="15">
        <f t="shared" si="3"/>
        <v>9.5278985033239252E+40</v>
      </c>
      <c r="G28" s="15"/>
      <c r="H28" s="18">
        <f t="shared" si="4"/>
        <v>1.021534229539207E+41</v>
      </c>
      <c r="I28" s="16">
        <v>217.37</v>
      </c>
      <c r="J28" s="45">
        <v>1</v>
      </c>
      <c r="K28" s="19">
        <f t="shared" si="5"/>
        <v>210.98039310743562</v>
      </c>
      <c r="L28" s="16">
        <f t="shared" si="6"/>
        <v>40.827076241506326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14.821781173865434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6.9218503859042421E+39</v>
      </c>
      <c r="F29" s="15">
        <f t="shared" si="3"/>
        <v>1.0248153090008963E+41</v>
      </c>
      <c r="G29" s="15"/>
      <c r="H29" s="18">
        <f t="shared" si="4"/>
        <v>1.0940338128599388E+41</v>
      </c>
      <c r="I29" s="16">
        <v>215.06</v>
      </c>
      <c r="J29" s="45">
        <v>1</v>
      </c>
      <c r="K29" s="19">
        <f t="shared" si="5"/>
        <v>209.19749289783357</v>
      </c>
      <c r="L29" s="16">
        <f t="shared" si="6"/>
        <v>34.368989522951864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16.511783957942541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6.9535299192404264E+39</v>
      </c>
      <c r="F30" s="15">
        <f t="shared" si="3"/>
        <v>1.0902762206820473E+41</v>
      </c>
      <c r="G30" s="15"/>
      <c r="H30" s="18">
        <f t="shared" si="4"/>
        <v>1.1598115198744516E+41</v>
      </c>
      <c r="I30" s="16">
        <v>214.28</v>
      </c>
      <c r="J30" s="45">
        <v>1</v>
      </c>
      <c r="K30" s="19">
        <f t="shared" si="5"/>
        <v>206.95952372561925</v>
      </c>
      <c r="L30" s="16">
        <f t="shared" si="6"/>
        <v>53.589372883771496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18.384489745703661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6.9865209747200211E+39</v>
      </c>
      <c r="F31" s="15">
        <f t="shared" si="3"/>
        <v>1.14803305315173E+41</v>
      </c>
      <c r="G31" s="15"/>
      <c r="H31" s="18">
        <f t="shared" si="4"/>
        <v>1.2178982628989302E+41</v>
      </c>
      <c r="I31" s="16">
        <v>214.38</v>
      </c>
      <c r="J31" s="45">
        <v>1</v>
      </c>
      <c r="K31" s="19">
        <f t="shared" si="5"/>
        <v>204.40475491535202</v>
      </c>
      <c r="L31" s="16">
        <f t="shared" si="6"/>
        <v>99.505514498793687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20.417060661688286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7.0183045532648187E+39</v>
      </c>
      <c r="F32" s="15">
        <f t="shared" si="3"/>
        <v>1.1962842214041956E+41</v>
      </c>
      <c r="G32" s="15"/>
      <c r="H32" s="18">
        <f t="shared" si="4"/>
        <v>1.2664672669368438E+41</v>
      </c>
      <c r="I32" s="16">
        <v>215.02</v>
      </c>
      <c r="J32" s="45">
        <v>1</v>
      </c>
      <c r="K32" s="19">
        <f t="shared" si="5"/>
        <v>201.74276495278301</v>
      </c>
      <c r="L32" s="16">
        <f t="shared" si="6"/>
        <v>176.28497049904755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22.678010332277928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7.036321655158006E+39</v>
      </c>
      <c r="F33" s="15">
        <f t="shared" si="3"/>
        <v>1.2360786319788974E+41</v>
      </c>
      <c r="G33" s="15"/>
      <c r="H33" s="18">
        <f t="shared" si="4"/>
        <v>1.3064418485304774E+41</v>
      </c>
      <c r="I33" s="16">
        <v>214.89</v>
      </c>
      <c r="J33" s="45">
        <v>1</v>
      </c>
      <c r="K33" s="19">
        <f t="shared" si="5"/>
        <v>199.07292573237163</v>
      </c>
      <c r="L33" s="16">
        <f t="shared" si="6"/>
        <v>250.17983838767111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25.144500882012085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7.0555304685434025E+39</v>
      </c>
      <c r="F34" s="15">
        <f t="shared" si="3"/>
        <v>1.2669505696889545E+41</v>
      </c>
      <c r="G34" s="15"/>
      <c r="H34" s="18">
        <f t="shared" si="4"/>
        <v>1.3375058743743886E+41</v>
      </c>
      <c r="I34" s="16">
        <v>214.57</v>
      </c>
      <c r="J34" s="45">
        <v>1</v>
      </c>
      <c r="K34" s="19">
        <f t="shared" si="5"/>
        <v>196.63203302017433</v>
      </c>
      <c r="L34" s="16">
        <f t="shared" si="6"/>
        <v>321.77065936931569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27.862208061811756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7.0687953323236021E+39</v>
      </c>
      <c r="F35" s="15">
        <f t="shared" si="3"/>
        <v>1.2901019769319806E+41</v>
      </c>
      <c r="G35" s="15"/>
      <c r="H35" s="18">
        <f t="shared" si="4"/>
        <v>1.3607899302552167E+41</v>
      </c>
      <c r="I35" s="16">
        <v>212.54</v>
      </c>
      <c r="J35" s="45">
        <v>1</v>
      </c>
      <c r="K35" s="19">
        <f t="shared" si="5"/>
        <v>194.55860324600769</v>
      </c>
      <c r="L35" s="16">
        <f t="shared" si="6"/>
        <v>323.33062922448482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30.853969747137445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7.0813927460215386E+39</v>
      </c>
      <c r="F36" s="15">
        <f t="shared" si="3"/>
        <v>1.3066043550184737E+41</v>
      </c>
      <c r="G36" s="15"/>
      <c r="H36" s="18">
        <f t="shared" si="4"/>
        <v>1.377418282478689E+41</v>
      </c>
      <c r="I36" s="16">
        <v>208.55</v>
      </c>
      <c r="J36" s="45">
        <v>1</v>
      </c>
      <c r="K36" s="19">
        <f t="shared" si="5"/>
        <v>193.01296275399849</v>
      </c>
      <c r="L36" s="16">
        <f t="shared" si="6"/>
        <v>241.39952638363843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34.142623813449653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7.0897227307929337E+39</v>
      </c>
      <c r="F37" s="15">
        <f t="shared" si="3"/>
        <v>1.3177310878617487E+41</v>
      </c>
      <c r="G37" s="15"/>
      <c r="H37" s="18">
        <f t="shared" si="4"/>
        <v>1.3886283151696779E+41</v>
      </c>
      <c r="I37" s="16">
        <v>204.29</v>
      </c>
      <c r="J37" s="45">
        <v>1</v>
      </c>
      <c r="K37" s="19">
        <f t="shared" si="5"/>
        <v>192.12607075653426</v>
      </c>
      <c r="L37" s="16">
        <f t="shared" si="6"/>
        <v>147.96117464004078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37.773846011669377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7.0961179152906082E+39</v>
      </c>
      <c r="F38" s="15">
        <f t="shared" si="3"/>
        <v>1.3248270417927032E+41</v>
      </c>
      <c r="G38" s="15"/>
      <c r="H38" s="18">
        <f t="shared" si="4"/>
        <v>1.3957882209456092E+41</v>
      </c>
      <c r="I38" s="16">
        <v>197.88</v>
      </c>
      <c r="J38" s="45">
        <v>1</v>
      </c>
      <c r="K38" s="19">
        <f t="shared" si="5"/>
        <v>191.99968792469673</v>
      </c>
      <c r="L38" s="16">
        <f t="shared" si="6"/>
        <v>34.578070102957398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41.770474217257131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7.1011954804465211E+39</v>
      </c>
      <c r="F39" s="15">
        <f t="shared" si="3"/>
        <v>1.3290473531099179E+41</v>
      </c>
      <c r="G39" s="15"/>
      <c r="H39" s="18">
        <f t="shared" si="4"/>
        <v>1.4000593079143831E+41</v>
      </c>
      <c r="I39" s="16">
        <v>192.1</v>
      </c>
      <c r="J39" s="45">
        <v>1</v>
      </c>
      <c r="K39" s="19">
        <f t="shared" si="5"/>
        <v>192.70992691808488</v>
      </c>
      <c r="L39" s="16">
        <f t="shared" si="6"/>
        <v>0.37201084540452084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46.132508430212908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7.1049836385062896E+39</v>
      </c>
      <c r="F40" s="15">
        <f t="shared" si="3"/>
        <v>1.3313694807496885E+41</v>
      </c>
      <c r="G40" s="15"/>
      <c r="H40" s="18">
        <f t="shared" si="4"/>
        <v>1.4024193171347515E+41</v>
      </c>
      <c r="I40" s="16">
        <v>187.68</v>
      </c>
      <c r="J40" s="45">
        <v>1</v>
      </c>
      <c r="K40" s="19">
        <f t="shared" si="5"/>
        <v>194.28345924481241</v>
      </c>
      <c r="L40" s="16">
        <f t="shared" si="6"/>
        <v>43.605673997898336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50.97413802783921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7.1078210191211629E+39</v>
      </c>
      <c r="F41" s="15">
        <f t="shared" si="3"/>
        <v>1.3325708899993079E+41</v>
      </c>
      <c r="H41" s="18">
        <f t="shared" si="4"/>
        <v>1.4036491001905197E+41</v>
      </c>
      <c r="I41" s="16">
        <v>185.73</v>
      </c>
      <c r="J41" s="45">
        <v>1</v>
      </c>
      <c r="K41" s="19">
        <f t="shared" si="5"/>
        <v>196.76678960186254</v>
      </c>
      <c r="L41" s="16">
        <f t="shared" si="6"/>
        <v>121.81072471578133</v>
      </c>
    </row>
    <row r="42" spans="1:29" x14ac:dyDescent="0.25">
      <c r="A42" s="16">
        <v>24.64</v>
      </c>
      <c r="B42" s="45">
        <f t="shared" si="0"/>
        <v>24640</v>
      </c>
      <c r="C42" s="16">
        <f t="shared" si="1"/>
        <v>56.272525134675547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7.1099018255812462E+39</v>
      </c>
      <c r="F42" s="15">
        <f t="shared" si="3"/>
        <v>1.3331320053906112E+41</v>
      </c>
      <c r="H42" s="18">
        <f t="shared" si="4"/>
        <v>1.4042310236464238E+41</v>
      </c>
      <c r="I42" s="16">
        <v>187.45</v>
      </c>
      <c r="J42" s="45">
        <v>1</v>
      </c>
      <c r="K42" s="19">
        <f t="shared" si="5"/>
        <v>200.13018758171509</v>
      </c>
      <c r="L42" s="16">
        <f t="shared" si="6"/>
        <v>160.7871571074819</v>
      </c>
    </row>
    <row r="43" spans="1:29" x14ac:dyDescent="0.25">
      <c r="A43" s="16">
        <v>27.19</v>
      </c>
      <c r="B43" s="45">
        <f t="shared" si="0"/>
        <v>27190</v>
      </c>
      <c r="C43" s="16">
        <f t="shared" si="1"/>
        <v>62.096183377103415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7.1112460409215093E+39</v>
      </c>
      <c r="F43" s="15">
        <f t="shared" si="3"/>
        <v>1.3333721563010293E+41</v>
      </c>
      <c r="H43" s="18">
        <f t="shared" si="4"/>
        <v>1.4044846167102445E+41</v>
      </c>
      <c r="I43" s="16">
        <v>189.62</v>
      </c>
      <c r="J43" s="45">
        <v>1</v>
      </c>
      <c r="K43" s="19">
        <f t="shared" si="5"/>
        <v>204.37076483652905</v>
      </c>
      <c r="L43" s="16">
        <f t="shared" si="6"/>
        <v>217.58506326258171</v>
      </c>
    </row>
    <row r="44" spans="1:29" x14ac:dyDescent="0.25">
      <c r="A44" s="16">
        <v>30</v>
      </c>
      <c r="B44" s="45">
        <f t="shared" si="0"/>
        <v>30000</v>
      </c>
      <c r="C44" s="16">
        <f t="shared" si="1"/>
        <v>68.513626381504324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7.1121135851766293E+39</v>
      </c>
      <c r="F44" s="15">
        <f t="shared" si="3"/>
        <v>1.3334650287830212E+41</v>
      </c>
      <c r="H44" s="18">
        <f t="shared" si="4"/>
        <v>1.4045861646347876E+41</v>
      </c>
      <c r="I44" s="16">
        <v>190.36</v>
      </c>
      <c r="J44" s="45">
        <v>1</v>
      </c>
      <c r="K44" s="19">
        <f t="shared" si="5"/>
        <v>209.48399965258602</v>
      </c>
      <c r="L44" s="16">
        <f t="shared" si="6"/>
        <v>365.72736271210977</v>
      </c>
    </row>
    <row r="45" spans="1:29" x14ac:dyDescent="0.25">
      <c r="A45" s="16">
        <v>33.090000000000003</v>
      </c>
      <c r="B45" s="45">
        <f t="shared" si="0"/>
        <v>33090</v>
      </c>
      <c r="C45" s="16">
        <f t="shared" si="1"/>
        <v>75.570529898799265</v>
      </c>
      <c r="D45" s="15">
        <f t="shared" si="2"/>
        <v>1.0210507112220002E+21</v>
      </c>
      <c r="E45" s="15">
        <f>IF($C45=0,0,FORECAST($C45, OFFSET('De Vaucouleurs Deprojection'!$F$2:$F$127, MATCH($C45, 'De Vaucouleurs Deprojection'!$A$2:$A$127,1)-1,0,2), OFFSET('De Vaucouleurs Deprojection'!$A$2:$A$127, MATCH($C45, 'De Vaucouleurs Deprojection'!$A$2:$A$127,1)-1,0,2))*QESTotalBulgeMass)</f>
        <v>7.1130675751226514E+39</v>
      </c>
      <c r="F45" s="15">
        <f t="shared" si="3"/>
        <v>1.3334969840896158E+41</v>
      </c>
      <c r="H45" s="18">
        <f t="shared" si="4"/>
        <v>1.4046276598408423E+41</v>
      </c>
      <c r="I45" s="16">
        <v>189.25</v>
      </c>
      <c r="J45" s="45">
        <v>1</v>
      </c>
      <c r="K45" s="19">
        <f t="shared" si="5"/>
        <v>215.44169498870153</v>
      </c>
      <c r="L45" s="16">
        <f t="shared" si="6"/>
        <v>686.0048863811727</v>
      </c>
    </row>
    <row r="46" spans="1:29" x14ac:dyDescent="0.25">
      <c r="I46" s="45"/>
      <c r="J46" s="45"/>
      <c r="L46" s="16">
        <f>SUM(L8:L45)/(COUNT(L8:L45)-4)</f>
        <v>182.98863685568733</v>
      </c>
    </row>
    <row r="47" spans="1:29" x14ac:dyDescent="0.25">
      <c r="I47" s="45"/>
      <c r="J47" s="45"/>
      <c r="L47" s="16"/>
    </row>
    <row r="48" spans="1:29" ht="21" x14ac:dyDescent="0.35">
      <c r="A48" s="48" t="s">
        <v>564</v>
      </c>
      <c r="I48" s="45"/>
      <c r="J48" s="45"/>
      <c r="L48" s="16"/>
    </row>
    <row r="49" spans="1:29" x14ac:dyDescent="0.25">
      <c r="A49" s="16" t="s">
        <v>30</v>
      </c>
      <c r="D49" s="16">
        <v>1.07</v>
      </c>
      <c r="E49" s="17">
        <f>$D$49*1000</f>
        <v>1070</v>
      </c>
      <c r="F49" s="17"/>
      <c r="G49" s="17"/>
      <c r="H49" s="15"/>
      <c r="K49" s="15"/>
      <c r="L49" s="17"/>
      <c r="M49" s="45"/>
    </row>
    <row r="50" spans="1:29" x14ac:dyDescent="0.25">
      <c r="A50" s="16" t="s">
        <v>16</v>
      </c>
      <c r="D50" s="16">
        <v>1.45</v>
      </c>
      <c r="E50" s="15">
        <f>D50*10000000000*SolarMass</f>
        <v>2.8841949999999999E+40</v>
      </c>
      <c r="F50" s="43"/>
      <c r="G50" s="43"/>
      <c r="H50" s="15"/>
      <c r="K50" s="15"/>
      <c r="L50" s="17"/>
      <c r="M50" s="45"/>
    </row>
    <row r="51" spans="1:29" x14ac:dyDescent="0.25">
      <c r="A51" s="16" t="s">
        <v>569</v>
      </c>
      <c r="D51" s="16">
        <v>2.8</v>
      </c>
      <c r="E51" s="15">
        <f>D51*1000</f>
        <v>2800</v>
      </c>
      <c r="H51" s="15"/>
      <c r="K51" s="15"/>
      <c r="L51" s="17"/>
      <c r="M51" s="45"/>
    </row>
    <row r="52" spans="1:29" x14ac:dyDescent="0.25">
      <c r="A52" s="16" t="s">
        <v>17</v>
      </c>
      <c r="D52" s="45">
        <v>5.7</v>
      </c>
      <c r="G52" s="16"/>
      <c r="H52" s="15"/>
      <c r="K52" s="15"/>
      <c r="L52" s="17"/>
      <c r="M52" s="45"/>
    </row>
    <row r="53" spans="1:29" x14ac:dyDescent="0.25">
      <c r="A53" s="16" t="s">
        <v>570</v>
      </c>
      <c r="D53" s="16">
        <v>52.9</v>
      </c>
      <c r="E53" s="17">
        <f>D53*1000</f>
        <v>52900</v>
      </c>
      <c r="H53" s="15"/>
      <c r="K53" s="15"/>
      <c r="L53" s="17"/>
      <c r="M53" s="45"/>
    </row>
    <row r="54" spans="1:29" x14ac:dyDescent="0.25">
      <c r="A54" s="16" t="s">
        <v>571</v>
      </c>
      <c r="D54" s="16">
        <v>38.200000000000003</v>
      </c>
      <c r="G54" s="9"/>
      <c r="H54" s="15"/>
      <c r="K54" s="15"/>
      <c r="L54" s="17"/>
      <c r="M54" s="45"/>
    </row>
    <row r="55" spans="1:29" x14ac:dyDescent="0.25">
      <c r="D55" s="12"/>
      <c r="H55" s="15"/>
      <c r="K55" s="15"/>
      <c r="L55" s="17"/>
      <c r="M55" s="45"/>
    </row>
    <row r="56" spans="1:29" x14ac:dyDescent="0.25">
      <c r="A56" s="16" t="s">
        <v>567</v>
      </c>
      <c r="D56" s="17">
        <f>(D52*10000000000)/(2*PI()*DiskScaleLengthPc^2)</f>
        <v>1157.1213974793411</v>
      </c>
      <c r="H56" s="15"/>
      <c r="K56" s="15"/>
      <c r="L56" s="17"/>
      <c r="M56" s="45"/>
    </row>
    <row r="57" spans="1:29" x14ac:dyDescent="0.25">
      <c r="A57" s="16" t="s">
        <v>565</v>
      </c>
      <c r="D57" s="9">
        <f>(D54*10000000000)/(4*PI()*(LCDMHaloScaleLengthPc)^3*(LN(2)-1/2))</f>
        <v>1.063158730288996E-3</v>
      </c>
      <c r="H57" s="15"/>
      <c r="K57" s="15"/>
      <c r="L57" s="17"/>
      <c r="M57" s="45"/>
    </row>
    <row r="58" spans="1:29" x14ac:dyDescent="0.25">
      <c r="H58" s="15"/>
      <c r="K58" s="15"/>
      <c r="L58" s="17"/>
      <c r="M58" s="45"/>
    </row>
    <row r="59" spans="1:29" ht="45" x14ac:dyDescent="0.25">
      <c r="A59" s="7" t="s">
        <v>20</v>
      </c>
      <c r="B59" s="3" t="s">
        <v>19</v>
      </c>
      <c r="C59" s="7" t="s">
        <v>27</v>
      </c>
      <c r="D59" s="4" t="s">
        <v>649</v>
      </c>
      <c r="E59" s="4" t="s">
        <v>21</v>
      </c>
      <c r="F59" s="4" t="s">
        <v>22</v>
      </c>
      <c r="G59" s="4" t="s">
        <v>28</v>
      </c>
      <c r="H59" s="4" t="s">
        <v>23</v>
      </c>
      <c r="I59" s="7" t="s">
        <v>645</v>
      </c>
      <c r="J59" s="7" t="s">
        <v>646</v>
      </c>
      <c r="K59" s="25" t="s">
        <v>647</v>
      </c>
      <c r="L59" s="3" t="s">
        <v>648</v>
      </c>
      <c r="M59" s="3"/>
      <c r="N59" s="3"/>
      <c r="O59" s="3"/>
      <c r="P59" s="3"/>
      <c r="Q59" s="3"/>
      <c r="R59" s="3"/>
      <c r="S59" s="3"/>
      <c r="T59" s="3"/>
      <c r="U59" s="3"/>
      <c r="V59" s="7"/>
      <c r="W59" s="7"/>
      <c r="X59" s="3"/>
      <c r="Y59" s="3"/>
      <c r="Z59" s="3"/>
      <c r="AA59" s="3"/>
      <c r="AB59" s="3"/>
      <c r="AC59" s="3"/>
    </row>
    <row r="60" spans="1:29" x14ac:dyDescent="0.25">
      <c r="A60" s="16">
        <v>0.09</v>
      </c>
      <c r="B60" s="45">
        <f>A60*1000</f>
        <v>90</v>
      </c>
      <c r="C60" s="16">
        <f>B60/LCDMBulgeEffectiveRadius</f>
        <v>8.4112149532710276E-2</v>
      </c>
      <c r="D60" s="15">
        <f>A60*kpc</f>
        <v>2.777109822E+18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1.0207338617598132E+39</v>
      </c>
      <c r="F60" s="15">
        <f t="shared" ref="F60:F97" si="7">2*PI()*LCDMDiskSurfaceDensity*LCDMScaleLength*(LCDMScaleLength-EXP(-RadiusPc/LCDMScaleLength)*(RadiusPc+LCDMScaleLength))*SolarMass</f>
        <v>5.7329295491211353E+37</v>
      </c>
      <c r="G60" s="15">
        <f t="shared" ref="G60:G97" si="8">4*PI()*LCDMHaloRepresentativeDensity*LCDMHaloScaleLengthPc^3*(LN(1+RadiusPc/LCDMHaloScaleLengthPc)-RadiusPc/(RadiusPc+LCDMHaloScaleLengthPc))*SolarMass</f>
        <v>5.6805565394010707E+36</v>
      </c>
      <c r="H60" s="15">
        <f t="shared" ref="H60:H97" si="9">BulgeMass+DiskMass+HaloMass</f>
        <v>1.0837437137904256E+39</v>
      </c>
      <c r="I60" s="16">
        <v>119.79</v>
      </c>
      <c r="J60" s="45">
        <v>1</v>
      </c>
      <c r="K60" s="19">
        <f t="shared" ref="K60:K97" si="10">SQRT(TotalMass*GravitationalConstant/RadiusKm)/km</f>
        <v>161.38474208728206</v>
      </c>
      <c r="L60" s="16">
        <f t="shared" ref="L60:L97" si="11">(ObservedVelocity-ModelVelocity)^2/(VelocityError)^2</f>
        <v>1730.1225693075132</v>
      </c>
      <c r="M60" s="45"/>
    </row>
    <row r="61" spans="1:29" x14ac:dyDescent="0.25">
      <c r="A61" s="16">
        <v>0.19</v>
      </c>
      <c r="B61" s="45">
        <f t="shared" ref="B61:B97" si="12">A61*1000</f>
        <v>190</v>
      </c>
      <c r="C61" s="16">
        <f t="shared" ref="C61:C97" si="13">B61/LCDMBulgeEffectiveRadius</f>
        <v>0.17757009345794392</v>
      </c>
      <c r="D61" s="15">
        <f t="shared" ref="D61:D97" si="14">A61*kpc</f>
        <v>5.862787402E+18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2.5168062408999992E+39</v>
      </c>
      <c r="F61" s="15">
        <f t="shared" si="7"/>
        <v>2.4951788289672377E+38</v>
      </c>
      <c r="G61" s="15">
        <f t="shared" si="8"/>
        <v>2.5253471551205596E+37</v>
      </c>
      <c r="H61" s="15">
        <f t="shared" si="9"/>
        <v>2.7915775953479285E+39</v>
      </c>
      <c r="I61" s="16">
        <v>163.85</v>
      </c>
      <c r="J61" s="45">
        <v>1</v>
      </c>
      <c r="K61" s="19">
        <f t="shared" si="10"/>
        <v>178.26598497200951</v>
      </c>
      <c r="L61" s="16">
        <f t="shared" si="11"/>
        <v>207.82062271320407</v>
      </c>
      <c r="M61" s="45"/>
    </row>
    <row r="62" spans="1:29" x14ac:dyDescent="0.25">
      <c r="A62" s="16">
        <v>0.3</v>
      </c>
      <c r="B62" s="45">
        <f t="shared" si="12"/>
        <v>300</v>
      </c>
      <c r="C62" s="16">
        <f t="shared" si="13"/>
        <v>0.28037383177570091</v>
      </c>
      <c r="D62" s="15">
        <f t="shared" si="14"/>
        <v>9.25703274E+18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4.0985979736439246E+39</v>
      </c>
      <c r="F62" s="15">
        <f t="shared" si="7"/>
        <v>6.0610243872417848E+38</v>
      </c>
      <c r="G62" s="15">
        <f t="shared" si="8"/>
        <v>6.278521585226124E+37</v>
      </c>
      <c r="H62" s="15">
        <f t="shared" si="9"/>
        <v>4.7674856282203644E+39</v>
      </c>
      <c r="I62" s="16">
        <v>173.69</v>
      </c>
      <c r="J62" s="45">
        <v>1</v>
      </c>
      <c r="K62" s="19">
        <f t="shared" si="10"/>
        <v>185.39776760082057</v>
      </c>
      <c r="L62" s="16">
        <f t="shared" si="11"/>
        <v>137.07182219482394</v>
      </c>
      <c r="M62" s="45"/>
    </row>
    <row r="63" spans="1:29" x14ac:dyDescent="0.25">
      <c r="A63" s="16">
        <v>0.42</v>
      </c>
      <c r="B63" s="45">
        <f t="shared" si="12"/>
        <v>420</v>
      </c>
      <c r="C63" s="16">
        <f t="shared" si="13"/>
        <v>0.3925233644859813</v>
      </c>
      <c r="D63" s="15">
        <f t="shared" si="14"/>
        <v>1.2959845836E+19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5.6872012585046726E+39</v>
      </c>
      <c r="F63" s="15">
        <f t="shared" si="7"/>
        <v>1.1548558362907449E+39</v>
      </c>
      <c r="G63" s="15">
        <f t="shared" si="8"/>
        <v>1.2268968392129042E+38</v>
      </c>
      <c r="H63" s="15">
        <f t="shared" si="9"/>
        <v>6.964746778716707E+39</v>
      </c>
      <c r="I63" s="16">
        <v>172.95</v>
      </c>
      <c r="J63" s="45">
        <v>1</v>
      </c>
      <c r="K63" s="19">
        <f t="shared" si="10"/>
        <v>189.38625312544715</v>
      </c>
      <c r="L63" s="16">
        <f t="shared" si="11"/>
        <v>270.15041680377175</v>
      </c>
      <c r="M63" s="45"/>
    </row>
    <row r="64" spans="1:29" x14ac:dyDescent="0.25">
      <c r="A64" s="16">
        <v>0.56000000000000005</v>
      </c>
      <c r="B64" s="45">
        <f t="shared" si="12"/>
        <v>560</v>
      </c>
      <c r="C64" s="16">
        <f t="shared" si="13"/>
        <v>0.52336448598130836</v>
      </c>
      <c r="D64" s="15">
        <f t="shared" si="14"/>
        <v>1.7279794448000002E+19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7.3338501807196249E+39</v>
      </c>
      <c r="F64" s="15">
        <f t="shared" si="7"/>
        <v>1.9867458791969072E+39</v>
      </c>
      <c r="G64" s="15">
        <f t="shared" si="8"/>
        <v>2.1735314853373156E+38</v>
      </c>
      <c r="H64" s="15">
        <f t="shared" si="9"/>
        <v>9.537949208450263E+39</v>
      </c>
      <c r="I64" s="16">
        <v>170.55</v>
      </c>
      <c r="J64" s="45">
        <v>1</v>
      </c>
      <c r="K64" s="19">
        <f t="shared" si="10"/>
        <v>191.93488673064783</v>
      </c>
      <c r="L64" s="16">
        <f t="shared" si="11"/>
        <v>457.31338048263729</v>
      </c>
      <c r="M64" s="45"/>
    </row>
    <row r="65" spans="1:13" x14ac:dyDescent="0.25">
      <c r="A65" s="16">
        <v>0.7</v>
      </c>
      <c r="B65" s="45">
        <f t="shared" si="12"/>
        <v>700</v>
      </c>
      <c r="C65" s="16">
        <f t="shared" si="13"/>
        <v>0.65420560747663548</v>
      </c>
      <c r="D65" s="15">
        <f t="shared" si="14"/>
        <v>2.1599743059999998E+19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8.7978567806822444E+39</v>
      </c>
      <c r="F65" s="15">
        <f t="shared" si="7"/>
        <v>3.0044245704776324E+39</v>
      </c>
      <c r="G65" s="15">
        <f t="shared" si="8"/>
        <v>3.3843090871696043E+38</v>
      </c>
      <c r="H65" s="15">
        <f t="shared" si="9"/>
        <v>1.2140712259876838E+40</v>
      </c>
      <c r="I65" s="16">
        <v>167.3</v>
      </c>
      <c r="J65" s="45">
        <v>1</v>
      </c>
      <c r="K65" s="19">
        <f t="shared" si="10"/>
        <v>193.6838880633716</v>
      </c>
      <c r="L65" s="16">
        <f t="shared" si="11"/>
        <v>696.10954934052165</v>
      </c>
      <c r="M65" s="45"/>
    </row>
    <row r="66" spans="1:13" x14ac:dyDescent="0.25">
      <c r="A66" s="16">
        <v>0.86</v>
      </c>
      <c r="B66" s="45">
        <f t="shared" si="12"/>
        <v>860</v>
      </c>
      <c r="C66" s="16">
        <f t="shared" si="13"/>
        <v>0.80373831775700932</v>
      </c>
      <c r="D66" s="15">
        <f t="shared" si="14"/>
        <v>2.6536827187999998E+19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1.0290263267112147E+40</v>
      </c>
      <c r="F66" s="15">
        <f t="shared" si="7"/>
        <v>4.3692674051203417E+39</v>
      </c>
      <c r="G66" s="15">
        <f t="shared" si="8"/>
        <v>5.0879493104532141E+38</v>
      </c>
      <c r="H66" s="15">
        <f t="shared" si="9"/>
        <v>1.516832560327781E+40</v>
      </c>
      <c r="I66" s="16">
        <v>165.62</v>
      </c>
      <c r="J66" s="45">
        <v>1</v>
      </c>
      <c r="K66" s="19">
        <f t="shared" si="10"/>
        <v>195.31699199272231</v>
      </c>
      <c r="L66" s="16">
        <f t="shared" si="11"/>
        <v>881.91133341581258</v>
      </c>
      <c r="M66" s="45"/>
    </row>
    <row r="67" spans="1:13" x14ac:dyDescent="0.25">
      <c r="A67" s="16">
        <v>1.04</v>
      </c>
      <c r="B67" s="45">
        <f t="shared" si="12"/>
        <v>1040</v>
      </c>
      <c r="C67" s="16">
        <f t="shared" si="13"/>
        <v>0.9719626168224299</v>
      </c>
      <c r="D67" s="15">
        <f t="shared" si="14"/>
        <v>3.2091046832E+19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1.1747870727887851E+40</v>
      </c>
      <c r="F67" s="15">
        <f t="shared" si="7"/>
        <v>6.1291973015235206E+39</v>
      </c>
      <c r="G67" s="15">
        <f t="shared" si="8"/>
        <v>7.4075416753476425E+38</v>
      </c>
      <c r="H67" s="15">
        <f t="shared" si="9"/>
        <v>1.8617822196946136E+40</v>
      </c>
      <c r="I67" s="16">
        <v>165.01</v>
      </c>
      <c r="J67" s="45">
        <v>1</v>
      </c>
      <c r="K67" s="19">
        <f t="shared" si="10"/>
        <v>196.7742206974448</v>
      </c>
      <c r="L67" s="16">
        <f t="shared" si="11"/>
        <v>1008.9657165159814</v>
      </c>
      <c r="M67" s="45"/>
    </row>
    <row r="68" spans="1:13" x14ac:dyDescent="0.25">
      <c r="A68" s="16">
        <v>1.23</v>
      </c>
      <c r="B68" s="45">
        <f t="shared" si="12"/>
        <v>1230</v>
      </c>
      <c r="C68" s="16">
        <f t="shared" si="13"/>
        <v>1.1495327102803738</v>
      </c>
      <c r="D68" s="15">
        <f t="shared" si="14"/>
        <v>3.7953834233999999E+19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1.3097843804976635E+40</v>
      </c>
      <c r="F68" s="15">
        <f t="shared" si="7"/>
        <v>8.2069437595823619E+39</v>
      </c>
      <c r="G68" s="15">
        <f t="shared" si="8"/>
        <v>1.0312831697929161E+39</v>
      </c>
      <c r="H68" s="15">
        <f t="shared" si="9"/>
        <v>2.2336070734351915E+40</v>
      </c>
      <c r="I68" s="16">
        <v>169.89</v>
      </c>
      <c r="J68" s="45">
        <v>1</v>
      </c>
      <c r="K68" s="19">
        <f t="shared" si="10"/>
        <v>198.18522038967748</v>
      </c>
      <c r="L68" s="16">
        <f t="shared" si="11"/>
        <v>800.61949690042115</v>
      </c>
      <c r="M68" s="45"/>
    </row>
    <row r="69" spans="1:13" x14ac:dyDescent="0.25">
      <c r="A69" s="16">
        <v>1.45</v>
      </c>
      <c r="B69" s="45">
        <f t="shared" si="12"/>
        <v>1450</v>
      </c>
      <c r="C69" s="16">
        <f t="shared" si="13"/>
        <v>1.3551401869158879</v>
      </c>
      <c r="D69" s="15">
        <f t="shared" si="14"/>
        <v>4.4742324909999997E+19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1.4459364444102799E+40</v>
      </c>
      <c r="F69" s="15">
        <f t="shared" si="7"/>
        <v>1.0846595326689304E+40</v>
      </c>
      <c r="G69" s="15">
        <f t="shared" si="8"/>
        <v>1.4254438579776001E+39</v>
      </c>
      <c r="H69" s="15">
        <f t="shared" si="9"/>
        <v>2.6731403628769706E+40</v>
      </c>
      <c r="I69" s="16">
        <v>173.99</v>
      </c>
      <c r="J69" s="45">
        <v>1</v>
      </c>
      <c r="K69" s="19">
        <f t="shared" si="10"/>
        <v>199.68585961592288</v>
      </c>
      <c r="L69" s="16">
        <f t="shared" si="11"/>
        <v>660.27720140121585</v>
      </c>
      <c r="M69" s="45"/>
    </row>
    <row r="70" spans="1:13" x14ac:dyDescent="0.25">
      <c r="A70" s="16">
        <v>1.68</v>
      </c>
      <c r="B70" s="45">
        <f t="shared" si="12"/>
        <v>1680</v>
      </c>
      <c r="C70" s="16">
        <f t="shared" si="13"/>
        <v>1.5700934579439252</v>
      </c>
      <c r="D70" s="15">
        <f t="shared" si="14"/>
        <v>5.1839383344E+19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1.5693382100154208E+40</v>
      </c>
      <c r="F70" s="15">
        <f t="shared" si="7"/>
        <v>1.3821020247657941E+40</v>
      </c>
      <c r="G70" s="15">
        <f t="shared" si="8"/>
        <v>1.9027486354283859E+39</v>
      </c>
      <c r="H70" s="15">
        <f t="shared" si="9"/>
        <v>3.1417150983240533E+40</v>
      </c>
      <c r="I70" s="16">
        <v>181.96</v>
      </c>
      <c r="J70" s="45">
        <v>1</v>
      </c>
      <c r="K70" s="19">
        <f t="shared" si="10"/>
        <v>201.1171889869855</v>
      </c>
      <c r="L70" s="16">
        <f t="shared" si="11"/>
        <v>366.99788988307807</v>
      </c>
      <c r="M70" s="45"/>
    </row>
    <row r="71" spans="1:13" x14ac:dyDescent="0.25">
      <c r="A71" s="16">
        <v>1.94</v>
      </c>
      <c r="B71" s="45">
        <f t="shared" si="12"/>
        <v>1940</v>
      </c>
      <c r="C71" s="16">
        <f t="shared" si="13"/>
        <v>1.8130841121495327</v>
      </c>
      <c r="D71" s="15">
        <f t="shared" si="14"/>
        <v>5.9862145052000002E+19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1.690029910524299E+40</v>
      </c>
      <c r="F71" s="15">
        <f t="shared" si="7"/>
        <v>1.7383890851886189E+40</v>
      </c>
      <c r="G71" s="15">
        <f t="shared" si="8"/>
        <v>2.521196561703622E+39</v>
      </c>
      <c r="H71" s="15">
        <f t="shared" si="9"/>
        <v>3.6805386518832797E+40</v>
      </c>
      <c r="I71" s="16">
        <v>189.66</v>
      </c>
      <c r="J71" s="45">
        <v>1</v>
      </c>
      <c r="K71" s="19">
        <f t="shared" si="10"/>
        <v>202.57006060808533</v>
      </c>
      <c r="L71" s="16">
        <f t="shared" si="11"/>
        <v>166.66966490443659</v>
      </c>
      <c r="M71" s="45"/>
    </row>
    <row r="72" spans="1:13" x14ac:dyDescent="0.25">
      <c r="A72" s="16">
        <v>2.23</v>
      </c>
      <c r="B72" s="45">
        <f t="shared" si="12"/>
        <v>2230</v>
      </c>
      <c r="C72" s="16">
        <f t="shared" si="13"/>
        <v>2.0841121495327104</v>
      </c>
      <c r="D72" s="15">
        <f t="shared" si="14"/>
        <v>6.8810610034000003E+19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1.8054149617841122E+40</v>
      </c>
      <c r="F72" s="15">
        <f t="shared" si="7"/>
        <v>2.1533409322301116E+40</v>
      </c>
      <c r="G72" s="15">
        <f t="shared" si="8"/>
        <v>3.307874778272015E+39</v>
      </c>
      <c r="H72" s="15">
        <f t="shared" si="9"/>
        <v>4.2895433718414254E+40</v>
      </c>
      <c r="I72" s="16">
        <v>197.95</v>
      </c>
      <c r="J72" s="45">
        <v>1</v>
      </c>
      <c r="K72" s="19">
        <f t="shared" si="10"/>
        <v>203.97339838409926</v>
      </c>
      <c r="L72" s="16">
        <f t="shared" si="11"/>
        <v>36.281328093569655</v>
      </c>
      <c r="M72" s="45"/>
    </row>
    <row r="73" spans="1:13" x14ac:dyDescent="0.25">
      <c r="A73" s="16">
        <v>2.54</v>
      </c>
      <c r="B73" s="45">
        <f t="shared" si="12"/>
        <v>2540</v>
      </c>
      <c r="C73" s="16">
        <f t="shared" si="13"/>
        <v>2.3738317757009346</v>
      </c>
      <c r="D73" s="15">
        <f t="shared" si="14"/>
        <v>7.8376210532000006E+19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1.9109357965929905E+40</v>
      </c>
      <c r="F73" s="15">
        <f t="shared" si="7"/>
        <v>2.6092103120739538E+40</v>
      </c>
      <c r="G73" s="15">
        <f t="shared" si="8"/>
        <v>4.2593943211622706E+39</v>
      </c>
      <c r="H73" s="15">
        <f t="shared" si="9"/>
        <v>4.9460855407831713E+40</v>
      </c>
      <c r="I73" s="16">
        <v>206.15</v>
      </c>
      <c r="J73" s="45">
        <v>1</v>
      </c>
      <c r="K73" s="19">
        <f t="shared" si="10"/>
        <v>205.22694710676069</v>
      </c>
      <c r="L73" s="16">
        <f t="shared" si="11"/>
        <v>0.85202664371747139</v>
      </c>
      <c r="M73" s="45"/>
    </row>
    <row r="74" spans="1:13" x14ac:dyDescent="0.25">
      <c r="A74" s="16">
        <v>2.89</v>
      </c>
      <c r="B74" s="45">
        <f t="shared" si="12"/>
        <v>2890</v>
      </c>
      <c r="C74" s="16">
        <f t="shared" si="13"/>
        <v>2.7009345794392523</v>
      </c>
      <c r="D74" s="15">
        <f t="shared" si="14"/>
        <v>8.9176082061999997E+19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2.0126214607046728E+40</v>
      </c>
      <c r="F74" s="15">
        <f t="shared" si="7"/>
        <v>3.1299755923253724E+40</v>
      </c>
      <c r="G74" s="15">
        <f t="shared" si="8"/>
        <v>5.4678512485791555E+39</v>
      </c>
      <c r="H74" s="15">
        <f t="shared" si="9"/>
        <v>5.6893821778879612E+40</v>
      </c>
      <c r="I74" s="16">
        <v>214.44</v>
      </c>
      <c r="J74" s="45">
        <v>1</v>
      </c>
      <c r="K74" s="19">
        <f t="shared" si="10"/>
        <v>206.34980564312809</v>
      </c>
      <c r="L74" s="16">
        <f t="shared" si="11"/>
        <v>65.451244731962007</v>
      </c>
      <c r="M74" s="45"/>
    </row>
    <row r="75" spans="1:13" x14ac:dyDescent="0.25">
      <c r="A75" s="16">
        <v>3.27</v>
      </c>
      <c r="B75" s="45">
        <f t="shared" si="12"/>
        <v>3270</v>
      </c>
      <c r="C75" s="16">
        <f t="shared" si="13"/>
        <v>3.05607476635514</v>
      </c>
      <c r="D75" s="15">
        <f t="shared" si="14"/>
        <v>1.0090165686599999E+20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2.1059119609588785E+40</v>
      </c>
      <c r="F75" s="15">
        <f t="shared" si="7"/>
        <v>3.6930331760324664E+40</v>
      </c>
      <c r="G75" s="15">
        <f t="shared" si="8"/>
        <v>6.9369280836857088E+39</v>
      </c>
      <c r="H75" s="15">
        <f t="shared" si="9"/>
        <v>6.4926379453599161E+40</v>
      </c>
      <c r="I75" s="16">
        <v>222.1</v>
      </c>
      <c r="J75" s="45">
        <v>1</v>
      </c>
      <c r="K75" s="19">
        <f t="shared" si="10"/>
        <v>207.23215728113797</v>
      </c>
      <c r="L75" s="16">
        <f t="shared" si="11"/>
        <v>221.05274711281845</v>
      </c>
      <c r="M75" s="45"/>
    </row>
    <row r="76" spans="1:13" x14ac:dyDescent="0.25">
      <c r="A76" s="16">
        <v>3.69</v>
      </c>
      <c r="B76" s="45">
        <f t="shared" si="12"/>
        <v>3690</v>
      </c>
      <c r="C76" s="16">
        <f t="shared" si="13"/>
        <v>3.4485981308411215</v>
      </c>
      <c r="D76" s="15">
        <f t="shared" si="14"/>
        <v>1.13861502702E+20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2.1930443005616822E+40</v>
      </c>
      <c r="F76" s="15">
        <f t="shared" si="7"/>
        <v>4.3026115991365672E+40</v>
      </c>
      <c r="G76" s="15">
        <f t="shared" si="8"/>
        <v>8.7455631292994347E+39</v>
      </c>
      <c r="H76" s="15">
        <f t="shared" si="9"/>
        <v>7.3702122126281933E+40</v>
      </c>
      <c r="I76" s="16">
        <v>226.74</v>
      </c>
      <c r="J76" s="45">
        <v>1</v>
      </c>
      <c r="K76" s="19">
        <f t="shared" si="10"/>
        <v>207.84866761368855</v>
      </c>
      <c r="L76" s="16">
        <f t="shared" si="11"/>
        <v>356.88243933010028</v>
      </c>
      <c r="M76" s="45"/>
    </row>
    <row r="77" spans="1:13" x14ac:dyDescent="0.25">
      <c r="A77" s="16">
        <v>4.1500000000000004</v>
      </c>
      <c r="B77" s="45">
        <f t="shared" si="12"/>
        <v>4150</v>
      </c>
      <c r="C77" s="16">
        <f t="shared" si="13"/>
        <v>3.8785046728971961</v>
      </c>
      <c r="D77" s="15">
        <f t="shared" si="14"/>
        <v>1.2805561957E+20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2.2731914972457945E+40</v>
      </c>
      <c r="F77" s="15">
        <f t="shared" si="7"/>
        <v>4.9453546129855486E+40</v>
      </c>
      <c r="G77" s="15">
        <f t="shared" si="8"/>
        <v>1.0942468717841757E+40</v>
      </c>
      <c r="H77" s="15">
        <f t="shared" si="9"/>
        <v>8.3127929820155188E+40</v>
      </c>
      <c r="I77" s="16">
        <v>227.22</v>
      </c>
      <c r="J77" s="45">
        <v>1</v>
      </c>
      <c r="K77" s="19">
        <f t="shared" si="10"/>
        <v>208.14686098089427</v>
      </c>
      <c r="L77" s="16">
        <f t="shared" si="11"/>
        <v>363.7846320421333</v>
      </c>
      <c r="M77" s="45"/>
    </row>
    <row r="78" spans="1:13" x14ac:dyDescent="0.25">
      <c r="A78" s="16">
        <v>4.6500000000000004</v>
      </c>
      <c r="B78" s="45">
        <f t="shared" si="12"/>
        <v>4650</v>
      </c>
      <c r="C78" s="16">
        <f t="shared" si="13"/>
        <v>4.3457943925233646</v>
      </c>
      <c r="D78" s="15">
        <f t="shared" si="14"/>
        <v>1.4348400747000001E+20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2.3459842662308407E+40</v>
      </c>
      <c r="F78" s="15">
        <f t="shared" si="7"/>
        <v>5.6060748035700845E+40</v>
      </c>
      <c r="G78" s="15">
        <f t="shared" si="8"/>
        <v>1.3578081052981401E+40</v>
      </c>
      <c r="H78" s="15">
        <f t="shared" si="9"/>
        <v>9.3098671750990646E+40</v>
      </c>
      <c r="I78" s="16">
        <v>224.39</v>
      </c>
      <c r="J78" s="45">
        <v>1</v>
      </c>
      <c r="K78" s="19">
        <f t="shared" si="10"/>
        <v>208.09694165340139</v>
      </c>
      <c r="L78" s="16">
        <f t="shared" si="11"/>
        <v>265.46375028566626</v>
      </c>
      <c r="M78" s="45"/>
    </row>
    <row r="79" spans="1:13" x14ac:dyDescent="0.25">
      <c r="A79" s="16">
        <v>5.21</v>
      </c>
      <c r="B79" s="45">
        <f t="shared" si="12"/>
        <v>5210</v>
      </c>
      <c r="C79" s="16">
        <f t="shared" si="13"/>
        <v>4.8691588785046731</v>
      </c>
      <c r="D79" s="15">
        <f t="shared" si="14"/>
        <v>1.6076380191800001E+20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2.4137898038242988E+40</v>
      </c>
      <c r="F79" s="15">
        <f t="shared" si="7"/>
        <v>6.2923258454669526E+40</v>
      </c>
      <c r="G79" s="15">
        <f t="shared" si="8"/>
        <v>1.6825144127734357E+40</v>
      </c>
      <c r="H79" s="15">
        <f t="shared" si="9"/>
        <v>1.0388630062064687E+41</v>
      </c>
      <c r="I79" s="16">
        <v>220.94</v>
      </c>
      <c r="J79" s="45">
        <v>1</v>
      </c>
      <c r="K79" s="19">
        <f t="shared" si="10"/>
        <v>207.67332224976545</v>
      </c>
      <c r="L79" s="16">
        <f t="shared" si="11"/>
        <v>176.00473852856845</v>
      </c>
      <c r="M79" s="45"/>
    </row>
    <row r="80" spans="1:13" x14ac:dyDescent="0.25">
      <c r="A80" s="16">
        <v>5.82</v>
      </c>
      <c r="B80" s="45">
        <f t="shared" si="12"/>
        <v>5820</v>
      </c>
      <c r="C80" s="16">
        <f t="shared" si="13"/>
        <v>5.4392523364485985</v>
      </c>
      <c r="D80" s="15">
        <f t="shared" si="14"/>
        <v>1.7958643515600001E+20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2.4709313673439248E+40</v>
      </c>
      <c r="F80" s="15">
        <f t="shared" si="7"/>
        <v>6.9710166659004078E+40</v>
      </c>
      <c r="G80" s="15">
        <f t="shared" si="8"/>
        <v>2.070295322434372E+40</v>
      </c>
      <c r="H80" s="15">
        <f t="shared" si="9"/>
        <v>1.1512243355678704E+41</v>
      </c>
      <c r="I80" s="16">
        <v>217.37</v>
      </c>
      <c r="J80" s="45">
        <v>1</v>
      </c>
      <c r="K80" s="19">
        <f t="shared" si="10"/>
        <v>206.84209123759425</v>
      </c>
      <c r="L80" s="16">
        <f t="shared" si="11"/>
        <v>110.83686290953995</v>
      </c>
      <c r="M80" s="45"/>
    </row>
    <row r="81" spans="1:13" x14ac:dyDescent="0.25">
      <c r="A81" s="16">
        <v>6.49</v>
      </c>
      <c r="B81" s="45">
        <f t="shared" si="12"/>
        <v>6490</v>
      </c>
      <c r="C81" s="16">
        <f t="shared" si="13"/>
        <v>6.0654205607476639</v>
      </c>
      <c r="D81" s="15">
        <f t="shared" si="14"/>
        <v>2.0026047494200001E+20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2.5291786287971965E+40</v>
      </c>
      <c r="F81" s="15">
        <f t="shared" si="7"/>
        <v>7.6331397734254468E+40</v>
      </c>
      <c r="G81" s="15">
        <f t="shared" si="8"/>
        <v>2.5353946305849342E+40</v>
      </c>
      <c r="H81" s="15">
        <f t="shared" si="9"/>
        <v>1.2697713032807579E+41</v>
      </c>
      <c r="I81" s="16">
        <v>215.06</v>
      </c>
      <c r="J81" s="45">
        <v>1</v>
      </c>
      <c r="K81" s="19">
        <f t="shared" si="10"/>
        <v>205.7125733763603</v>
      </c>
      <c r="L81" s="16">
        <f t="shared" si="11"/>
        <v>87.374384484328388</v>
      </c>
      <c r="M81" s="45"/>
    </row>
    <row r="82" spans="1:13" x14ac:dyDescent="0.25">
      <c r="A82" s="16">
        <v>7.23</v>
      </c>
      <c r="B82" s="45">
        <f t="shared" si="12"/>
        <v>7230</v>
      </c>
      <c r="C82" s="16">
        <f t="shared" si="13"/>
        <v>6.7570093457943923</v>
      </c>
      <c r="D82" s="15">
        <f t="shared" si="14"/>
        <v>2.2309448903400001E+20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2.5776492778532708E+40</v>
      </c>
      <c r="F82" s="15">
        <f t="shared" si="7"/>
        <v>8.2669819784094308E+40</v>
      </c>
      <c r="G82" s="15">
        <f t="shared" si="8"/>
        <v>3.0944904135228275E+40</v>
      </c>
      <c r="H82" s="15">
        <f t="shared" si="9"/>
        <v>1.3939121669785529E+41</v>
      </c>
      <c r="I82" s="16">
        <v>214.28</v>
      </c>
      <c r="J82" s="45">
        <v>1</v>
      </c>
      <c r="K82" s="19">
        <f t="shared" si="10"/>
        <v>204.20622989637357</v>
      </c>
      <c r="L82" s="16">
        <f t="shared" si="11"/>
        <v>101.48084410071765</v>
      </c>
      <c r="M82" s="45"/>
    </row>
    <row r="83" spans="1:13" x14ac:dyDescent="0.25">
      <c r="A83" s="16">
        <v>8.0500000000000007</v>
      </c>
      <c r="B83" s="45">
        <f t="shared" si="12"/>
        <v>8050.0000000000009</v>
      </c>
      <c r="C83" s="16">
        <f t="shared" si="13"/>
        <v>7.5233644859813094</v>
      </c>
      <c r="D83" s="15">
        <f t="shared" si="14"/>
        <v>2.4839704519000002E+20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2.6223181805280372E+40</v>
      </c>
      <c r="F83" s="15">
        <f t="shared" si="7"/>
        <v>8.8592694345666927E+40</v>
      </c>
      <c r="G83" s="15">
        <f t="shared" si="8"/>
        <v>3.7667990098595027E+40</v>
      </c>
      <c r="H83" s="15">
        <f t="shared" si="9"/>
        <v>1.5248386624954233E+41</v>
      </c>
      <c r="I83" s="16">
        <v>214.38</v>
      </c>
      <c r="J83" s="45">
        <v>1</v>
      </c>
      <c r="K83" s="19">
        <f t="shared" si="10"/>
        <v>202.41115305014111</v>
      </c>
      <c r="L83" s="16">
        <f t="shared" si="11"/>
        <v>143.25329730914635</v>
      </c>
      <c r="M83" s="45"/>
    </row>
    <row r="84" spans="1:13" x14ac:dyDescent="0.25">
      <c r="A84" s="16">
        <v>8.94</v>
      </c>
      <c r="B84" s="45">
        <f t="shared" si="12"/>
        <v>8940</v>
      </c>
      <c r="C84" s="16">
        <f t="shared" si="13"/>
        <v>8.3551401869158877</v>
      </c>
      <c r="D84" s="15">
        <f t="shared" si="14"/>
        <v>2.7585957565199997E+20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2.6619214124892523E+40</v>
      </c>
      <c r="F84" s="15">
        <f t="shared" si="7"/>
        <v>9.3862228578076419E+40</v>
      </c>
      <c r="G84" s="15">
        <f t="shared" si="8"/>
        <v>4.5557170027157793E+40</v>
      </c>
      <c r="H84" s="15">
        <f t="shared" si="9"/>
        <v>1.6603861273012673E+41</v>
      </c>
      <c r="I84" s="16">
        <v>215.02</v>
      </c>
      <c r="J84" s="45">
        <v>1</v>
      </c>
      <c r="K84" s="19">
        <f t="shared" si="10"/>
        <v>200.42699733853638</v>
      </c>
      <c r="L84" s="16">
        <f t="shared" si="11"/>
        <v>212.95572667748456</v>
      </c>
      <c r="M84" s="45"/>
    </row>
    <row r="85" spans="1:13" x14ac:dyDescent="0.25">
      <c r="A85" s="16">
        <v>9.93</v>
      </c>
      <c r="B85" s="45">
        <f t="shared" si="12"/>
        <v>9930</v>
      </c>
      <c r="C85" s="16">
        <f t="shared" si="13"/>
        <v>9.2803738317757016</v>
      </c>
      <c r="D85" s="15">
        <f t="shared" si="14"/>
        <v>3.06407783694E+20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2.6970711239093455E+40</v>
      </c>
      <c r="F85" s="15">
        <f t="shared" si="7"/>
        <v>9.8519087430317027E+40</v>
      </c>
      <c r="G85" s="15">
        <f t="shared" si="8"/>
        <v>5.5011952135139226E+40</v>
      </c>
      <c r="H85" s="15">
        <f t="shared" si="9"/>
        <v>1.805017508045497E+41</v>
      </c>
      <c r="I85" s="16">
        <v>214.89</v>
      </c>
      <c r="J85" s="45">
        <v>1</v>
      </c>
      <c r="K85" s="19">
        <f t="shared" si="10"/>
        <v>198.28347280275173</v>
      </c>
      <c r="L85" s="16">
        <f t="shared" si="11"/>
        <v>275.77674555294595</v>
      </c>
      <c r="M85" s="45"/>
    </row>
    <row r="86" spans="1:13" x14ac:dyDescent="0.25">
      <c r="A86" s="16">
        <v>11.01</v>
      </c>
      <c r="B86" s="45">
        <f t="shared" si="12"/>
        <v>11010</v>
      </c>
      <c r="C86" s="16">
        <f t="shared" si="13"/>
        <v>10.289719626168225</v>
      </c>
      <c r="D86" s="15">
        <f t="shared" si="14"/>
        <v>3.3973310155799999E+20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2.7273799700953269E+40</v>
      </c>
      <c r="F86" s="15">
        <f t="shared" si="7"/>
        <v>1.0241747290954553E+41</v>
      </c>
      <c r="G86" s="15">
        <f t="shared" si="8"/>
        <v>6.608682881421163E+40</v>
      </c>
      <c r="H86" s="15">
        <f t="shared" si="9"/>
        <v>1.9577810142471045E+41</v>
      </c>
      <c r="I86" s="16">
        <v>214.57</v>
      </c>
      <c r="J86" s="45">
        <v>1</v>
      </c>
      <c r="K86" s="19">
        <f t="shared" si="10"/>
        <v>196.11410411858552</v>
      </c>
      <c r="L86" s="16">
        <f t="shared" si="11"/>
        <v>340.62009278561186</v>
      </c>
      <c r="M86" s="45"/>
    </row>
    <row r="87" spans="1:13" x14ac:dyDescent="0.25">
      <c r="A87" s="16">
        <v>12.2</v>
      </c>
      <c r="B87" s="45">
        <f t="shared" si="12"/>
        <v>12200</v>
      </c>
      <c r="C87" s="16">
        <f t="shared" si="13"/>
        <v>11.401869158878505</v>
      </c>
      <c r="D87" s="15">
        <f t="shared" si="14"/>
        <v>3.7645266475999999E+20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2.753648517322897E+40</v>
      </c>
      <c r="F87" s="15">
        <f t="shared" si="7"/>
        <v>1.0559508043480898E+41</v>
      </c>
      <c r="G87" s="15">
        <f t="shared" si="8"/>
        <v>7.9140628879840189E+40</v>
      </c>
      <c r="H87" s="15">
        <f t="shared" si="9"/>
        <v>2.1227219448787814E+41</v>
      </c>
      <c r="I87" s="16">
        <v>212.54</v>
      </c>
      <c r="J87" s="45">
        <v>1</v>
      </c>
      <c r="K87" s="19">
        <f t="shared" si="10"/>
        <v>193.99345196921288</v>
      </c>
      <c r="L87" s="16">
        <f t="shared" si="11"/>
        <v>343.97444385829311</v>
      </c>
      <c r="M87" s="45"/>
    </row>
    <row r="88" spans="1:13" x14ac:dyDescent="0.25">
      <c r="A88" s="16">
        <v>13.51</v>
      </c>
      <c r="B88" s="45">
        <f t="shared" si="12"/>
        <v>13510</v>
      </c>
      <c r="C88" s="16">
        <f t="shared" si="13"/>
        <v>12.626168224299066</v>
      </c>
      <c r="D88" s="15">
        <f t="shared" si="14"/>
        <v>4.1687504105800001E+20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2.7763889123677571E+40</v>
      </c>
      <c r="F88" s="15">
        <f t="shared" si="7"/>
        <v>1.0807771558274622E+41</v>
      </c>
      <c r="G88" s="15">
        <f t="shared" si="8"/>
        <v>9.4459033458590652E+40</v>
      </c>
      <c r="H88" s="15">
        <f t="shared" si="9"/>
        <v>2.3030063816501444E+41</v>
      </c>
      <c r="I88" s="16">
        <v>208.55</v>
      </c>
      <c r="J88" s="45">
        <v>1</v>
      </c>
      <c r="K88" s="19">
        <f t="shared" si="10"/>
        <v>192.01728631459105</v>
      </c>
      <c r="L88" s="16">
        <f t="shared" si="11"/>
        <v>273.33062180370888</v>
      </c>
      <c r="M88" s="45"/>
    </row>
    <row r="89" spans="1:13" x14ac:dyDescent="0.25">
      <c r="A89" s="16">
        <v>14.95</v>
      </c>
      <c r="B89" s="45">
        <f t="shared" si="12"/>
        <v>14950</v>
      </c>
      <c r="C89" s="16">
        <f t="shared" si="13"/>
        <v>13.971962616822429</v>
      </c>
      <c r="D89" s="15">
        <f t="shared" si="14"/>
        <v>4.6130879820999996E+20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2.7960704434070092E+40</v>
      </c>
      <c r="F89" s="15">
        <f t="shared" si="7"/>
        <v>1.0992925300318185E+41</v>
      </c>
      <c r="G89" s="15">
        <f t="shared" si="8"/>
        <v>1.1234278029812053E+41</v>
      </c>
      <c r="H89" s="15">
        <f t="shared" si="9"/>
        <v>2.5023273773537248E+41</v>
      </c>
      <c r="I89" s="16">
        <v>204.29</v>
      </c>
      <c r="J89" s="45">
        <v>1</v>
      </c>
      <c r="K89" s="19">
        <f t="shared" si="10"/>
        <v>190.27069255139543</v>
      </c>
      <c r="L89" s="16">
        <f t="shared" si="11"/>
        <v>196.54098133849942</v>
      </c>
      <c r="M89" s="45"/>
    </row>
    <row r="90" spans="1:13" x14ac:dyDescent="0.25">
      <c r="A90" s="16">
        <v>16.54</v>
      </c>
      <c r="B90" s="45">
        <f t="shared" si="12"/>
        <v>16540</v>
      </c>
      <c r="C90" s="16">
        <f t="shared" si="13"/>
        <v>15.457943925233645</v>
      </c>
      <c r="D90" s="15">
        <f t="shared" si="14"/>
        <v>5.1037107173199997E+20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2.8112071839586915E+40</v>
      </c>
      <c r="F90" s="15">
        <f t="shared" si="7"/>
        <v>1.1124864722019703E+41</v>
      </c>
      <c r="G90" s="15">
        <f t="shared" si="8"/>
        <v>1.3323778569183473E+41</v>
      </c>
      <c r="H90" s="15">
        <f t="shared" si="9"/>
        <v>2.7259850475161867E+41</v>
      </c>
      <c r="I90" s="16">
        <v>197.88</v>
      </c>
      <c r="J90" s="45">
        <v>1</v>
      </c>
      <c r="K90" s="19">
        <f t="shared" si="10"/>
        <v>188.80540097993989</v>
      </c>
      <c r="L90" s="16">
        <f t="shared" si="11"/>
        <v>82.348347374875829</v>
      </c>
      <c r="M90" s="45"/>
    </row>
    <row r="91" spans="1:13" x14ac:dyDescent="0.25">
      <c r="A91" s="16">
        <v>18.29</v>
      </c>
      <c r="B91" s="45">
        <f t="shared" si="12"/>
        <v>18290</v>
      </c>
      <c r="C91" s="16">
        <f t="shared" si="13"/>
        <v>17.093457943925234</v>
      </c>
      <c r="D91" s="15">
        <f t="shared" si="14"/>
        <v>5.6437042938199998E+20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2.8228868259540187E+40</v>
      </c>
      <c r="F91" s="15">
        <f t="shared" si="7"/>
        <v>1.1213539859736616E+41</v>
      </c>
      <c r="G91" s="15">
        <f t="shared" si="8"/>
        <v>1.5748061824059065E+41</v>
      </c>
      <c r="H91" s="15">
        <f t="shared" si="9"/>
        <v>2.9784488509749698E+41</v>
      </c>
      <c r="I91" s="16">
        <v>192.1</v>
      </c>
      <c r="J91" s="45">
        <v>1</v>
      </c>
      <c r="K91" s="19">
        <f t="shared" si="10"/>
        <v>187.67596256129471</v>
      </c>
      <c r="L91" s="16">
        <f t="shared" si="11"/>
        <v>19.572107259066009</v>
      </c>
      <c r="M91" s="45"/>
    </row>
    <row r="92" spans="1:13" x14ac:dyDescent="0.25">
      <c r="A92" s="16">
        <v>20.2</v>
      </c>
      <c r="B92" s="45">
        <f t="shared" si="12"/>
        <v>20200</v>
      </c>
      <c r="C92" s="16">
        <f t="shared" si="13"/>
        <v>18.878504672897197</v>
      </c>
      <c r="D92" s="15">
        <f t="shared" si="14"/>
        <v>6.2330687115999995E+20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2.8356343209317761E+40</v>
      </c>
      <c r="F92" s="15">
        <f t="shared" si="7"/>
        <v>1.1269324838951554E+41</v>
      </c>
      <c r="G92" s="15">
        <f t="shared" si="8"/>
        <v>1.8525576018429978E+41</v>
      </c>
      <c r="H92" s="15">
        <f t="shared" si="9"/>
        <v>3.2630535178313308E+41</v>
      </c>
      <c r="I92" s="16">
        <v>187.68</v>
      </c>
      <c r="J92" s="45">
        <v>1</v>
      </c>
      <c r="K92" s="19">
        <f t="shared" si="10"/>
        <v>186.92046175585097</v>
      </c>
      <c r="L92" s="16">
        <f t="shared" si="11"/>
        <v>0.57689834432500897</v>
      </c>
      <c r="M92" s="45"/>
    </row>
    <row r="93" spans="1:13" x14ac:dyDescent="0.25">
      <c r="A93" s="16">
        <v>22.32</v>
      </c>
      <c r="B93" s="45">
        <f t="shared" si="12"/>
        <v>22320</v>
      </c>
      <c r="C93" s="16">
        <f t="shared" si="13"/>
        <v>20.859813084112151</v>
      </c>
      <c r="D93" s="15">
        <f t="shared" si="14"/>
        <v>6.8872323585599996E+20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2.8464206711299063E+40</v>
      </c>
      <c r="F93" s="15">
        <f t="shared" si="7"/>
        <v>1.1302758803017851E+41</v>
      </c>
      <c r="G93" s="15">
        <f t="shared" si="8"/>
        <v>2.1748674907470115E+41</v>
      </c>
      <c r="H93" s="15">
        <f t="shared" si="9"/>
        <v>3.5897854381617873E+41</v>
      </c>
      <c r="I93" s="16">
        <v>185.73</v>
      </c>
      <c r="J93" s="45">
        <v>1</v>
      </c>
      <c r="K93" s="19">
        <f t="shared" si="10"/>
        <v>186.51234487645681</v>
      </c>
      <c r="L93" s="16">
        <f t="shared" si="11"/>
        <v>0.61206350571823442</v>
      </c>
      <c r="M93" s="45"/>
    </row>
    <row r="94" spans="1:13" x14ac:dyDescent="0.25">
      <c r="A94" s="16">
        <v>24.64</v>
      </c>
      <c r="B94" s="45">
        <f t="shared" si="12"/>
        <v>24640</v>
      </c>
      <c r="C94" s="16">
        <f t="shared" si="13"/>
        <v>23.028037383177569</v>
      </c>
      <c r="D94" s="15">
        <f t="shared" si="14"/>
        <v>7.6031095571200003E+20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2.8534246826140185E+40</v>
      </c>
      <c r="F94" s="15">
        <f t="shared" si="7"/>
        <v>1.13211218783007E+41</v>
      </c>
      <c r="G94" s="15">
        <f t="shared" si="8"/>
        <v>2.5421001173470291E+41</v>
      </c>
      <c r="H94" s="15">
        <f t="shared" si="9"/>
        <v>3.9595547734385005E+41</v>
      </c>
      <c r="I94" s="16">
        <v>187.45</v>
      </c>
      <c r="J94" s="45">
        <v>1</v>
      </c>
      <c r="K94" s="19">
        <f t="shared" si="10"/>
        <v>186.43320141873576</v>
      </c>
      <c r="L94" s="16">
        <f t="shared" si="11"/>
        <v>1.0338793548609422</v>
      </c>
      <c r="M94" s="45"/>
    </row>
    <row r="95" spans="1:13" x14ac:dyDescent="0.25">
      <c r="A95" s="16">
        <v>27.19</v>
      </c>
      <c r="B95" s="45">
        <f t="shared" si="12"/>
        <v>27190</v>
      </c>
      <c r="C95" s="16">
        <f t="shared" si="13"/>
        <v>25.411214953271028</v>
      </c>
      <c r="D95" s="15">
        <f t="shared" si="14"/>
        <v>8.3899573400200007E+20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2.8606083228409343E+40</v>
      </c>
      <c r="F95" s="15">
        <f t="shared" si="7"/>
        <v>1.1330507246211434E+41</v>
      </c>
      <c r="G95" s="15">
        <f t="shared" si="8"/>
        <v>2.9604969611870882E+41</v>
      </c>
      <c r="H95" s="15">
        <f t="shared" si="9"/>
        <v>4.379608518092325E+41</v>
      </c>
      <c r="I95" s="16">
        <v>189.62</v>
      </c>
      <c r="J95" s="45">
        <v>1</v>
      </c>
      <c r="K95" s="19">
        <f t="shared" si="10"/>
        <v>186.65235492616841</v>
      </c>
      <c r="L95" s="16">
        <f t="shared" si="11"/>
        <v>8.8069172842369081</v>
      </c>
      <c r="M95" s="45"/>
    </row>
    <row r="96" spans="1:13" x14ac:dyDescent="0.25">
      <c r="A96" s="16">
        <v>30</v>
      </c>
      <c r="B96" s="45">
        <f t="shared" si="12"/>
        <v>30000</v>
      </c>
      <c r="C96" s="16">
        <f t="shared" si="13"/>
        <v>28.037383177570092</v>
      </c>
      <c r="D96" s="15">
        <f t="shared" si="14"/>
        <v>9.2570327399999996E+20</v>
      </c>
      <c r="E96" s="15">
        <f>FORECAST($C96, OFFSET('De Vaucouleurs Deprojection'!$F$3:$F$126, MATCH($C96, 'De Vaucouleurs Deprojection'!$A$3:$A$126,1)-1,0,2), OFFSET('De Vaucouleurs Deprojection'!$A$3:$A$126, MATCH($C96, 'De Vaucouleurs Deprojection'!$A$3:$A$126,1)-1,0,2))*LCDMTotalBulgeMass</f>
        <v>2.8658043483864485E+40</v>
      </c>
      <c r="F96" s="15">
        <f t="shared" si="7"/>
        <v>1.1334918164698891E+41</v>
      </c>
      <c r="G96" s="15">
        <f t="shared" si="8"/>
        <v>3.4363248152428439E+41</v>
      </c>
      <c r="H96" s="15">
        <f t="shared" si="9"/>
        <v>4.8563970665513781E+41</v>
      </c>
      <c r="I96" s="16">
        <v>190.36</v>
      </c>
      <c r="J96" s="45">
        <v>1</v>
      </c>
      <c r="K96" s="19">
        <f t="shared" si="10"/>
        <v>187.1185736162663</v>
      </c>
      <c r="L96" s="16">
        <f t="shared" si="11"/>
        <v>10.506845001164999</v>
      </c>
      <c r="M96" s="45"/>
    </row>
    <row r="97" spans="1:29" x14ac:dyDescent="0.25">
      <c r="A97" s="16">
        <v>33.090000000000003</v>
      </c>
      <c r="B97" s="45">
        <f t="shared" si="12"/>
        <v>33090</v>
      </c>
      <c r="C97" s="16">
        <f t="shared" si="13"/>
        <v>30.925233644859812</v>
      </c>
      <c r="D97" s="15">
        <f t="shared" si="14"/>
        <v>1.0210507112220002E+21</v>
      </c>
      <c r="E97" s="15">
        <f>FORECAST($C97, OFFSET('De Vaucouleurs Deprojection'!$F$3:$F$126, MATCH($C97, 'De Vaucouleurs Deprojection'!$A$3:$A$126,1)-1,0,2), OFFSET('De Vaucouleurs Deprojection'!$A$3:$A$126, MATCH($C97, 'De Vaucouleurs Deprojection'!$A$3:$A$126,1)-1,0,2))*LCDMTotalBulgeMass</f>
        <v>2.8706375044638314E+40</v>
      </c>
      <c r="F97" s="15">
        <f t="shared" si="7"/>
        <v>1.1336798686062525E+41</v>
      </c>
      <c r="G97" s="15">
        <f t="shared" si="8"/>
        <v>3.9739239968870276E+41</v>
      </c>
      <c r="H97" s="15">
        <f t="shared" si="9"/>
        <v>5.3946676159396635E+41</v>
      </c>
      <c r="I97" s="16">
        <v>189.25</v>
      </c>
      <c r="J97" s="45">
        <v>1</v>
      </c>
      <c r="K97" s="19">
        <f t="shared" si="10"/>
        <v>187.78218740717278</v>
      </c>
      <c r="L97" s="16">
        <f t="shared" si="11"/>
        <v>2.1544738076621521</v>
      </c>
      <c r="M97" s="45"/>
    </row>
    <row r="98" spans="1:29" x14ac:dyDescent="0.25">
      <c r="H98" s="15"/>
      <c r="K98" s="45"/>
      <c r="L98" s="16">
        <f>SUM(L60:L97)/(COUNT(L60:L97)-6)</f>
        <v>346.29869073075446</v>
      </c>
      <c r="M98" s="45"/>
    </row>
    <row r="99" spans="1:29" x14ac:dyDescent="0.25">
      <c r="H99" s="15"/>
      <c r="K99" s="45"/>
      <c r="L99" s="17"/>
      <c r="M99" s="45"/>
    </row>
    <row r="100" spans="1:29" x14ac:dyDescent="0.25">
      <c r="I100" s="45"/>
      <c r="J100" s="45"/>
      <c r="L100" s="16"/>
    </row>
    <row r="101" spans="1:29" x14ac:dyDescent="0.25">
      <c r="I101" s="45"/>
      <c r="J101" s="45"/>
      <c r="L101" s="16"/>
    </row>
    <row r="102" spans="1:29" x14ac:dyDescent="0.25">
      <c r="I102" s="45"/>
      <c r="J102" s="45"/>
      <c r="L102" s="16"/>
    </row>
    <row r="103" spans="1:29" x14ac:dyDescent="0.25">
      <c r="I103" s="45"/>
      <c r="J103" s="45"/>
      <c r="L103" s="16"/>
    </row>
    <row r="104" spans="1:29" x14ac:dyDescent="0.25">
      <c r="I104" s="45"/>
      <c r="J104" s="45"/>
      <c r="L104" s="16"/>
    </row>
    <row r="105" spans="1:29" x14ac:dyDescent="0.25">
      <c r="I105" s="45"/>
      <c r="J105" s="45"/>
      <c r="L105" s="16"/>
    </row>
    <row r="106" spans="1:29" x14ac:dyDescent="0.25">
      <c r="I106" s="45"/>
      <c r="J106" s="45"/>
      <c r="L106" s="16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45"/>
      <c r="J145" s="4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45"/>
      <c r="J146" s="4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s="17" customFormat="1" x14ac:dyDescent="0.25">
      <c r="A551" s="16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16"/>
      <c r="W551" s="16"/>
      <c r="X551" s="45"/>
      <c r="Y551" s="45"/>
      <c r="Z551" s="45"/>
      <c r="AA551" s="45"/>
      <c r="AB551" s="45"/>
      <c r="AC551" s="45"/>
    </row>
    <row r="552" spans="1:29" s="17" customFormat="1" x14ac:dyDescent="0.25">
      <c r="A552" s="16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16"/>
      <c r="W552" s="16"/>
      <c r="X552" s="45"/>
      <c r="Y552" s="45"/>
      <c r="Z552" s="45"/>
      <c r="AA552" s="45"/>
      <c r="AB552" s="45"/>
      <c r="AC552" s="45"/>
    </row>
    <row r="553" spans="1:29" s="17" customFormat="1" x14ac:dyDescent="0.25">
      <c r="A553" s="16"/>
      <c r="B553" s="45"/>
      <c r="C553" s="16"/>
      <c r="D553" s="15"/>
      <c r="E553" s="15"/>
      <c r="F553" s="15"/>
      <c r="G553" s="15"/>
      <c r="H553" s="18"/>
      <c r="I553" s="15"/>
      <c r="J553" s="15"/>
      <c r="K553" s="19"/>
      <c r="L553" s="16"/>
      <c r="N553" s="45"/>
      <c r="O553" s="45"/>
      <c r="P553" s="45"/>
      <c r="Q553" s="45"/>
      <c r="R553" s="45"/>
      <c r="S553" s="45"/>
      <c r="T553" s="45"/>
      <c r="U553" s="45"/>
      <c r="V553" s="16"/>
      <c r="W553" s="16"/>
      <c r="X553" s="45"/>
      <c r="Y553" s="45"/>
      <c r="Z553" s="45"/>
      <c r="AA553" s="45"/>
      <c r="AB553" s="45"/>
      <c r="AC553" s="45"/>
    </row>
    <row r="554" spans="1:29" s="17" customFormat="1" x14ac:dyDescent="0.25">
      <c r="A554" s="16"/>
      <c r="B554" s="45"/>
      <c r="C554" s="16"/>
      <c r="D554" s="15"/>
      <c r="E554" s="15"/>
      <c r="F554" s="15"/>
      <c r="G554" s="15"/>
      <c r="H554" s="18"/>
      <c r="I554" s="15"/>
      <c r="J554" s="15"/>
      <c r="K554" s="19"/>
      <c r="L554" s="16"/>
      <c r="N554" s="45"/>
      <c r="O554" s="45"/>
      <c r="P554" s="45"/>
      <c r="Q554" s="45"/>
      <c r="R554" s="45"/>
      <c r="S554" s="45"/>
      <c r="T554" s="45"/>
      <c r="U554" s="45"/>
      <c r="V554" s="16"/>
      <c r="W554" s="16"/>
      <c r="X554" s="45"/>
      <c r="Y554" s="45"/>
      <c r="Z554" s="45"/>
      <c r="AA554" s="45"/>
      <c r="AB554" s="45"/>
      <c r="AC554" s="45"/>
    </row>
    <row r="555" spans="1:29" x14ac:dyDescent="0.25">
      <c r="L555" s="16"/>
    </row>
    <row r="556" spans="1:29" x14ac:dyDescent="0.25">
      <c r="L556" s="16"/>
      <c r="N556" s="17"/>
      <c r="O556" s="38"/>
    </row>
    <row r="557" spans="1:29" x14ac:dyDescent="0.25">
      <c r="L557" s="16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C549"/>
  <sheetViews>
    <sheetView zoomScaleNormal="100" workbookViewId="0">
      <selection activeCell="N7" sqref="N7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4713.4679568421698</v>
      </c>
      <c r="E2" s="55"/>
      <c r="F2" s="53" t="s">
        <v>620</v>
      </c>
      <c r="G2" s="53">
        <v>45289588381</v>
      </c>
      <c r="H2" s="62"/>
      <c r="K2" s="51" t="s">
        <v>1</v>
      </c>
      <c r="L2" s="60" t="s">
        <v>575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1.7296760396376401E+41</v>
      </c>
      <c r="E3" s="53"/>
      <c r="F3" s="53" t="s">
        <v>621</v>
      </c>
      <c r="G3" s="53">
        <f>H41/SolarMass</f>
        <v>197474541822.51511</v>
      </c>
      <c r="H3" s="62"/>
      <c r="K3" s="51" t="s">
        <v>562</v>
      </c>
      <c r="L3" s="57">
        <v>1.9403E-2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4042.3884143156702</v>
      </c>
      <c r="E4" s="55"/>
      <c r="F4" s="53" t="s">
        <v>622</v>
      </c>
      <c r="G4" s="52">
        <f>G3/G2</f>
        <v>4.3602635590603009</v>
      </c>
      <c r="H4" s="62"/>
      <c r="K4" s="61" t="s">
        <v>614</v>
      </c>
      <c r="L4" s="52">
        <f>QEHModelChiSquare</f>
        <v>380.9188814667192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1251.9267117591501</v>
      </c>
      <c r="F5" s="53"/>
      <c r="G5" s="52"/>
      <c r="H5" s="62"/>
      <c r="K5" s="61" t="s">
        <v>615</v>
      </c>
      <c r="L5" s="52">
        <f>LCDMModelChiSquare</f>
        <v>670.77014338099332</v>
      </c>
      <c r="M5" s="55"/>
    </row>
    <row r="6" spans="1:13" ht="20.100000000000001" customHeight="1" x14ac:dyDescent="0.25">
      <c r="A6" s="45"/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1" si="0">RadiusKpc*1000</f>
        <v>90</v>
      </c>
      <c r="C8" s="16">
        <f t="shared" ref="C8:C41" si="1">IF(QESBulgeEffectiveRadius=0,0,RadiusPc/QESBulgeEffectiveRadius)</f>
        <v>1.9094221245177682E-2</v>
      </c>
      <c r="D8" s="15">
        <f t="shared" ref="D8:D41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7.3873075216731757E+38</v>
      </c>
      <c r="F8" s="15">
        <f t="shared" ref="F8:F41" si="3">2*PI()*QESDiskSurfaceDensity*QESDiskScaleLength*(QESDiskScaleLength-EXP(-RadiusPc/QESDiskScaleLength)*(RadiusPc+QESDiskScaleLength))*SolarMass</f>
        <v>6.2435313024417208E+37</v>
      </c>
      <c r="H8" s="18">
        <f t="shared" ref="H8:H41" si="4">BulgeMass+DiskMass+HaloMass</f>
        <v>8.0116606519173484E+38</v>
      </c>
      <c r="I8" s="45">
        <v>98.4</v>
      </c>
      <c r="J8" s="45">
        <v>1</v>
      </c>
      <c r="K8" s="19">
        <f t="shared" ref="K8:K41" si="5">SQRT(TotalMass*GravitationalConstant/RadiusKm+UniverseAcceleration*RadiusKm)/km</f>
        <v>139.12320983227414</v>
      </c>
      <c r="L8" s="16">
        <f t="shared" ref="L8:L41" si="6">(ObservedVelocity-ModelVelocity)^2/(VelocityError)^2</f>
        <v>1658.3798190434288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4.031002262870844E-2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2.2433316679055904E+39</v>
      </c>
      <c r="F9" s="15">
        <f t="shared" si="3"/>
        <v>2.7372272561789381E+38</v>
      </c>
      <c r="H9" s="18">
        <f t="shared" si="4"/>
        <v>2.5170543935234842E+39</v>
      </c>
      <c r="I9" s="45">
        <v>162.31</v>
      </c>
      <c r="J9" s="45">
        <v>1</v>
      </c>
      <c r="K9" s="19">
        <f t="shared" si="5"/>
        <v>169.90420091389203</v>
      </c>
      <c r="L9" s="16">
        <f t="shared" si="6"/>
        <v>57.671887520558457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6.3647404150592279E-2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4.2384333389705434E+39</v>
      </c>
      <c r="F10" s="15">
        <f t="shared" si="3"/>
        <v>6.7020481320647124E+38</v>
      </c>
      <c r="H10" s="18">
        <f t="shared" si="4"/>
        <v>4.9086381521770148E+39</v>
      </c>
      <c r="I10" s="45">
        <v>211.66</v>
      </c>
      <c r="J10" s="45">
        <v>1</v>
      </c>
      <c r="K10" s="19">
        <f t="shared" si="5"/>
        <v>189.01738991588277</v>
      </c>
      <c r="L10" s="16">
        <f t="shared" si="6"/>
        <v>512.68779142136691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8.9106365810829188E-2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6.5912682448505868E+39</v>
      </c>
      <c r="F11" s="15">
        <f t="shared" si="3"/>
        <v>1.2880507317293352E+39</v>
      </c>
      <c r="H11" s="18">
        <f t="shared" si="4"/>
        <v>7.879318976579922E+39</v>
      </c>
      <c r="I11" s="45">
        <v>236.8</v>
      </c>
      <c r="J11" s="45">
        <v>1</v>
      </c>
      <c r="K11" s="19">
        <f t="shared" si="5"/>
        <v>202.60707225185084</v>
      </c>
      <c r="L11" s="16">
        <f t="shared" si="6"/>
        <v>1169.1563079901498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0.11880848774777224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9.4383306109460554E+39</v>
      </c>
      <c r="F12" s="15">
        <f t="shared" si="3"/>
        <v>2.2381297904276431E+39</v>
      </c>
      <c r="H12" s="18">
        <f t="shared" si="4"/>
        <v>1.1676460401373699E+40</v>
      </c>
      <c r="I12" s="45">
        <v>242.5</v>
      </c>
      <c r="J12" s="45">
        <v>1</v>
      </c>
      <c r="K12" s="19">
        <f t="shared" si="5"/>
        <v>213.84300369845852</v>
      </c>
      <c r="L12" s="16">
        <f t="shared" si="6"/>
        <v>821.22343702656224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0.1485106096847153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1.2296838317316047E+40</v>
      </c>
      <c r="F13" s="15">
        <f t="shared" si="3"/>
        <v>3.41829535026375E+39</v>
      </c>
      <c r="H13" s="18">
        <f t="shared" si="4"/>
        <v>1.5715133667579796E+40</v>
      </c>
      <c r="I13" s="45">
        <v>240.26</v>
      </c>
      <c r="J13" s="45">
        <v>1</v>
      </c>
      <c r="K13" s="19">
        <f t="shared" si="5"/>
        <v>222.13885791469707</v>
      </c>
      <c r="L13" s="16">
        <f t="shared" si="6"/>
        <v>328.37579047573672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0.18245589189836453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1.556370426745318E+40</v>
      </c>
      <c r="F14" s="15">
        <f t="shared" si="3"/>
        <v>5.0273285346635001E+39</v>
      </c>
      <c r="H14" s="18">
        <f t="shared" si="4"/>
        <v>2.0591032802116678E+40</v>
      </c>
      <c r="I14" s="45">
        <v>235.43</v>
      </c>
      <c r="J14" s="45">
        <v>1</v>
      </c>
      <c r="K14" s="19">
        <f t="shared" si="5"/>
        <v>229.6838502510254</v>
      </c>
      <c r="L14" s="16">
        <f t="shared" si="6"/>
        <v>33.018236937640886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0.22064433438871989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1.9134232574435303E+40</v>
      </c>
      <c r="F15" s="15">
        <f t="shared" si="3"/>
        <v>7.1412000076308217E+39</v>
      </c>
      <c r="H15" s="18">
        <f t="shared" si="4"/>
        <v>2.6275432582066126E+40</v>
      </c>
      <c r="I15" s="45">
        <v>229.65</v>
      </c>
      <c r="J15" s="45">
        <v>1</v>
      </c>
      <c r="K15" s="19">
        <f t="shared" si="5"/>
        <v>236.25434190646953</v>
      </c>
      <c r="L15" s="16">
        <f t="shared" si="6"/>
        <v>43.617332017549565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0.26095435701742831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2.2809207232389036E+40</v>
      </c>
      <c r="F16" s="15">
        <f t="shared" si="3"/>
        <v>9.6879195923358215E+39</v>
      </c>
      <c r="H16" s="18">
        <f t="shared" si="4"/>
        <v>3.2497126824724859E+40</v>
      </c>
      <c r="I16" s="45">
        <v>220.27</v>
      </c>
      <c r="J16" s="45">
        <v>1</v>
      </c>
      <c r="K16" s="19">
        <f t="shared" si="5"/>
        <v>241.92841286542634</v>
      </c>
      <c r="L16" s="16">
        <f t="shared" si="6"/>
        <v>469.0868478492647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0.30762912006119597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2.7006933287758242E+40</v>
      </c>
      <c r="F17" s="15">
        <f t="shared" si="3"/>
        <v>1.2997019868770401E+40</v>
      </c>
      <c r="H17" s="18">
        <f t="shared" si="4"/>
        <v>4.0003953156528643E+40</v>
      </c>
      <c r="I17" s="45">
        <v>212.82</v>
      </c>
      <c r="J17" s="45">
        <v>1</v>
      </c>
      <c r="K17" s="19">
        <f t="shared" si="5"/>
        <v>247.59703578475674</v>
      </c>
      <c r="L17" s="16">
        <f t="shared" si="6"/>
        <v>1209.4422179742514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0.35642546324331675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3.1087763490681049E+40</v>
      </c>
      <c r="F18" s="15">
        <f t="shared" si="3"/>
        <v>1.6818903603740496E+40</v>
      </c>
      <c r="H18" s="18">
        <f t="shared" si="4"/>
        <v>4.790666709442154E+40</v>
      </c>
      <c r="I18" s="45">
        <v>211.31</v>
      </c>
      <c r="J18" s="45">
        <v>1</v>
      </c>
      <c r="K18" s="19">
        <f t="shared" si="5"/>
        <v>252.12693960973596</v>
      </c>
      <c r="L18" s="16">
        <f t="shared" si="6"/>
        <v>1666.0225591048318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0.41158654684049673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3.5615300941614426E+40</v>
      </c>
      <c r="F19" s="15">
        <f t="shared" si="3"/>
        <v>2.1521634463455854E+40</v>
      </c>
      <c r="H19" s="18">
        <f t="shared" si="4"/>
        <v>5.7136935405070279E+40</v>
      </c>
      <c r="I19" s="45">
        <v>227.75</v>
      </c>
      <c r="J19" s="45">
        <v>1</v>
      </c>
      <c r="K19" s="19">
        <f t="shared" si="5"/>
        <v>256.68148334627568</v>
      </c>
      <c r="L19" s="16">
        <f t="shared" si="6"/>
        <v>837.03072861582723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0.47311237085273589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4.0306283240072476E+40</v>
      </c>
      <c r="F20" s="15">
        <f t="shared" si="3"/>
        <v>2.7166441617939873E+40</v>
      </c>
      <c r="G20" s="15"/>
      <c r="H20" s="18">
        <f t="shared" si="4"/>
        <v>6.7472724858012349E+40</v>
      </c>
      <c r="I20" s="45">
        <v>260.74</v>
      </c>
      <c r="J20" s="45">
        <v>1</v>
      </c>
      <c r="K20" s="19">
        <f t="shared" si="5"/>
        <v>260.67684393170032</v>
      </c>
      <c r="L20" s="16">
        <f t="shared" si="6"/>
        <v>3.9886889630751784E-3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0.53888135514168123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4.5061188266377815E+40</v>
      </c>
      <c r="F21" s="15">
        <f t="shared" si="3"/>
        <v>3.3575264419478296E+40</v>
      </c>
      <c r="G21" s="15"/>
      <c r="H21" s="18">
        <f t="shared" si="4"/>
        <v>7.8636452685856106E+40</v>
      </c>
      <c r="I21" s="45">
        <v>283.49</v>
      </c>
      <c r="J21" s="45">
        <v>1</v>
      </c>
      <c r="K21" s="19">
        <f t="shared" si="5"/>
        <v>264.23566604443948</v>
      </c>
      <c r="L21" s="16">
        <f t="shared" si="6"/>
        <v>370.72937607225106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0.61313665998403888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5.0148785156110354E+40</v>
      </c>
      <c r="F22" s="15">
        <f t="shared" si="3"/>
        <v>4.1166255402349442E+40</v>
      </c>
      <c r="G22" s="15"/>
      <c r="H22" s="18">
        <f t="shared" si="4"/>
        <v>9.13150405584598E+40</v>
      </c>
      <c r="I22" s="45">
        <v>291.60000000000002</v>
      </c>
      <c r="J22" s="45">
        <v>1</v>
      </c>
      <c r="K22" s="19">
        <f t="shared" si="5"/>
        <v>267.56969185381399</v>
      </c>
      <c r="L22" s="16">
        <f t="shared" si="6"/>
        <v>577.4557096006547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0.69375670524145583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5.5277629654840649E+40</v>
      </c>
      <c r="F23" s="15">
        <f t="shared" si="3"/>
        <v>4.9708845123825365E+40</v>
      </c>
      <c r="G23" s="15"/>
      <c r="H23" s="18">
        <f t="shared" si="4"/>
        <v>1.04986474778666E+41</v>
      </c>
      <c r="I23" s="45">
        <v>293.05</v>
      </c>
      <c r="J23" s="45">
        <v>1</v>
      </c>
      <c r="K23" s="19">
        <f t="shared" si="5"/>
        <v>270.41112140391766</v>
      </c>
      <c r="L23" s="16">
        <f t="shared" si="6"/>
        <v>512.5188240881555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0.78286307105228492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6.0510640665405747E+40</v>
      </c>
      <c r="F24" s="15">
        <f t="shared" si="3"/>
        <v>5.9371824632267201E+40</v>
      </c>
      <c r="G24" s="15"/>
      <c r="H24" s="18">
        <f t="shared" si="4"/>
        <v>1.1988246529767295E+41</v>
      </c>
      <c r="I24" s="45">
        <v>290.73</v>
      </c>
      <c r="J24" s="45">
        <v>1</v>
      </c>
      <c r="K24" s="19">
        <f t="shared" si="5"/>
        <v>272.80418929544294</v>
      </c>
      <c r="L24" s="16">
        <f t="shared" si="6"/>
        <v>321.33468941561318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0.88045575741652649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6.583312333682719E+40</v>
      </c>
      <c r="F25" s="15">
        <f t="shared" si="3"/>
        <v>7.0063960745432243E+40</v>
      </c>
      <c r="G25" s="15"/>
      <c r="H25" s="18">
        <f t="shared" si="4"/>
        <v>1.3589708408225943E+41</v>
      </c>
      <c r="I25" s="45">
        <v>287.06</v>
      </c>
      <c r="J25" s="45">
        <v>1</v>
      </c>
      <c r="K25" s="19">
        <f t="shared" si="5"/>
        <v>274.76782679699136</v>
      </c>
      <c r="L25" s="16">
        <f t="shared" si="6"/>
        <v>151.09752205276379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0.98653476433418019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7.1175852571470744E+40</v>
      </c>
      <c r="F26" s="15">
        <f t="shared" si="3"/>
        <v>8.1648839681382083E+40</v>
      </c>
      <c r="G26" s="15"/>
      <c r="H26" s="18">
        <f t="shared" si="4"/>
        <v>1.5282469225285284E+41</v>
      </c>
      <c r="I26" s="45">
        <v>283.01</v>
      </c>
      <c r="J26" s="45">
        <v>1</v>
      </c>
      <c r="K26" s="19">
        <f t="shared" si="5"/>
        <v>276.25690818409265</v>
      </c>
      <c r="L26" s="16">
        <f t="shared" si="6"/>
        <v>45.604249074074687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1.1053432520819524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7.6664023932790409E+40</v>
      </c>
      <c r="F27" s="15">
        <f t="shared" si="3"/>
        <v>9.4400675909186022E+40</v>
      </c>
      <c r="G27" s="15"/>
      <c r="H27" s="18">
        <f t="shared" si="4"/>
        <v>1.7106469984197644E+41</v>
      </c>
      <c r="I27" s="45">
        <v>279.06</v>
      </c>
      <c r="J27" s="45">
        <v>1</v>
      </c>
      <c r="K27" s="19">
        <f t="shared" si="5"/>
        <v>277.27177602039779</v>
      </c>
      <c r="L27" s="16">
        <f t="shared" si="6"/>
        <v>3.1977450012243569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1.23475964052149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8.2081315934703645E+40</v>
      </c>
      <c r="F28" s="15">
        <f t="shared" si="3"/>
        <v>1.0784669700901448E+41</v>
      </c>
      <c r="G28" s="15"/>
      <c r="H28" s="18">
        <f t="shared" si="4"/>
        <v>1.8992801294371813E+41</v>
      </c>
      <c r="I28" s="45">
        <v>277.02</v>
      </c>
      <c r="J28" s="45">
        <v>1</v>
      </c>
      <c r="K28" s="19">
        <f t="shared" si="5"/>
        <v>277.72816101040951</v>
      </c>
      <c r="L28" s="16">
        <f t="shared" si="6"/>
        <v>0.50149201666424104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1.3769055097911462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8.7520424541373655E+40</v>
      </c>
      <c r="F29" s="15">
        <f t="shared" si="3"/>
        <v>1.2191685354329143E+41</v>
      </c>
      <c r="G29" s="15"/>
      <c r="H29" s="18">
        <f t="shared" si="4"/>
        <v>2.0943727808466509E+41</v>
      </c>
      <c r="I29" s="45">
        <v>277.38</v>
      </c>
      <c r="J29" s="45">
        <v>1</v>
      </c>
      <c r="K29" s="19">
        <f t="shared" si="5"/>
        <v>277.67225929673549</v>
      </c>
      <c r="L29" s="16">
        <f t="shared" si="6"/>
        <v>8.5415496528325793E-2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1.5339024400292738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9.29395562716871E+40</v>
      </c>
      <c r="F30" s="15">
        <f t="shared" si="3"/>
        <v>1.3646667564568602E+41</v>
      </c>
      <c r="G30" s="15"/>
      <c r="H30" s="18">
        <f t="shared" si="4"/>
        <v>2.2940623191737312E+41</v>
      </c>
      <c r="I30" s="45">
        <v>276.77</v>
      </c>
      <c r="J30" s="45">
        <v>1</v>
      </c>
      <c r="K30" s="19">
        <f t="shared" si="5"/>
        <v>277.06392125767371</v>
      </c>
      <c r="L30" s="16">
        <f t="shared" si="6"/>
        <v>8.6389705712507453E-2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1.7078720113742263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9.8358787716956505E+40</v>
      </c>
      <c r="F31" s="15">
        <f t="shared" si="3"/>
        <v>1.5127392916104095E+41</v>
      </c>
      <c r="G31" s="15"/>
      <c r="H31" s="18">
        <f t="shared" si="4"/>
        <v>2.4963271687799745E+41</v>
      </c>
      <c r="I31" s="45">
        <v>274.64</v>
      </c>
      <c r="J31" s="45">
        <v>1</v>
      </c>
      <c r="K31" s="19">
        <f t="shared" si="5"/>
        <v>275.91827479550568</v>
      </c>
      <c r="L31" s="16">
        <f t="shared" si="6"/>
        <v>1.6339864528251258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1.8966926436876497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1.036099681803447E+41</v>
      </c>
      <c r="F32" s="15">
        <f t="shared" si="3"/>
        <v>1.6573995770323915E+41</v>
      </c>
      <c r="G32" s="15"/>
      <c r="H32" s="18">
        <f t="shared" si="4"/>
        <v>2.6934992588358384E+41</v>
      </c>
      <c r="I32" s="45">
        <v>272.58</v>
      </c>
      <c r="J32" s="45">
        <v>1</v>
      </c>
      <c r="K32" s="19">
        <f t="shared" si="5"/>
        <v>274.27251199578683</v>
      </c>
      <c r="L32" s="16">
        <f t="shared" si="6"/>
        <v>2.8645968558823678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2.1067290773846041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1.0880796032875783E+41</v>
      </c>
      <c r="F33" s="15">
        <f t="shared" si="3"/>
        <v>1.7990757613570278E+41</v>
      </c>
      <c r="G33" s="15"/>
      <c r="H33" s="18">
        <f t="shared" si="4"/>
        <v>2.8871553646446059E+41</v>
      </c>
      <c r="I33" s="45">
        <v>271.02</v>
      </c>
      <c r="J33" s="45">
        <v>1</v>
      </c>
      <c r="K33" s="19">
        <f t="shared" si="5"/>
        <v>272.14085481307148</v>
      </c>
      <c r="L33" s="16">
        <f t="shared" si="6"/>
        <v>1.256315511985554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2.3358597323267363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1.1382344308874381E+41</v>
      </c>
      <c r="F34" s="15">
        <f t="shared" si="3"/>
        <v>1.9318866426593108E+41</v>
      </c>
      <c r="G34" s="15"/>
      <c r="H34" s="18">
        <f t="shared" si="4"/>
        <v>3.0701210735467489E+41</v>
      </c>
      <c r="I34" s="45">
        <v>269.62</v>
      </c>
      <c r="J34" s="45">
        <v>1</v>
      </c>
      <c r="K34" s="19">
        <f t="shared" si="5"/>
        <v>269.6321576096376</v>
      </c>
      <c r="L34" s="16">
        <f t="shared" si="6"/>
        <v>1.4780747210020335E-4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2.5883277687907524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1.1870998535332495E+41</v>
      </c>
      <c r="F35" s="15">
        <f t="shared" si="3"/>
        <v>2.0544322334228886E+41</v>
      </c>
      <c r="G35" s="15"/>
      <c r="H35" s="18">
        <f t="shared" si="4"/>
        <v>3.2415320869561383E+41</v>
      </c>
      <c r="I35" s="45">
        <v>269.08999999999997</v>
      </c>
      <c r="J35" s="45">
        <v>1</v>
      </c>
      <c r="K35" s="19">
        <f t="shared" si="5"/>
        <v>266.82668817928015</v>
      </c>
      <c r="L35" s="16">
        <f t="shared" si="6"/>
        <v>5.1225803978100704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2.8662547669150054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1.2341503442462289E+41</v>
      </c>
      <c r="F36" s="15">
        <f t="shared" si="3"/>
        <v>2.1641771172530649E+41</v>
      </c>
      <c r="G36" s="15"/>
      <c r="H36" s="18">
        <f t="shared" si="4"/>
        <v>3.398327461499294E+41</v>
      </c>
      <c r="I36" s="45">
        <v>270.17</v>
      </c>
      <c r="J36" s="45">
        <v>1</v>
      </c>
      <c r="K36" s="19">
        <f t="shared" si="5"/>
        <v>263.83389911473597</v>
      </c>
      <c r="L36" s="16">
        <f t="shared" si="6"/>
        <v>40.146174428243818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3.1717623068378482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1.2793024553200809E+41</v>
      </c>
      <c r="F37" s="15">
        <f t="shared" si="3"/>
        <v>2.2592750439888207E+41</v>
      </c>
      <c r="G37" s="15"/>
      <c r="H37" s="18">
        <f t="shared" si="4"/>
        <v>3.5385774993089018E+41</v>
      </c>
      <c r="I37" s="45">
        <v>270.02999999999997</v>
      </c>
      <c r="J37" s="45">
        <v>1</v>
      </c>
      <c r="K37" s="19">
        <f t="shared" si="5"/>
        <v>260.80118761198065</v>
      </c>
      <c r="L37" s="16">
        <f t="shared" si="6"/>
        <v>85.170978093258881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s="17" customFormat="1" x14ac:dyDescent="0.25">
      <c r="A38" s="45">
        <v>16.54</v>
      </c>
      <c r="B38" s="45">
        <f t="shared" si="0"/>
        <v>16540</v>
      </c>
      <c r="C38" s="16">
        <f t="shared" si="1"/>
        <v>3.5090935488359873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1.3225184707258538E+41</v>
      </c>
      <c r="F38" s="15">
        <f t="shared" si="3"/>
        <v>2.3392122541183238E+41</v>
      </c>
      <c r="G38" s="15"/>
      <c r="H38" s="18">
        <f t="shared" si="4"/>
        <v>3.6617307248441773E+41</v>
      </c>
      <c r="I38" s="45">
        <v>268.5</v>
      </c>
      <c r="J38" s="45">
        <v>1</v>
      </c>
      <c r="K38" s="19">
        <f t="shared" si="5"/>
        <v>257.86706182263174</v>
      </c>
      <c r="L38" s="16">
        <f t="shared" si="6"/>
        <v>113.05937428373545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s="17" customFormat="1" x14ac:dyDescent="0.25">
      <c r="A39" s="45">
        <v>18.29</v>
      </c>
      <c r="B39" s="45">
        <f t="shared" si="0"/>
        <v>18290</v>
      </c>
      <c r="C39" s="16">
        <f t="shared" si="1"/>
        <v>3.8803700730477755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1.3634450385558544E+41</v>
      </c>
      <c r="F39" s="15">
        <f t="shared" si="3"/>
        <v>2.4036600444314352E+41</v>
      </c>
      <c r="G39" s="15"/>
      <c r="H39" s="18">
        <f t="shared" si="4"/>
        <v>3.7671050829872894E+41</v>
      </c>
      <c r="I39" s="45">
        <v>270.27999999999997</v>
      </c>
      <c r="J39" s="45">
        <v>1</v>
      </c>
      <c r="K39" s="19">
        <f t="shared" si="5"/>
        <v>255.20405267878712</v>
      </c>
      <c r="L39" s="16">
        <f t="shared" si="6"/>
        <v>227.28418763198493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s="17" customFormat="1" x14ac:dyDescent="0.25">
      <c r="A40" s="45">
        <v>20.2</v>
      </c>
      <c r="B40" s="45">
        <f t="shared" si="0"/>
        <v>20200</v>
      </c>
      <c r="C40" s="16">
        <f t="shared" si="1"/>
        <v>4.2855918794732135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1.4017334480920839E+41</v>
      </c>
      <c r="F40" s="15">
        <f t="shared" si="3"/>
        <v>2.4531498792803381E+41</v>
      </c>
      <c r="G40" s="15"/>
      <c r="H40" s="18">
        <f t="shared" si="4"/>
        <v>3.8548833273724223E+41</v>
      </c>
      <c r="I40" s="45">
        <v>265.3</v>
      </c>
      <c r="J40" s="45">
        <v>1</v>
      </c>
      <c r="K40" s="19">
        <f t="shared" si="5"/>
        <v>252.99388572911408</v>
      </c>
      <c r="L40" s="16">
        <f t="shared" si="6"/>
        <v>151.4404484481023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spans="1:29" x14ac:dyDescent="0.25">
      <c r="A41" s="45">
        <v>22.32</v>
      </c>
      <c r="B41" s="45">
        <f t="shared" si="0"/>
        <v>22320</v>
      </c>
      <c r="C41" s="16">
        <f t="shared" si="1"/>
        <v>4.7353668688040651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1.437891157100485E+41</v>
      </c>
      <c r="F41" s="15">
        <f t="shared" si="3"/>
        <v>2.4900749542911629E+41</v>
      </c>
      <c r="H41" s="18">
        <f t="shared" si="4"/>
        <v>3.9279661113916479E+41</v>
      </c>
      <c r="I41" s="45">
        <v>254.71</v>
      </c>
      <c r="J41" s="45">
        <v>1</v>
      </c>
      <c r="K41" s="19">
        <f t="shared" si="5"/>
        <v>251.35451241985689</v>
      </c>
      <c r="L41" s="16">
        <f t="shared" si="6"/>
        <v>11.259296900494727</v>
      </c>
    </row>
    <row r="42" spans="1:29" x14ac:dyDescent="0.25">
      <c r="A42" s="45"/>
      <c r="I42" s="45"/>
      <c r="J42" s="45"/>
      <c r="L42" s="16">
        <f>SUM(L8:L41)/(COUNT(L8:L41)-4)</f>
        <v>380.9188814667192</v>
      </c>
    </row>
    <row r="43" spans="1:29" x14ac:dyDescent="0.25">
      <c r="A43" s="45"/>
      <c r="I43" s="45"/>
      <c r="J43" s="45"/>
      <c r="L43" s="16"/>
    </row>
    <row r="44" spans="1:29" ht="21" x14ac:dyDescent="0.35">
      <c r="A44" s="46" t="s">
        <v>564</v>
      </c>
      <c r="I44" s="45"/>
      <c r="J44" s="45"/>
      <c r="L44" s="16"/>
    </row>
    <row r="45" spans="1:29" x14ac:dyDescent="0.25">
      <c r="A45" s="45" t="s">
        <v>30</v>
      </c>
      <c r="D45" s="16">
        <v>2.5</v>
      </c>
      <c r="E45" s="17">
        <f>$D$45*1000</f>
        <v>2500</v>
      </c>
      <c r="F45" s="17"/>
      <c r="G45" s="17"/>
      <c r="H45" s="15"/>
      <c r="K45" s="15"/>
      <c r="L45" s="17"/>
      <c r="M45" s="45"/>
    </row>
    <row r="46" spans="1:29" x14ac:dyDescent="0.25">
      <c r="A46" s="45" t="s">
        <v>16</v>
      </c>
      <c r="D46" s="16">
        <v>5.24</v>
      </c>
      <c r="E46" s="15">
        <f>D46*10000000000*SolarMass</f>
        <v>1.0422883999999999E+41</v>
      </c>
      <c r="F46" s="43"/>
      <c r="G46" s="43"/>
      <c r="H46" s="15"/>
      <c r="K46" s="15"/>
      <c r="L46" s="17"/>
      <c r="M46" s="45"/>
    </row>
    <row r="47" spans="1:29" x14ac:dyDescent="0.25">
      <c r="A47" s="45" t="s">
        <v>569</v>
      </c>
      <c r="D47" s="16">
        <v>3.8</v>
      </c>
      <c r="E47" s="15">
        <f>D47*1000</f>
        <v>3800</v>
      </c>
      <c r="H47" s="15"/>
      <c r="K47" s="15"/>
      <c r="L47" s="17"/>
      <c r="M47" s="45"/>
    </row>
    <row r="48" spans="1:29" x14ac:dyDescent="0.25">
      <c r="A48" s="45" t="s">
        <v>17</v>
      </c>
      <c r="D48" s="45">
        <v>8</v>
      </c>
      <c r="G48" s="16"/>
      <c r="H48" s="15"/>
      <c r="K48" s="15"/>
      <c r="L48" s="17"/>
      <c r="M48" s="45"/>
    </row>
    <row r="49" spans="1:29" x14ac:dyDescent="0.25">
      <c r="A49" s="45" t="s">
        <v>570</v>
      </c>
      <c r="D49" s="16">
        <v>7.6</v>
      </c>
      <c r="E49" s="17">
        <f>D49*1000</f>
        <v>7600</v>
      </c>
      <c r="H49" s="15"/>
      <c r="K49" s="15"/>
      <c r="L49" s="17"/>
      <c r="M49" s="45"/>
    </row>
    <row r="50" spans="1:29" x14ac:dyDescent="0.25">
      <c r="A50" s="45" t="s">
        <v>571</v>
      </c>
      <c r="D50" s="16">
        <v>5</v>
      </c>
      <c r="G50" s="9"/>
      <c r="H50" s="15"/>
      <c r="K50" s="15"/>
      <c r="L50" s="17"/>
      <c r="M50" s="45"/>
    </row>
    <row r="51" spans="1:29" x14ac:dyDescent="0.25">
      <c r="A51" s="45"/>
      <c r="D51" s="12"/>
      <c r="H51" s="15"/>
      <c r="K51" s="15"/>
      <c r="L51" s="17"/>
      <c r="M51" s="45"/>
    </row>
    <row r="52" spans="1:29" x14ac:dyDescent="0.25">
      <c r="A52" s="17" t="s">
        <v>567</v>
      </c>
      <c r="D52" s="17">
        <f>(D48*10000000000)/(2*PI()*DiskScaleLengthPc^2)</f>
        <v>881.74483707421234</v>
      </c>
      <c r="H52" s="15"/>
      <c r="K52" s="15"/>
      <c r="L52" s="17"/>
      <c r="M52" s="45"/>
    </row>
    <row r="53" spans="1:29" x14ac:dyDescent="0.25">
      <c r="A53" s="17" t="s">
        <v>565</v>
      </c>
      <c r="D53" s="9">
        <f>(D50*10000000000)/(4*PI()*(LCDMHaloScaleLengthPc)^3*(LN(2)-1/2))</f>
        <v>4.6927885986600096E-2</v>
      </c>
      <c r="H53" s="15"/>
      <c r="K53" s="15"/>
      <c r="L53" s="17"/>
      <c r="M53" s="45"/>
    </row>
    <row r="54" spans="1:29" x14ac:dyDescent="0.25">
      <c r="A54" s="19"/>
      <c r="H54" s="15"/>
      <c r="K54" s="15"/>
      <c r="L54" s="17"/>
      <c r="M54" s="45"/>
    </row>
    <row r="55" spans="1:29" ht="45" x14ac:dyDescent="0.25">
      <c r="A55" s="25" t="s">
        <v>20</v>
      </c>
      <c r="B55" s="3" t="s">
        <v>19</v>
      </c>
      <c r="C55" s="7" t="s">
        <v>27</v>
      </c>
      <c r="D55" s="4" t="s">
        <v>649</v>
      </c>
      <c r="E55" s="4" t="s">
        <v>21</v>
      </c>
      <c r="F55" s="4" t="s">
        <v>22</v>
      </c>
      <c r="G55" s="4" t="s">
        <v>28</v>
      </c>
      <c r="H55" s="4" t="s">
        <v>23</v>
      </c>
      <c r="I55" s="7" t="s">
        <v>645</v>
      </c>
      <c r="J55" s="7" t="s">
        <v>646</v>
      </c>
      <c r="K55" s="25" t="s">
        <v>647</v>
      </c>
      <c r="L55" s="3" t="s">
        <v>648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x14ac:dyDescent="0.25">
      <c r="A56" s="45">
        <v>0.09</v>
      </c>
      <c r="B56" s="45">
        <f>A56*1000</f>
        <v>90</v>
      </c>
      <c r="C56" s="16">
        <f>B56/LCDMBulgeEffectiveRadius</f>
        <v>3.5999999999999997E-2</v>
      </c>
      <c r="D56" s="15">
        <f>A56*kpc</f>
        <v>2.777109822E+18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1.1529460748511998E+39</v>
      </c>
      <c r="F56" s="15">
        <f t="shared" ref="F56:F89" si="7">2*PI()*LCDMDiskSurfaceDensity*LCDMScaleLength*(LCDMScaleLength-EXP(-RadiusPc/LCDMScaleLength)*(RadiusPc+LCDMScaleLength))*SolarMass</f>
        <v>4.3932298648162107E+37</v>
      </c>
      <c r="G56" s="15">
        <f t="shared" ref="G56:G89" si="8">4*PI()*LCDMHaloRepresentativeDensity*LCDMHaloScaleLengthPc^3*(LN(1+RadiusPc/LCDMHaloScaleLengthPc)-RadiusPc/(RadiusPc+LCDMHaloScaleLengthPc))*SolarMass</f>
        <v>3.5542317814345954E+37</v>
      </c>
      <c r="H56" s="15">
        <f t="shared" ref="H56:H89" si="9">BulgeMass+DiskMass+HaloMass</f>
        <v>1.2324206913137079E+39</v>
      </c>
      <c r="I56" s="45">
        <v>98.4</v>
      </c>
      <c r="J56" s="45">
        <v>1</v>
      </c>
      <c r="K56" s="19">
        <f t="shared" ref="K56:K89" si="10">SQRT(TotalMass*GravitationalConstant/RadiusKm)/km</f>
        <v>172.09912703554707</v>
      </c>
      <c r="L56" s="16">
        <f t="shared" ref="L56:L89" si="11">(ObservedVelocity-ModelVelocity)^2/(VelocityError)^2</f>
        <v>5431.5613258017047</v>
      </c>
      <c r="M56" s="45"/>
    </row>
    <row r="57" spans="1:29" x14ac:dyDescent="0.25">
      <c r="A57" s="45">
        <v>0.19</v>
      </c>
      <c r="B57" s="45">
        <f t="shared" ref="B57:B89" si="12">A57*1000</f>
        <v>190</v>
      </c>
      <c r="C57" s="16">
        <f t="shared" ref="C57:C89" si="13">B57/LCDMBulgeEffectiveRadius</f>
        <v>7.5999999999999998E-2</v>
      </c>
      <c r="D57" s="15">
        <f t="shared" ref="D57:D89" si="14">A57*kpc</f>
        <v>5.862787402E+18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3.2328867760480001E+39</v>
      </c>
      <c r="F57" s="15">
        <f t="shared" si="7"/>
        <v>1.9240234495289818E+38</v>
      </c>
      <c r="G57" s="15">
        <f t="shared" si="8"/>
        <v>1.5569514279802056E+38</v>
      </c>
      <c r="H57" s="15">
        <f t="shared" si="9"/>
        <v>3.5809842637989194E+39</v>
      </c>
      <c r="I57" s="45">
        <v>162.31</v>
      </c>
      <c r="J57" s="45">
        <v>1</v>
      </c>
      <c r="K57" s="19">
        <f t="shared" si="10"/>
        <v>201.90396017525353</v>
      </c>
      <c r="L57" s="16">
        <f t="shared" si="11"/>
        <v>1567.6816823595625</v>
      </c>
      <c r="M57" s="45"/>
    </row>
    <row r="58" spans="1:29" x14ac:dyDescent="0.25">
      <c r="A58" s="45">
        <v>0.3</v>
      </c>
      <c r="B58" s="45">
        <f t="shared" si="12"/>
        <v>300</v>
      </c>
      <c r="C58" s="16">
        <f t="shared" si="13"/>
        <v>0.12</v>
      </c>
      <c r="D58" s="15">
        <f t="shared" si="14"/>
        <v>9.25703274E+18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5.7565588331999985E+39</v>
      </c>
      <c r="F58" s="15">
        <f t="shared" si="7"/>
        <v>4.7055432836562399E+38</v>
      </c>
      <c r="G58" s="15">
        <f t="shared" si="8"/>
        <v>3.809512353145426E+38</v>
      </c>
      <c r="H58" s="15">
        <f t="shared" si="9"/>
        <v>6.6080643968801647E+39</v>
      </c>
      <c r="I58" s="45">
        <v>211.66</v>
      </c>
      <c r="J58" s="45">
        <v>1</v>
      </c>
      <c r="K58" s="19">
        <f t="shared" si="10"/>
        <v>218.271451996461</v>
      </c>
      <c r="L58" s="16">
        <f t="shared" si="11"/>
        <v>43.711297501508142</v>
      </c>
      <c r="M58" s="45"/>
    </row>
    <row r="59" spans="1:29" x14ac:dyDescent="0.25">
      <c r="A59" s="45">
        <v>0.42</v>
      </c>
      <c r="B59" s="45">
        <f t="shared" si="12"/>
        <v>420</v>
      </c>
      <c r="C59" s="16">
        <f t="shared" si="13"/>
        <v>0.16800000000000001</v>
      </c>
      <c r="D59" s="15">
        <f t="shared" si="14"/>
        <v>1.2959845836E+19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8.5402193088479997E+39</v>
      </c>
      <c r="F59" s="15">
        <f t="shared" si="7"/>
        <v>9.0322394082678015E+38</v>
      </c>
      <c r="G59" s="15">
        <f t="shared" si="8"/>
        <v>7.3174886381176902E+38</v>
      </c>
      <c r="H59" s="15">
        <f t="shared" si="9"/>
        <v>1.0175192113486549E+40</v>
      </c>
      <c r="I59" s="45">
        <v>236.8</v>
      </c>
      <c r="J59" s="45">
        <v>1</v>
      </c>
      <c r="K59" s="19">
        <f t="shared" si="10"/>
        <v>228.91122801845216</v>
      </c>
      <c r="L59" s="16">
        <f t="shared" si="11"/>
        <v>62.232723376854352</v>
      </c>
      <c r="M59" s="45"/>
    </row>
    <row r="60" spans="1:29" x14ac:dyDescent="0.25">
      <c r="A60" s="45">
        <v>0.56000000000000005</v>
      </c>
      <c r="B60" s="45">
        <f t="shared" si="12"/>
        <v>560</v>
      </c>
      <c r="C60" s="16">
        <f t="shared" si="13"/>
        <v>0.224</v>
      </c>
      <c r="D60" s="15">
        <f t="shared" si="14"/>
        <v>1.7279794448000002E+19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1.1714479446972796E+40</v>
      </c>
      <c r="F60" s="15">
        <f t="shared" si="7"/>
        <v>1.5671899384670099E+39</v>
      </c>
      <c r="G60" s="15">
        <f t="shared" si="8"/>
        <v>1.2710605098597146E+39</v>
      </c>
      <c r="H60" s="15">
        <f t="shared" si="9"/>
        <v>1.4552729895299518E+40</v>
      </c>
      <c r="I60" s="45">
        <v>242.5</v>
      </c>
      <c r="J60" s="45">
        <v>1</v>
      </c>
      <c r="K60" s="19">
        <f t="shared" si="10"/>
        <v>237.0820382996514</v>
      </c>
      <c r="L60" s="16">
        <f t="shared" si="11"/>
        <v>29.354308986444281</v>
      </c>
      <c r="M60" s="45"/>
    </row>
    <row r="61" spans="1:29" x14ac:dyDescent="0.25">
      <c r="A61" s="45">
        <v>0.7</v>
      </c>
      <c r="B61" s="45">
        <f t="shared" si="12"/>
        <v>700</v>
      </c>
      <c r="C61" s="16">
        <f t="shared" si="13"/>
        <v>0.28000000000000003</v>
      </c>
      <c r="D61" s="15">
        <f t="shared" si="14"/>
        <v>2.1599743059999998E+19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1.4790947918256E+40</v>
      </c>
      <c r="F61" s="15">
        <f t="shared" si="7"/>
        <v>2.3901423223836996E+39</v>
      </c>
      <c r="G61" s="15">
        <f t="shared" si="8"/>
        <v>1.9411994770478696E+39</v>
      </c>
      <c r="H61" s="15">
        <f t="shared" si="9"/>
        <v>1.9122289717687569E+40</v>
      </c>
      <c r="I61" s="45">
        <v>240.26</v>
      </c>
      <c r="J61" s="45">
        <v>1</v>
      </c>
      <c r="K61" s="19">
        <f t="shared" si="10"/>
        <v>243.07559553082794</v>
      </c>
      <c r="L61" s="16">
        <f t="shared" si="11"/>
        <v>7.9275781932183182</v>
      </c>
      <c r="M61" s="45"/>
    </row>
    <row r="62" spans="1:29" x14ac:dyDescent="0.25">
      <c r="A62" s="45">
        <v>0.86</v>
      </c>
      <c r="B62" s="45">
        <f t="shared" si="12"/>
        <v>860</v>
      </c>
      <c r="C62" s="16">
        <f t="shared" si="13"/>
        <v>0.34399999999999997</v>
      </c>
      <c r="D62" s="15">
        <f t="shared" si="14"/>
        <v>2.6536827187999998E+19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1.8107051000159996E+40</v>
      </c>
      <c r="F62" s="15">
        <f t="shared" si="7"/>
        <v>3.5094996178228904E+39</v>
      </c>
      <c r="G62" s="15">
        <f t="shared" si="8"/>
        <v>2.8557775672479579E+39</v>
      </c>
      <c r="H62" s="15">
        <f t="shared" si="9"/>
        <v>2.4472328185230842E+40</v>
      </c>
      <c r="I62" s="45">
        <v>235.43</v>
      </c>
      <c r="J62" s="45">
        <v>1</v>
      </c>
      <c r="K62" s="19">
        <f t="shared" si="10"/>
        <v>248.08976628455309</v>
      </c>
      <c r="L62" s="16">
        <f t="shared" si="11"/>
        <v>160.26968237950706</v>
      </c>
      <c r="M62" s="45"/>
    </row>
    <row r="63" spans="1:29" x14ac:dyDescent="0.25">
      <c r="A63" s="45">
        <v>1.04</v>
      </c>
      <c r="B63" s="45">
        <f t="shared" si="12"/>
        <v>1040</v>
      </c>
      <c r="C63" s="16">
        <f t="shared" si="13"/>
        <v>0.41599999999999998</v>
      </c>
      <c r="D63" s="15">
        <f t="shared" si="14"/>
        <v>3.2091046832E+19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2.1664256234751995E+40</v>
      </c>
      <c r="F63" s="15">
        <f t="shared" si="7"/>
        <v>4.9761195218544003E+39</v>
      </c>
      <c r="G63" s="15">
        <f t="shared" si="8"/>
        <v>4.0595972048317918E+39</v>
      </c>
      <c r="H63" s="15">
        <f t="shared" si="9"/>
        <v>3.0699972961438184E+40</v>
      </c>
      <c r="I63" s="45">
        <v>229.65</v>
      </c>
      <c r="J63" s="45">
        <v>1</v>
      </c>
      <c r="K63" s="19">
        <f t="shared" si="10"/>
        <v>252.68109972941176</v>
      </c>
      <c r="L63" s="16">
        <f t="shared" si="11"/>
        <v>530.43155474611001</v>
      </c>
      <c r="M63" s="45"/>
    </row>
    <row r="64" spans="1:29" x14ac:dyDescent="0.25">
      <c r="A64" s="45">
        <v>1.23</v>
      </c>
      <c r="B64" s="45">
        <f t="shared" si="12"/>
        <v>1230</v>
      </c>
      <c r="C64" s="16">
        <f t="shared" si="13"/>
        <v>0.49199999999999999</v>
      </c>
      <c r="D64" s="15">
        <f t="shared" si="14"/>
        <v>3.7953834233999999E+19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2.5156005757823996E+40</v>
      </c>
      <c r="F64" s="15">
        <f t="shared" si="7"/>
        <v>6.7379097311499335E+39</v>
      </c>
      <c r="G64" s="15">
        <f t="shared" si="8"/>
        <v>5.5142174165346844E+39</v>
      </c>
      <c r="H64" s="15">
        <f t="shared" si="9"/>
        <v>3.7408132905508616E+40</v>
      </c>
      <c r="I64" s="45">
        <v>220.27</v>
      </c>
      <c r="J64" s="45">
        <v>1</v>
      </c>
      <c r="K64" s="19">
        <f t="shared" si="10"/>
        <v>256.47845687990917</v>
      </c>
      <c r="L64" s="16">
        <f t="shared" si="11"/>
        <v>1311.0523496242413</v>
      </c>
      <c r="M64" s="45"/>
    </row>
    <row r="65" spans="1:13" x14ac:dyDescent="0.25">
      <c r="A65" s="45">
        <v>1.45</v>
      </c>
      <c r="B65" s="45">
        <f t="shared" si="12"/>
        <v>1450</v>
      </c>
      <c r="C65" s="16">
        <f t="shared" si="13"/>
        <v>0.57999999999999996</v>
      </c>
      <c r="D65" s="15">
        <f t="shared" si="14"/>
        <v>4.4742324909999997E+19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2.8877225495039991E+40</v>
      </c>
      <c r="F65" s="15">
        <f t="shared" si="7"/>
        <v>9.0197091977526139E+39</v>
      </c>
      <c r="G65" s="15">
        <f t="shared" si="8"/>
        <v>7.4125132663123734E+39</v>
      </c>
      <c r="H65" s="15">
        <f t="shared" si="9"/>
        <v>4.5309447959104976E+40</v>
      </c>
      <c r="I65" s="45">
        <v>212.82</v>
      </c>
      <c r="J65" s="45">
        <v>1</v>
      </c>
      <c r="K65" s="19">
        <f t="shared" si="10"/>
        <v>259.97453845332154</v>
      </c>
      <c r="L65" s="16">
        <f t="shared" si="11"/>
        <v>2223.5504967457805</v>
      </c>
      <c r="M65" s="45"/>
    </row>
    <row r="66" spans="1:13" x14ac:dyDescent="0.25">
      <c r="A66" s="45">
        <v>1.68</v>
      </c>
      <c r="B66" s="45">
        <f t="shared" si="12"/>
        <v>1680</v>
      </c>
      <c r="C66" s="16">
        <f t="shared" si="13"/>
        <v>0.67200000000000004</v>
      </c>
      <c r="D66" s="15">
        <f t="shared" si="14"/>
        <v>5.1839383344E+19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3.2475788733344009E+40</v>
      </c>
      <c r="F66" s="15">
        <f t="shared" si="7"/>
        <v>1.1645771928110358E+40</v>
      </c>
      <c r="G66" s="15">
        <f t="shared" si="8"/>
        <v>9.618062837922357E+39</v>
      </c>
      <c r="H66" s="15">
        <f t="shared" si="9"/>
        <v>5.3739623499376725E+40</v>
      </c>
      <c r="I66" s="45">
        <v>211.31</v>
      </c>
      <c r="J66" s="45">
        <v>1</v>
      </c>
      <c r="K66" s="19">
        <f t="shared" si="10"/>
        <v>263.03473345349499</v>
      </c>
      <c r="L66" s="16">
        <f t="shared" si="11"/>
        <v>2675.4480508351039</v>
      </c>
      <c r="M66" s="45"/>
    </row>
    <row r="67" spans="1:13" x14ac:dyDescent="0.25">
      <c r="A67" s="45">
        <v>1.94</v>
      </c>
      <c r="B67" s="45">
        <f t="shared" si="12"/>
        <v>1940</v>
      </c>
      <c r="C67" s="16">
        <f t="shared" si="13"/>
        <v>0.77600000000000002</v>
      </c>
      <c r="D67" s="15">
        <f t="shared" si="14"/>
        <v>5.9862145052000002E+19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3.6221856626015996E+40</v>
      </c>
      <c r="F67" s="15">
        <f t="shared" si="7"/>
        <v>1.4864608330077792E+40</v>
      </c>
      <c r="G67" s="15">
        <f t="shared" si="8"/>
        <v>1.2353372065403225E+40</v>
      </c>
      <c r="H67" s="15">
        <f t="shared" si="9"/>
        <v>6.3439837021497016E+40</v>
      </c>
      <c r="I67" s="45">
        <v>227.75</v>
      </c>
      <c r="J67" s="45">
        <v>1</v>
      </c>
      <c r="K67" s="19">
        <f t="shared" si="10"/>
        <v>265.95036816995685</v>
      </c>
      <c r="L67" s="16">
        <f t="shared" si="11"/>
        <v>1459.2681283202521</v>
      </c>
      <c r="M67" s="45"/>
    </row>
    <row r="68" spans="1:13" x14ac:dyDescent="0.25">
      <c r="A68" s="45">
        <v>2.23</v>
      </c>
      <c r="B68" s="45">
        <f t="shared" si="12"/>
        <v>2230</v>
      </c>
      <c r="C68" s="16">
        <f t="shared" si="13"/>
        <v>0.89200000000000002</v>
      </c>
      <c r="D68" s="15">
        <f t="shared" si="14"/>
        <v>6.8810610034000003E+19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4.0044220029567992E+40</v>
      </c>
      <c r="F68" s="15">
        <f t="shared" si="7"/>
        <v>1.8711536158336739E+40</v>
      </c>
      <c r="G68" s="15">
        <f t="shared" si="8"/>
        <v>1.5671085257240991E+40</v>
      </c>
      <c r="H68" s="15">
        <f t="shared" si="9"/>
        <v>7.442684144514572E+40</v>
      </c>
      <c r="I68" s="45">
        <v>260.74</v>
      </c>
      <c r="J68" s="45">
        <v>1</v>
      </c>
      <c r="K68" s="19">
        <f t="shared" si="10"/>
        <v>268.67842533555734</v>
      </c>
      <c r="L68" s="16">
        <f t="shared" si="11"/>
        <v>63.018596808218447</v>
      </c>
      <c r="M68" s="45"/>
    </row>
    <row r="69" spans="1:13" x14ac:dyDescent="0.25">
      <c r="A69" s="45">
        <v>2.54</v>
      </c>
      <c r="B69" s="45">
        <f t="shared" si="12"/>
        <v>2540</v>
      </c>
      <c r="C69" s="16">
        <f t="shared" si="13"/>
        <v>1.016</v>
      </c>
      <c r="D69" s="15">
        <f t="shared" si="14"/>
        <v>7.8376210532000006E+19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4.3735255094719993E+40</v>
      </c>
      <c r="F69" s="15">
        <f t="shared" si="7"/>
        <v>2.3058530714798749E+40</v>
      </c>
      <c r="G69" s="15">
        <f t="shared" si="8"/>
        <v>1.9487931353265133E+40</v>
      </c>
      <c r="H69" s="15">
        <f t="shared" si="9"/>
        <v>8.6281717162783876E+40</v>
      </c>
      <c r="I69" s="45">
        <v>283.49</v>
      </c>
      <c r="J69" s="45">
        <v>1</v>
      </c>
      <c r="K69" s="19">
        <f t="shared" si="10"/>
        <v>271.05845783402907</v>
      </c>
      <c r="L69" s="16">
        <f t="shared" si="11"/>
        <v>154.54324062431343</v>
      </c>
      <c r="M69" s="45"/>
    </row>
    <row r="70" spans="1:13" x14ac:dyDescent="0.25">
      <c r="A70" s="45">
        <v>2.89</v>
      </c>
      <c r="B70" s="45">
        <f t="shared" si="12"/>
        <v>2890</v>
      </c>
      <c r="C70" s="16">
        <f t="shared" si="13"/>
        <v>1.1559999999999999</v>
      </c>
      <c r="D70" s="15">
        <f t="shared" si="14"/>
        <v>8.9176082061999997E+19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4.7499125273263988E+40</v>
      </c>
      <c r="F70" s="15">
        <f t="shared" si="7"/>
        <v>2.8180641173663231E+40</v>
      </c>
      <c r="G70" s="15">
        <f t="shared" si="8"/>
        <v>2.4084628975668581E+40</v>
      </c>
      <c r="H70" s="15">
        <f t="shared" si="9"/>
        <v>9.97643954225958E+40</v>
      </c>
      <c r="I70" s="45">
        <v>291.60000000000002</v>
      </c>
      <c r="J70" s="45">
        <v>1</v>
      </c>
      <c r="K70" s="19">
        <f t="shared" si="10"/>
        <v>273.24945076719325</v>
      </c>
      <c r="L70" s="16">
        <f t="shared" si="11"/>
        <v>336.74265714566513</v>
      </c>
      <c r="M70" s="45"/>
    </row>
    <row r="71" spans="1:13" x14ac:dyDescent="0.25">
      <c r="A71" s="45">
        <v>3.27</v>
      </c>
      <c r="B71" s="45">
        <f t="shared" si="12"/>
        <v>3270</v>
      </c>
      <c r="C71" s="16">
        <f t="shared" si="13"/>
        <v>1.3080000000000001</v>
      </c>
      <c r="D71" s="15">
        <f t="shared" si="14"/>
        <v>1.0090165686599999E+20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5.1200708297023992E+40</v>
      </c>
      <c r="F71" s="15">
        <f t="shared" si="7"/>
        <v>3.3911779474216786E+40</v>
      </c>
      <c r="G71" s="15">
        <f t="shared" si="8"/>
        <v>2.9366036118748883E+40</v>
      </c>
      <c r="H71" s="15">
        <f t="shared" si="9"/>
        <v>1.1447852388998967E+41</v>
      </c>
      <c r="I71" s="45">
        <v>293.05</v>
      </c>
      <c r="J71" s="45">
        <v>1</v>
      </c>
      <c r="K71" s="19">
        <f t="shared" si="10"/>
        <v>275.17474054512337</v>
      </c>
      <c r="L71" s="16">
        <f t="shared" si="11"/>
        <v>319.52490057915674</v>
      </c>
      <c r="M71" s="45"/>
    </row>
    <row r="72" spans="1:13" x14ac:dyDescent="0.25">
      <c r="A72" s="45">
        <v>3.69</v>
      </c>
      <c r="B72" s="45">
        <f t="shared" si="12"/>
        <v>3690</v>
      </c>
      <c r="C72" s="16">
        <f t="shared" si="13"/>
        <v>1.476</v>
      </c>
      <c r="D72" s="15">
        <f t="shared" si="14"/>
        <v>1.13861502702E+20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5.4840546155968003E+40</v>
      </c>
      <c r="F72" s="15">
        <f t="shared" si="7"/>
        <v>4.0353824064313295E+40</v>
      </c>
      <c r="G72" s="15">
        <f t="shared" si="8"/>
        <v>3.5493940869525975E+40</v>
      </c>
      <c r="H72" s="15">
        <f t="shared" si="9"/>
        <v>1.3068831108980728E+41</v>
      </c>
      <c r="I72" s="45">
        <v>290.73</v>
      </c>
      <c r="J72" s="45">
        <v>1</v>
      </c>
      <c r="K72" s="19">
        <f t="shared" si="10"/>
        <v>276.77421089024972</v>
      </c>
      <c r="L72" s="16">
        <f t="shared" si="11"/>
        <v>194.76404967582505</v>
      </c>
      <c r="M72" s="45"/>
    </row>
    <row r="73" spans="1:13" x14ac:dyDescent="0.25">
      <c r="A73" s="45">
        <v>4.1500000000000004</v>
      </c>
      <c r="B73" s="45">
        <f t="shared" si="12"/>
        <v>4150</v>
      </c>
      <c r="C73" s="16">
        <f t="shared" si="13"/>
        <v>1.66</v>
      </c>
      <c r="D73" s="15">
        <f t="shared" si="14"/>
        <v>1.2805561957E+20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5.8399627509680004E+40</v>
      </c>
      <c r="F73" s="15">
        <f t="shared" si="7"/>
        <v>4.7432713360900007E+40</v>
      </c>
      <c r="G73" s="15">
        <f t="shared" si="8"/>
        <v>4.2487705542384994E+40</v>
      </c>
      <c r="H73" s="15">
        <f t="shared" si="9"/>
        <v>1.4832004641296501E+41</v>
      </c>
      <c r="I73" s="45">
        <v>287.06</v>
      </c>
      <c r="J73" s="45">
        <v>1</v>
      </c>
      <c r="K73" s="19">
        <f t="shared" si="10"/>
        <v>278.0329767837257</v>
      </c>
      <c r="L73" s="16">
        <f t="shared" si="11"/>
        <v>81.487148147155239</v>
      </c>
      <c r="M73" s="45"/>
    </row>
    <row r="74" spans="1:13" x14ac:dyDescent="0.25">
      <c r="A74" s="45">
        <v>4.6500000000000004</v>
      </c>
      <c r="B74" s="45">
        <f t="shared" si="12"/>
        <v>4650</v>
      </c>
      <c r="C74" s="16">
        <f t="shared" si="13"/>
        <v>1.86</v>
      </c>
      <c r="D74" s="15">
        <f t="shared" si="14"/>
        <v>1.4348400747000001E+20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6.1837511568239988E+40</v>
      </c>
      <c r="F74" s="15">
        <f t="shared" si="7"/>
        <v>5.5044852603505945E+40</v>
      </c>
      <c r="G74" s="15">
        <f t="shared" si="8"/>
        <v>5.0351716128168279E+40</v>
      </c>
      <c r="H74" s="15">
        <f t="shared" si="9"/>
        <v>1.672340802999142E+41</v>
      </c>
      <c r="I74" s="45">
        <v>283.01</v>
      </c>
      <c r="J74" s="45">
        <v>1</v>
      </c>
      <c r="K74" s="19">
        <f t="shared" si="10"/>
        <v>278.90503090204112</v>
      </c>
      <c r="L74" s="16">
        <f t="shared" si="11"/>
        <v>16.850771295197273</v>
      </c>
      <c r="M74" s="45"/>
    </row>
    <row r="75" spans="1:13" x14ac:dyDescent="0.25">
      <c r="A75" s="45">
        <v>5.21</v>
      </c>
      <c r="B75" s="45">
        <f t="shared" si="12"/>
        <v>5210</v>
      </c>
      <c r="C75" s="16">
        <f t="shared" si="13"/>
        <v>2.0840000000000001</v>
      </c>
      <c r="D75" s="15">
        <f t="shared" si="14"/>
        <v>1.6076380191800001E+20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6.5242334238751998E+40</v>
      </c>
      <c r="F75" s="15">
        <f t="shared" si="7"/>
        <v>6.3354092544685921E+40</v>
      </c>
      <c r="G75" s="15">
        <f t="shared" si="8"/>
        <v>5.9403211285956209E+40</v>
      </c>
      <c r="H75" s="15">
        <f t="shared" si="9"/>
        <v>1.8799963806939412E+41</v>
      </c>
      <c r="I75" s="45">
        <v>279.06</v>
      </c>
      <c r="J75" s="45">
        <v>1</v>
      </c>
      <c r="K75" s="19">
        <f t="shared" si="10"/>
        <v>279.37019856626625</v>
      </c>
      <c r="L75" s="16">
        <f t="shared" si="11"/>
        <v>9.6223150513637973E-2</v>
      </c>
      <c r="M75" s="45"/>
    </row>
    <row r="76" spans="1:13" x14ac:dyDescent="0.25">
      <c r="A76" s="45">
        <v>5.82</v>
      </c>
      <c r="B76" s="45">
        <f t="shared" si="12"/>
        <v>5820</v>
      </c>
      <c r="C76" s="16">
        <f t="shared" si="13"/>
        <v>2.3279999999999998</v>
      </c>
      <c r="D76" s="15">
        <f t="shared" si="14"/>
        <v>1.7958643515600001E+20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6.8492147778415999E+40</v>
      </c>
      <c r="F76" s="15">
        <f t="shared" si="7"/>
        <v>7.2035292009746798E+40</v>
      </c>
      <c r="G76" s="15">
        <f t="shared" si="8"/>
        <v>6.9471122599736391E+40</v>
      </c>
      <c r="H76" s="15">
        <f t="shared" si="9"/>
        <v>2.0999856238789917E+41</v>
      </c>
      <c r="I76" s="45">
        <v>277.02</v>
      </c>
      <c r="J76" s="45">
        <v>1</v>
      </c>
      <c r="K76" s="19">
        <f t="shared" si="10"/>
        <v>279.36185128806289</v>
      </c>
      <c r="L76" s="16">
        <f t="shared" si="11"/>
        <v>5.4842674554019215</v>
      </c>
      <c r="M76" s="45"/>
    </row>
    <row r="77" spans="1:13" x14ac:dyDescent="0.25">
      <c r="A77" s="45">
        <v>6.49</v>
      </c>
      <c r="B77" s="45">
        <f t="shared" si="12"/>
        <v>6490</v>
      </c>
      <c r="C77" s="16">
        <f t="shared" si="13"/>
        <v>2.5960000000000001</v>
      </c>
      <c r="D77" s="15">
        <f t="shared" si="14"/>
        <v>2.0026047494200001E+20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7.1619054669951999E+40</v>
      </c>
      <c r="F77" s="15">
        <f t="shared" si="7"/>
        <v>8.1028343699487535E+40</v>
      </c>
      <c r="G77" s="15">
        <f t="shared" si="8"/>
        <v>8.0691141647445776E+40</v>
      </c>
      <c r="H77" s="15">
        <f t="shared" si="9"/>
        <v>2.3333854001688531E+41</v>
      </c>
      <c r="I77" s="45">
        <v>277.38</v>
      </c>
      <c r="J77" s="45">
        <v>1</v>
      </c>
      <c r="K77" s="19">
        <f t="shared" si="10"/>
        <v>278.86327356999476</v>
      </c>
      <c r="L77" s="16">
        <f t="shared" si="11"/>
        <v>2.2001004834450142</v>
      </c>
      <c r="M77" s="45"/>
    </row>
    <row r="78" spans="1:13" x14ac:dyDescent="0.25">
      <c r="A78" s="45">
        <v>7.23</v>
      </c>
      <c r="B78" s="45">
        <f t="shared" si="12"/>
        <v>7230</v>
      </c>
      <c r="C78" s="16">
        <f t="shared" si="13"/>
        <v>2.8919999999999999</v>
      </c>
      <c r="D78" s="15">
        <f t="shared" si="14"/>
        <v>2.2309448903400001E+20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7.4616551033744004E+40</v>
      </c>
      <c r="F78" s="15">
        <f t="shared" si="7"/>
        <v>9.0225318403303589E+40</v>
      </c>
      <c r="G78" s="15">
        <f t="shared" si="8"/>
        <v>9.3189187780575873E+40</v>
      </c>
      <c r="H78" s="15">
        <f t="shared" si="9"/>
        <v>2.5803105721762346E+41</v>
      </c>
      <c r="I78" s="45">
        <v>276.77</v>
      </c>
      <c r="J78" s="45">
        <v>1</v>
      </c>
      <c r="K78" s="19">
        <f t="shared" si="10"/>
        <v>277.83520414893428</v>
      </c>
      <c r="L78" s="16">
        <f t="shared" si="11"/>
        <v>1.1346598789068445</v>
      </c>
      <c r="M78" s="45"/>
    </row>
    <row r="79" spans="1:13" x14ac:dyDescent="0.25">
      <c r="A79" s="45">
        <v>8.0500000000000007</v>
      </c>
      <c r="B79" s="45">
        <f t="shared" si="12"/>
        <v>8050.0000000000009</v>
      </c>
      <c r="C79" s="16">
        <f t="shared" si="13"/>
        <v>3.22</v>
      </c>
      <c r="D79" s="15">
        <f t="shared" si="14"/>
        <v>2.4839704519000002E+20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7.748663806352E+40</v>
      </c>
      <c r="F79" s="15">
        <f t="shared" si="7"/>
        <v>9.9470811176601301E+40</v>
      </c>
      <c r="G79" s="15">
        <f t="shared" si="8"/>
        <v>1.0707501314384177E+41</v>
      </c>
      <c r="H79" s="15">
        <f t="shared" si="9"/>
        <v>2.8403246238396307E+41</v>
      </c>
      <c r="I79" s="45">
        <v>274.64</v>
      </c>
      <c r="J79" s="45">
        <v>1</v>
      </c>
      <c r="K79" s="19">
        <f t="shared" si="10"/>
        <v>276.25266783700221</v>
      </c>
      <c r="L79" s="16">
        <f t="shared" si="11"/>
        <v>2.6006975525014204</v>
      </c>
      <c r="M79" s="45"/>
    </row>
    <row r="80" spans="1:13" x14ac:dyDescent="0.25">
      <c r="A80" s="45">
        <v>8.94</v>
      </c>
      <c r="B80" s="45">
        <f t="shared" si="12"/>
        <v>8940</v>
      </c>
      <c r="C80" s="16">
        <f t="shared" si="13"/>
        <v>3.5760000000000001</v>
      </c>
      <c r="D80" s="15">
        <f t="shared" si="14"/>
        <v>2.7585957565199997E+20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8.0165277559983989E+40</v>
      </c>
      <c r="F80" s="15">
        <f t="shared" si="7"/>
        <v>1.0838250151082934E+41</v>
      </c>
      <c r="G80" s="15">
        <f t="shared" si="8"/>
        <v>1.2210027993190707E+41</v>
      </c>
      <c r="H80" s="15">
        <f t="shared" si="9"/>
        <v>3.1064805900272038E+41</v>
      </c>
      <c r="I80" s="45">
        <v>272.58</v>
      </c>
      <c r="J80" s="45">
        <v>1</v>
      </c>
      <c r="K80" s="19">
        <f t="shared" si="10"/>
        <v>274.14857597051019</v>
      </c>
      <c r="L80" s="16">
        <f t="shared" si="11"/>
        <v>2.4604305752620474</v>
      </c>
      <c r="M80" s="45"/>
    </row>
    <row r="81" spans="1:13" x14ac:dyDescent="0.25">
      <c r="A81" s="45">
        <v>9.93</v>
      </c>
      <c r="B81" s="45">
        <f t="shared" si="12"/>
        <v>9930</v>
      </c>
      <c r="C81" s="16">
        <f t="shared" si="13"/>
        <v>3.972</v>
      </c>
      <c r="D81" s="15">
        <f t="shared" si="14"/>
        <v>3.06407783694E+20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8.2713172399551984E+40</v>
      </c>
      <c r="F81" s="15">
        <f t="shared" si="7"/>
        <v>1.169822786963128E+41</v>
      </c>
      <c r="G81" s="15">
        <f t="shared" si="8"/>
        <v>1.3867156699340674E+41</v>
      </c>
      <c r="H81" s="15">
        <f t="shared" si="9"/>
        <v>3.3836701808927153E+41</v>
      </c>
      <c r="I81" s="45">
        <v>271.02</v>
      </c>
      <c r="J81" s="45">
        <v>1</v>
      </c>
      <c r="K81" s="19">
        <f t="shared" si="10"/>
        <v>271.48123697958601</v>
      </c>
      <c r="L81" s="16">
        <f t="shared" si="11"/>
        <v>0.21273955133764677</v>
      </c>
      <c r="M81" s="45"/>
    </row>
    <row r="82" spans="1:13" x14ac:dyDescent="0.25">
      <c r="A82" s="45">
        <v>11.01</v>
      </c>
      <c r="B82" s="45">
        <f t="shared" si="12"/>
        <v>11010</v>
      </c>
      <c r="C82" s="16">
        <f t="shared" si="13"/>
        <v>4.4039999999999999</v>
      </c>
      <c r="D82" s="15">
        <f t="shared" si="14"/>
        <v>3.3973310155799999E+20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8.5076790649999979E+40</v>
      </c>
      <c r="F82" s="15">
        <f t="shared" si="7"/>
        <v>1.2491375594151885E+41</v>
      </c>
      <c r="G82" s="15">
        <f t="shared" si="8"/>
        <v>1.565008484141869E+41</v>
      </c>
      <c r="H82" s="15">
        <f t="shared" si="9"/>
        <v>3.6649139500570571E+41</v>
      </c>
      <c r="I82" s="45">
        <v>269.62</v>
      </c>
      <c r="J82" s="45">
        <v>1</v>
      </c>
      <c r="K82" s="19">
        <f t="shared" si="10"/>
        <v>268.32347090110198</v>
      </c>
      <c r="L82" s="16">
        <f t="shared" si="11"/>
        <v>1.6809877042893118</v>
      </c>
      <c r="M82" s="45"/>
    </row>
    <row r="83" spans="1:13" x14ac:dyDescent="0.25">
      <c r="A83" s="45">
        <v>12.2</v>
      </c>
      <c r="B83" s="45">
        <f t="shared" si="12"/>
        <v>12200</v>
      </c>
      <c r="C83" s="16">
        <f t="shared" si="13"/>
        <v>4.88</v>
      </c>
      <c r="D83" s="15">
        <f t="shared" si="14"/>
        <v>3.7645266475999999E+20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8.7275810716319968E+40</v>
      </c>
      <c r="F83" s="15">
        <f t="shared" si="7"/>
        <v>1.3210278688013247E+41</v>
      </c>
      <c r="G83" s="15">
        <f t="shared" si="8"/>
        <v>1.7577869656584152E+41</v>
      </c>
      <c r="H83" s="15">
        <f t="shared" si="9"/>
        <v>3.9515729416229396E+41</v>
      </c>
      <c r="I83" s="45">
        <v>269.08999999999997</v>
      </c>
      <c r="J83" s="45">
        <v>1</v>
      </c>
      <c r="K83" s="19">
        <f t="shared" si="10"/>
        <v>264.6826765288663</v>
      </c>
      <c r="L83" s="16">
        <f t="shared" si="11"/>
        <v>19.424500179205825</v>
      </c>
      <c r="M83" s="45"/>
    </row>
    <row r="84" spans="1:13" x14ac:dyDescent="0.25">
      <c r="A84" s="45">
        <v>13.51</v>
      </c>
      <c r="B84" s="45">
        <f t="shared" si="12"/>
        <v>13510</v>
      </c>
      <c r="C84" s="16">
        <f t="shared" si="13"/>
        <v>5.4039999999999999</v>
      </c>
      <c r="D84" s="15">
        <f t="shared" si="14"/>
        <v>4.1687504105800001E+20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8.9172433733724785E+40</v>
      </c>
      <c r="F84" s="15">
        <f t="shared" si="7"/>
        <v>1.3841567250103634E+41</v>
      </c>
      <c r="G84" s="15">
        <f t="shared" si="8"/>
        <v>1.9650183146104245E+41</v>
      </c>
      <c r="H84" s="15">
        <f t="shared" si="9"/>
        <v>4.2408993769580358E+41</v>
      </c>
      <c r="I84" s="45">
        <v>270.17</v>
      </c>
      <c r="J84" s="45">
        <v>1</v>
      </c>
      <c r="K84" s="19">
        <f t="shared" si="10"/>
        <v>260.56839692851827</v>
      </c>
      <c r="L84" s="16">
        <f t="shared" si="11"/>
        <v>92.190781542287723</v>
      </c>
      <c r="M84" s="45"/>
    </row>
    <row r="85" spans="1:13" x14ac:dyDescent="0.25">
      <c r="A85" s="45">
        <v>14.95</v>
      </c>
      <c r="B85" s="45">
        <f t="shared" si="12"/>
        <v>14950</v>
      </c>
      <c r="C85" s="16">
        <f t="shared" si="13"/>
        <v>5.98</v>
      </c>
      <c r="D85" s="15">
        <f t="shared" si="14"/>
        <v>4.6130879820999996E+20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9.1164421970575993E+40</v>
      </c>
      <c r="F85" s="15">
        <f t="shared" si="7"/>
        <v>1.4376916207134369E+41</v>
      </c>
      <c r="G85" s="15">
        <f t="shared" si="8"/>
        <v>2.1864232602764709E+41</v>
      </c>
      <c r="H85" s="15">
        <f t="shared" si="9"/>
        <v>4.5357591006956683E+41</v>
      </c>
      <c r="I85" s="45">
        <v>270.02999999999997</v>
      </c>
      <c r="J85" s="45">
        <v>1</v>
      </c>
      <c r="K85" s="19">
        <f t="shared" si="10"/>
        <v>256.1679692894574</v>
      </c>
      <c r="L85" s="16">
        <f t="shared" si="11"/>
        <v>192.15589542002533</v>
      </c>
      <c r="M85" s="45"/>
    </row>
    <row r="86" spans="1:13" x14ac:dyDescent="0.25">
      <c r="A86" s="45">
        <v>16.54</v>
      </c>
      <c r="B86" s="45">
        <f t="shared" si="12"/>
        <v>16540</v>
      </c>
      <c r="C86" s="16">
        <f t="shared" si="13"/>
        <v>6.6159999999999997</v>
      </c>
      <c r="D86" s="15">
        <f t="shared" si="14"/>
        <v>5.1037107173199997E+20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9.2793768888991994E+40</v>
      </c>
      <c r="F86" s="15">
        <f t="shared" si="7"/>
        <v>1.4816346849293207E+41</v>
      </c>
      <c r="G86" s="15">
        <f t="shared" si="8"/>
        <v>2.4229585715405588E+41</v>
      </c>
      <c r="H86" s="15">
        <f t="shared" si="9"/>
        <v>4.832530945359799E+41</v>
      </c>
      <c r="I86" s="45">
        <v>268.5</v>
      </c>
      <c r="J86" s="45">
        <v>1</v>
      </c>
      <c r="K86" s="19">
        <f t="shared" si="10"/>
        <v>251.38537090816959</v>
      </c>
      <c r="L86" s="16">
        <f t="shared" si="11"/>
        <v>292.91052895092776</v>
      </c>
      <c r="M86" s="45"/>
    </row>
    <row r="87" spans="1:13" x14ac:dyDescent="0.25">
      <c r="A87" s="45">
        <v>18.29</v>
      </c>
      <c r="B87" s="45">
        <f t="shared" si="12"/>
        <v>18290</v>
      </c>
      <c r="C87" s="16">
        <f t="shared" si="13"/>
        <v>7.3159999999999998</v>
      </c>
      <c r="D87" s="15">
        <f t="shared" si="14"/>
        <v>5.6437042938199998E+20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9.436941293988638E+40</v>
      </c>
      <c r="F87" s="15">
        <f t="shared" si="7"/>
        <v>1.516146986296554E+41</v>
      </c>
      <c r="G87" s="15">
        <f t="shared" si="8"/>
        <v>2.6737549104185849E+41</v>
      </c>
      <c r="H87" s="15">
        <f t="shared" si="9"/>
        <v>5.1335960261140025E+41</v>
      </c>
      <c r="I87" s="45">
        <v>270.27999999999997</v>
      </c>
      <c r="J87" s="45">
        <v>1</v>
      </c>
      <c r="K87" s="19">
        <f t="shared" si="10"/>
        <v>246.39076380595074</v>
      </c>
      <c r="L87" s="16">
        <f t="shared" si="11"/>
        <v>570.69560593507185</v>
      </c>
      <c r="M87" s="45"/>
    </row>
    <row r="88" spans="1:13" x14ac:dyDescent="0.25">
      <c r="A88" s="45">
        <v>20.2</v>
      </c>
      <c r="B88" s="45">
        <f t="shared" si="12"/>
        <v>20200</v>
      </c>
      <c r="C88" s="16">
        <f t="shared" si="13"/>
        <v>8.08</v>
      </c>
      <c r="D88" s="15">
        <f t="shared" si="14"/>
        <v>6.2330687115999995E+20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9.5792265849647997E+40</v>
      </c>
      <c r="F88" s="15">
        <f t="shared" si="7"/>
        <v>1.5418994168774612E+41</v>
      </c>
      <c r="G88" s="15">
        <f t="shared" si="8"/>
        <v>2.9364192648398661E+41</v>
      </c>
      <c r="H88" s="15">
        <f t="shared" si="9"/>
        <v>5.4362413402138079E+41</v>
      </c>
      <c r="I88" s="45">
        <v>265.3</v>
      </c>
      <c r="J88" s="45">
        <v>1</v>
      </c>
      <c r="K88" s="19">
        <f t="shared" si="10"/>
        <v>241.26488183989596</v>
      </c>
      <c r="L88" s="16">
        <f t="shared" si="11"/>
        <v>577.68690497016337</v>
      </c>
      <c r="M88" s="45"/>
    </row>
    <row r="89" spans="1:13" x14ac:dyDescent="0.25">
      <c r="A89" s="45">
        <v>22.32</v>
      </c>
      <c r="B89" s="45">
        <f t="shared" si="12"/>
        <v>22320</v>
      </c>
      <c r="C89" s="16">
        <f t="shared" si="13"/>
        <v>8.9280000000000008</v>
      </c>
      <c r="D89" s="15">
        <f t="shared" si="14"/>
        <v>6.8872323585599996E+20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9.7037625383196795E+40</v>
      </c>
      <c r="F89" s="15">
        <f t="shared" si="7"/>
        <v>1.5605170811894228E+41</v>
      </c>
      <c r="G89" s="15">
        <f t="shared" si="8"/>
        <v>3.2150957413689543E+41</v>
      </c>
      <c r="H89" s="15">
        <f t="shared" si="9"/>
        <v>5.7459890763903449E+41</v>
      </c>
      <c r="I89" s="45">
        <v>254.71</v>
      </c>
      <c r="J89" s="45">
        <v>1</v>
      </c>
      <c r="K89" s="19">
        <f t="shared" si="10"/>
        <v>235.96942508425505</v>
      </c>
      <c r="L89" s="16">
        <f t="shared" si="11"/>
        <v>351.20914817264912</v>
      </c>
      <c r="M89" s="45"/>
    </row>
    <row r="90" spans="1:13" x14ac:dyDescent="0.25">
      <c r="A90" s="45"/>
      <c r="H90" s="15"/>
      <c r="K90" s="45"/>
      <c r="L90" s="16">
        <f>SUM(L56:L89)/(COUNT(L56:L89)-6)</f>
        <v>670.77014338099332</v>
      </c>
      <c r="M90" s="45"/>
    </row>
    <row r="91" spans="1:13" x14ac:dyDescent="0.25">
      <c r="A91" s="45"/>
      <c r="H91" s="15"/>
      <c r="K91" s="45"/>
      <c r="L91" s="17"/>
      <c r="M91" s="45"/>
    </row>
    <row r="92" spans="1:13" x14ac:dyDescent="0.25">
      <c r="A92" s="45"/>
      <c r="I92" s="45"/>
      <c r="J92" s="45"/>
      <c r="L92" s="16"/>
    </row>
    <row r="93" spans="1:13" x14ac:dyDescent="0.25">
      <c r="A93" s="45"/>
      <c r="I93" s="45"/>
      <c r="J93" s="45"/>
      <c r="L93" s="16"/>
    </row>
    <row r="94" spans="1:13" x14ac:dyDescent="0.25">
      <c r="A94" s="45"/>
      <c r="I94" s="45"/>
      <c r="J94" s="45"/>
      <c r="L94" s="16"/>
    </row>
    <row r="95" spans="1:13" x14ac:dyDescent="0.25">
      <c r="A95" s="45"/>
      <c r="I95" s="45"/>
      <c r="J95" s="45"/>
      <c r="L95" s="16"/>
    </row>
    <row r="96" spans="1:13" x14ac:dyDescent="0.25">
      <c r="A96" s="45"/>
      <c r="I96" s="45"/>
      <c r="J96" s="45"/>
      <c r="L96" s="16"/>
    </row>
    <row r="97" spans="1:29" x14ac:dyDescent="0.25">
      <c r="A97" s="45"/>
      <c r="I97" s="45"/>
      <c r="J97" s="45"/>
      <c r="L97" s="16"/>
    </row>
    <row r="98" spans="1:29" x14ac:dyDescent="0.25">
      <c r="A98" s="45"/>
      <c r="I98" s="45"/>
      <c r="J98" s="45"/>
      <c r="L98" s="16"/>
    </row>
    <row r="99" spans="1:29" s="17" customFormat="1" x14ac:dyDescent="0.25">
      <c r="A99" s="45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45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s="17" customFormat="1" x14ac:dyDescent="0.25">
      <c r="A543" s="45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spans="1:29" s="17" customFormat="1" x14ac:dyDescent="0.25">
      <c r="A544" s="45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spans="1:29" s="17" customFormat="1" x14ac:dyDescent="0.25">
      <c r="A545" s="45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</row>
    <row r="546" spans="1:29" s="17" customFormat="1" x14ac:dyDescent="0.25">
      <c r="A546" s="45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</row>
    <row r="547" spans="1:29" x14ac:dyDescent="0.25">
      <c r="A547" s="45"/>
      <c r="L547" s="16"/>
    </row>
    <row r="548" spans="1:29" x14ac:dyDescent="0.25">
      <c r="L548" s="16"/>
      <c r="N548" s="17"/>
      <c r="O548" s="38"/>
    </row>
    <row r="549" spans="1:29" x14ac:dyDescent="0.25">
      <c r="L549" s="16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C547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539.28881618993796</v>
      </c>
      <c r="E2" s="55"/>
      <c r="F2" s="53" t="s">
        <v>620</v>
      </c>
      <c r="G2" s="53">
        <v>89536141242</v>
      </c>
      <c r="H2" s="62"/>
      <c r="K2" s="51" t="s">
        <v>1</v>
      </c>
      <c r="L2" s="60" t="s">
        <v>599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7.4298518434301895E+39</v>
      </c>
      <c r="E3" s="53"/>
      <c r="F3" s="53" t="s">
        <v>621</v>
      </c>
      <c r="G3" s="53">
        <f>H40/SolarMass</f>
        <v>23051500466.493298</v>
      </c>
      <c r="H3" s="62"/>
      <c r="K3" s="51" t="s">
        <v>562</v>
      </c>
      <c r="L3" s="57">
        <v>4.4099999999999999E-3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1290.72882061681</v>
      </c>
      <c r="E4" s="55"/>
      <c r="F4" s="53" t="s">
        <v>622</v>
      </c>
      <c r="G4" s="52">
        <f>G3/G2</f>
        <v>0.25745470093678996</v>
      </c>
      <c r="H4" s="62"/>
      <c r="K4" s="61" t="s">
        <v>614</v>
      </c>
      <c r="L4" s="52">
        <f>QEHModelChiSquare</f>
        <v>565.73874631543833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1845.46115999067</v>
      </c>
      <c r="F5" s="53"/>
      <c r="G5" s="52"/>
      <c r="H5" s="62"/>
      <c r="K5" s="61" t="s">
        <v>615</v>
      </c>
      <c r="L5" s="52">
        <f>LCDMModelChiSquare</f>
        <v>25.124963333433762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0.17</v>
      </c>
      <c r="B8" s="45">
        <f t="shared" ref="B8:B40" si="0">RadiusKpc*1000</f>
        <v>170</v>
      </c>
      <c r="C8" s="16">
        <f t="shared" ref="C8:C40" si="1">IF(QESBulgeEffectiveRadius=0,0,RadiusPc/QESBulgeEffectiveRadius)</f>
        <v>0.3152299749159379</v>
      </c>
      <c r="D8" s="15">
        <f t="shared" ref="D8:D40" si="2">RadiusKpc*kpc</f>
        <v>5.245651886E+18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1.1873920605893453E+39</v>
      </c>
      <c r="F8" s="15">
        <f t="shared" ref="F8:F40" si="3">2*PI()*QESDiskSurfaceDensity*QESDiskScaleLength*(QESDiskScaleLength-EXP(-RadiusPc/QESDiskScaleLength)*(RadiusPc+QESDiskScaleLength))*SolarMass</f>
        <v>3.0541207382389563E+38</v>
      </c>
      <c r="H8" s="18">
        <f t="shared" ref="H8:H40" si="4">BulgeMass+DiskMass+HaloMass</f>
        <v>1.4928041344132411E+39</v>
      </c>
      <c r="I8" s="16">
        <v>132.66999999999999</v>
      </c>
      <c r="J8" s="45">
        <v>1</v>
      </c>
      <c r="K8" s="19">
        <f t="shared" ref="K8:K40" si="5">SQRT(TotalMass*GravitationalConstant/RadiusKm+UniverseAcceleration*RadiusKm)/km</f>
        <v>138.50754991893382</v>
      </c>
      <c r="L8" s="16">
        <f t="shared" ref="L8:L40" si="6">(ObservedVelocity-ModelVelocity)^2/(VelocityError)^2</f>
        <v>34.076989056044383</v>
      </c>
    </row>
    <row r="9" spans="1:23" x14ac:dyDescent="0.25">
      <c r="A9" s="16">
        <v>0.35</v>
      </c>
      <c r="B9" s="45">
        <f t="shared" si="0"/>
        <v>350</v>
      </c>
      <c r="C9" s="16">
        <f t="shared" si="1"/>
        <v>0.64900288953281338</v>
      </c>
      <c r="D9" s="15">
        <f t="shared" si="2"/>
        <v>1.0799871529999999E+19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2.2521609326795131E+39</v>
      </c>
      <c r="F9" s="15">
        <f t="shared" si="3"/>
        <v>1.1815030217497665E+39</v>
      </c>
      <c r="H9" s="18">
        <f t="shared" si="4"/>
        <v>3.4336639544292798E+39</v>
      </c>
      <c r="I9" s="16">
        <v>153.9</v>
      </c>
      <c r="J9" s="45">
        <v>1</v>
      </c>
      <c r="K9" s="19">
        <f t="shared" si="5"/>
        <v>147.01397255108316</v>
      </c>
      <c r="L9" s="16">
        <f t="shared" si="6"/>
        <v>47.417374027236285</v>
      </c>
    </row>
    <row r="10" spans="1:23" x14ac:dyDescent="0.25">
      <c r="A10" s="16">
        <v>0.56000000000000005</v>
      </c>
      <c r="B10" s="45">
        <f t="shared" si="0"/>
        <v>560</v>
      </c>
      <c r="C10" s="16">
        <f t="shared" si="1"/>
        <v>1.0384046232525015</v>
      </c>
      <c r="D10" s="15">
        <f t="shared" si="2"/>
        <v>1.7279794448000002E+19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3.1618212071478404E+39</v>
      </c>
      <c r="F10" s="15">
        <f t="shared" si="3"/>
        <v>2.7226040208321543E+39</v>
      </c>
      <c r="H10" s="18">
        <f t="shared" si="4"/>
        <v>5.8844252279799953E+39</v>
      </c>
      <c r="I10" s="16">
        <v>158.07</v>
      </c>
      <c r="J10" s="45">
        <v>1</v>
      </c>
      <c r="K10" s="19">
        <f t="shared" si="5"/>
        <v>152.832918123556</v>
      </c>
      <c r="L10" s="16">
        <f t="shared" si="6"/>
        <v>27.427026580578151</v>
      </c>
    </row>
    <row r="11" spans="1:23" x14ac:dyDescent="0.25">
      <c r="A11" s="16">
        <v>0.78</v>
      </c>
      <c r="B11" s="45">
        <f t="shared" si="0"/>
        <v>780</v>
      </c>
      <c r="C11" s="16">
        <f t="shared" si="1"/>
        <v>1.4463492966731268</v>
      </c>
      <c r="D11" s="15">
        <f t="shared" si="2"/>
        <v>2.4068285124000002E+19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3.8651510560293923E+39</v>
      </c>
      <c r="F11" s="15">
        <f t="shared" si="3"/>
        <v>4.7386421729380128E+39</v>
      </c>
      <c r="H11" s="18">
        <f t="shared" si="4"/>
        <v>8.603793228967405E+39</v>
      </c>
      <c r="I11" s="16">
        <v>159.25</v>
      </c>
      <c r="J11" s="45">
        <v>1</v>
      </c>
      <c r="K11" s="19">
        <f t="shared" si="5"/>
        <v>157.27618484570877</v>
      </c>
      <c r="L11" s="16">
        <f t="shared" si="6"/>
        <v>3.8959462633097144</v>
      </c>
    </row>
    <row r="12" spans="1:23" x14ac:dyDescent="0.25">
      <c r="A12" s="16">
        <v>1.03</v>
      </c>
      <c r="B12" s="45">
        <f t="shared" si="0"/>
        <v>1030</v>
      </c>
      <c r="C12" s="16">
        <f t="shared" si="1"/>
        <v>1.9099227891965651</v>
      </c>
      <c r="D12" s="15">
        <f t="shared" si="2"/>
        <v>3.1782479073999999E+19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4.4652787466275797E+39</v>
      </c>
      <c r="F12" s="15">
        <f t="shared" si="3"/>
        <v>7.3194857225461866E+39</v>
      </c>
      <c r="H12" s="18">
        <f t="shared" si="4"/>
        <v>1.1784764469173766E+40</v>
      </c>
      <c r="I12" s="16">
        <v>161.06</v>
      </c>
      <c r="J12" s="45">
        <v>1</v>
      </c>
      <c r="K12" s="19">
        <f t="shared" si="5"/>
        <v>160.9537145983661</v>
      </c>
      <c r="L12" s="16">
        <f t="shared" si="6"/>
        <v>1.1296586600478888E-2</v>
      </c>
    </row>
    <row r="13" spans="1:23" x14ac:dyDescent="0.25">
      <c r="A13" s="16">
        <v>1.3</v>
      </c>
      <c r="B13" s="45">
        <f t="shared" si="0"/>
        <v>1300</v>
      </c>
      <c r="C13" s="16">
        <f t="shared" si="1"/>
        <v>2.4105821611218783</v>
      </c>
      <c r="D13" s="15">
        <f t="shared" si="2"/>
        <v>4.0113808540000002E+19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4.954510342349814E+39</v>
      </c>
      <c r="F13" s="15">
        <f t="shared" si="3"/>
        <v>1.0254941686323608E+40</v>
      </c>
      <c r="H13" s="18">
        <f t="shared" si="4"/>
        <v>1.5209452028673424E+40</v>
      </c>
      <c r="I13" s="16">
        <v>161.76</v>
      </c>
      <c r="J13" s="45">
        <v>1</v>
      </c>
      <c r="K13" s="19">
        <f t="shared" si="5"/>
        <v>163.60951255971719</v>
      </c>
      <c r="L13" s="16">
        <f t="shared" si="6"/>
        <v>3.4206967085516609</v>
      </c>
    </row>
    <row r="14" spans="1:23" x14ac:dyDescent="0.25">
      <c r="A14" s="16">
        <v>1.6</v>
      </c>
      <c r="B14" s="45">
        <f t="shared" si="0"/>
        <v>1600</v>
      </c>
      <c r="C14" s="16">
        <f t="shared" si="1"/>
        <v>2.9668703521500039</v>
      </c>
      <c r="D14" s="15">
        <f t="shared" si="2"/>
        <v>4.937084128E+19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5.3682260494472378E+39</v>
      </c>
      <c r="F14" s="15">
        <f t="shared" si="3"/>
        <v>1.3511663459457955E+40</v>
      </c>
      <c r="H14" s="18">
        <f t="shared" si="4"/>
        <v>1.8879889508905193E+40</v>
      </c>
      <c r="I14" s="16">
        <v>162.28</v>
      </c>
      <c r="J14" s="45">
        <v>1</v>
      </c>
      <c r="K14" s="19">
        <f t="shared" si="5"/>
        <v>165.2957821430158</v>
      </c>
      <c r="L14" s="16">
        <f t="shared" si="6"/>
        <v>9.0949419341329598</v>
      </c>
    </row>
    <row r="15" spans="1:23" x14ac:dyDescent="0.25">
      <c r="A15" s="16">
        <v>1.93</v>
      </c>
      <c r="B15" s="45">
        <f t="shared" si="0"/>
        <v>1930</v>
      </c>
      <c r="C15" s="16">
        <f t="shared" si="1"/>
        <v>3.5787873622809423</v>
      </c>
      <c r="D15" s="15">
        <f t="shared" si="2"/>
        <v>5.9553577293999997E+19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5.7159040916546577E+39</v>
      </c>
      <c r="F15" s="15">
        <f t="shared" si="3"/>
        <v>1.6929702955876707E+40</v>
      </c>
      <c r="H15" s="18">
        <f t="shared" si="4"/>
        <v>2.2645607047531366E+40</v>
      </c>
      <c r="I15" s="16">
        <v>162.54</v>
      </c>
      <c r="J15" s="45">
        <v>1</v>
      </c>
      <c r="K15" s="19">
        <f t="shared" si="5"/>
        <v>165.98277681458808</v>
      </c>
      <c r="L15" s="16">
        <f t="shared" si="6"/>
        <v>11.852712195065289</v>
      </c>
    </row>
    <row r="16" spans="1:23" x14ac:dyDescent="0.25">
      <c r="A16" s="16">
        <v>2.29</v>
      </c>
      <c r="B16" s="45">
        <f t="shared" si="0"/>
        <v>2290</v>
      </c>
      <c r="C16" s="16">
        <f t="shared" si="1"/>
        <v>4.2463331915146929</v>
      </c>
      <c r="D16" s="15">
        <f t="shared" si="2"/>
        <v>7.0662016582000001E+19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6.0062347187590381E+39</v>
      </c>
      <c r="F16" s="15">
        <f t="shared" si="3"/>
        <v>2.0343621757130577E+40</v>
      </c>
      <c r="H16" s="18">
        <f t="shared" si="4"/>
        <v>2.6349856475889616E+40</v>
      </c>
      <c r="I16" s="16">
        <v>163.58000000000001</v>
      </c>
      <c r="J16" s="45">
        <v>1</v>
      </c>
      <c r="K16" s="19">
        <f t="shared" si="5"/>
        <v>165.72389036295755</v>
      </c>
      <c r="L16" s="16">
        <f t="shared" si="6"/>
        <v>4.5962658883821907</v>
      </c>
    </row>
    <row r="17" spans="1:29" x14ac:dyDescent="0.25">
      <c r="A17" s="16">
        <v>2.69</v>
      </c>
      <c r="B17" s="45">
        <f t="shared" si="0"/>
        <v>2690</v>
      </c>
      <c r="C17" s="16">
        <f t="shared" si="1"/>
        <v>4.9880507795521938</v>
      </c>
      <c r="D17" s="15">
        <f t="shared" si="2"/>
        <v>8.3004726901999993E+19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6.2534508282047037E+39</v>
      </c>
      <c r="F17" s="15">
        <f t="shared" si="3"/>
        <v>2.3680333208363975E+40</v>
      </c>
      <c r="H17" s="18">
        <f t="shared" si="4"/>
        <v>2.9933784036568677E+40</v>
      </c>
      <c r="I17" s="16">
        <v>164.33</v>
      </c>
      <c r="J17" s="45">
        <v>1</v>
      </c>
      <c r="K17" s="19">
        <f t="shared" si="5"/>
        <v>164.60689265869308</v>
      </c>
      <c r="L17" s="16">
        <f t="shared" si="6"/>
        <v>7.6669544438117937E-2</v>
      </c>
    </row>
    <row r="18" spans="1:29" x14ac:dyDescent="0.25">
      <c r="A18" s="16">
        <v>3.12</v>
      </c>
      <c r="B18" s="45">
        <f t="shared" si="0"/>
        <v>3120</v>
      </c>
      <c r="C18" s="16">
        <f t="shared" si="1"/>
        <v>5.7853971866925074</v>
      </c>
      <c r="D18" s="15">
        <f t="shared" si="2"/>
        <v>9.6273140496000008E+19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6.4505934969459491E+39</v>
      </c>
      <c r="F18" s="15">
        <f t="shared" si="3"/>
        <v>2.6716498694079456E+40</v>
      </c>
      <c r="H18" s="18">
        <f t="shared" si="4"/>
        <v>3.3167092191025406E+40</v>
      </c>
      <c r="I18" s="16">
        <v>164.64</v>
      </c>
      <c r="J18" s="45">
        <v>1</v>
      </c>
      <c r="K18" s="19">
        <f t="shared" si="5"/>
        <v>162.79928578704323</v>
      </c>
      <c r="L18" s="16">
        <f t="shared" si="6"/>
        <v>3.3882288137810046</v>
      </c>
    </row>
    <row r="19" spans="1:29" x14ac:dyDescent="0.25">
      <c r="A19" s="16">
        <v>3.61</v>
      </c>
      <c r="B19" s="45">
        <f t="shared" si="0"/>
        <v>3610</v>
      </c>
      <c r="C19" s="16">
        <f t="shared" si="1"/>
        <v>6.6940012320384463</v>
      </c>
      <c r="D19" s="15">
        <f t="shared" si="2"/>
        <v>1.1139296063799999E+20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6.6287966454881621E+39</v>
      </c>
      <c r="F19" s="15">
        <f t="shared" si="3"/>
        <v>2.9525148605311677E+40</v>
      </c>
      <c r="H19" s="18">
        <f t="shared" si="4"/>
        <v>3.6153945250799838E+40</v>
      </c>
      <c r="I19" s="16">
        <v>164.97</v>
      </c>
      <c r="J19" s="45">
        <v>1</v>
      </c>
      <c r="K19" s="19">
        <f t="shared" si="5"/>
        <v>160.38583191868219</v>
      </c>
      <c r="L19" s="16">
        <f t="shared" si="6"/>
        <v>21.01459699777304</v>
      </c>
    </row>
    <row r="20" spans="1:29" s="17" customFormat="1" x14ac:dyDescent="0.25">
      <c r="A20" s="16">
        <v>4.13</v>
      </c>
      <c r="B20" s="45">
        <f t="shared" si="0"/>
        <v>4130</v>
      </c>
      <c r="C20" s="16">
        <f t="shared" si="1"/>
        <v>7.658234096487198</v>
      </c>
      <c r="D20" s="15">
        <f t="shared" si="2"/>
        <v>1.2743848405399999E+20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6.7735898684228703E+39</v>
      </c>
      <c r="F20" s="15">
        <f t="shared" si="3"/>
        <v>3.1845120679923464E+40</v>
      </c>
      <c r="G20" s="15"/>
      <c r="H20" s="18">
        <f t="shared" si="4"/>
        <v>3.8618710548346334E+40</v>
      </c>
      <c r="I20" s="16">
        <v>165.03</v>
      </c>
      <c r="J20" s="45">
        <v>1</v>
      </c>
      <c r="K20" s="19">
        <f t="shared" si="5"/>
        <v>157.70920914833727</v>
      </c>
      <c r="L20" s="16">
        <f t="shared" si="6"/>
        <v>53.593978693788799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4.72</v>
      </c>
      <c r="B21" s="45">
        <f t="shared" si="0"/>
        <v>4720</v>
      </c>
      <c r="C21" s="16">
        <f t="shared" si="1"/>
        <v>8.7522675388425117</v>
      </c>
      <c r="D21" s="15">
        <f t="shared" si="2"/>
        <v>1.4564398177599999E+20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6.8988362429553978E+39</v>
      </c>
      <c r="F21" s="15">
        <f t="shared" si="3"/>
        <v>3.3805714095363416E+40</v>
      </c>
      <c r="G21" s="15"/>
      <c r="H21" s="18">
        <f t="shared" si="4"/>
        <v>4.0704550338318811E+40</v>
      </c>
      <c r="I21" s="16">
        <v>164.93</v>
      </c>
      <c r="J21" s="45">
        <v>1</v>
      </c>
      <c r="K21" s="19">
        <f t="shared" si="5"/>
        <v>154.80239699817665</v>
      </c>
      <c r="L21" s="16">
        <f t="shared" si="6"/>
        <v>102.56834256254153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5.36</v>
      </c>
      <c r="B22" s="45">
        <f t="shared" si="0"/>
        <v>5360</v>
      </c>
      <c r="C22" s="16">
        <f t="shared" si="1"/>
        <v>9.9390156797025124</v>
      </c>
      <c r="D22" s="15">
        <f t="shared" si="2"/>
        <v>1.6539231828800002E+20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7.0019333411238598E+39</v>
      </c>
      <c r="F22" s="15">
        <f t="shared" si="3"/>
        <v>3.5311960659923524E+40</v>
      </c>
      <c r="G22" s="15"/>
      <c r="H22" s="18">
        <f t="shared" si="4"/>
        <v>4.2313894001047381E+40</v>
      </c>
      <c r="I22" s="16">
        <v>164.55</v>
      </c>
      <c r="J22" s="45">
        <v>1</v>
      </c>
      <c r="K22" s="19">
        <f t="shared" si="5"/>
        <v>152.00709943829929</v>
      </c>
      <c r="L22" s="16">
        <f t="shared" si="6"/>
        <v>157.32435450071222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6.06</v>
      </c>
      <c r="B23" s="45">
        <f t="shared" si="0"/>
        <v>6060</v>
      </c>
      <c r="C23" s="16">
        <f t="shared" si="1"/>
        <v>11.23702145876814</v>
      </c>
      <c r="D23" s="15">
        <f t="shared" si="2"/>
        <v>1.8699206134799997E+20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7.0848483267563152E+39</v>
      </c>
      <c r="F23" s="15">
        <f t="shared" si="3"/>
        <v>3.6424529748328974E+40</v>
      </c>
      <c r="G23" s="15"/>
      <c r="H23" s="18">
        <f t="shared" si="4"/>
        <v>4.3509378075085287E+40</v>
      </c>
      <c r="I23" s="16">
        <v>164.58</v>
      </c>
      <c r="J23" s="45">
        <v>1</v>
      </c>
      <c r="K23" s="19">
        <f t="shared" si="5"/>
        <v>149.49299417406422</v>
      </c>
      <c r="L23" s="16">
        <f t="shared" si="6"/>
        <v>227.61774479182048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6.84</v>
      </c>
      <c r="B24" s="45">
        <f t="shared" si="0"/>
        <v>6840</v>
      </c>
      <c r="C24" s="16">
        <f t="shared" si="1"/>
        <v>12.683370755441267</v>
      </c>
      <c r="D24" s="15">
        <f t="shared" si="2"/>
        <v>2.11060346472E+20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7.1546022114400754E+39</v>
      </c>
      <c r="F24" s="15">
        <f t="shared" si="3"/>
        <v>3.7215756435937806E+40</v>
      </c>
      <c r="G24" s="15"/>
      <c r="H24" s="18">
        <f t="shared" si="4"/>
        <v>4.4370358647377886E+40</v>
      </c>
      <c r="I24" s="16">
        <v>164.2</v>
      </c>
      <c r="J24" s="45">
        <v>1</v>
      </c>
      <c r="K24" s="19">
        <f t="shared" si="5"/>
        <v>147.40151871263168</v>
      </c>
      <c r="L24" s="16">
        <f t="shared" si="6"/>
        <v>282.1889735620631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7.69</v>
      </c>
      <c r="B25" s="45">
        <f t="shared" si="0"/>
        <v>7690</v>
      </c>
      <c r="C25" s="16">
        <f t="shared" si="1"/>
        <v>14.259520630020956</v>
      </c>
      <c r="D25" s="15">
        <f t="shared" si="2"/>
        <v>2.37288605902E+20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7.2115099856818941E+39</v>
      </c>
      <c r="F25" s="15">
        <f t="shared" si="3"/>
        <v>3.7733562161443644E+40</v>
      </c>
      <c r="G25" s="15"/>
      <c r="H25" s="18">
        <f t="shared" si="4"/>
        <v>4.4945072147125541E+40</v>
      </c>
      <c r="I25" s="16">
        <v>163.98</v>
      </c>
      <c r="J25" s="45">
        <v>1</v>
      </c>
      <c r="K25" s="19">
        <f t="shared" si="5"/>
        <v>145.9261671490797</v>
      </c>
      <c r="L25" s="16">
        <f t="shared" si="6"/>
        <v>325.94088060896854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8.6300000000000008</v>
      </c>
      <c r="B26" s="45">
        <f t="shared" si="0"/>
        <v>8630</v>
      </c>
      <c r="C26" s="16">
        <f t="shared" si="1"/>
        <v>16.002556961909082</v>
      </c>
      <c r="D26" s="15">
        <f t="shared" si="2"/>
        <v>2.6629397515400004E+20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7.2518499125262577E+39</v>
      </c>
      <c r="F26" s="15">
        <f t="shared" si="3"/>
        <v>3.8056174352820236E+40</v>
      </c>
      <c r="G26" s="15"/>
      <c r="H26" s="18">
        <f t="shared" si="4"/>
        <v>4.5308024265346491E+40</v>
      </c>
      <c r="I26" s="16">
        <v>163.85</v>
      </c>
      <c r="J26" s="45">
        <v>1</v>
      </c>
      <c r="K26" s="19">
        <f t="shared" si="5"/>
        <v>145.14196873374428</v>
      </c>
      <c r="L26" s="16">
        <f t="shared" si="6"/>
        <v>349.99043385920146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9.66</v>
      </c>
      <c r="B27" s="45">
        <f t="shared" si="0"/>
        <v>9660</v>
      </c>
      <c r="C27" s="16">
        <f t="shared" si="1"/>
        <v>17.91247975110565</v>
      </c>
      <c r="D27" s="15">
        <f t="shared" si="2"/>
        <v>2.9807645422799998E+20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7.2869854502760135E+39</v>
      </c>
      <c r="F27" s="15">
        <f t="shared" si="3"/>
        <v>3.824159377590529E+40</v>
      </c>
      <c r="G27" s="15"/>
      <c r="H27" s="18">
        <f t="shared" si="4"/>
        <v>4.5528579226181307E+40</v>
      </c>
      <c r="I27" s="16">
        <v>163.58000000000001</v>
      </c>
      <c r="J27" s="45">
        <v>1</v>
      </c>
      <c r="K27" s="19">
        <f t="shared" si="5"/>
        <v>145.13366014125842</v>
      </c>
      <c r="L27" s="16">
        <f t="shared" si="6"/>
        <v>340.26745418419887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10.79</v>
      </c>
      <c r="B28" s="45">
        <f t="shared" si="0"/>
        <v>10790</v>
      </c>
      <c r="C28" s="16">
        <f t="shared" si="1"/>
        <v>20.00783193731159</v>
      </c>
      <c r="D28" s="15">
        <f t="shared" si="2"/>
        <v>3.3294461088199999E+20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7.3254532994614973E+39</v>
      </c>
      <c r="F28" s="15">
        <f t="shared" si="3"/>
        <v>3.8340577655343212E+40</v>
      </c>
      <c r="G28" s="15"/>
      <c r="H28" s="18">
        <f t="shared" si="4"/>
        <v>4.5666030954804706E+40</v>
      </c>
      <c r="I28" s="16">
        <v>163.47999999999999</v>
      </c>
      <c r="J28" s="45">
        <v>1</v>
      </c>
      <c r="K28" s="19">
        <f t="shared" si="5"/>
        <v>145.92891883415854</v>
      </c>
      <c r="L28" s="16">
        <f t="shared" si="6"/>
        <v>308.04045008995456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12.04</v>
      </c>
      <c r="B29" s="45">
        <f t="shared" si="0"/>
        <v>12040</v>
      </c>
      <c r="C29" s="16">
        <f t="shared" si="1"/>
        <v>22.32569939992878</v>
      </c>
      <c r="D29" s="15">
        <f t="shared" si="2"/>
        <v>3.7151558063199997E+20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7.3447412807222455E+39</v>
      </c>
      <c r="F29" s="15">
        <f t="shared" si="3"/>
        <v>3.8389503814377538E+40</v>
      </c>
      <c r="G29" s="15"/>
      <c r="H29" s="18">
        <f t="shared" si="4"/>
        <v>4.5734245095099788E+40</v>
      </c>
      <c r="I29" s="16">
        <v>163.22999999999999</v>
      </c>
      <c r="J29" s="45">
        <v>1</v>
      </c>
      <c r="K29" s="19">
        <f t="shared" si="5"/>
        <v>147.52512065027815</v>
      </c>
      <c r="L29" s="16">
        <f t="shared" si="6"/>
        <v>246.64323538931933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13.41</v>
      </c>
      <c r="B30" s="45">
        <f t="shared" si="0"/>
        <v>13410</v>
      </c>
      <c r="C30" s="16">
        <f t="shared" si="1"/>
        <v>24.866082138957221</v>
      </c>
      <c r="D30" s="15">
        <f t="shared" si="2"/>
        <v>4.1378936347799998E+20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7.3658809081840231E+39</v>
      </c>
      <c r="F30" s="15">
        <f t="shared" si="3"/>
        <v>3.8411322530929692E+40</v>
      </c>
      <c r="G30" s="15"/>
      <c r="H30" s="18">
        <f t="shared" si="4"/>
        <v>4.5777203439113715E+40</v>
      </c>
      <c r="I30" s="16">
        <v>163.13999999999999</v>
      </c>
      <c r="J30" s="45">
        <v>1</v>
      </c>
      <c r="K30" s="19">
        <f t="shared" si="5"/>
        <v>149.90928514047911</v>
      </c>
      <c r="L30" s="16">
        <f t="shared" si="6"/>
        <v>175.05181569394642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14.92</v>
      </c>
      <c r="B31" s="45">
        <f t="shared" si="0"/>
        <v>14920</v>
      </c>
      <c r="C31" s="16">
        <f t="shared" si="1"/>
        <v>27.666066033798788</v>
      </c>
      <c r="D31" s="15">
        <f t="shared" si="2"/>
        <v>4.60383094936E+20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7.3805839111210163E+39</v>
      </c>
      <c r="F31" s="15">
        <f t="shared" si="3"/>
        <v>3.8420174873854089E+40</v>
      </c>
      <c r="G31" s="15"/>
      <c r="H31" s="18">
        <f t="shared" si="4"/>
        <v>4.5800758784975101E+40</v>
      </c>
      <c r="I31" s="16">
        <v>163.44</v>
      </c>
      <c r="J31" s="45">
        <v>1</v>
      </c>
      <c r="K31" s="19">
        <f t="shared" si="5"/>
        <v>153.06223235495531</v>
      </c>
      <c r="L31" s="16">
        <f t="shared" si="6"/>
        <v>107.6980612945363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16.579999999999998</v>
      </c>
      <c r="B32" s="45">
        <f t="shared" si="0"/>
        <v>16580</v>
      </c>
      <c r="C32" s="16">
        <f t="shared" si="1"/>
        <v>30.744194024154417</v>
      </c>
      <c r="D32" s="15">
        <f t="shared" si="2"/>
        <v>5.1160534276399995E+20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7.3944481021355703E+39</v>
      </c>
      <c r="F32" s="15">
        <f t="shared" si="3"/>
        <v>3.8423378325915202E+40</v>
      </c>
      <c r="G32" s="15"/>
      <c r="H32" s="18">
        <f t="shared" si="4"/>
        <v>4.581782642805077E+40</v>
      </c>
      <c r="I32" s="16">
        <v>163.05000000000001</v>
      </c>
      <c r="J32" s="45">
        <v>1</v>
      </c>
      <c r="K32" s="19">
        <f t="shared" si="5"/>
        <v>156.950269403855</v>
      </c>
      <c r="L32" s="16">
        <f t="shared" si="6"/>
        <v>37.206713345547534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18.41</v>
      </c>
      <c r="B33" s="45">
        <f t="shared" si="0"/>
        <v>18410</v>
      </c>
      <c r="C33" s="16">
        <f t="shared" si="1"/>
        <v>34.137551989425987</v>
      </c>
      <c r="D33" s="15">
        <f t="shared" si="2"/>
        <v>5.6807324247800001E+20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7.4034236264439644E+39</v>
      </c>
      <c r="F33" s="15">
        <f t="shared" si="3"/>
        <v>3.8424407008293603E+40</v>
      </c>
      <c r="G33" s="15"/>
      <c r="H33" s="18">
        <f t="shared" si="4"/>
        <v>4.5827830634737562E+40</v>
      </c>
      <c r="I33" s="16">
        <v>162.29</v>
      </c>
      <c r="J33" s="45">
        <v>1</v>
      </c>
      <c r="K33" s="19">
        <f t="shared" si="5"/>
        <v>161.55367802116044</v>
      </c>
      <c r="L33" s="16">
        <f t="shared" si="6"/>
        <v>0.54217005652219874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20.420000000000002</v>
      </c>
      <c r="B34" s="45">
        <f t="shared" si="0"/>
        <v>20420</v>
      </c>
      <c r="C34" s="16">
        <f t="shared" si="1"/>
        <v>37.864682869314429</v>
      </c>
      <c r="D34" s="15">
        <f t="shared" si="2"/>
        <v>6.3009536183600008E+20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7.4102596371686893E+39</v>
      </c>
      <c r="F34" s="15">
        <f t="shared" si="3"/>
        <v>3.8424694778427515E+40</v>
      </c>
      <c r="G34" s="15"/>
      <c r="H34" s="18">
        <f t="shared" si="4"/>
        <v>4.5834954415596203E+40</v>
      </c>
      <c r="I34" s="16">
        <v>161.27000000000001</v>
      </c>
      <c r="J34" s="45">
        <v>1</v>
      </c>
      <c r="K34" s="19">
        <f t="shared" si="5"/>
        <v>166.82948617548229</v>
      </c>
      <c r="L34" s="16">
        <f t="shared" si="6"/>
        <v>30.907886535378559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22.63</v>
      </c>
      <c r="B35" s="45">
        <f t="shared" si="0"/>
        <v>22630</v>
      </c>
      <c r="C35" s="16">
        <f t="shared" si="1"/>
        <v>41.962672543221622</v>
      </c>
      <c r="D35" s="15">
        <f t="shared" si="2"/>
        <v>6.9828883635400003E+20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7.4156088034840946E+39</v>
      </c>
      <c r="F35" s="15">
        <f t="shared" si="3"/>
        <v>3.842476450651728E+40</v>
      </c>
      <c r="G35" s="15"/>
      <c r="H35" s="18">
        <f t="shared" si="4"/>
        <v>4.5840373310001377E+40</v>
      </c>
      <c r="I35" s="16">
        <v>158.91</v>
      </c>
      <c r="J35" s="45">
        <v>1</v>
      </c>
      <c r="K35" s="19">
        <f t="shared" si="5"/>
        <v>172.75771510271133</v>
      </c>
      <c r="L35" s="16">
        <f t="shared" si="6"/>
        <v>191.75921356585957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25.06</v>
      </c>
      <c r="B36" s="45">
        <f t="shared" si="0"/>
        <v>25060</v>
      </c>
      <c r="C36" s="16">
        <f t="shared" si="1"/>
        <v>46.468606890549438</v>
      </c>
      <c r="D36" s="15">
        <f t="shared" si="2"/>
        <v>7.7327080154799997E+20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7.4195929819285558E+39</v>
      </c>
      <c r="F36" s="15">
        <f t="shared" si="3"/>
        <v>3.8424778910795189E+40</v>
      </c>
      <c r="G36" s="15"/>
      <c r="H36" s="18">
        <f t="shared" si="4"/>
        <v>4.5844371892723745E+40</v>
      </c>
      <c r="I36" s="16">
        <v>154.72</v>
      </c>
      <c r="J36" s="45">
        <v>1</v>
      </c>
      <c r="K36" s="19">
        <f t="shared" si="5"/>
        <v>179.31824646497554</v>
      </c>
      <c r="L36" s="16">
        <f t="shared" si="6"/>
        <v>605.07372915168196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27.74</v>
      </c>
      <c r="B37" s="45">
        <f t="shared" si="0"/>
        <v>27740</v>
      </c>
      <c r="C37" s="16">
        <f t="shared" si="1"/>
        <v>51.438114730400692</v>
      </c>
      <c r="D37" s="15">
        <f t="shared" si="2"/>
        <v>8.5596696069199993E+20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7.4225430007205637E+39</v>
      </c>
      <c r="F37" s="15">
        <f t="shared" si="3"/>
        <v>3.8424781411199019E+40</v>
      </c>
      <c r="G37" s="15"/>
      <c r="H37" s="18">
        <f t="shared" si="4"/>
        <v>4.5847324411919588E+40</v>
      </c>
      <c r="I37" s="16">
        <v>148.53</v>
      </c>
      <c r="J37" s="45">
        <v>1</v>
      </c>
      <c r="K37" s="19">
        <f t="shared" si="5"/>
        <v>186.51702800654635</v>
      </c>
      <c r="L37" s="16">
        <f t="shared" si="6"/>
        <v>1443.014296770137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30.68</v>
      </c>
      <c r="B38" s="45">
        <f t="shared" si="0"/>
        <v>30680</v>
      </c>
      <c r="C38" s="16">
        <f t="shared" si="1"/>
        <v>56.889739002476325</v>
      </c>
      <c r="D38" s="15">
        <f t="shared" si="2"/>
        <v>9.4668588154400001E+20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7.4246924767431947E+39</v>
      </c>
      <c r="F38" s="15">
        <f t="shared" si="3"/>
        <v>3.8424781766723203E+40</v>
      </c>
      <c r="G38" s="15"/>
      <c r="H38" s="18">
        <f t="shared" si="4"/>
        <v>4.5849474243466398E+40</v>
      </c>
      <c r="I38" s="16">
        <v>143.55000000000001</v>
      </c>
      <c r="J38" s="45">
        <v>1</v>
      </c>
      <c r="K38" s="19">
        <f t="shared" si="5"/>
        <v>194.30481507703288</v>
      </c>
      <c r="L38" s="16">
        <f t="shared" si="6"/>
        <v>2576.0512535038033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33.909999999999997</v>
      </c>
      <c r="B39" s="45">
        <f t="shared" si="0"/>
        <v>33910</v>
      </c>
      <c r="C39" s="16">
        <f t="shared" si="1"/>
        <v>62.879108525879147</v>
      </c>
      <c r="D39" s="15">
        <f t="shared" si="2"/>
        <v>1.0463532673779998E+21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7.4260232635254145E+39</v>
      </c>
      <c r="F39" s="15">
        <f t="shared" si="3"/>
        <v>3.8424781807888007E+40</v>
      </c>
      <c r="G39" s="15"/>
      <c r="H39" s="18">
        <f t="shared" si="4"/>
        <v>4.5850805071413424E+40</v>
      </c>
      <c r="I39" s="16">
        <v>140.96</v>
      </c>
      <c r="J39" s="45">
        <v>1</v>
      </c>
      <c r="K39" s="19">
        <f t="shared" si="5"/>
        <v>202.68459171017295</v>
      </c>
      <c r="L39" s="16">
        <f t="shared" si="6"/>
        <v>3809.9252217875505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37.479999999999997</v>
      </c>
      <c r="B40" s="45">
        <f t="shared" si="0"/>
        <v>37480</v>
      </c>
      <c r="C40" s="16">
        <f t="shared" si="1"/>
        <v>69.498937999113849</v>
      </c>
      <c r="D40" s="15">
        <f t="shared" si="2"/>
        <v>1.1565119569839999E+21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7.4269577662174967E+39</v>
      </c>
      <c r="F40" s="15">
        <f t="shared" si="3"/>
        <v>3.842478181168432E+40</v>
      </c>
      <c r="G40" s="15"/>
      <c r="H40" s="18">
        <f t="shared" si="4"/>
        <v>4.5851739577901817E+40</v>
      </c>
      <c r="I40" s="16">
        <v>141.93</v>
      </c>
      <c r="J40" s="45">
        <v>1</v>
      </c>
      <c r="K40" s="19">
        <f t="shared" si="5"/>
        <v>211.70639062465389</v>
      </c>
      <c r="L40" s="16">
        <f t="shared" si="6"/>
        <v>4868.7446886042862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I41" s="45"/>
      <c r="J41" s="45"/>
      <c r="L41" s="16">
        <f>SUM(L8:L40)/(COUNT(L8:L40)-4)</f>
        <v>565.73874631543833</v>
      </c>
    </row>
    <row r="42" spans="1:29" x14ac:dyDescent="0.25">
      <c r="I42" s="45"/>
      <c r="J42" s="45"/>
      <c r="L42" s="16"/>
    </row>
    <row r="43" spans="1:29" ht="21" x14ac:dyDescent="0.35">
      <c r="A43" s="48" t="s">
        <v>564</v>
      </c>
      <c r="I43" s="45"/>
      <c r="J43" s="45"/>
      <c r="L43" s="16"/>
    </row>
    <row r="44" spans="1:29" x14ac:dyDescent="0.25">
      <c r="A44" s="16" t="s">
        <v>30</v>
      </c>
      <c r="D44" s="16">
        <v>0.56000000000000005</v>
      </c>
      <c r="E44" s="17">
        <f>$D$44*1000</f>
        <v>560</v>
      </c>
      <c r="F44" s="17"/>
      <c r="G44" s="17"/>
      <c r="H44" s="15"/>
      <c r="K44" s="15"/>
      <c r="L44" s="17"/>
      <c r="M44" s="45"/>
    </row>
    <row r="45" spans="1:29" x14ac:dyDescent="0.25">
      <c r="A45" s="16" t="s">
        <v>16</v>
      </c>
      <c r="D45" s="16">
        <v>0.39</v>
      </c>
      <c r="E45" s="15">
        <f>D45*10000000000*SolarMass</f>
        <v>7.7574899999999992E+39</v>
      </c>
      <c r="F45" s="43"/>
      <c r="G45" s="43"/>
      <c r="H45" s="15"/>
      <c r="K45" s="15"/>
      <c r="L45" s="17"/>
      <c r="M45" s="45"/>
    </row>
    <row r="46" spans="1:29" x14ac:dyDescent="0.25">
      <c r="A46" s="16" t="s">
        <v>569</v>
      </c>
      <c r="D46" s="16">
        <v>1.1000000000000001</v>
      </c>
      <c r="E46" s="15">
        <f>D46*1000</f>
        <v>1100</v>
      </c>
      <c r="H46" s="15"/>
      <c r="K46" s="15"/>
      <c r="L46" s="17"/>
      <c r="M46" s="45"/>
    </row>
    <row r="47" spans="1:29" x14ac:dyDescent="0.25">
      <c r="A47" s="16" t="s">
        <v>17</v>
      </c>
      <c r="D47" s="45">
        <v>1.1000000000000001</v>
      </c>
      <c r="G47" s="16"/>
      <c r="H47" s="15"/>
      <c r="K47" s="15"/>
      <c r="L47" s="17"/>
      <c r="M47" s="45"/>
    </row>
    <row r="48" spans="1:29" x14ac:dyDescent="0.25">
      <c r="A48" s="16" t="s">
        <v>570</v>
      </c>
      <c r="D48" s="16">
        <v>9.6999999999999993</v>
      </c>
      <c r="E48" s="17">
        <f>D48*1000</f>
        <v>9700</v>
      </c>
      <c r="H48" s="15"/>
      <c r="K48" s="15"/>
      <c r="L48" s="17"/>
      <c r="M48" s="45"/>
    </row>
    <row r="49" spans="1:29" x14ac:dyDescent="0.25">
      <c r="A49" s="16" t="s">
        <v>571</v>
      </c>
      <c r="D49" s="16">
        <v>4.2</v>
      </c>
      <c r="G49" s="9"/>
      <c r="H49" s="15"/>
      <c r="K49" s="15"/>
      <c r="L49" s="17"/>
      <c r="M49" s="45"/>
    </row>
    <row r="50" spans="1:29" x14ac:dyDescent="0.25">
      <c r="D50" s="12"/>
      <c r="H50" s="15"/>
      <c r="K50" s="15"/>
      <c r="L50" s="17"/>
      <c r="M50" s="45"/>
    </row>
    <row r="51" spans="1:29" x14ac:dyDescent="0.25">
      <c r="A51" s="16" t="s">
        <v>567</v>
      </c>
      <c r="D51" s="17">
        <f>(D47*10000000000)/(2*PI()*DiskScaleLengthPc^2)</f>
        <v>1446.8631190172305</v>
      </c>
      <c r="H51" s="15"/>
      <c r="K51" s="15"/>
      <c r="L51" s="17"/>
      <c r="M51" s="45"/>
    </row>
    <row r="52" spans="1:29" x14ac:dyDescent="0.25">
      <c r="A52" s="16" t="s">
        <v>565</v>
      </c>
      <c r="D52" s="9">
        <f>(D49*10000000000)/(4*PI()*(LCDMHaloScaleLengthPc)^3*(LN(2)-1/2))</f>
        <v>1.8959891626285821E-2</v>
      </c>
      <c r="H52" s="15"/>
      <c r="K52" s="15"/>
      <c r="L52" s="17"/>
      <c r="M52" s="45"/>
    </row>
    <row r="53" spans="1:29" x14ac:dyDescent="0.25">
      <c r="H53" s="15"/>
      <c r="K53" s="15"/>
      <c r="L53" s="17"/>
      <c r="M53" s="45"/>
    </row>
    <row r="54" spans="1:29" ht="45" x14ac:dyDescent="0.25">
      <c r="A54" s="7" t="s">
        <v>20</v>
      </c>
      <c r="B54" s="3" t="s">
        <v>19</v>
      </c>
      <c r="C54" s="7" t="s">
        <v>27</v>
      </c>
      <c r="D54" s="4" t="s">
        <v>649</v>
      </c>
      <c r="E54" s="4" t="s">
        <v>21</v>
      </c>
      <c r="F54" s="4" t="s">
        <v>22</v>
      </c>
      <c r="G54" s="4" t="s">
        <v>28</v>
      </c>
      <c r="H54" s="4" t="s">
        <v>23</v>
      </c>
      <c r="I54" s="7" t="s">
        <v>645</v>
      </c>
      <c r="J54" s="7" t="s">
        <v>646</v>
      </c>
      <c r="K54" s="25" t="s">
        <v>647</v>
      </c>
      <c r="L54" s="3" t="s">
        <v>648</v>
      </c>
      <c r="M54" s="3"/>
      <c r="N54" s="3"/>
      <c r="O54" s="3"/>
      <c r="P54" s="3"/>
      <c r="Q54" s="3"/>
      <c r="R54" s="3"/>
      <c r="S54" s="3"/>
      <c r="T54" s="3"/>
      <c r="U54" s="3"/>
      <c r="V54" s="7"/>
      <c r="W54" s="7"/>
      <c r="X54" s="3"/>
      <c r="Y54" s="3"/>
      <c r="Z54" s="3"/>
      <c r="AA54" s="3"/>
      <c r="AB54" s="3"/>
      <c r="AC54" s="3"/>
    </row>
    <row r="55" spans="1:29" x14ac:dyDescent="0.25">
      <c r="A55" s="16">
        <v>0.17</v>
      </c>
      <c r="B55" s="45">
        <f>A55*1000</f>
        <v>170</v>
      </c>
      <c r="C55" s="16">
        <f>B55/LCDMBulgeEffectiveRadius</f>
        <v>0.30357142857142855</v>
      </c>
      <c r="D55" s="15">
        <f>A55*kpc</f>
        <v>5.245651886E+18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1.1960248734107143E+39</v>
      </c>
      <c r="F55" s="15">
        <f t="shared" ref="F55:F87" si="7">2*PI()*LCDMDiskSurfaceDensity*LCDMScaleLength*(LCDMScaleLength-EXP(-RadiusPc/LCDMScaleLength)*(RadiusPc+LCDMScaleLength))*SolarMass</f>
        <v>2.3587199511373038E+38</v>
      </c>
      <c r="G55" s="15">
        <f t="shared" ref="G55:G87" si="8">4*PI()*LCDMHaloRepresentativeDensity*LCDMHaloScaleLengthPc^3*(LN(1+RadiusPc/LCDMHaloScaleLengthPc)-RadiusPc/(RadiusPc+LCDMHaloScaleLengthPc))*SolarMass</f>
        <v>6.4904389573103196E+37</v>
      </c>
      <c r="H55" s="15">
        <f t="shared" ref="H55:H87" si="9">BulgeMass+DiskMass+HaloMass</f>
        <v>1.4968012580975477E+39</v>
      </c>
      <c r="I55" s="16">
        <v>132.66999999999999</v>
      </c>
      <c r="J55" s="45">
        <v>1</v>
      </c>
      <c r="K55" s="19">
        <f t="shared" ref="K55:K87" si="10">SQRT(TotalMass*GravitationalConstant/RadiusKm)/km</f>
        <v>137.99966769501805</v>
      </c>
      <c r="L55" s="16">
        <f t="shared" ref="L55:L87" si="11">(ObservedVelocity-ModelVelocity)^2/(VelocityError)^2</f>
        <v>28.405357739319118</v>
      </c>
      <c r="M55" s="45"/>
    </row>
    <row r="56" spans="1:29" x14ac:dyDescent="0.25">
      <c r="A56" s="16">
        <v>0.35</v>
      </c>
      <c r="B56" s="45">
        <f t="shared" ref="B56:B87" si="12">A56*1000</f>
        <v>350</v>
      </c>
      <c r="C56" s="16">
        <f t="shared" ref="C56:C87" si="13">B56/LCDMBulgeEffectiveRadius</f>
        <v>0.625</v>
      </c>
      <c r="D56" s="15">
        <f t="shared" ref="D56:D87" si="14">A56*kpc</f>
        <v>1.0799871529999999E+19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2.2829905195500004E+39</v>
      </c>
      <c r="F56" s="15">
        <f t="shared" si="7"/>
        <v>8.9843195224706411E+38</v>
      </c>
      <c r="G56" s="15">
        <f t="shared" si="8"/>
        <v>2.6854931589429564E+38</v>
      </c>
      <c r="H56" s="15">
        <f t="shared" si="9"/>
        <v>3.4499717876913599E+39</v>
      </c>
      <c r="I56" s="16">
        <v>153.9</v>
      </c>
      <c r="J56" s="45">
        <v>1</v>
      </c>
      <c r="K56" s="19">
        <f t="shared" si="10"/>
        <v>146.01389332541081</v>
      </c>
      <c r="L56" s="16">
        <f t="shared" si="11"/>
        <v>62.190678483000333</v>
      </c>
      <c r="M56" s="45"/>
    </row>
    <row r="57" spans="1:29" x14ac:dyDescent="0.25">
      <c r="A57" s="16">
        <v>0.56000000000000005</v>
      </c>
      <c r="B57" s="45">
        <f t="shared" si="12"/>
        <v>560</v>
      </c>
      <c r="C57" s="16">
        <f t="shared" si="13"/>
        <v>1</v>
      </c>
      <c r="D57" s="15">
        <f t="shared" si="14"/>
        <v>1.7279794448000002E+19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3.2221510463999993E+39</v>
      </c>
      <c r="F57" s="15">
        <f t="shared" si="7"/>
        <v>2.0342669853590446E+39</v>
      </c>
      <c r="G57" s="15">
        <f t="shared" si="8"/>
        <v>6.6871827193701203E+38</v>
      </c>
      <c r="H57" s="15">
        <f t="shared" si="9"/>
        <v>5.9251363036960562E+39</v>
      </c>
      <c r="I57" s="16">
        <v>158.07</v>
      </c>
      <c r="J57" s="45">
        <v>1</v>
      </c>
      <c r="K57" s="19">
        <f t="shared" si="10"/>
        <v>151.2779361019949</v>
      </c>
      <c r="L57" s="16">
        <f t="shared" si="11"/>
        <v>46.132131994584185</v>
      </c>
      <c r="M57" s="45"/>
    </row>
    <row r="58" spans="1:29" x14ac:dyDescent="0.25">
      <c r="A58" s="16">
        <v>0.78</v>
      </c>
      <c r="B58" s="45">
        <f t="shared" si="12"/>
        <v>780</v>
      </c>
      <c r="C58" s="16">
        <f t="shared" si="13"/>
        <v>1.3928571428571428</v>
      </c>
      <c r="D58" s="15">
        <f t="shared" si="14"/>
        <v>2.4068285124000002E+19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3.9517429808999987E+39</v>
      </c>
      <c r="F58" s="15">
        <f t="shared" si="7"/>
        <v>3.4783046012474079E+39</v>
      </c>
      <c r="G58" s="15">
        <f t="shared" si="8"/>
        <v>1.2609638748993313E+39</v>
      </c>
      <c r="H58" s="15">
        <f t="shared" si="9"/>
        <v>8.6910114570467376E+39</v>
      </c>
      <c r="I58" s="16">
        <v>159.25</v>
      </c>
      <c r="J58" s="45">
        <v>1</v>
      </c>
      <c r="K58" s="19">
        <f t="shared" si="10"/>
        <v>155.24166479317705</v>
      </c>
      <c r="L58" s="16">
        <f t="shared" si="11"/>
        <v>16.066751130256371</v>
      </c>
      <c r="M58" s="45"/>
    </row>
    <row r="59" spans="1:29" x14ac:dyDescent="0.25">
      <c r="A59" s="16">
        <v>1.03</v>
      </c>
      <c r="B59" s="45">
        <f t="shared" si="12"/>
        <v>1030</v>
      </c>
      <c r="C59" s="16">
        <f t="shared" si="13"/>
        <v>1.8392857142857142</v>
      </c>
      <c r="D59" s="15">
        <f t="shared" si="14"/>
        <v>3.1782479073999999E+19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4.577326368225E+39</v>
      </c>
      <c r="F59" s="15">
        <f t="shared" si="7"/>
        <v>5.2697547101326104E+39</v>
      </c>
      <c r="G59" s="15">
        <f t="shared" si="8"/>
        <v>2.1302714975024704E+39</v>
      </c>
      <c r="H59" s="15">
        <f t="shared" si="9"/>
        <v>1.1977352575860079E+40</v>
      </c>
      <c r="I59" s="16">
        <v>161.06</v>
      </c>
      <c r="J59" s="45">
        <v>1</v>
      </c>
      <c r="K59" s="19">
        <f t="shared" si="10"/>
        <v>158.59235062839633</v>
      </c>
      <c r="L59" s="16">
        <f t="shared" si="11"/>
        <v>6.0892934211759888</v>
      </c>
      <c r="M59" s="45"/>
    </row>
    <row r="60" spans="1:29" x14ac:dyDescent="0.25">
      <c r="A60" s="16">
        <v>1.3</v>
      </c>
      <c r="B60" s="45">
        <f t="shared" si="12"/>
        <v>1300</v>
      </c>
      <c r="C60" s="16">
        <f t="shared" si="13"/>
        <v>2.3214285714285716</v>
      </c>
      <c r="D60" s="15">
        <f t="shared" si="14"/>
        <v>4.0113808540000002E+19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5.0916673489499994E+39</v>
      </c>
      <c r="F60" s="15">
        <f t="shared" si="7"/>
        <v>7.2377513341873047E+39</v>
      </c>
      <c r="G60" s="15">
        <f t="shared" si="8"/>
        <v>3.2818610866134928E+39</v>
      </c>
      <c r="H60" s="15">
        <f t="shared" si="9"/>
        <v>1.5611279769750798E+40</v>
      </c>
      <c r="I60" s="16">
        <v>161.76</v>
      </c>
      <c r="J60" s="45">
        <v>1</v>
      </c>
      <c r="K60" s="19">
        <f t="shared" si="10"/>
        <v>161.16398923334501</v>
      </c>
      <c r="L60" s="16">
        <f t="shared" si="11"/>
        <v>0.35522883396866245</v>
      </c>
      <c r="M60" s="45"/>
    </row>
    <row r="61" spans="1:29" x14ac:dyDescent="0.25">
      <c r="A61" s="16">
        <v>1.6</v>
      </c>
      <c r="B61" s="45">
        <f t="shared" si="12"/>
        <v>1600</v>
      </c>
      <c r="C61" s="16">
        <f t="shared" si="13"/>
        <v>2.8571428571428572</v>
      </c>
      <c r="D61" s="15">
        <f t="shared" si="14"/>
        <v>4.937084128E+19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5.528563644685715E+39</v>
      </c>
      <c r="F61" s="15">
        <f t="shared" si="7"/>
        <v>9.3394710858871339E+39</v>
      </c>
      <c r="G61" s="15">
        <f t="shared" si="8"/>
        <v>4.7941422009054296E+39</v>
      </c>
      <c r="H61" s="15">
        <f t="shared" si="9"/>
        <v>1.966217693147828E+40</v>
      </c>
      <c r="I61" s="16">
        <v>162.28</v>
      </c>
      <c r="J61" s="45">
        <v>1</v>
      </c>
      <c r="K61" s="19">
        <f t="shared" si="10"/>
        <v>163.03327027331738</v>
      </c>
      <c r="L61" s="16">
        <f t="shared" si="11"/>
        <v>0.56741610466364567</v>
      </c>
      <c r="M61" s="45"/>
    </row>
    <row r="62" spans="1:29" x14ac:dyDescent="0.25">
      <c r="A62" s="16">
        <v>1.93</v>
      </c>
      <c r="B62" s="45">
        <f t="shared" si="12"/>
        <v>1930</v>
      </c>
      <c r="C62" s="16">
        <f t="shared" si="13"/>
        <v>3.4464285714285716</v>
      </c>
      <c r="D62" s="15">
        <f t="shared" si="14"/>
        <v>5.9553577293999997E+19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5.8973464076892849E+39</v>
      </c>
      <c r="F62" s="15">
        <f t="shared" si="7"/>
        <v>1.1454289264037084E+40</v>
      </c>
      <c r="G62" s="15">
        <f t="shared" si="8"/>
        <v>6.7094046950677303E+39</v>
      </c>
      <c r="H62" s="15">
        <f t="shared" si="9"/>
        <v>2.4061040366794098E+40</v>
      </c>
      <c r="I62" s="16">
        <v>162.54</v>
      </c>
      <c r="J62" s="45">
        <v>1</v>
      </c>
      <c r="K62" s="19">
        <f t="shared" si="10"/>
        <v>164.20976436397791</v>
      </c>
      <c r="L62" s="16">
        <f t="shared" si="11"/>
        <v>2.7881130312105835</v>
      </c>
      <c r="M62" s="45"/>
    </row>
    <row r="63" spans="1:29" x14ac:dyDescent="0.25">
      <c r="A63" s="16">
        <v>2.29</v>
      </c>
      <c r="B63" s="45">
        <f t="shared" si="12"/>
        <v>2290</v>
      </c>
      <c r="C63" s="16">
        <f t="shared" si="13"/>
        <v>4.0892857142857144</v>
      </c>
      <c r="D63" s="15">
        <f t="shared" si="14"/>
        <v>7.0662016582000001E+19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6.206903505075E+39</v>
      </c>
      <c r="F63" s="15">
        <f t="shared" si="7"/>
        <v>1.3471297215256464E+40</v>
      </c>
      <c r="G63" s="15">
        <f t="shared" si="8"/>
        <v>9.0635158415788823E+39</v>
      </c>
      <c r="H63" s="15">
        <f t="shared" si="9"/>
        <v>2.874171656191035E+40</v>
      </c>
      <c r="I63" s="16">
        <v>163.58000000000001</v>
      </c>
      <c r="J63" s="45">
        <v>1</v>
      </c>
      <c r="K63" s="19">
        <f t="shared" si="10"/>
        <v>164.76275359935565</v>
      </c>
      <c r="L63" s="16">
        <f t="shared" si="11"/>
        <v>1.3989060767887107</v>
      </c>
      <c r="M63" s="45"/>
    </row>
    <row r="64" spans="1:29" x14ac:dyDescent="0.25">
      <c r="A64" s="16">
        <v>2.69</v>
      </c>
      <c r="B64" s="45">
        <f t="shared" si="12"/>
        <v>2690</v>
      </c>
      <c r="C64" s="16">
        <f t="shared" si="13"/>
        <v>4.8035714285714288</v>
      </c>
      <c r="D64" s="15">
        <f t="shared" si="14"/>
        <v>8.3004726901999993E+19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6.4713507981107129E+39</v>
      </c>
      <c r="F64" s="15">
        <f t="shared" si="7"/>
        <v>1.5345057557085715E+40</v>
      </c>
      <c r="G64" s="15">
        <f t="shared" si="8"/>
        <v>1.1960890429950801E+40</v>
      </c>
      <c r="H64" s="15">
        <f t="shared" si="9"/>
        <v>3.3777298785147226E+40</v>
      </c>
      <c r="I64" s="16">
        <v>164.33</v>
      </c>
      <c r="J64" s="45">
        <v>1</v>
      </c>
      <c r="K64" s="19">
        <f t="shared" si="10"/>
        <v>164.7998261824321</v>
      </c>
      <c r="L64" s="16">
        <f t="shared" si="11"/>
        <v>0.22073664169870835</v>
      </c>
      <c r="M64" s="45"/>
    </row>
    <row r="65" spans="1:13" x14ac:dyDescent="0.25">
      <c r="A65" s="16">
        <v>3.12</v>
      </c>
      <c r="B65" s="45">
        <f t="shared" si="12"/>
        <v>3120</v>
      </c>
      <c r="C65" s="16">
        <f t="shared" si="13"/>
        <v>5.5714285714285712</v>
      </c>
      <c r="D65" s="15">
        <f t="shared" si="14"/>
        <v>9.6273140496000008E+19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6.6799746389999989E+39</v>
      </c>
      <c r="F65" s="15">
        <f t="shared" si="7"/>
        <v>1.6957982324212994E+40</v>
      </c>
      <c r="G65" s="15">
        <f t="shared" si="8"/>
        <v>1.5359545778290814E+40</v>
      </c>
      <c r="H65" s="15">
        <f t="shared" si="9"/>
        <v>3.8997502741503808E+40</v>
      </c>
      <c r="I65" s="16">
        <v>164.64</v>
      </c>
      <c r="J65" s="45">
        <v>1</v>
      </c>
      <c r="K65" s="19">
        <f t="shared" si="10"/>
        <v>164.42260824813766</v>
      </c>
      <c r="L65" s="16">
        <f t="shared" si="11"/>
        <v>4.7259173777769697E-2</v>
      </c>
      <c r="M65" s="45"/>
    </row>
    <row r="66" spans="1:13" x14ac:dyDescent="0.25">
      <c r="A66" s="16">
        <v>3.61</v>
      </c>
      <c r="B66" s="45">
        <f t="shared" si="12"/>
        <v>3610</v>
      </c>
      <c r="C66" s="16">
        <f t="shared" si="13"/>
        <v>6.4464285714285712</v>
      </c>
      <c r="D66" s="15">
        <f t="shared" si="14"/>
        <v>1.1139296063799999E+20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6.874441060639285E+39</v>
      </c>
      <c r="F66" s="15">
        <f t="shared" si="7"/>
        <v>1.8361239926756412E+40</v>
      </c>
      <c r="G66" s="15">
        <f t="shared" si="8"/>
        <v>1.9535320792259603E+40</v>
      </c>
      <c r="H66" s="15">
        <f t="shared" si="9"/>
        <v>4.4771001779655306E+40</v>
      </c>
      <c r="I66" s="16">
        <v>164.97</v>
      </c>
      <c r="J66" s="45">
        <v>1</v>
      </c>
      <c r="K66" s="19">
        <f t="shared" si="10"/>
        <v>163.78164796027571</v>
      </c>
      <c r="L66" s="16">
        <f t="shared" si="11"/>
        <v>1.4121805703168884</v>
      </c>
      <c r="M66" s="45"/>
    </row>
    <row r="67" spans="1:13" x14ac:dyDescent="0.25">
      <c r="A67" s="16">
        <v>4.13</v>
      </c>
      <c r="B67" s="45">
        <f t="shared" si="12"/>
        <v>4130</v>
      </c>
      <c r="C67" s="16">
        <f t="shared" si="13"/>
        <v>7.375</v>
      </c>
      <c r="D67" s="15">
        <f t="shared" si="14"/>
        <v>1.2743848405399999E+20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7.0320580195124983E+39</v>
      </c>
      <c r="F67" s="15">
        <f t="shared" si="7"/>
        <v>1.9444645988162854E+40</v>
      </c>
      <c r="G67" s="15">
        <f t="shared" si="8"/>
        <v>2.4259852080636458E+40</v>
      </c>
      <c r="H67" s="15">
        <f t="shared" si="9"/>
        <v>5.0736556088311809E+40</v>
      </c>
      <c r="I67" s="16">
        <v>165.03</v>
      </c>
      <c r="J67" s="45">
        <v>1</v>
      </c>
      <c r="K67" s="19">
        <f t="shared" si="10"/>
        <v>163.00686614784573</v>
      </c>
      <c r="L67" s="16">
        <f t="shared" si="11"/>
        <v>4.0930705837325911</v>
      </c>
      <c r="M67" s="45"/>
    </row>
    <row r="68" spans="1:13" x14ac:dyDescent="0.25">
      <c r="A68" s="16">
        <v>4.72</v>
      </c>
      <c r="B68" s="45">
        <f t="shared" si="12"/>
        <v>4720</v>
      </c>
      <c r="C68" s="16">
        <f t="shared" si="13"/>
        <v>8.4285714285714288</v>
      </c>
      <c r="D68" s="15">
        <f t="shared" si="14"/>
        <v>1.4564398177599999E+20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7.1676769531714282E+39</v>
      </c>
      <c r="F68" s="15">
        <f t="shared" si="7"/>
        <v>2.0294982497014433E+40</v>
      </c>
      <c r="G68" s="15">
        <f t="shared" si="8"/>
        <v>2.9916928397705741E+40</v>
      </c>
      <c r="H68" s="15">
        <f t="shared" si="9"/>
        <v>5.7379587847891604E+40</v>
      </c>
      <c r="I68" s="16">
        <v>164.93</v>
      </c>
      <c r="J68" s="45">
        <v>1</v>
      </c>
      <c r="K68" s="19">
        <f t="shared" si="10"/>
        <v>162.1541785320949</v>
      </c>
      <c r="L68" s="16">
        <f t="shared" si="11"/>
        <v>7.7051848216828445</v>
      </c>
      <c r="M68" s="45"/>
    </row>
    <row r="69" spans="1:13" x14ac:dyDescent="0.25">
      <c r="A69" s="16">
        <v>5.36</v>
      </c>
      <c r="B69" s="45">
        <f t="shared" si="12"/>
        <v>5360</v>
      </c>
      <c r="C69" s="16">
        <f t="shared" si="13"/>
        <v>9.5714285714285712</v>
      </c>
      <c r="D69" s="15">
        <f t="shared" si="14"/>
        <v>1.6539231828800002E+20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7.2791631665999992E+39</v>
      </c>
      <c r="F69" s="15">
        <f t="shared" si="7"/>
        <v>2.0896789743747777E+40</v>
      </c>
      <c r="G69" s="15">
        <f t="shared" si="8"/>
        <v>3.6335501727847202E+40</v>
      </c>
      <c r="H69" s="15">
        <f t="shared" si="9"/>
        <v>6.4511454638194973E+40</v>
      </c>
      <c r="I69" s="16">
        <v>164.55</v>
      </c>
      <c r="J69" s="45">
        <v>1</v>
      </c>
      <c r="K69" s="19">
        <f t="shared" si="10"/>
        <v>161.34535021055652</v>
      </c>
      <c r="L69" s="16">
        <f t="shared" si="11"/>
        <v>10.269780272980228</v>
      </c>
      <c r="M69" s="45"/>
    </row>
    <row r="70" spans="1:13" x14ac:dyDescent="0.25">
      <c r="A70" s="16">
        <v>6.06</v>
      </c>
      <c r="B70" s="45">
        <f t="shared" si="12"/>
        <v>6060</v>
      </c>
      <c r="C70" s="16">
        <f t="shared" si="13"/>
        <v>10.821428571428571</v>
      </c>
      <c r="D70" s="15">
        <f t="shared" si="14"/>
        <v>1.8699206134799997E+20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7.3720092397714272E+39</v>
      </c>
      <c r="F70" s="15">
        <f t="shared" si="7"/>
        <v>2.130333106963957E+40</v>
      </c>
      <c r="G70" s="15">
        <f t="shared" si="8"/>
        <v>4.3612749973064463E+40</v>
      </c>
      <c r="H70" s="15">
        <f t="shared" si="9"/>
        <v>7.2288090282475467E+40</v>
      </c>
      <c r="I70" s="16">
        <v>164.58</v>
      </c>
      <c r="J70" s="45">
        <v>1</v>
      </c>
      <c r="K70" s="19">
        <f t="shared" si="10"/>
        <v>160.62661057025161</v>
      </c>
      <c r="L70" s="16">
        <f t="shared" si="11"/>
        <v>15.629287983246366</v>
      </c>
      <c r="M70" s="45"/>
    </row>
    <row r="71" spans="1:13" x14ac:dyDescent="0.25">
      <c r="A71" s="16">
        <v>6.84</v>
      </c>
      <c r="B71" s="45">
        <f t="shared" si="12"/>
        <v>6840</v>
      </c>
      <c r="C71" s="16">
        <f t="shared" si="13"/>
        <v>12.214285714285714</v>
      </c>
      <c r="D71" s="15">
        <f t="shared" si="14"/>
        <v>2.11060346472E+20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7.4489967869571423E+39</v>
      </c>
      <c r="F71" s="15">
        <f t="shared" si="7"/>
        <v>2.1565357732916606E+40</v>
      </c>
      <c r="G71" s="15">
        <f t="shared" si="8"/>
        <v>5.1952578518419881E+40</v>
      </c>
      <c r="H71" s="15">
        <f t="shared" si="9"/>
        <v>8.0966933038293626E+40</v>
      </c>
      <c r="I71" s="16">
        <v>164.2</v>
      </c>
      <c r="J71" s="45">
        <v>1</v>
      </c>
      <c r="K71" s="19">
        <f t="shared" si="10"/>
        <v>160.00966837092582</v>
      </c>
      <c r="L71" s="16">
        <f t="shared" si="11"/>
        <v>17.558879161619352</v>
      </c>
      <c r="M71" s="45"/>
    </row>
    <row r="72" spans="1:13" x14ac:dyDescent="0.25">
      <c r="A72" s="16">
        <v>7.69</v>
      </c>
      <c r="B72" s="45">
        <f t="shared" si="12"/>
        <v>7690</v>
      </c>
      <c r="C72" s="16">
        <f t="shared" si="13"/>
        <v>13.732142857142858</v>
      </c>
      <c r="D72" s="15">
        <f t="shared" si="14"/>
        <v>2.37288605902E+20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7.5115540174767838E+39</v>
      </c>
      <c r="F72" s="15">
        <f t="shared" si="7"/>
        <v>2.1719208814842873E+40</v>
      </c>
      <c r="G72" s="15">
        <f t="shared" si="8"/>
        <v>6.1229682470769877E+40</v>
      </c>
      <c r="H72" s="15">
        <f t="shared" si="9"/>
        <v>9.0460445303089524E+40</v>
      </c>
      <c r="I72" s="16">
        <v>163.98</v>
      </c>
      <c r="J72" s="45">
        <v>1</v>
      </c>
      <c r="K72" s="19">
        <f t="shared" si="10"/>
        <v>159.50952519235383</v>
      </c>
      <c r="L72" s="16">
        <f t="shared" si="11"/>
        <v>19.98514500579893</v>
      </c>
      <c r="M72" s="45"/>
    </row>
    <row r="73" spans="1:13" x14ac:dyDescent="0.25">
      <c r="A73" s="16">
        <v>8.6300000000000008</v>
      </c>
      <c r="B73" s="45">
        <f t="shared" si="12"/>
        <v>8630</v>
      </c>
      <c r="C73" s="16">
        <f t="shared" si="13"/>
        <v>15.410714285714286</v>
      </c>
      <c r="D73" s="15">
        <f t="shared" si="14"/>
        <v>2.6629397515400004E+20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7.5602707776235706E+39</v>
      </c>
      <c r="F73" s="15">
        <f t="shared" si="7"/>
        <v>2.180432397135463E+40</v>
      </c>
      <c r="G73" s="15">
        <f t="shared" si="8"/>
        <v>7.1627312648272982E+40</v>
      </c>
      <c r="H73" s="15">
        <f t="shared" si="9"/>
        <v>1.0099190739725118E+41</v>
      </c>
      <c r="I73" s="16">
        <v>163.85</v>
      </c>
      <c r="J73" s="45">
        <v>1</v>
      </c>
      <c r="K73" s="19">
        <f t="shared" si="10"/>
        <v>159.09565574860406</v>
      </c>
      <c r="L73" s="16">
        <f t="shared" si="11"/>
        <v>22.603789260781571</v>
      </c>
      <c r="M73" s="45"/>
    </row>
    <row r="74" spans="1:13" x14ac:dyDescent="0.25">
      <c r="A74" s="16">
        <v>9.66</v>
      </c>
      <c r="B74" s="45">
        <f t="shared" si="12"/>
        <v>9660</v>
      </c>
      <c r="C74" s="16">
        <f t="shared" si="13"/>
        <v>17.25</v>
      </c>
      <c r="D74" s="15">
        <f t="shared" si="14"/>
        <v>2.9807645422799998E+20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7.5955989411899992E+39</v>
      </c>
      <c r="F74" s="15">
        <f t="shared" si="7"/>
        <v>2.1847247100035304E+40</v>
      </c>
      <c r="G74" s="15">
        <f t="shared" si="8"/>
        <v>8.30962920830131E+40</v>
      </c>
      <c r="H74" s="15">
        <f t="shared" si="9"/>
        <v>1.125391381242384E+41</v>
      </c>
      <c r="I74" s="16">
        <v>163.58000000000001</v>
      </c>
      <c r="J74" s="45">
        <v>1</v>
      </c>
      <c r="K74" s="19">
        <f t="shared" si="10"/>
        <v>158.73900755199671</v>
      </c>
      <c r="L74" s="16">
        <f t="shared" si="11"/>
        <v>23.435207881625036</v>
      </c>
      <c r="M74" s="45"/>
    </row>
    <row r="75" spans="1:13" x14ac:dyDescent="0.25">
      <c r="A75" s="16">
        <v>10.79</v>
      </c>
      <c r="B75" s="45">
        <f t="shared" si="12"/>
        <v>10790</v>
      </c>
      <c r="C75" s="16">
        <f t="shared" si="13"/>
        <v>19.267857142857142</v>
      </c>
      <c r="D75" s="15">
        <f t="shared" si="14"/>
        <v>3.3294461088199999E+20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7.6343570235492842E+39</v>
      </c>
      <c r="F75" s="15">
        <f t="shared" si="7"/>
        <v>2.1867104158148535E+40</v>
      </c>
      <c r="G75" s="15">
        <f t="shared" si="8"/>
        <v>9.5681431057871246E+40</v>
      </c>
      <c r="H75" s="15">
        <f t="shared" si="9"/>
        <v>1.2518289223956907E+41</v>
      </c>
      <c r="I75" s="16">
        <v>163.47999999999999</v>
      </c>
      <c r="J75" s="45">
        <v>1</v>
      </c>
      <c r="K75" s="19">
        <f t="shared" si="10"/>
        <v>158.40985624807871</v>
      </c>
      <c r="L75" s="16">
        <f t="shared" si="11"/>
        <v>25.706357665146381</v>
      </c>
      <c r="M75" s="45"/>
    </row>
    <row r="76" spans="1:13" x14ac:dyDescent="0.25">
      <c r="A76" s="16">
        <v>12.04</v>
      </c>
      <c r="B76" s="45">
        <f t="shared" si="12"/>
        <v>12040</v>
      </c>
      <c r="C76" s="16">
        <f t="shared" si="13"/>
        <v>21.5</v>
      </c>
      <c r="D76" s="15">
        <f t="shared" si="14"/>
        <v>3.7151558063199997E+20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7.6614522737999992E+39</v>
      </c>
      <c r="F76" s="15">
        <f t="shared" si="7"/>
        <v>2.1875489994202007E+40</v>
      </c>
      <c r="G76" s="15">
        <f t="shared" si="8"/>
        <v>1.0952131343521869E+41</v>
      </c>
      <c r="H76" s="15">
        <f t="shared" si="9"/>
        <v>1.3905825570322069E+41</v>
      </c>
      <c r="I76" s="16">
        <v>163.22999999999999</v>
      </c>
      <c r="J76" s="45">
        <v>1</v>
      </c>
      <c r="K76" s="19">
        <f t="shared" si="10"/>
        <v>158.05403109811135</v>
      </c>
      <c r="L76" s="16">
        <f t="shared" si="11"/>
        <v>26.790654073318269</v>
      </c>
      <c r="M76" s="45"/>
    </row>
    <row r="77" spans="1:13" x14ac:dyDescent="0.25">
      <c r="A77" s="16">
        <v>13.41</v>
      </c>
      <c r="B77" s="45">
        <f t="shared" si="12"/>
        <v>13410</v>
      </c>
      <c r="C77" s="16">
        <f t="shared" si="13"/>
        <v>23.946428571428573</v>
      </c>
      <c r="D77" s="15">
        <f t="shared" si="14"/>
        <v>4.1378936347799998E+20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7.6827077963999983E+39</v>
      </c>
      <c r="F77" s="15">
        <f t="shared" si="7"/>
        <v>2.1878634858795585E+40</v>
      </c>
      <c r="G77" s="15">
        <f t="shared" si="8"/>
        <v>1.245133272327258E+41</v>
      </c>
      <c r="H77" s="15">
        <f t="shared" si="9"/>
        <v>1.5407466988792138E+41</v>
      </c>
      <c r="I77" s="16">
        <v>163.13999999999999</v>
      </c>
      <c r="J77" s="45">
        <v>1</v>
      </c>
      <c r="K77" s="19">
        <f t="shared" si="10"/>
        <v>157.64190179758572</v>
      </c>
      <c r="L77" s="16">
        <f t="shared" si="11"/>
        <v>30.229083843391017</v>
      </c>
      <c r="M77" s="45"/>
    </row>
    <row r="78" spans="1:13" x14ac:dyDescent="0.25">
      <c r="A78" s="16">
        <v>14.92</v>
      </c>
      <c r="B78" s="45">
        <f t="shared" si="12"/>
        <v>14920</v>
      </c>
      <c r="C78" s="16">
        <f t="shared" si="13"/>
        <v>26.642857142857142</v>
      </c>
      <c r="D78" s="15">
        <f t="shared" si="14"/>
        <v>4.60383094936E+20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7.7006043258299987E+39</v>
      </c>
      <c r="F78" s="15">
        <f t="shared" si="7"/>
        <v>2.1879690072832333E+40</v>
      </c>
      <c r="G78" s="15">
        <f t="shared" si="8"/>
        <v>1.4075513933185929E+41</v>
      </c>
      <c r="H78" s="15">
        <f t="shared" si="9"/>
        <v>1.7033543373052162E+41</v>
      </c>
      <c r="I78" s="16">
        <v>163.44</v>
      </c>
      <c r="J78" s="45">
        <v>1</v>
      </c>
      <c r="K78" s="19">
        <f t="shared" si="10"/>
        <v>157.14064098698398</v>
      </c>
      <c r="L78" s="16">
        <f t="shared" si="11"/>
        <v>39.681923974866109</v>
      </c>
      <c r="M78" s="45"/>
    </row>
    <row r="79" spans="1:13" x14ac:dyDescent="0.25">
      <c r="A79" s="16">
        <v>16.579999999999998</v>
      </c>
      <c r="B79" s="45">
        <f t="shared" si="12"/>
        <v>16580</v>
      </c>
      <c r="C79" s="16">
        <f t="shared" si="13"/>
        <v>29.607142857142858</v>
      </c>
      <c r="D79" s="15">
        <f t="shared" si="14"/>
        <v>5.1160534276399995E+20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7.7163791817449993E+39</v>
      </c>
      <c r="F79" s="15">
        <f t="shared" si="7"/>
        <v>2.1879999968542597E+40</v>
      </c>
      <c r="G79" s="15">
        <f t="shared" si="8"/>
        <v>1.5821315100718991E+41</v>
      </c>
      <c r="H79" s="15">
        <f t="shared" si="9"/>
        <v>1.878095301574775E+41</v>
      </c>
      <c r="I79" s="16">
        <v>163.05000000000001</v>
      </c>
      <c r="J79" s="45">
        <v>1</v>
      </c>
      <c r="K79" s="19">
        <f t="shared" si="10"/>
        <v>156.52617822206818</v>
      </c>
      <c r="L79" s="16">
        <f t="shared" si="11"/>
        <v>42.560250590217613</v>
      </c>
      <c r="M79" s="45"/>
    </row>
    <row r="80" spans="1:13" x14ac:dyDescent="0.25">
      <c r="A80" s="16">
        <v>18.41</v>
      </c>
      <c r="B80" s="45">
        <f t="shared" si="12"/>
        <v>18410</v>
      </c>
      <c r="C80" s="16">
        <f t="shared" si="13"/>
        <v>32.875</v>
      </c>
      <c r="D80" s="15">
        <f t="shared" si="14"/>
        <v>5.6807324247800001E+20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7.7264096163149985E+39</v>
      </c>
      <c r="F80" s="15">
        <f t="shared" si="7"/>
        <v>2.1880079087617569E+40</v>
      </c>
      <c r="G80" s="15">
        <f t="shared" si="8"/>
        <v>1.7693662640040798E+41</v>
      </c>
      <c r="H80" s="15">
        <f t="shared" si="9"/>
        <v>2.0654311510434054E+41</v>
      </c>
      <c r="I80" s="16">
        <v>162.29</v>
      </c>
      <c r="J80" s="45">
        <v>1</v>
      </c>
      <c r="K80" s="19">
        <f t="shared" si="10"/>
        <v>155.77540845923684</v>
      </c>
      <c r="L80" s="16">
        <f t="shared" si="11"/>
        <v>42.439902942982783</v>
      </c>
      <c r="M80" s="45"/>
    </row>
    <row r="81" spans="1:13" x14ac:dyDescent="0.25">
      <c r="A81" s="16">
        <v>20.420000000000002</v>
      </c>
      <c r="B81" s="45">
        <f t="shared" si="12"/>
        <v>20420</v>
      </c>
      <c r="C81" s="16">
        <f t="shared" si="13"/>
        <v>36.464285714285715</v>
      </c>
      <c r="D81" s="15">
        <f t="shared" si="14"/>
        <v>6.3009536183600008E+20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7.7347090224021412E+39</v>
      </c>
      <c r="F81" s="15">
        <f t="shared" si="7"/>
        <v>2.1880096289657105E+40</v>
      </c>
      <c r="G81" s="15">
        <f t="shared" si="8"/>
        <v>1.9684874214962044E+41</v>
      </c>
      <c r="H81" s="15">
        <f t="shared" si="9"/>
        <v>2.2646354746167966E+41</v>
      </c>
      <c r="I81" s="16">
        <v>161.27000000000001</v>
      </c>
      <c r="J81" s="45">
        <v>1</v>
      </c>
      <c r="K81" s="19">
        <f t="shared" si="10"/>
        <v>154.87870750696072</v>
      </c>
      <c r="L81" s="16">
        <f t="shared" si="11"/>
        <v>40.848619731580349</v>
      </c>
      <c r="M81" s="45"/>
    </row>
    <row r="82" spans="1:13" x14ac:dyDescent="0.25">
      <c r="A82" s="16">
        <v>22.63</v>
      </c>
      <c r="B82" s="45">
        <f t="shared" si="12"/>
        <v>22630</v>
      </c>
      <c r="C82" s="16">
        <f t="shared" si="13"/>
        <v>40.410714285714285</v>
      </c>
      <c r="D82" s="15">
        <f t="shared" si="14"/>
        <v>6.9828883635400003E+20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7.7410056108032132E+39</v>
      </c>
      <c r="F82" s="15">
        <f t="shared" si="7"/>
        <v>2.1880099451303208E+40</v>
      </c>
      <c r="G82" s="15">
        <f t="shared" si="8"/>
        <v>2.1795279483437172E+41</v>
      </c>
      <c r="H82" s="15">
        <f t="shared" si="9"/>
        <v>2.4757389989647815E+41</v>
      </c>
      <c r="I82" s="16">
        <v>158.91</v>
      </c>
      <c r="J82" s="45">
        <v>1</v>
      </c>
      <c r="K82" s="19">
        <f t="shared" si="10"/>
        <v>153.82629627666481</v>
      </c>
      <c r="L82" s="16">
        <f t="shared" si="11"/>
        <v>25.844043546652081</v>
      </c>
      <c r="M82" s="45"/>
    </row>
    <row r="83" spans="1:13" x14ac:dyDescent="0.25">
      <c r="A83" s="16">
        <v>25.06</v>
      </c>
      <c r="B83" s="45">
        <f t="shared" si="12"/>
        <v>25060</v>
      </c>
      <c r="C83" s="16">
        <f t="shared" si="13"/>
        <v>44.75</v>
      </c>
      <c r="D83" s="15">
        <f t="shared" si="14"/>
        <v>7.7327080154799997E+20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7.7455163141849994E+39</v>
      </c>
      <c r="F83" s="15">
        <f t="shared" si="7"/>
        <v>2.1880099933583433E+40</v>
      </c>
      <c r="G83" s="15">
        <f t="shared" si="8"/>
        <v>2.4022692995689784E+41</v>
      </c>
      <c r="H83" s="15">
        <f t="shared" si="9"/>
        <v>2.6985254620466627E+41</v>
      </c>
      <c r="I83" s="16">
        <v>154.72</v>
      </c>
      <c r="J83" s="45">
        <v>1</v>
      </c>
      <c r="K83" s="19">
        <f t="shared" si="10"/>
        <v>152.61357233948436</v>
      </c>
      <c r="L83" s="16">
        <f t="shared" si="11"/>
        <v>4.4370374889853714</v>
      </c>
      <c r="M83" s="45"/>
    </row>
    <row r="84" spans="1:13" x14ac:dyDescent="0.25">
      <c r="A84" s="16">
        <v>27.74</v>
      </c>
      <c r="B84" s="45">
        <f t="shared" si="12"/>
        <v>27740</v>
      </c>
      <c r="C84" s="16">
        <f t="shared" si="13"/>
        <v>49.535714285714285</v>
      </c>
      <c r="D84" s="15">
        <f t="shared" si="14"/>
        <v>8.5596696069199993E+20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7.7488725368228566E+39</v>
      </c>
      <c r="F84" s="15">
        <f t="shared" si="7"/>
        <v>2.1880099993594776E+40</v>
      </c>
      <c r="G84" s="15">
        <f t="shared" si="8"/>
        <v>2.637121513430597E+41</v>
      </c>
      <c r="H84" s="15">
        <f t="shared" si="9"/>
        <v>2.9334112387347733E+41</v>
      </c>
      <c r="I84" s="16">
        <v>148.53</v>
      </c>
      <c r="J84" s="45">
        <v>1</v>
      </c>
      <c r="K84" s="19">
        <f t="shared" si="10"/>
        <v>151.23547648221353</v>
      </c>
      <c r="L84" s="16">
        <f t="shared" si="11"/>
        <v>7.31960299581048</v>
      </c>
      <c r="M84" s="45"/>
    </row>
    <row r="85" spans="1:13" x14ac:dyDescent="0.25">
      <c r="A85" s="16">
        <v>30.68</v>
      </c>
      <c r="B85" s="45">
        <f t="shared" si="12"/>
        <v>30680</v>
      </c>
      <c r="C85" s="16">
        <f t="shared" si="13"/>
        <v>54.785714285714285</v>
      </c>
      <c r="D85" s="15">
        <f t="shared" si="14"/>
        <v>9.4668588154400001E+20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7.7514169935428563E+39</v>
      </c>
      <c r="F85" s="15">
        <f t="shared" si="7"/>
        <v>2.1880099999512541E+40</v>
      </c>
      <c r="G85" s="15">
        <f t="shared" si="8"/>
        <v>2.8825038453398899E+41</v>
      </c>
      <c r="H85" s="15">
        <f t="shared" si="9"/>
        <v>3.1788190152704438E+41</v>
      </c>
      <c r="I85" s="16">
        <v>143.55000000000001</v>
      </c>
      <c r="J85" s="45">
        <v>1</v>
      </c>
      <c r="K85" s="19">
        <f t="shared" si="10"/>
        <v>149.70132870314754</v>
      </c>
      <c r="L85" s="16">
        <f t="shared" si="11"/>
        <v>37.838844814166642</v>
      </c>
      <c r="M85" s="45"/>
    </row>
    <row r="86" spans="1:13" x14ac:dyDescent="0.25">
      <c r="A86" s="16">
        <v>33.909999999999997</v>
      </c>
      <c r="B86" s="45">
        <f t="shared" si="12"/>
        <v>33910</v>
      </c>
      <c r="C86" s="16">
        <f t="shared" si="13"/>
        <v>60.553571428571431</v>
      </c>
      <c r="D86" s="15">
        <f t="shared" si="14"/>
        <v>1.0463532673779998E+21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7.7531498228716059E+39</v>
      </c>
      <c r="F86" s="15">
        <f t="shared" si="7"/>
        <v>2.1880099999971512E+40</v>
      </c>
      <c r="G86" s="15">
        <f t="shared" si="8"/>
        <v>3.1383893087641444E+41</v>
      </c>
      <c r="H86" s="15">
        <f t="shared" si="9"/>
        <v>3.4347218069925754E+41</v>
      </c>
      <c r="I86" s="16">
        <v>140.96</v>
      </c>
      <c r="J86" s="45">
        <v>1</v>
      </c>
      <c r="K86" s="19">
        <f t="shared" si="10"/>
        <v>148.01383811425592</v>
      </c>
      <c r="L86" s="16">
        <f t="shared" si="11"/>
        <v>49.756632142129376</v>
      </c>
      <c r="M86" s="45"/>
    </row>
    <row r="87" spans="1:13" x14ac:dyDescent="0.25">
      <c r="A87" s="16">
        <v>37.479999999999997</v>
      </c>
      <c r="B87" s="45">
        <f t="shared" si="12"/>
        <v>37480</v>
      </c>
      <c r="C87" s="16">
        <f t="shared" si="13"/>
        <v>66.928571428571431</v>
      </c>
      <c r="D87" s="15">
        <f t="shared" si="14"/>
        <v>1.1565119569839999E+21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7.7540894488478557E+39</v>
      </c>
      <c r="F87" s="15">
        <f t="shared" si="7"/>
        <v>2.188009999999878E+40</v>
      </c>
      <c r="G87" s="15">
        <f t="shared" si="8"/>
        <v>3.4059234715811437E+41</v>
      </c>
      <c r="H87" s="15">
        <f t="shared" si="9"/>
        <v>3.7022653660696098E+41</v>
      </c>
      <c r="I87" s="16">
        <v>141.93</v>
      </c>
      <c r="J87" s="45">
        <v>1</v>
      </c>
      <c r="K87" s="19">
        <f t="shared" si="10"/>
        <v>146.16870947591804</v>
      </c>
      <c r="L87" s="16">
        <f t="shared" si="11"/>
        <v>17.96665802123729</v>
      </c>
      <c r="M87" s="45"/>
    </row>
    <row r="88" spans="1:13" x14ac:dyDescent="0.25">
      <c r="H88" s="15"/>
      <c r="K88" s="45"/>
      <c r="L88" s="16">
        <f>SUM(L55:L87)/(COUNT(L55:L87)-6)</f>
        <v>25.124963333433762</v>
      </c>
      <c r="M88" s="45"/>
    </row>
    <row r="89" spans="1:13" x14ac:dyDescent="0.25">
      <c r="H89" s="15"/>
      <c r="K89" s="45"/>
      <c r="L89" s="17"/>
      <c r="M89" s="45"/>
    </row>
    <row r="90" spans="1:13" x14ac:dyDescent="0.25">
      <c r="I90" s="45"/>
      <c r="J90" s="45"/>
      <c r="L90" s="16"/>
    </row>
    <row r="91" spans="1:13" x14ac:dyDescent="0.25">
      <c r="I91" s="45"/>
      <c r="J91" s="45"/>
      <c r="L91" s="16"/>
    </row>
    <row r="92" spans="1:13" x14ac:dyDescent="0.25">
      <c r="I92" s="45"/>
      <c r="J92" s="45"/>
      <c r="L92" s="16"/>
    </row>
    <row r="93" spans="1:13" x14ac:dyDescent="0.25">
      <c r="I93" s="45"/>
      <c r="J93" s="45"/>
      <c r="L93" s="16"/>
    </row>
    <row r="94" spans="1:13" x14ac:dyDescent="0.25">
      <c r="I94" s="45"/>
      <c r="J94" s="45"/>
      <c r="L94" s="16"/>
    </row>
    <row r="95" spans="1:13" x14ac:dyDescent="0.25">
      <c r="I95" s="45"/>
      <c r="J95" s="45"/>
      <c r="L95" s="16"/>
    </row>
    <row r="96" spans="1:13" x14ac:dyDescent="0.25">
      <c r="I96" s="45"/>
      <c r="J96" s="45"/>
      <c r="L96" s="16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2:15" x14ac:dyDescent="0.25">
      <c r="L545" s="16"/>
    </row>
    <row r="546" spans="12:15" x14ac:dyDescent="0.25">
      <c r="L546" s="16"/>
      <c r="N546" s="17"/>
      <c r="O546" s="38"/>
    </row>
    <row r="547" spans="12:15" x14ac:dyDescent="0.25">
      <c r="L547" s="16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C547"/>
  <sheetViews>
    <sheetView zoomScaleNormal="100" workbookViewId="0">
      <selection activeCell="O7" sqref="O7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736.37696543204299</v>
      </c>
      <c r="E2" s="55"/>
      <c r="F2" s="53" t="s">
        <v>620</v>
      </c>
      <c r="G2" s="53">
        <v>54450061368</v>
      </c>
      <c r="H2" s="62"/>
      <c r="K2" s="51" t="s">
        <v>1</v>
      </c>
      <c r="L2" s="60" t="s">
        <v>576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4.4681327919054202E+40</v>
      </c>
      <c r="E3" s="53"/>
      <c r="F3" s="53" t="s">
        <v>621</v>
      </c>
      <c r="G3" s="53">
        <f>H40/SolarMass</f>
        <v>108345424877.67638</v>
      </c>
      <c r="H3" s="62"/>
      <c r="K3" s="51" t="s">
        <v>562</v>
      </c>
      <c r="L3" s="57">
        <v>3.7200000000000002E-3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4118.3847157811997</v>
      </c>
      <c r="E4" s="55"/>
      <c r="F4" s="53" t="s">
        <v>622</v>
      </c>
      <c r="G4" s="52">
        <f>G3/G2</f>
        <v>1.9898127229908025</v>
      </c>
      <c r="H4" s="62"/>
      <c r="K4" s="61" t="s">
        <v>614</v>
      </c>
      <c r="L4" s="52">
        <f>QEHModelChiSquare</f>
        <v>245.86622646112136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844.25473645786997</v>
      </c>
      <c r="F5" s="53"/>
      <c r="G5" s="52"/>
      <c r="H5" s="62"/>
      <c r="K5" s="61" t="s">
        <v>615</v>
      </c>
      <c r="L5" s="52">
        <f>LCDMModelChiSquare</f>
        <v>477.71877671792157</v>
      </c>
      <c r="M5" s="55"/>
    </row>
    <row r="6" spans="1:13" ht="20.100000000000001" customHeight="1" x14ac:dyDescent="0.25">
      <c r="A6" s="45"/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0" si="0">RadiusKpc*1000</f>
        <v>90</v>
      </c>
      <c r="C8" s="16">
        <f t="shared" ref="C8:C40" si="1">IF(QESBulgeEffectiveRadius=0,0,RadiusPc/QESBulgeEffectiveRadius)</f>
        <v>0.12222000989288917</v>
      </c>
      <c r="D8" s="15">
        <f t="shared" ref="D8:D40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2.522940720609662E+39</v>
      </c>
      <c r="F8" s="15">
        <f t="shared" ref="F8:F40" si="3">2*PI()*QESDiskSurfaceDensity*QESDiskScaleLength*(QESDiskScaleLength-EXP(-RadiusPc/QESDiskScaleLength)*(RadiusPc+QESDiskScaleLength))*SolarMass</f>
        <v>4.2115661265314546E+37</v>
      </c>
      <c r="H8" s="18">
        <f t="shared" ref="H8:H40" si="4">BulgeMass+DiskMass+HaloMass</f>
        <v>2.5650563818749766E+39</v>
      </c>
      <c r="I8" s="45">
        <v>214.41</v>
      </c>
      <c r="J8" s="45">
        <v>1</v>
      </c>
      <c r="K8" s="19">
        <f t="shared" ref="K8:K40" si="5">SQRT(TotalMass*GravitationalConstant/RadiusKm+UniverseAcceleration*RadiusKm)/km</f>
        <v>248.48722953992211</v>
      </c>
      <c r="L8" s="16">
        <f t="shared" ref="L8:L40" si="6">(ObservedVelocity-ModelVelocity)^2/(VelocityError)^2</f>
        <v>1161.2575731165405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0.25802002088498827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5.8230133043787715E+39</v>
      </c>
      <c r="F9" s="15">
        <f t="shared" si="3"/>
        <v>1.8469519377100833E+38</v>
      </c>
      <c r="H9" s="18">
        <f t="shared" si="4"/>
        <v>6.0077084981497801E+39</v>
      </c>
      <c r="I9" s="45">
        <v>265.51</v>
      </c>
      <c r="J9" s="45">
        <v>1</v>
      </c>
      <c r="K9" s="19">
        <f t="shared" si="5"/>
        <v>261.92431377162677</v>
      </c>
      <c r="L9" s="16">
        <f t="shared" si="6"/>
        <v>12.857145728345367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0.40740003297629723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9.1177582127974348E+39</v>
      </c>
      <c r="F10" s="15">
        <f t="shared" si="3"/>
        <v>4.5237250394531822E+38</v>
      </c>
      <c r="H10" s="18">
        <f t="shared" si="4"/>
        <v>9.5701307167427527E+39</v>
      </c>
      <c r="I10" s="45">
        <v>279.39</v>
      </c>
      <c r="J10" s="45">
        <v>1</v>
      </c>
      <c r="K10" s="19">
        <f t="shared" si="5"/>
        <v>263.31677402394121</v>
      </c>
      <c r="L10" s="16">
        <f t="shared" si="6"/>
        <v>258.34859327745068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0.57036004616681613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1.2205992015539108E+40</v>
      </c>
      <c r="F11" s="15">
        <f t="shared" si="3"/>
        <v>8.6971682675049588E+38</v>
      </c>
      <c r="H11" s="18">
        <f t="shared" si="4"/>
        <v>1.3075708842289603E+40</v>
      </c>
      <c r="I11" s="45">
        <v>282.14</v>
      </c>
      <c r="J11" s="45">
        <v>1</v>
      </c>
      <c r="K11" s="19">
        <f t="shared" si="5"/>
        <v>260.4036651067475</v>
      </c>
      <c r="L11" s="16">
        <f t="shared" si="6"/>
        <v>472.46825459162574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0.76048006155575487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1.52937917913802E+40</v>
      </c>
      <c r="F12" s="15">
        <f t="shared" si="3"/>
        <v>1.5118595820648046E+39</v>
      </c>
      <c r="H12" s="18">
        <f t="shared" si="4"/>
        <v>1.6805651373445005E+40</v>
      </c>
      <c r="I12" s="45">
        <v>276.27</v>
      </c>
      <c r="J12" s="45">
        <v>1</v>
      </c>
      <c r="K12" s="19">
        <f t="shared" si="5"/>
        <v>256.00706272847316</v>
      </c>
      <c r="L12" s="16">
        <f t="shared" si="6"/>
        <v>410.58662686983092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0.95060007694469351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1.7925795871023272E+40</v>
      </c>
      <c r="F13" s="15">
        <f t="shared" si="3"/>
        <v>2.3100212316894383E+39</v>
      </c>
      <c r="H13" s="18">
        <f t="shared" si="4"/>
        <v>2.0235817102712709E+40</v>
      </c>
      <c r="I13" s="45">
        <v>266.17</v>
      </c>
      <c r="J13" s="45">
        <v>1</v>
      </c>
      <c r="K13" s="19">
        <f t="shared" si="5"/>
        <v>251.62289331202942</v>
      </c>
      <c r="L13" s="16">
        <f t="shared" si="6"/>
        <v>211.61831299119888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1.167880094532052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2.0493056704055922E+40</v>
      </c>
      <c r="F14" s="15">
        <f t="shared" si="3"/>
        <v>3.3989772385401709E+39</v>
      </c>
      <c r="H14" s="18">
        <f t="shared" si="4"/>
        <v>2.3892033942596092E+40</v>
      </c>
      <c r="I14" s="45">
        <v>256.11</v>
      </c>
      <c r="J14" s="45">
        <v>1</v>
      </c>
      <c r="K14" s="19">
        <f t="shared" si="5"/>
        <v>247.09668851448887</v>
      </c>
      <c r="L14" s="16">
        <f t="shared" si="6"/>
        <v>81.239783934847011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1.4123201143178303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2.2939683596342164E+40</v>
      </c>
      <c r="F15" s="15">
        <f t="shared" si="3"/>
        <v>4.8307064067652442E+39</v>
      </c>
      <c r="H15" s="18">
        <f t="shared" si="4"/>
        <v>2.7770390003107411E+40</v>
      </c>
      <c r="I15" s="45">
        <v>249.4</v>
      </c>
      <c r="J15" s="45">
        <v>1</v>
      </c>
      <c r="K15" s="19">
        <f t="shared" si="5"/>
        <v>242.74518723925695</v>
      </c>
      <c r="L15" s="16">
        <f t="shared" si="6"/>
        <v>44.286532880548613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1.6703401352028187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2.5116443728919763E+40</v>
      </c>
      <c r="F16" s="15">
        <f t="shared" si="3"/>
        <v>6.5570596068829434E+39</v>
      </c>
      <c r="H16" s="18">
        <f t="shared" si="4"/>
        <v>3.1673503335802706E+40</v>
      </c>
      <c r="I16" s="45">
        <v>233.61</v>
      </c>
      <c r="J16" s="45">
        <v>1</v>
      </c>
      <c r="K16" s="19">
        <f t="shared" si="5"/>
        <v>238.91638103477348</v>
      </c>
      <c r="L16" s="16">
        <f t="shared" si="6"/>
        <v>28.157679686203519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1.9691001593854367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2.7242583344846455E+40</v>
      </c>
      <c r="F17" s="15">
        <f t="shared" si="3"/>
        <v>8.8023115473960868E+39</v>
      </c>
      <c r="H17" s="18">
        <f t="shared" si="4"/>
        <v>3.6044894892242542E+40</v>
      </c>
      <c r="I17" s="45">
        <v>216.78</v>
      </c>
      <c r="J17" s="45">
        <v>1</v>
      </c>
      <c r="K17" s="19">
        <f t="shared" si="5"/>
        <v>235.36924662051436</v>
      </c>
      <c r="L17" s="16">
        <f t="shared" si="6"/>
        <v>345.56008991830453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2.2814401846672645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2.9110052026100137E+40</v>
      </c>
      <c r="F18" s="15">
        <f t="shared" si="3"/>
        <v>1.1398152736679614E+40</v>
      </c>
      <c r="H18" s="18">
        <f t="shared" si="4"/>
        <v>4.0508204762779752E+40</v>
      </c>
      <c r="I18" s="45">
        <v>212.03</v>
      </c>
      <c r="J18" s="45">
        <v>1</v>
      </c>
      <c r="K18" s="19">
        <f t="shared" si="5"/>
        <v>232.4711096344698</v>
      </c>
      <c r="L18" s="16">
        <f t="shared" si="6"/>
        <v>417.83896308841395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2.6345202132467223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3.0877802575164806E+40</v>
      </c>
      <c r="F19" s="15">
        <f t="shared" si="3"/>
        <v>1.45958435896008E+40</v>
      </c>
      <c r="H19" s="18">
        <f t="shared" si="4"/>
        <v>4.5473646164765602E+40</v>
      </c>
      <c r="I19" s="45">
        <v>211.87</v>
      </c>
      <c r="J19" s="45">
        <v>1</v>
      </c>
      <c r="K19" s="19">
        <f t="shared" si="5"/>
        <v>229.96061918537819</v>
      </c>
      <c r="L19" s="16">
        <f t="shared" si="6"/>
        <v>327.27050251037338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3.0283402451238093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3.2520116655574644E+40</v>
      </c>
      <c r="F20" s="15">
        <f t="shared" si="3"/>
        <v>1.8438932847943445E+40</v>
      </c>
      <c r="G20" s="15"/>
      <c r="H20" s="18">
        <f t="shared" si="4"/>
        <v>5.0959049503518087E+40</v>
      </c>
      <c r="I20" s="45">
        <v>213.02</v>
      </c>
      <c r="J20" s="45">
        <v>1</v>
      </c>
      <c r="K20" s="19">
        <f t="shared" si="5"/>
        <v>227.89354930477856</v>
      </c>
      <c r="L20" s="16">
        <f t="shared" si="6"/>
        <v>221.22246892167848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3.4493202791993167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3.3976444892590347E+40</v>
      </c>
      <c r="F21" s="15">
        <f t="shared" si="3"/>
        <v>2.2808152523911269E+40</v>
      </c>
      <c r="G21" s="15"/>
      <c r="H21" s="18">
        <f t="shared" si="4"/>
        <v>5.6784597416501617E+40</v>
      </c>
      <c r="I21" s="45">
        <v>214.21</v>
      </c>
      <c r="J21" s="45">
        <v>1</v>
      </c>
      <c r="K21" s="19">
        <f t="shared" si="5"/>
        <v>226.30216235416262</v>
      </c>
      <c r="L21" s="16">
        <f t="shared" si="6"/>
        <v>146.22039039942746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3.9246203176716632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3.533637144359255E+40</v>
      </c>
      <c r="F22" s="15">
        <f t="shared" si="3"/>
        <v>2.7991114759600172E+40</v>
      </c>
      <c r="G22" s="15"/>
      <c r="H22" s="18">
        <f t="shared" si="4"/>
        <v>6.3327486203192726E+40</v>
      </c>
      <c r="I22" s="45">
        <v>216.65</v>
      </c>
      <c r="J22" s="45">
        <v>1</v>
      </c>
      <c r="K22" s="19">
        <f t="shared" si="5"/>
        <v>225.04934703300333</v>
      </c>
      <c r="L22" s="16">
        <f t="shared" si="6"/>
        <v>70.549030580821736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4.4406603594416394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3.65489405071655E+40</v>
      </c>
      <c r="F23" s="15">
        <f t="shared" si="3"/>
        <v>3.3833526127750528E+40</v>
      </c>
      <c r="G23" s="15"/>
      <c r="H23" s="18">
        <f t="shared" si="4"/>
        <v>7.0382466634916027E+40</v>
      </c>
      <c r="I23" s="45">
        <v>221.44</v>
      </c>
      <c r="J23" s="45">
        <v>1</v>
      </c>
      <c r="K23" s="19">
        <f t="shared" si="5"/>
        <v>224.12844415932713</v>
      </c>
      <c r="L23" s="16">
        <f t="shared" si="6"/>
        <v>7.2277319978201762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5.0110204056084555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3.7644271536670678E+40</v>
      </c>
      <c r="F24" s="15">
        <f t="shared" si="3"/>
        <v>4.0454257596586314E+40</v>
      </c>
      <c r="G24" s="15"/>
      <c r="H24" s="18">
        <f t="shared" si="4"/>
        <v>7.8098529133256997E+40</v>
      </c>
      <c r="I24" s="45">
        <v>227.39</v>
      </c>
      <c r="J24" s="45">
        <v>1</v>
      </c>
      <c r="K24" s="19">
        <f t="shared" si="5"/>
        <v>223.4505504786305</v>
      </c>
      <c r="L24" s="16">
        <f t="shared" si="6"/>
        <v>15.519262531418244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5.6357004561721116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3.8570376240886708E+40</v>
      </c>
      <c r="F25" s="15">
        <f t="shared" si="3"/>
        <v>4.7794844926429886E+40</v>
      </c>
      <c r="G25" s="15"/>
      <c r="H25" s="18">
        <f t="shared" si="4"/>
        <v>8.6365221167316599E+40</v>
      </c>
      <c r="I25" s="45">
        <v>231.74</v>
      </c>
      <c r="J25" s="45">
        <v>1</v>
      </c>
      <c r="K25" s="19">
        <f t="shared" si="5"/>
        <v>222.89469182772294</v>
      </c>
      <c r="L25" s="16">
        <f t="shared" si="6"/>
        <v>78.239476662551553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6.3147005111326067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3.9452148006747825E+40</v>
      </c>
      <c r="F26" s="15">
        <f t="shared" si="3"/>
        <v>5.5765762939872007E+40</v>
      </c>
      <c r="G26" s="15"/>
      <c r="H26" s="18">
        <f t="shared" si="4"/>
        <v>9.5217910946619842E+40</v>
      </c>
      <c r="I26" s="45">
        <v>234.36</v>
      </c>
      <c r="J26" s="45">
        <v>1</v>
      </c>
      <c r="K26" s="19">
        <f t="shared" si="5"/>
        <v>222.5362905069685</v>
      </c>
      <c r="L26" s="16">
        <f t="shared" si="6"/>
        <v>139.80010617560356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7.0751805726883621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4.0257722585349944E+40</v>
      </c>
      <c r="F27" s="15">
        <f t="shared" si="3"/>
        <v>6.4560823591805227E+40</v>
      </c>
      <c r="G27" s="15"/>
      <c r="H27" s="18">
        <f t="shared" si="4"/>
        <v>1.0481854617715516E+41</v>
      </c>
      <c r="I27" s="45">
        <v>234.93</v>
      </c>
      <c r="J27" s="45">
        <v>1</v>
      </c>
      <c r="K27" s="19">
        <f t="shared" si="5"/>
        <v>222.21086282922295</v>
      </c>
      <c r="L27" s="16">
        <f t="shared" si="6"/>
        <v>161.77645036904266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7.9035606397401663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4.0935432838505278E+40</v>
      </c>
      <c r="F28" s="15">
        <f t="shared" si="3"/>
        <v>7.3859431370302391E+40</v>
      </c>
      <c r="G28" s="15"/>
      <c r="H28" s="18">
        <f t="shared" si="4"/>
        <v>1.1479486420880768E+41</v>
      </c>
      <c r="I28" s="45">
        <v>232.73</v>
      </c>
      <c r="J28" s="45">
        <v>1</v>
      </c>
      <c r="K28" s="19">
        <f t="shared" si="5"/>
        <v>221.834943223522</v>
      </c>
      <c r="L28" s="16">
        <f t="shared" si="6"/>
        <v>118.70226216267889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8.8134207133872309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4.1526428408158299E+40</v>
      </c>
      <c r="F29" s="15">
        <f t="shared" si="3"/>
        <v>8.3618079523846635E+40</v>
      </c>
      <c r="G29" s="15"/>
      <c r="H29" s="18">
        <f t="shared" si="4"/>
        <v>1.2514450793200493E+41</v>
      </c>
      <c r="I29" s="45">
        <v>228.44</v>
      </c>
      <c r="J29" s="45">
        <v>1</v>
      </c>
      <c r="K29" s="19">
        <f t="shared" si="5"/>
        <v>221.38119984585737</v>
      </c>
      <c r="L29" s="16">
        <f t="shared" si="6"/>
        <v>49.826659616124026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9.8183407947287638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4.2048295207707795E+40</v>
      </c>
      <c r="F30" s="15">
        <f t="shared" si="3"/>
        <v>9.3741871586401243E+40</v>
      </c>
      <c r="G30" s="15"/>
      <c r="H30" s="18">
        <f t="shared" si="4"/>
        <v>1.3579016679410904E+41</v>
      </c>
      <c r="I30" s="45">
        <v>225.75</v>
      </c>
      <c r="J30" s="45">
        <v>1</v>
      </c>
      <c r="K30" s="19">
        <f t="shared" si="5"/>
        <v>220.81280816050909</v>
      </c>
      <c r="L30" s="16">
        <f t="shared" si="6"/>
        <v>24.37586325993561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10.931900884863976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4.2504486141318678E+40</v>
      </c>
      <c r="F31" s="15">
        <f t="shared" si="3"/>
        <v>1.0408144669156523E+41</v>
      </c>
      <c r="G31" s="15"/>
      <c r="H31" s="18">
        <f t="shared" si="4"/>
        <v>1.4658593283288391E+41</v>
      </c>
      <c r="I31" s="45">
        <v>227.5</v>
      </c>
      <c r="J31" s="45">
        <v>1</v>
      </c>
      <c r="K31" s="19">
        <f t="shared" si="5"/>
        <v>220.0992268675931</v>
      </c>
      <c r="L31" s="16">
        <f t="shared" si="6"/>
        <v>54.771442957355795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12.140520982693657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4.2885362912915802E+40</v>
      </c>
      <c r="F32" s="15">
        <f t="shared" si="3"/>
        <v>1.1422216106872998E+41</v>
      </c>
      <c r="G32" s="15"/>
      <c r="H32" s="18">
        <f t="shared" si="4"/>
        <v>1.5710752398164579E+41</v>
      </c>
      <c r="I32" s="45">
        <v>232.83</v>
      </c>
      <c r="J32" s="45">
        <v>1</v>
      </c>
      <c r="K32" s="19">
        <f t="shared" si="5"/>
        <v>219.24815847676848</v>
      </c>
      <c r="L32" s="16">
        <f t="shared" si="6"/>
        <v>184.46641916217621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13.484941091515438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4.3211887182175825E+40</v>
      </c>
      <c r="F33" s="15">
        <f t="shared" si="3"/>
        <v>1.2419626249366955E+41</v>
      </c>
      <c r="G33" s="15"/>
      <c r="H33" s="18">
        <f t="shared" si="4"/>
        <v>1.6740814967584538E+41</v>
      </c>
      <c r="I33" s="45">
        <v>237.51</v>
      </c>
      <c r="J33" s="45">
        <v>1</v>
      </c>
      <c r="K33" s="19">
        <f t="shared" si="5"/>
        <v>218.26095248427131</v>
      </c>
      <c r="L33" s="16">
        <f t="shared" si="6"/>
        <v>370.52583026278035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14.951581210230108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4.3491343213898267E+40</v>
      </c>
      <c r="F34" s="15">
        <f t="shared" si="3"/>
        <v>1.335903840442305E+41</v>
      </c>
      <c r="G34" s="15"/>
      <c r="H34" s="18">
        <f t="shared" si="4"/>
        <v>1.7708172725812877E+41</v>
      </c>
      <c r="I34" s="45">
        <v>237.46</v>
      </c>
      <c r="J34" s="45">
        <v>1</v>
      </c>
      <c r="K34" s="19">
        <f t="shared" si="5"/>
        <v>217.20172292860164</v>
      </c>
      <c r="L34" s="16">
        <f t="shared" si="6"/>
        <v>410.39778990154485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16.567601341036088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4.3673378862557795E+40</v>
      </c>
      <c r="F35" s="15">
        <f t="shared" si="3"/>
        <v>1.4230326928437111E+41</v>
      </c>
      <c r="G35" s="15"/>
      <c r="H35" s="18">
        <f t="shared" si="4"/>
        <v>1.8597664814692891E+41</v>
      </c>
      <c r="I35" s="45">
        <v>233.04</v>
      </c>
      <c r="J35" s="45">
        <v>1</v>
      </c>
      <c r="K35" s="19">
        <f t="shared" si="5"/>
        <v>216.10030087077095</v>
      </c>
      <c r="L35" s="16">
        <f t="shared" si="6"/>
        <v>286.95340658880315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18.346581485032583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4.3870189157812073E+40</v>
      </c>
      <c r="F36" s="15">
        <f t="shared" si="3"/>
        <v>1.5015050091331523E+41</v>
      </c>
      <c r="G36" s="15"/>
      <c r="H36" s="18">
        <f t="shared" si="4"/>
        <v>1.9402069007112731E+41</v>
      </c>
      <c r="I36" s="45">
        <v>227.1</v>
      </c>
      <c r="J36" s="45">
        <v>1</v>
      </c>
      <c r="K36" s="19">
        <f t="shared" si="5"/>
        <v>215.09097811741108</v>
      </c>
      <c r="L36" s="16">
        <f t="shared" si="6"/>
        <v>144.21660657649932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20.30210164331881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4.4068226547413115E+40</v>
      </c>
      <c r="F37" s="15">
        <f t="shared" si="3"/>
        <v>1.5699303138717569E+41</v>
      </c>
      <c r="G37" s="15"/>
      <c r="H37" s="18">
        <f t="shared" si="4"/>
        <v>2.010612579345888E+41</v>
      </c>
      <c r="I37" s="45">
        <v>221.59</v>
      </c>
      <c r="J37" s="45">
        <v>1</v>
      </c>
      <c r="K37" s="19">
        <f t="shared" si="5"/>
        <v>214.26878550962891</v>
      </c>
      <c r="L37" s="16">
        <f t="shared" si="6"/>
        <v>53.600181614019633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s="17" customFormat="1" x14ac:dyDescent="0.25">
      <c r="A38" s="45">
        <v>16.54</v>
      </c>
      <c r="B38" s="45">
        <f t="shared" si="0"/>
        <v>16540</v>
      </c>
      <c r="C38" s="16">
        <f t="shared" si="1"/>
        <v>22.461321818093186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4.4176280591053068E+40</v>
      </c>
      <c r="F38" s="15">
        <f t="shared" si="3"/>
        <v>1.6278441394520617E+41</v>
      </c>
      <c r="G38" s="15"/>
      <c r="H38" s="18">
        <f t="shared" si="4"/>
        <v>2.0696069453625925E+41</v>
      </c>
      <c r="I38" s="45">
        <v>215.09</v>
      </c>
      <c r="J38" s="45">
        <v>1</v>
      </c>
      <c r="K38" s="19">
        <f t="shared" si="5"/>
        <v>213.71792509051255</v>
      </c>
      <c r="L38" s="16">
        <f t="shared" si="6"/>
        <v>1.8825895572449998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s="17" customFormat="1" x14ac:dyDescent="0.25">
      <c r="A39" s="45">
        <v>18.29</v>
      </c>
      <c r="B39" s="45">
        <f t="shared" si="0"/>
        <v>18290</v>
      </c>
      <c r="C39" s="16">
        <f t="shared" si="1"/>
        <v>24.837822010454921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4.4295207997575026E+40</v>
      </c>
      <c r="F39" s="15">
        <f t="shared" si="3"/>
        <v>1.6748912571876646E+41</v>
      </c>
      <c r="G39" s="15"/>
      <c r="H39" s="18">
        <f t="shared" si="4"/>
        <v>2.1178433371634148E+41</v>
      </c>
      <c r="I39" s="45">
        <v>202.88</v>
      </c>
      <c r="J39" s="45">
        <v>1</v>
      </c>
      <c r="K39" s="19">
        <f t="shared" si="5"/>
        <v>213.6010777003462</v>
      </c>
      <c r="L39" s="16">
        <f t="shared" si="6"/>
        <v>114.94150705686056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s="17" customFormat="1" x14ac:dyDescent="0.25">
      <c r="A40" s="45">
        <v>20.2</v>
      </c>
      <c r="B40" s="45">
        <f t="shared" si="0"/>
        <v>20200</v>
      </c>
      <c r="C40" s="16">
        <f t="shared" si="1"/>
        <v>27.431602220404013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4.4377855875157501E+40</v>
      </c>
      <c r="F40" s="15">
        <f t="shared" si="3"/>
        <v>1.7113202874902859E+41</v>
      </c>
      <c r="G40" s="15"/>
      <c r="H40" s="18">
        <f t="shared" si="4"/>
        <v>2.1550988462418608E+41</v>
      </c>
      <c r="I40" s="45">
        <v>187.5</v>
      </c>
      <c r="J40" s="45">
        <v>1</v>
      </c>
      <c r="K40" s="19">
        <f t="shared" si="5"/>
        <v>214.02197263448647</v>
      </c>
      <c r="L40" s="16">
        <f t="shared" si="6"/>
        <v>703.41503242444935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spans="1:29" x14ac:dyDescent="0.25">
      <c r="A41" s="45"/>
      <c r="I41" s="45"/>
      <c r="J41" s="45"/>
      <c r="L41" s="16">
        <f>SUM(L8:L40)/(COUNT(L8:L40)-4)</f>
        <v>245.86622646112136</v>
      </c>
    </row>
    <row r="42" spans="1:29" x14ac:dyDescent="0.25">
      <c r="A42" s="45"/>
      <c r="I42" s="45"/>
      <c r="J42" s="45"/>
      <c r="L42" s="16"/>
    </row>
    <row r="43" spans="1:29" ht="21" x14ac:dyDescent="0.35">
      <c r="A43" s="46" t="s">
        <v>564</v>
      </c>
      <c r="I43" s="45"/>
      <c r="J43" s="45"/>
      <c r="L43" s="16"/>
    </row>
    <row r="44" spans="1:29" x14ac:dyDescent="0.25">
      <c r="A44" s="45" t="s">
        <v>30</v>
      </c>
      <c r="D44" s="16">
        <v>0.69</v>
      </c>
      <c r="E44" s="17">
        <f>$D$44*1000</f>
        <v>690</v>
      </c>
      <c r="F44" s="17"/>
      <c r="G44" s="17"/>
      <c r="H44" s="15"/>
      <c r="K44" s="15"/>
      <c r="L44" s="17"/>
      <c r="M44" s="45"/>
    </row>
    <row r="45" spans="1:29" x14ac:dyDescent="0.25">
      <c r="A45" s="45" t="s">
        <v>16</v>
      </c>
      <c r="D45" s="16">
        <v>2.63</v>
      </c>
      <c r="E45" s="15">
        <f>D45*10000000000*SolarMass</f>
        <v>5.2313330000000001E+40</v>
      </c>
      <c r="F45" s="43"/>
      <c r="G45" s="43"/>
      <c r="H45" s="15"/>
      <c r="K45" s="15"/>
      <c r="L45" s="17"/>
      <c r="M45" s="45"/>
    </row>
    <row r="46" spans="1:29" x14ac:dyDescent="0.25">
      <c r="A46" s="45" t="s">
        <v>569</v>
      </c>
      <c r="D46" s="16">
        <v>3.8</v>
      </c>
      <c r="E46" s="15">
        <f>D46*1000</f>
        <v>3800</v>
      </c>
      <c r="H46" s="15"/>
      <c r="K46" s="15"/>
      <c r="L46" s="17"/>
      <c r="M46" s="45"/>
    </row>
    <row r="47" spans="1:29" x14ac:dyDescent="0.25">
      <c r="A47" s="45" t="s">
        <v>17</v>
      </c>
      <c r="D47" s="45">
        <v>4.4000000000000004</v>
      </c>
      <c r="G47" s="16"/>
      <c r="H47" s="15"/>
      <c r="K47" s="15"/>
      <c r="L47" s="17"/>
      <c r="M47" s="45"/>
    </row>
    <row r="48" spans="1:29" x14ac:dyDescent="0.25">
      <c r="A48" s="45" t="s">
        <v>570</v>
      </c>
      <c r="D48" s="16">
        <v>16.2</v>
      </c>
      <c r="E48" s="17">
        <f>D48*1000</f>
        <v>16200</v>
      </c>
      <c r="H48" s="15"/>
      <c r="K48" s="15"/>
      <c r="L48" s="17"/>
      <c r="M48" s="45"/>
    </row>
    <row r="49" spans="1:29" x14ac:dyDescent="0.25">
      <c r="A49" s="45" t="s">
        <v>571</v>
      </c>
      <c r="D49" s="16">
        <v>9.5</v>
      </c>
      <c r="G49" s="9"/>
      <c r="H49" s="15"/>
      <c r="K49" s="15"/>
      <c r="L49" s="17"/>
      <c r="M49" s="45"/>
    </row>
    <row r="50" spans="1:29" x14ac:dyDescent="0.25">
      <c r="A50" s="45"/>
      <c r="D50" s="12"/>
      <c r="H50" s="15"/>
      <c r="K50" s="15"/>
      <c r="L50" s="17"/>
      <c r="M50" s="45"/>
    </row>
    <row r="51" spans="1:29" x14ac:dyDescent="0.25">
      <c r="A51" s="17" t="s">
        <v>567</v>
      </c>
      <c r="D51" s="17">
        <f>(D47*10000000000)/(2*PI()*DiskScaleLengthPc^2)</f>
        <v>484.95966039081679</v>
      </c>
      <c r="H51" s="15"/>
      <c r="K51" s="15"/>
      <c r="L51" s="17"/>
      <c r="M51" s="45"/>
    </row>
    <row r="52" spans="1:29" x14ac:dyDescent="0.25">
      <c r="A52" s="17" t="s">
        <v>565</v>
      </c>
      <c r="D52" s="9">
        <f>(D49*10000000000)/(4*PI()*(LCDMHaloScaleLengthPc)^3*(LN(2)-1/2))</f>
        <v>9.2061982867858664E-3</v>
      </c>
      <c r="H52" s="15"/>
      <c r="K52" s="15"/>
      <c r="L52" s="17"/>
      <c r="M52" s="45"/>
    </row>
    <row r="53" spans="1:29" x14ac:dyDescent="0.25">
      <c r="A53" s="19"/>
      <c r="H53" s="15"/>
      <c r="K53" s="15"/>
      <c r="L53" s="17"/>
      <c r="M53" s="45"/>
    </row>
    <row r="54" spans="1:29" ht="45" x14ac:dyDescent="0.25">
      <c r="A54" s="25" t="s">
        <v>20</v>
      </c>
      <c r="B54" s="3" t="s">
        <v>19</v>
      </c>
      <c r="C54" s="7" t="s">
        <v>27</v>
      </c>
      <c r="D54" s="4" t="s">
        <v>649</v>
      </c>
      <c r="E54" s="4" t="s">
        <v>21</v>
      </c>
      <c r="F54" s="4" t="s">
        <v>22</v>
      </c>
      <c r="G54" s="4" t="s">
        <v>28</v>
      </c>
      <c r="H54" s="4" t="s">
        <v>23</v>
      </c>
      <c r="I54" s="7" t="s">
        <v>645</v>
      </c>
      <c r="J54" s="7" t="s">
        <v>646</v>
      </c>
      <c r="K54" s="25" t="s">
        <v>647</v>
      </c>
      <c r="L54" s="3" t="s">
        <v>648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x14ac:dyDescent="0.25">
      <c r="A55" s="45">
        <v>0.09</v>
      </c>
      <c r="B55" s="45">
        <f>A55*1000</f>
        <v>90</v>
      </c>
      <c r="C55" s="16">
        <f>B55/LCDMBulgeEffectiveRadius</f>
        <v>0.13043478260869565</v>
      </c>
      <c r="D55" s="15">
        <f>A55*kpc</f>
        <v>2.777109822E+18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3.192991860894782E+39</v>
      </c>
      <c r="F55" s="15">
        <f t="shared" ref="F55:F87" si="7">2*PI()*LCDMDiskSurfaceDensity*LCDMScaleLength*(LCDMScaleLength-EXP(-RadiusPc/LCDMScaleLength)*(RadiusPc+LCDMScaleLength))*SolarMass</f>
        <v>2.416276425648916E+37</v>
      </c>
      <c r="G55" s="15">
        <f t="shared" ref="G55:G87" si="8">4*PI()*LCDMHaloRepresentativeDensity*LCDMHaloScaleLengthPc^3*(LN(1+RadiusPc/LCDMHaloScaleLengthPc)-RadiusPc/(RadiusPc+LCDMHaloScaleLengthPc))*SolarMass</f>
        <v>1.498676889114313E+37</v>
      </c>
      <c r="H55" s="15">
        <f t="shared" ref="H55:H87" si="9">BulgeMass+DiskMass+HaloMass</f>
        <v>3.2321413940424142E+39</v>
      </c>
      <c r="I55" s="45">
        <v>214.41</v>
      </c>
      <c r="J55" s="45">
        <v>1</v>
      </c>
      <c r="K55" s="19">
        <f t="shared" ref="K55:K87" si="10">SQRT(TotalMass*GravitationalConstant/RadiusKm)/km</f>
        <v>278.70473841337059</v>
      </c>
      <c r="L55" s="16">
        <f t="shared" ref="L55:L87" si="11">(ObservedVelocity-ModelVelocity)^2/(VelocityError)^2</f>
        <v>4133.8133876437523</v>
      </c>
      <c r="M55" s="45"/>
    </row>
    <row r="56" spans="1:29" x14ac:dyDescent="0.25">
      <c r="A56" s="45">
        <v>0.19</v>
      </c>
      <c r="B56" s="45">
        <f t="shared" ref="B56:B87" si="12">A56*1000</f>
        <v>190</v>
      </c>
      <c r="C56" s="16">
        <f t="shared" ref="C56:C87" si="13">B56/LCDMBulgeEffectiveRadius</f>
        <v>0.27536231884057971</v>
      </c>
      <c r="D56" s="15">
        <f t="shared" ref="D56:D87" si="14">A56*kpc</f>
        <v>5.862787402E+18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7.295824738791593E+39</v>
      </c>
      <c r="F56" s="15">
        <f t="shared" si="7"/>
        <v>1.05821289724094E+38</v>
      </c>
      <c r="G56" s="15">
        <f t="shared" si="8"/>
        <v>6.6249686420171708E+37</v>
      </c>
      <c r="H56" s="15">
        <f t="shared" si="9"/>
        <v>7.4678957149358585E+39</v>
      </c>
      <c r="I56" s="45">
        <v>265.51</v>
      </c>
      <c r="J56" s="45">
        <v>1</v>
      </c>
      <c r="K56" s="19">
        <f t="shared" si="10"/>
        <v>291.569943966214</v>
      </c>
      <c r="L56" s="16">
        <f t="shared" si="11"/>
        <v>679.12067952221389</v>
      </c>
      <c r="M56" s="45"/>
    </row>
    <row r="57" spans="1:29" x14ac:dyDescent="0.25">
      <c r="A57" s="45">
        <v>0.3</v>
      </c>
      <c r="B57" s="45">
        <f t="shared" si="12"/>
        <v>300</v>
      </c>
      <c r="C57" s="16">
        <f t="shared" si="13"/>
        <v>0.43478260869565216</v>
      </c>
      <c r="D57" s="15">
        <f t="shared" si="14"/>
        <v>9.25703274E+18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1.1306593737530433E+40</v>
      </c>
      <c r="F57" s="15">
        <f t="shared" si="7"/>
        <v>2.5880488060109321E+38</v>
      </c>
      <c r="G57" s="15">
        <f t="shared" si="8"/>
        <v>1.6369709335956427E+38</v>
      </c>
      <c r="H57" s="15">
        <f t="shared" si="9"/>
        <v>1.172909571149109E+40</v>
      </c>
      <c r="I57" s="45">
        <v>279.39</v>
      </c>
      <c r="J57" s="45">
        <v>1</v>
      </c>
      <c r="K57" s="19">
        <f t="shared" si="10"/>
        <v>290.79843791625757</v>
      </c>
      <c r="L57" s="16">
        <f t="shared" si="11"/>
        <v>130.15245568910365</v>
      </c>
      <c r="M57" s="45"/>
    </row>
    <row r="58" spans="1:29" x14ac:dyDescent="0.25">
      <c r="A58" s="45">
        <v>0.42</v>
      </c>
      <c r="B58" s="45">
        <f t="shared" si="12"/>
        <v>420</v>
      </c>
      <c r="C58" s="16">
        <f t="shared" si="13"/>
        <v>0.60869565217391308</v>
      </c>
      <c r="D58" s="15">
        <f t="shared" si="14"/>
        <v>1.2959845836E+19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1.508184205929566E+40</v>
      </c>
      <c r="F58" s="15">
        <f t="shared" si="7"/>
        <v>4.9677316745472904E+38</v>
      </c>
      <c r="G58" s="15">
        <f t="shared" si="8"/>
        <v>3.1775562721553277E+38</v>
      </c>
      <c r="H58" s="15">
        <f t="shared" si="9"/>
        <v>1.5896370853965921E+40</v>
      </c>
      <c r="I58" s="45">
        <v>282.14</v>
      </c>
      <c r="J58" s="45">
        <v>1</v>
      </c>
      <c r="K58" s="19">
        <f t="shared" si="10"/>
        <v>286.11773566672701</v>
      </c>
      <c r="L58" s="16">
        <f t="shared" si="11"/>
        <v>15.822381034352317</v>
      </c>
      <c r="M58" s="45"/>
    </row>
    <row r="59" spans="1:29" x14ac:dyDescent="0.25">
      <c r="A59" s="45">
        <v>0.56000000000000005</v>
      </c>
      <c r="B59" s="45">
        <f t="shared" si="12"/>
        <v>560</v>
      </c>
      <c r="C59" s="16">
        <f t="shared" si="13"/>
        <v>0.81159420289855078</v>
      </c>
      <c r="D59" s="15">
        <f t="shared" si="14"/>
        <v>1.7279794448000002E+19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1.8792055055736231E+40</v>
      </c>
      <c r="F59" s="15">
        <f t="shared" si="7"/>
        <v>8.6195446615685542E+38</v>
      </c>
      <c r="G59" s="15">
        <f t="shared" si="8"/>
        <v>5.5860050897774928E+38</v>
      </c>
      <c r="H59" s="15">
        <f t="shared" si="9"/>
        <v>2.0212610030870836E+40</v>
      </c>
      <c r="I59" s="45">
        <v>276.27</v>
      </c>
      <c r="J59" s="45">
        <v>1</v>
      </c>
      <c r="K59" s="19">
        <f t="shared" si="10"/>
        <v>279.40721504775405</v>
      </c>
      <c r="L59" s="16">
        <f t="shared" si="11"/>
        <v>9.8421182558545635</v>
      </c>
      <c r="M59" s="45"/>
    </row>
    <row r="60" spans="1:29" x14ac:dyDescent="0.25">
      <c r="A60" s="45">
        <v>0.7</v>
      </c>
      <c r="B60" s="45">
        <f t="shared" si="12"/>
        <v>700</v>
      </c>
      <c r="C60" s="16">
        <f t="shared" si="13"/>
        <v>1.0144927536231885</v>
      </c>
      <c r="D60" s="15">
        <f t="shared" si="14"/>
        <v>2.1599743059999998E+19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2.1930157344669563E+40</v>
      </c>
      <c r="F60" s="15">
        <f t="shared" si="7"/>
        <v>1.3145782773110346E+39</v>
      </c>
      <c r="G60" s="15">
        <f t="shared" si="8"/>
        <v>8.6315562005734992E+38</v>
      </c>
      <c r="H60" s="15">
        <f t="shared" si="9"/>
        <v>2.4107891242037947E+40</v>
      </c>
      <c r="I60" s="45">
        <v>266.17</v>
      </c>
      <c r="J60" s="45">
        <v>1</v>
      </c>
      <c r="K60" s="19">
        <f t="shared" si="10"/>
        <v>272.92984170460676</v>
      </c>
      <c r="L60" s="16">
        <f t="shared" si="11"/>
        <v>45.695459871340589</v>
      </c>
      <c r="M60" s="45"/>
    </row>
    <row r="61" spans="1:29" x14ac:dyDescent="0.25">
      <c r="A61" s="45">
        <v>0.86</v>
      </c>
      <c r="B61" s="45">
        <f t="shared" si="12"/>
        <v>860</v>
      </c>
      <c r="C61" s="16">
        <f t="shared" si="13"/>
        <v>1.2463768115942029</v>
      </c>
      <c r="D61" s="15">
        <f t="shared" si="14"/>
        <v>2.6536827187999998E+19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2.4964626168708697E+40</v>
      </c>
      <c r="F61" s="15">
        <f t="shared" si="7"/>
        <v>1.93022478980259E+39</v>
      </c>
      <c r="G61" s="15">
        <f t="shared" si="8"/>
        <v>1.2865067985169982E+39</v>
      </c>
      <c r="H61" s="15">
        <f t="shared" si="9"/>
        <v>2.8181357757028282E+40</v>
      </c>
      <c r="I61" s="45">
        <v>256.11</v>
      </c>
      <c r="J61" s="45">
        <v>1</v>
      </c>
      <c r="K61" s="19">
        <f t="shared" si="10"/>
        <v>266.22703938256126</v>
      </c>
      <c r="L61" s="16">
        <f t="shared" si="11"/>
        <v>102.35448586829521</v>
      </c>
      <c r="M61" s="45"/>
    </row>
    <row r="62" spans="1:29" x14ac:dyDescent="0.25">
      <c r="A62" s="45">
        <v>1.04</v>
      </c>
      <c r="B62" s="45">
        <f t="shared" si="12"/>
        <v>1040</v>
      </c>
      <c r="C62" s="16">
        <f t="shared" si="13"/>
        <v>1.5072463768115942</v>
      </c>
      <c r="D62" s="15">
        <f t="shared" si="14"/>
        <v>3.2091046832E+19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2.7847439407242035E+40</v>
      </c>
      <c r="F62" s="15">
        <f t="shared" si="7"/>
        <v>2.7368657370199206E+39</v>
      </c>
      <c r="G62" s="15">
        <f t="shared" si="8"/>
        <v>1.8551340955164844E+39</v>
      </c>
      <c r="H62" s="15">
        <f t="shared" si="9"/>
        <v>3.243943923977844E+40</v>
      </c>
      <c r="I62" s="45">
        <v>249.4</v>
      </c>
      <c r="J62" s="45">
        <v>1</v>
      </c>
      <c r="K62" s="19">
        <f t="shared" si="10"/>
        <v>259.74095381476104</v>
      </c>
      <c r="L62" s="16">
        <f t="shared" si="11"/>
        <v>106.93532579902083</v>
      </c>
      <c r="M62" s="45"/>
    </row>
    <row r="63" spans="1:29" x14ac:dyDescent="0.25">
      <c r="A63" s="45">
        <v>1.23</v>
      </c>
      <c r="B63" s="45">
        <f t="shared" si="12"/>
        <v>1230</v>
      </c>
      <c r="C63" s="16">
        <f t="shared" si="13"/>
        <v>1.7826086956521738</v>
      </c>
      <c r="D63" s="15">
        <f t="shared" si="14"/>
        <v>3.7953834233999999E+19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3.0396046283495655E+40</v>
      </c>
      <c r="F63" s="15">
        <f t="shared" si="7"/>
        <v>3.7058503521324629E+39</v>
      </c>
      <c r="G63" s="15">
        <f t="shared" si="8"/>
        <v>2.5570318218668281E+39</v>
      </c>
      <c r="H63" s="15">
        <f t="shared" si="9"/>
        <v>3.6658928457494947E+40</v>
      </c>
      <c r="I63" s="45">
        <v>233.61</v>
      </c>
      <c r="J63" s="45">
        <v>1</v>
      </c>
      <c r="K63" s="19">
        <f t="shared" si="10"/>
        <v>253.89711086779499</v>
      </c>
      <c r="L63" s="16">
        <f t="shared" si="11"/>
        <v>411.56686736220513</v>
      </c>
      <c r="M63" s="45"/>
    </row>
    <row r="64" spans="1:29" x14ac:dyDescent="0.25">
      <c r="A64" s="45">
        <v>1.45</v>
      </c>
      <c r="B64" s="45">
        <f t="shared" si="12"/>
        <v>1450</v>
      </c>
      <c r="C64" s="16">
        <f t="shared" si="13"/>
        <v>2.1014492753623188</v>
      </c>
      <c r="D64" s="15">
        <f t="shared" si="14"/>
        <v>4.4742324909999997E+19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3.287216508031014E+40</v>
      </c>
      <c r="F64" s="15">
        <f t="shared" si="7"/>
        <v>4.9608400587639379E+39</v>
      </c>
      <c r="G64" s="15">
        <f t="shared" si="8"/>
        <v>3.4942229121208592E+39</v>
      </c>
      <c r="H64" s="15">
        <f t="shared" si="9"/>
        <v>4.1327228051194937E+40</v>
      </c>
      <c r="I64" s="45">
        <v>216.78</v>
      </c>
      <c r="J64" s="45">
        <v>1</v>
      </c>
      <c r="K64" s="19">
        <f t="shared" si="10"/>
        <v>248.28733602823249</v>
      </c>
      <c r="L64" s="16">
        <f t="shared" si="11"/>
        <v>992.71222359595686</v>
      </c>
      <c r="M64" s="45"/>
    </row>
    <row r="65" spans="1:13" x14ac:dyDescent="0.25">
      <c r="A65" s="45">
        <v>1.68</v>
      </c>
      <c r="B65" s="45">
        <f t="shared" si="12"/>
        <v>1680</v>
      </c>
      <c r="C65" s="16">
        <f t="shared" si="13"/>
        <v>2.4347826086956523</v>
      </c>
      <c r="D65" s="15">
        <f t="shared" si="14"/>
        <v>5.1839383344E+19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3.5026708530465219E+40</v>
      </c>
      <c r="F65" s="15">
        <f t="shared" si="7"/>
        <v>6.4051745604606968E+39</v>
      </c>
      <c r="G65" s="15">
        <f t="shared" si="8"/>
        <v>4.6097601101176675E+39</v>
      </c>
      <c r="H65" s="15">
        <f t="shared" si="9"/>
        <v>4.6041643201043587E+40</v>
      </c>
      <c r="I65" s="45">
        <v>212.03</v>
      </c>
      <c r="J65" s="45">
        <v>1</v>
      </c>
      <c r="K65" s="19">
        <f t="shared" si="10"/>
        <v>243.46761316501778</v>
      </c>
      <c r="L65" s="16">
        <f t="shared" si="11"/>
        <v>988.32352151329917</v>
      </c>
      <c r="M65" s="45"/>
    </row>
    <row r="66" spans="1:13" x14ac:dyDescent="0.25">
      <c r="A66" s="45">
        <v>1.94</v>
      </c>
      <c r="B66" s="45">
        <f t="shared" si="12"/>
        <v>1940</v>
      </c>
      <c r="C66" s="16">
        <f t="shared" si="13"/>
        <v>2.8115942028985508</v>
      </c>
      <c r="D66" s="15">
        <f t="shared" si="14"/>
        <v>5.9862145052000002E+19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3.7062432486742033E+40</v>
      </c>
      <c r="F66" s="15">
        <f t="shared" si="7"/>
        <v>8.1755345815427866E+39</v>
      </c>
      <c r="G66" s="15">
        <f t="shared" si="8"/>
        <v>6.0287811849774801E+39</v>
      </c>
      <c r="H66" s="15">
        <f t="shared" si="9"/>
        <v>5.1266748253262296E+40</v>
      </c>
      <c r="I66" s="45">
        <v>211.87</v>
      </c>
      <c r="J66" s="45">
        <v>1</v>
      </c>
      <c r="K66" s="19">
        <f t="shared" si="10"/>
        <v>239.07681005946253</v>
      </c>
      <c r="L66" s="16">
        <f t="shared" si="11"/>
        <v>740.21051361167133</v>
      </c>
      <c r="M66" s="45"/>
    </row>
    <row r="67" spans="1:13" x14ac:dyDescent="0.25">
      <c r="A67" s="45">
        <v>2.23</v>
      </c>
      <c r="B67" s="45">
        <f t="shared" si="12"/>
        <v>2230</v>
      </c>
      <c r="C67" s="16">
        <f t="shared" si="13"/>
        <v>3.2318840579710146</v>
      </c>
      <c r="D67" s="15">
        <f t="shared" si="14"/>
        <v>6.8810610034000003E+19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3.893900261354638E+40</v>
      </c>
      <c r="F67" s="15">
        <f t="shared" si="7"/>
        <v>1.0291344887085207E+40</v>
      </c>
      <c r="G67" s="15">
        <f t="shared" si="8"/>
        <v>7.7975602357924552E+39</v>
      </c>
      <c r="H67" s="15">
        <f t="shared" si="9"/>
        <v>5.7027907736424041E+40</v>
      </c>
      <c r="I67" s="45">
        <v>213.02</v>
      </c>
      <c r="J67" s="45">
        <v>1</v>
      </c>
      <c r="K67" s="19">
        <f t="shared" si="10"/>
        <v>235.18613722254753</v>
      </c>
      <c r="L67" s="16">
        <f t="shared" si="11"/>
        <v>491.33763936880666</v>
      </c>
      <c r="M67" s="45"/>
    </row>
    <row r="68" spans="1:13" x14ac:dyDescent="0.25">
      <c r="A68" s="45">
        <v>2.54</v>
      </c>
      <c r="B68" s="45">
        <f t="shared" si="12"/>
        <v>2540</v>
      </c>
      <c r="C68" s="16">
        <f t="shared" si="13"/>
        <v>3.681159420289855</v>
      </c>
      <c r="D68" s="15">
        <f t="shared" si="14"/>
        <v>7.8376210532000006E+19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4.0596046295401448E+40</v>
      </c>
      <c r="F68" s="15">
        <f t="shared" si="7"/>
        <v>1.2682191893139315E+40</v>
      </c>
      <c r="G68" s="15">
        <f t="shared" si="8"/>
        <v>9.8911425687246432E+39</v>
      </c>
      <c r="H68" s="15">
        <f t="shared" si="9"/>
        <v>6.3169380757265409E+40</v>
      </c>
      <c r="I68" s="45">
        <v>214.21</v>
      </c>
      <c r="J68" s="45">
        <v>1</v>
      </c>
      <c r="K68" s="19">
        <f t="shared" si="10"/>
        <v>231.92997598291515</v>
      </c>
      <c r="L68" s="16">
        <f t="shared" si="11"/>
        <v>313.99754883508956</v>
      </c>
      <c r="M68" s="45"/>
    </row>
    <row r="69" spans="1:13" x14ac:dyDescent="0.25">
      <c r="A69" s="45">
        <v>2.89</v>
      </c>
      <c r="B69" s="45">
        <f t="shared" si="12"/>
        <v>2890</v>
      </c>
      <c r="C69" s="16">
        <f t="shared" si="13"/>
        <v>4.1884057971014492</v>
      </c>
      <c r="D69" s="15">
        <f t="shared" si="14"/>
        <v>8.9176082061999997E+19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4.2133383431260863E+40</v>
      </c>
      <c r="F69" s="15">
        <f t="shared" si="7"/>
        <v>1.5499352645514778E+40</v>
      </c>
      <c r="G69" s="15">
        <f t="shared" si="8"/>
        <v>1.2488797833410543E+40</v>
      </c>
      <c r="H69" s="15">
        <f t="shared" si="9"/>
        <v>7.0121533910186187E+40</v>
      </c>
      <c r="I69" s="45">
        <v>216.65</v>
      </c>
      <c r="J69" s="45">
        <v>1</v>
      </c>
      <c r="K69" s="19">
        <f t="shared" si="10"/>
        <v>229.08529570359434</v>
      </c>
      <c r="L69" s="16">
        <f t="shared" si="11"/>
        <v>154.63657923583173</v>
      </c>
      <c r="M69" s="45"/>
    </row>
    <row r="70" spans="1:13" x14ac:dyDescent="0.25">
      <c r="A70" s="45">
        <v>3.27</v>
      </c>
      <c r="B70" s="45">
        <f t="shared" si="12"/>
        <v>3270</v>
      </c>
      <c r="C70" s="16">
        <f t="shared" si="13"/>
        <v>4.7391304347826084</v>
      </c>
      <c r="D70" s="15">
        <f t="shared" si="14"/>
        <v>1.0090165686599999E+20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4.3496805280617393E+40</v>
      </c>
      <c r="F70" s="15">
        <f t="shared" si="7"/>
        <v>1.8651478710819235E+40</v>
      </c>
      <c r="G70" s="15">
        <f t="shared" si="8"/>
        <v>1.5568283817001444E+40</v>
      </c>
      <c r="H70" s="15">
        <f t="shared" si="9"/>
        <v>7.7716567808438067E+40</v>
      </c>
      <c r="I70" s="45">
        <v>221.44</v>
      </c>
      <c r="J70" s="45">
        <v>1</v>
      </c>
      <c r="K70" s="19">
        <f t="shared" si="10"/>
        <v>226.7270626214171</v>
      </c>
      <c r="L70" s="16">
        <f t="shared" si="11"/>
        <v>27.95303116278593</v>
      </c>
      <c r="M70" s="45"/>
    </row>
    <row r="71" spans="1:13" x14ac:dyDescent="0.25">
      <c r="A71" s="45">
        <v>3.69</v>
      </c>
      <c r="B71" s="45">
        <f t="shared" si="12"/>
        <v>3690</v>
      </c>
      <c r="C71" s="16">
        <f t="shared" si="13"/>
        <v>5.3478260869565215</v>
      </c>
      <c r="D71" s="15">
        <f t="shared" si="14"/>
        <v>1.13861502702E+20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4.4658889044252172E+40</v>
      </c>
      <c r="F71" s="15">
        <f t="shared" si="7"/>
        <v>2.2194603235372313E+40</v>
      </c>
      <c r="G71" s="15">
        <f t="shared" si="8"/>
        <v>1.9259191393243472E+40</v>
      </c>
      <c r="H71" s="15">
        <f t="shared" si="9"/>
        <v>8.611268367286796E+40</v>
      </c>
      <c r="I71" s="45">
        <v>227.39</v>
      </c>
      <c r="J71" s="45">
        <v>1</v>
      </c>
      <c r="K71" s="19">
        <f t="shared" si="10"/>
        <v>224.66778856238952</v>
      </c>
      <c r="L71" s="16">
        <f t="shared" si="11"/>
        <v>7.4104351110572537</v>
      </c>
      <c r="M71" s="45"/>
    </row>
    <row r="72" spans="1:13" x14ac:dyDescent="0.25">
      <c r="A72" s="45">
        <v>4.1500000000000004</v>
      </c>
      <c r="B72" s="45">
        <f t="shared" si="12"/>
        <v>4150</v>
      </c>
      <c r="C72" s="16">
        <f t="shared" si="13"/>
        <v>6.0144927536231885</v>
      </c>
      <c r="D72" s="15">
        <f t="shared" si="14"/>
        <v>1.2805561957E+20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4.5809327405730441E+40</v>
      </c>
      <c r="F72" s="15">
        <f t="shared" si="7"/>
        <v>2.6087992348495003E+40</v>
      </c>
      <c r="G72" s="15">
        <f t="shared" si="8"/>
        <v>2.3615737450301434E+40</v>
      </c>
      <c r="H72" s="15">
        <f t="shared" si="9"/>
        <v>9.5513057204526892E+40</v>
      </c>
      <c r="I72" s="45">
        <v>231.74</v>
      </c>
      <c r="J72" s="45">
        <v>1</v>
      </c>
      <c r="K72" s="19">
        <f t="shared" si="10"/>
        <v>223.11447983123065</v>
      </c>
      <c r="L72" s="16">
        <f t="shared" si="11"/>
        <v>74.39959818184694</v>
      </c>
      <c r="M72" s="45"/>
    </row>
    <row r="73" spans="1:13" x14ac:dyDescent="0.25">
      <c r="A73" s="45">
        <v>4.6500000000000004</v>
      </c>
      <c r="B73" s="45">
        <f t="shared" si="12"/>
        <v>4650</v>
      </c>
      <c r="C73" s="16">
        <f t="shared" si="13"/>
        <v>6.7391304347826084</v>
      </c>
      <c r="D73" s="15">
        <f t="shared" si="14"/>
        <v>1.4348400747000001E+20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4.6730496912252172E+40</v>
      </c>
      <c r="F73" s="15">
        <f t="shared" si="7"/>
        <v>3.0274668931928272E+40</v>
      </c>
      <c r="G73" s="15">
        <f t="shared" si="8"/>
        <v>2.8686162451834408E+40</v>
      </c>
      <c r="H73" s="15">
        <f t="shared" si="9"/>
        <v>1.0569132829601484E+41</v>
      </c>
      <c r="I73" s="45">
        <v>234.36</v>
      </c>
      <c r="J73" s="45">
        <v>1</v>
      </c>
      <c r="K73" s="19">
        <f t="shared" si="10"/>
        <v>221.72447390571153</v>
      </c>
      <c r="L73" s="16">
        <f t="shared" si="11"/>
        <v>159.6565196794451</v>
      </c>
      <c r="M73" s="45"/>
    </row>
    <row r="74" spans="1:13" x14ac:dyDescent="0.25">
      <c r="A74" s="45">
        <v>5.21</v>
      </c>
      <c r="B74" s="45">
        <f t="shared" si="12"/>
        <v>5210</v>
      </c>
      <c r="C74" s="16">
        <f t="shared" si="13"/>
        <v>7.5507246376811592</v>
      </c>
      <c r="D74" s="15">
        <f t="shared" si="14"/>
        <v>1.6076380191800001E+20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4.7589633423692749E+40</v>
      </c>
      <c r="F74" s="15">
        <f t="shared" si="7"/>
        <v>3.484475089957726E+40</v>
      </c>
      <c r="G74" s="15">
        <f t="shared" si="8"/>
        <v>3.4733804867044641E+40</v>
      </c>
      <c r="H74" s="15">
        <f t="shared" si="9"/>
        <v>1.1716818919031465E+41</v>
      </c>
      <c r="I74" s="45">
        <v>234.93</v>
      </c>
      <c r="J74" s="45">
        <v>1</v>
      </c>
      <c r="K74" s="19">
        <f t="shared" si="10"/>
        <v>220.54967843869142</v>
      </c>
      <c r="L74" s="16">
        <f t="shared" si="11"/>
        <v>206.79364820663676</v>
      </c>
      <c r="M74" s="45"/>
    </row>
    <row r="75" spans="1:13" x14ac:dyDescent="0.25">
      <c r="A75" s="45">
        <v>5.82</v>
      </c>
      <c r="B75" s="45">
        <f t="shared" si="12"/>
        <v>5820</v>
      </c>
      <c r="C75" s="16">
        <f t="shared" si="13"/>
        <v>8.4347826086956523</v>
      </c>
      <c r="D75" s="15">
        <f t="shared" si="14"/>
        <v>1.7958643515600001E+20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4.8340451015465223E+40</v>
      </c>
      <c r="F75" s="15">
        <f t="shared" si="7"/>
        <v>3.9619410605360743E+40</v>
      </c>
      <c r="G75" s="15">
        <f t="shared" si="8"/>
        <v>4.1711439959290854E+40</v>
      </c>
      <c r="H75" s="15">
        <f t="shared" si="9"/>
        <v>1.2967130158011681E+41</v>
      </c>
      <c r="I75" s="45">
        <v>232.73</v>
      </c>
      <c r="J75" s="45">
        <v>1</v>
      </c>
      <c r="K75" s="19">
        <f t="shared" si="10"/>
        <v>219.52342719354209</v>
      </c>
      <c r="L75" s="16">
        <f t="shared" si="11"/>
        <v>174.41356529227326</v>
      </c>
      <c r="M75" s="45"/>
    </row>
    <row r="76" spans="1:13" x14ac:dyDescent="0.25">
      <c r="A76" s="45">
        <v>6.49</v>
      </c>
      <c r="B76" s="45">
        <f t="shared" si="12"/>
        <v>6490</v>
      </c>
      <c r="C76" s="16">
        <f t="shared" si="13"/>
        <v>9.4057971014492754</v>
      </c>
      <c r="D76" s="15">
        <f t="shared" si="14"/>
        <v>2.0026047494200001E+20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4.8991858116953624E+40</v>
      </c>
      <c r="F76" s="15">
        <f t="shared" si="7"/>
        <v>4.4565589034718144E+40</v>
      </c>
      <c r="G76" s="15">
        <f t="shared" si="8"/>
        <v>4.9782055859168035E+40</v>
      </c>
      <c r="H76" s="15">
        <f t="shared" si="9"/>
        <v>1.433395030108398E+41</v>
      </c>
      <c r="I76" s="45">
        <v>228.44</v>
      </c>
      <c r="J76" s="45">
        <v>1</v>
      </c>
      <c r="K76" s="19">
        <f t="shared" si="10"/>
        <v>218.56520788068403</v>
      </c>
      <c r="L76" s="16">
        <f t="shared" si="11"/>
        <v>97.511519399704781</v>
      </c>
      <c r="M76" s="45"/>
    </row>
    <row r="77" spans="1:13" x14ac:dyDescent="0.25">
      <c r="A77" s="45">
        <v>7.23</v>
      </c>
      <c r="B77" s="45">
        <f t="shared" si="12"/>
        <v>7230</v>
      </c>
      <c r="C77" s="16">
        <f t="shared" si="13"/>
        <v>10.478260869565217</v>
      </c>
      <c r="D77" s="15">
        <f t="shared" si="14"/>
        <v>2.2309448903400001E+20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4.9555826140921737E+40</v>
      </c>
      <c r="F77" s="15">
        <f t="shared" si="7"/>
        <v>4.9623925121816975E+40</v>
      </c>
      <c r="G77" s="15">
        <f t="shared" si="8"/>
        <v>5.9118688140592368E+40</v>
      </c>
      <c r="H77" s="15">
        <f t="shared" si="9"/>
        <v>1.5829843940333107E+41</v>
      </c>
      <c r="I77" s="45">
        <v>225.75</v>
      </c>
      <c r="J77" s="45">
        <v>1</v>
      </c>
      <c r="K77" s="19">
        <f t="shared" si="10"/>
        <v>217.61538683206405</v>
      </c>
      <c r="L77" s="16">
        <f t="shared" si="11"/>
        <v>66.171931391957003</v>
      </c>
      <c r="M77" s="45"/>
    </row>
    <row r="78" spans="1:13" x14ac:dyDescent="0.25">
      <c r="A78" s="45">
        <v>8.0500000000000007</v>
      </c>
      <c r="B78" s="45">
        <f t="shared" si="12"/>
        <v>8050.0000000000009</v>
      </c>
      <c r="C78" s="16">
        <f t="shared" si="13"/>
        <v>11.666666666666668</v>
      </c>
      <c r="D78" s="15">
        <f t="shared" si="14"/>
        <v>2.4839704519000002E+20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5.00439777446E+40</v>
      </c>
      <c r="F78" s="15">
        <f t="shared" si="7"/>
        <v>5.470894614713072E+40</v>
      </c>
      <c r="G78" s="15">
        <f t="shared" si="8"/>
        <v>6.9899406882316499E+40</v>
      </c>
      <c r="H78" s="15">
        <f t="shared" si="9"/>
        <v>1.746523307740472E+41</v>
      </c>
      <c r="I78" s="45">
        <v>227.5</v>
      </c>
      <c r="J78" s="45">
        <v>1</v>
      </c>
      <c r="K78" s="19">
        <f t="shared" si="10"/>
        <v>216.62555292753913</v>
      </c>
      <c r="L78" s="16">
        <f t="shared" si="11"/>
        <v>118.25359913175274</v>
      </c>
      <c r="M78" s="45"/>
    </row>
    <row r="79" spans="1:13" x14ac:dyDescent="0.25">
      <c r="A79" s="45">
        <v>8.94</v>
      </c>
      <c r="B79" s="45">
        <f t="shared" si="12"/>
        <v>8940</v>
      </c>
      <c r="C79" s="16">
        <f t="shared" si="13"/>
        <v>12.956521739130435</v>
      </c>
      <c r="D79" s="15">
        <f t="shared" si="14"/>
        <v>2.7585957565199997E+20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5.0458185593569569E+40</v>
      </c>
      <c r="F79" s="15">
        <f t="shared" si="7"/>
        <v>5.961037583095614E+40</v>
      </c>
      <c r="G79" s="15">
        <f t="shared" si="8"/>
        <v>8.2024771830541366E+40</v>
      </c>
      <c r="H79" s="15">
        <f t="shared" si="9"/>
        <v>1.9209333325506707E+41</v>
      </c>
      <c r="I79" s="45">
        <v>232.83</v>
      </c>
      <c r="J79" s="45">
        <v>1</v>
      </c>
      <c r="K79" s="19">
        <f t="shared" si="10"/>
        <v>215.57967777126626</v>
      </c>
      <c r="L79" s="16">
        <f t="shared" si="11"/>
        <v>297.57361699514576</v>
      </c>
      <c r="M79" s="45"/>
    </row>
    <row r="80" spans="1:13" x14ac:dyDescent="0.25">
      <c r="A80" s="45">
        <v>9.93</v>
      </c>
      <c r="B80" s="45">
        <f t="shared" si="12"/>
        <v>9930</v>
      </c>
      <c r="C80" s="16">
        <f t="shared" si="13"/>
        <v>14.391304347826088</v>
      </c>
      <c r="D80" s="15">
        <f t="shared" si="14"/>
        <v>3.06407783694E+20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5.0803430826643486E+40</v>
      </c>
      <c r="F80" s="15">
        <f t="shared" si="7"/>
        <v>6.4340253282972038E+40</v>
      </c>
      <c r="G80" s="15">
        <f t="shared" si="8"/>
        <v>9.5926565353181642E+40</v>
      </c>
      <c r="H80" s="15">
        <f t="shared" si="9"/>
        <v>2.1107024946279718E+41</v>
      </c>
      <c r="I80" s="45">
        <v>237.51</v>
      </c>
      <c r="J80" s="45">
        <v>1</v>
      </c>
      <c r="K80" s="19">
        <f t="shared" si="10"/>
        <v>214.41705119367032</v>
      </c>
      <c r="L80" s="16">
        <f t="shared" si="11"/>
        <v>533.28428457176312</v>
      </c>
      <c r="M80" s="45"/>
    </row>
    <row r="81" spans="1:13" x14ac:dyDescent="0.25">
      <c r="A81" s="45">
        <v>11.01</v>
      </c>
      <c r="B81" s="45">
        <f t="shared" si="12"/>
        <v>11010</v>
      </c>
      <c r="C81" s="16">
        <f t="shared" si="13"/>
        <v>15.956521739130435</v>
      </c>
      <c r="D81" s="15">
        <f t="shared" si="14"/>
        <v>3.3973310155799999E+20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5.1054061716180866E+40</v>
      </c>
      <c r="F81" s="15">
        <f t="shared" si="7"/>
        <v>6.8702565767835375E+40</v>
      </c>
      <c r="G81" s="15">
        <f t="shared" si="8"/>
        <v>1.1147518552751064E+41</v>
      </c>
      <c r="H81" s="15">
        <f t="shared" si="9"/>
        <v>2.3123181301152687E+41</v>
      </c>
      <c r="I81" s="45">
        <v>237.46</v>
      </c>
      <c r="J81" s="45">
        <v>1</v>
      </c>
      <c r="K81" s="19">
        <f t="shared" si="10"/>
        <v>213.13293435594437</v>
      </c>
      <c r="L81" s="16">
        <f t="shared" si="11"/>
        <v>591.80612285019208</v>
      </c>
      <c r="M81" s="45"/>
    </row>
    <row r="82" spans="1:13" x14ac:dyDescent="0.25">
      <c r="A82" s="45">
        <v>12.2</v>
      </c>
      <c r="B82" s="45">
        <f t="shared" si="12"/>
        <v>12200</v>
      </c>
      <c r="C82" s="16">
        <f t="shared" si="13"/>
        <v>17.681159420289855</v>
      </c>
      <c r="D82" s="15">
        <f t="shared" si="14"/>
        <v>3.7645266475999999E+20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5.1277450249579707E+40</v>
      </c>
      <c r="F82" s="15">
        <f t="shared" si="7"/>
        <v>7.2656532784072863E+40</v>
      </c>
      <c r="G82" s="15">
        <f t="shared" si="8"/>
        <v>1.2894624617724218E+41</v>
      </c>
      <c r="H82" s="15">
        <f t="shared" si="9"/>
        <v>2.5288022921089478E+41</v>
      </c>
      <c r="I82" s="45">
        <v>233.04</v>
      </c>
      <c r="J82" s="45">
        <v>1</v>
      </c>
      <c r="K82" s="19">
        <f t="shared" si="10"/>
        <v>211.73758454731592</v>
      </c>
      <c r="L82" s="16">
        <f t="shared" si="11"/>
        <v>453.7929041187532</v>
      </c>
      <c r="M82" s="45"/>
    </row>
    <row r="83" spans="1:13" x14ac:dyDescent="0.25">
      <c r="A83" s="45">
        <v>13.51</v>
      </c>
      <c r="B83" s="45">
        <f t="shared" si="12"/>
        <v>13510</v>
      </c>
      <c r="C83" s="16">
        <f t="shared" si="13"/>
        <v>19.579710144927535</v>
      </c>
      <c r="D83" s="15">
        <f t="shared" si="14"/>
        <v>4.1687504105800001E+20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5.1523365357775074E+40</v>
      </c>
      <c r="F83" s="15">
        <f t="shared" si="7"/>
        <v>7.6128619875570002E+40</v>
      </c>
      <c r="G83" s="15">
        <f t="shared" si="8"/>
        <v>1.4845733488891925E+41</v>
      </c>
      <c r="H83" s="15">
        <f t="shared" si="9"/>
        <v>2.761093201222643E+41</v>
      </c>
      <c r="I83" s="45">
        <v>227.1</v>
      </c>
      <c r="J83" s="45">
        <v>1</v>
      </c>
      <c r="K83" s="19">
        <f t="shared" si="10"/>
        <v>210.24868603378221</v>
      </c>
      <c r="L83" s="16">
        <f t="shared" si="11"/>
        <v>283.96678238804668</v>
      </c>
      <c r="M83" s="45"/>
    </row>
    <row r="84" spans="1:13" x14ac:dyDescent="0.25">
      <c r="A84" s="45">
        <v>14.95</v>
      </c>
      <c r="B84" s="45">
        <f t="shared" si="12"/>
        <v>14950</v>
      </c>
      <c r="C84" s="16">
        <f t="shared" si="13"/>
        <v>21.666666666666668</v>
      </c>
      <c r="D84" s="15">
        <f t="shared" si="14"/>
        <v>4.6130879820999996E+20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5.1675456129533329E+40</v>
      </c>
      <c r="F84" s="15">
        <f t="shared" si="7"/>
        <v>7.9073039139239038E+40</v>
      </c>
      <c r="G84" s="15">
        <f t="shared" si="8"/>
        <v>1.7010204351102177E+41</v>
      </c>
      <c r="H84" s="15">
        <f t="shared" si="9"/>
        <v>3.0085053877979411E+41</v>
      </c>
      <c r="I84" s="45">
        <v>221.59</v>
      </c>
      <c r="J84" s="45">
        <v>1</v>
      </c>
      <c r="K84" s="19">
        <f t="shared" si="10"/>
        <v>208.62926690293847</v>
      </c>
      <c r="L84" s="16">
        <f t="shared" si="11"/>
        <v>167.9806024132663</v>
      </c>
      <c r="M84" s="45"/>
    </row>
    <row r="85" spans="1:13" x14ac:dyDescent="0.25">
      <c r="A85" s="45">
        <v>16.54</v>
      </c>
      <c r="B85" s="45">
        <f t="shared" si="12"/>
        <v>16540</v>
      </c>
      <c r="C85" s="16">
        <f t="shared" si="13"/>
        <v>23.971014492753625</v>
      </c>
      <c r="D85" s="15">
        <f t="shared" si="14"/>
        <v>5.1037107173199997E+20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5.1810470010785505E+40</v>
      </c>
      <c r="F85" s="15">
        <f t="shared" si="7"/>
        <v>8.1489907671112632E+40</v>
      </c>
      <c r="G85" s="15">
        <f t="shared" si="8"/>
        <v>1.940976040402644E+41</v>
      </c>
      <c r="H85" s="15">
        <f t="shared" si="9"/>
        <v>3.2739798172216253E+41</v>
      </c>
      <c r="I85" s="45">
        <v>215.09</v>
      </c>
      <c r="J85" s="45">
        <v>1</v>
      </c>
      <c r="K85" s="19">
        <f t="shared" si="10"/>
        <v>206.91438182058403</v>
      </c>
      <c r="L85" s="16">
        <f t="shared" si="11"/>
        <v>66.84073261559702</v>
      </c>
      <c r="M85" s="45"/>
    </row>
    <row r="86" spans="1:13" x14ac:dyDescent="0.25">
      <c r="A86" s="45">
        <v>18.29</v>
      </c>
      <c r="B86" s="45">
        <f t="shared" si="12"/>
        <v>18290</v>
      </c>
      <c r="C86" s="16">
        <f t="shared" si="13"/>
        <v>26.507246376811594</v>
      </c>
      <c r="D86" s="15">
        <f t="shared" si="14"/>
        <v>5.6437042938199998E+20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5.1924849695091598E+40</v>
      </c>
      <c r="F86" s="15">
        <f t="shared" si="7"/>
        <v>8.3388084246310485E+40</v>
      </c>
      <c r="G86" s="15">
        <f t="shared" si="8"/>
        <v>2.2047929499044046E+41</v>
      </c>
      <c r="H86" s="15">
        <f t="shared" si="9"/>
        <v>3.5579222893184255E+41</v>
      </c>
      <c r="I86" s="45">
        <v>202.88</v>
      </c>
      <c r="J86" s="45">
        <v>1</v>
      </c>
      <c r="K86" s="19">
        <f t="shared" si="10"/>
        <v>205.12179479479619</v>
      </c>
      <c r="L86" s="16">
        <f t="shared" si="11"/>
        <v>5.0256439019753012</v>
      </c>
      <c r="M86" s="45"/>
    </row>
    <row r="87" spans="1:13" x14ac:dyDescent="0.25">
      <c r="A87" s="45">
        <v>20.2</v>
      </c>
      <c r="B87" s="45">
        <f t="shared" si="12"/>
        <v>20200</v>
      </c>
      <c r="C87" s="16">
        <f t="shared" si="13"/>
        <v>29.275362318840578</v>
      </c>
      <c r="D87" s="15">
        <f t="shared" si="14"/>
        <v>6.2330687115999995E+20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5.2024188917940576E+40</v>
      </c>
      <c r="F87" s="15">
        <f t="shared" si="7"/>
        <v>8.4804467928260376E+40</v>
      </c>
      <c r="G87" s="15">
        <f t="shared" si="8"/>
        <v>2.4909874095690415E+41</v>
      </c>
      <c r="H87" s="15">
        <f t="shared" si="9"/>
        <v>3.8592739780310508E+41</v>
      </c>
      <c r="I87" s="45">
        <v>187.5</v>
      </c>
      <c r="J87" s="45">
        <v>1</v>
      </c>
      <c r="K87" s="19">
        <f t="shared" si="10"/>
        <v>203.28135757040218</v>
      </c>
      <c r="L87" s="16">
        <f t="shared" si="11"/>
        <v>249.05124676489015</v>
      </c>
      <c r="M87" s="45"/>
    </row>
    <row r="88" spans="1:13" x14ac:dyDescent="0.25">
      <c r="A88" s="45"/>
      <c r="H88" s="15"/>
      <c r="K88" s="45"/>
      <c r="L88" s="16">
        <f>SUM(L55:L87)/(COUNT(L55:L87)-6)</f>
        <v>477.71877671792157</v>
      </c>
      <c r="M88" s="45"/>
    </row>
    <row r="89" spans="1:13" x14ac:dyDescent="0.25">
      <c r="A89" s="45"/>
      <c r="H89" s="15"/>
      <c r="K89" s="45"/>
      <c r="L89" s="17"/>
      <c r="M89" s="45"/>
    </row>
    <row r="90" spans="1:13" x14ac:dyDescent="0.25">
      <c r="A90" s="45"/>
      <c r="I90" s="45"/>
      <c r="J90" s="45"/>
      <c r="L90" s="16"/>
    </row>
    <row r="91" spans="1:13" x14ac:dyDescent="0.25">
      <c r="A91" s="45"/>
      <c r="I91" s="45"/>
      <c r="J91" s="45"/>
      <c r="L91" s="16"/>
    </row>
    <row r="92" spans="1:13" x14ac:dyDescent="0.25">
      <c r="A92" s="45"/>
      <c r="I92" s="45"/>
      <c r="J92" s="45"/>
      <c r="L92" s="16"/>
    </row>
    <row r="93" spans="1:13" x14ac:dyDescent="0.25">
      <c r="A93" s="45"/>
      <c r="I93" s="45"/>
      <c r="J93" s="45"/>
      <c r="L93" s="16"/>
    </row>
    <row r="94" spans="1:13" x14ac:dyDescent="0.25">
      <c r="A94" s="45"/>
      <c r="I94" s="45"/>
      <c r="J94" s="45"/>
      <c r="L94" s="16"/>
    </row>
    <row r="95" spans="1:13" x14ac:dyDescent="0.25">
      <c r="A95" s="45"/>
      <c r="I95" s="45"/>
      <c r="J95" s="45"/>
      <c r="L95" s="16"/>
    </row>
    <row r="96" spans="1:13" x14ac:dyDescent="0.25">
      <c r="A96" s="45"/>
      <c r="I96" s="45"/>
      <c r="J96" s="45"/>
      <c r="L96" s="16"/>
    </row>
    <row r="97" spans="1:29" s="17" customFormat="1" x14ac:dyDescent="0.25">
      <c r="A97" s="45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spans="1:29" s="17" customFormat="1" x14ac:dyDescent="0.25">
      <c r="A98" s="45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spans="1:29" s="17" customFormat="1" x14ac:dyDescent="0.25">
      <c r="A99" s="45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45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s="17" customFormat="1" x14ac:dyDescent="0.25">
      <c r="A543" s="45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spans="1:29" s="17" customFormat="1" x14ac:dyDescent="0.25">
      <c r="A544" s="45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spans="1:15" x14ac:dyDescent="0.25">
      <c r="A545" s="45"/>
      <c r="L545" s="16"/>
    </row>
    <row r="546" spans="1:15" x14ac:dyDescent="0.25">
      <c r="L546" s="16"/>
      <c r="N546" s="17"/>
      <c r="O546" s="38"/>
    </row>
    <row r="547" spans="1:15" x14ac:dyDescent="0.25">
      <c r="L547" s="16"/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C555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0</v>
      </c>
      <c r="E2" s="55"/>
      <c r="F2" s="53" t="s">
        <v>620</v>
      </c>
      <c r="G2" s="53">
        <v>26061437900</v>
      </c>
      <c r="H2" s="62"/>
      <c r="K2" s="51" t="s">
        <v>1</v>
      </c>
      <c r="L2" s="60" t="s">
        <v>577</v>
      </c>
      <c r="M2" s="55"/>
    </row>
    <row r="3" spans="1:13" s="51" customFormat="1" ht="20.100000000000001" customHeight="1" x14ac:dyDescent="0.25">
      <c r="A3" s="52" t="s">
        <v>616</v>
      </c>
      <c r="C3" s="52"/>
      <c r="D3" s="52">
        <v>0</v>
      </c>
      <c r="E3" s="53"/>
      <c r="F3" s="53" t="s">
        <v>621</v>
      </c>
      <c r="G3" s="53">
        <f>H44/SolarMass</f>
        <v>31789734135.626328</v>
      </c>
      <c r="H3" s="62"/>
      <c r="K3" s="51" t="s">
        <v>562</v>
      </c>
      <c r="L3" s="57">
        <v>1.9403E-2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3119.1043880982202</v>
      </c>
      <c r="E4" s="55"/>
      <c r="F4" s="53" t="s">
        <v>622</v>
      </c>
      <c r="G4" s="52">
        <f>G3/G2</f>
        <v>1.2197997001395817</v>
      </c>
      <c r="H4" s="62"/>
      <c r="K4" s="61" t="s">
        <v>614</v>
      </c>
      <c r="L4" s="52">
        <f>QEHModelChiSquare</f>
        <v>280.88727669097744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520.42005554134903</v>
      </c>
      <c r="F5" s="53"/>
      <c r="G5" s="52"/>
      <c r="H5" s="62"/>
      <c r="K5" s="61" t="s">
        <v>615</v>
      </c>
      <c r="L5" s="52">
        <f>LCDMModelChiSquare</f>
        <v>165.50712616403581</v>
      </c>
      <c r="M5" s="55"/>
    </row>
    <row r="6" spans="1:13" ht="20.100000000000001" customHeight="1" x14ac:dyDescent="0.25">
      <c r="A6" s="45"/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4" si="0">RadiusKpc*1000</f>
        <v>90</v>
      </c>
      <c r="C8" s="16">
        <f t="shared" ref="C8:C44" si="1">IF(QESBulgeEffectiveRadius=0,0,RadiusPc/QESBulgeEffectiveRadius)</f>
        <v>0</v>
      </c>
      <c r="D8" s="15">
        <f t="shared" ref="D8:D44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0</v>
      </c>
      <c r="F8" s="15">
        <f t="shared" ref="F8:F44" si="3">2*PI()*QESDiskSurfaceDensity*QESDiskScaleLength*(QESDiskScaleLength-EXP(-RadiusPc/QESDiskScaleLength)*(RadiusPc+QESDiskScaleLength))*SolarMass</f>
        <v>2.5840527530001141E+37</v>
      </c>
      <c r="H8" s="18">
        <f t="shared" ref="H8:H44" si="4">BulgeMass+DiskMass+HaloMass</f>
        <v>2.5840527530001141E+37</v>
      </c>
      <c r="I8" s="45">
        <v>46.03</v>
      </c>
      <c r="J8" s="45">
        <v>1</v>
      </c>
      <c r="K8" s="19">
        <f t="shared" ref="K8:K44" si="5">SQRT(TotalMass*GravitationalConstant/RadiusKm+UniverseAcceleration*RadiusKm)/km</f>
        <v>26.87530759866921</v>
      </c>
      <c r="L8" s="16">
        <f t="shared" ref="L8:L44" si="6">(ObservedVelocity-ModelVelocity)^2/(VelocityError)^2</f>
        <v>366.90224098959959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0</v>
      </c>
      <c r="F9" s="15">
        <f t="shared" si="3"/>
        <v>1.1273945347835905E+38</v>
      </c>
      <c r="H9" s="18">
        <f t="shared" si="4"/>
        <v>1.1273945347835905E+38</v>
      </c>
      <c r="I9" s="45">
        <v>50.89</v>
      </c>
      <c r="J9" s="45">
        <v>1</v>
      </c>
      <c r="K9" s="19">
        <f t="shared" si="5"/>
        <v>38.693626822139109</v>
      </c>
      <c r="L9" s="16">
        <f t="shared" si="6"/>
        <v>148.75151869364458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0</v>
      </c>
      <c r="F10" s="15">
        <f t="shared" si="3"/>
        <v>2.7457925026791271E+38</v>
      </c>
      <c r="H10" s="18">
        <f t="shared" si="4"/>
        <v>2.7457925026791271E+38</v>
      </c>
      <c r="I10" s="45">
        <v>46.65</v>
      </c>
      <c r="J10" s="45">
        <v>1</v>
      </c>
      <c r="K10" s="19">
        <f t="shared" si="5"/>
        <v>48.137443597927508</v>
      </c>
      <c r="L10" s="16">
        <f t="shared" si="6"/>
        <v>2.2124884570155334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0</v>
      </c>
      <c r="F11" s="15">
        <f t="shared" si="3"/>
        <v>5.2467792516896059E+38</v>
      </c>
      <c r="H11" s="18">
        <f t="shared" si="4"/>
        <v>5.2467792516896059E+38</v>
      </c>
      <c r="I11" s="45">
        <v>43.76</v>
      </c>
      <c r="J11" s="45">
        <v>1</v>
      </c>
      <c r="K11" s="19">
        <f t="shared" si="5"/>
        <v>56.343497715998815</v>
      </c>
      <c r="L11" s="16">
        <f t="shared" si="6"/>
        <v>158.34441476854744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0</v>
      </c>
      <c r="F12" s="15">
        <f t="shared" si="3"/>
        <v>9.0562148523522334E+38</v>
      </c>
      <c r="H12" s="18">
        <f t="shared" si="4"/>
        <v>9.0562148523522334E+38</v>
      </c>
      <c r="I12" s="45">
        <v>47.36</v>
      </c>
      <c r="J12" s="45">
        <v>1</v>
      </c>
      <c r="K12" s="19">
        <f t="shared" si="5"/>
        <v>64.249238589182241</v>
      </c>
      <c r="L12" s="16">
        <f t="shared" si="6"/>
        <v>285.24638012232253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0</v>
      </c>
      <c r="F13" s="15">
        <f t="shared" si="3"/>
        <v>1.3740196341468166E+39</v>
      </c>
      <c r="H13" s="18">
        <f t="shared" si="4"/>
        <v>1.3740196341468166E+39</v>
      </c>
      <c r="I13" s="45">
        <v>55.13</v>
      </c>
      <c r="J13" s="45">
        <v>1</v>
      </c>
      <c r="K13" s="19">
        <f t="shared" si="5"/>
        <v>70.945241763495247</v>
      </c>
      <c r="L13" s="16">
        <f t="shared" si="6"/>
        <v>250.12187203780417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0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0</v>
      </c>
      <c r="F14" s="15">
        <f t="shared" si="3"/>
        <v>2.0056557372685013E+39</v>
      </c>
      <c r="H14" s="18">
        <f t="shared" si="4"/>
        <v>2.0056557372685013E+39</v>
      </c>
      <c r="I14" s="45">
        <v>61.24</v>
      </c>
      <c r="J14" s="45">
        <v>1</v>
      </c>
      <c r="K14" s="19">
        <f t="shared" si="5"/>
        <v>77.536905836547163</v>
      </c>
      <c r="L14" s="16">
        <f t="shared" si="6"/>
        <v>265.58913984528493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0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0</v>
      </c>
      <c r="F15" s="15">
        <f t="shared" si="3"/>
        <v>2.8252066281769126E+39</v>
      </c>
      <c r="H15" s="18">
        <f t="shared" si="4"/>
        <v>2.8252066281769126E+39</v>
      </c>
      <c r="I15" s="45">
        <v>72.010000000000005</v>
      </c>
      <c r="J15" s="45">
        <v>1</v>
      </c>
      <c r="K15" s="19">
        <f t="shared" si="5"/>
        <v>83.939930583773858</v>
      </c>
      <c r="L15" s="16">
        <f t="shared" si="6"/>
        <v>142.32324373366274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0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0</v>
      </c>
      <c r="F16" s="15">
        <f t="shared" si="3"/>
        <v>3.7993077231873281E+39</v>
      </c>
      <c r="H16" s="18">
        <f t="shared" si="4"/>
        <v>3.7993077231873281E+39</v>
      </c>
      <c r="I16" s="45">
        <v>81.67</v>
      </c>
      <c r="J16" s="45">
        <v>1</v>
      </c>
      <c r="K16" s="19">
        <f t="shared" si="5"/>
        <v>89.805408625813754</v>
      </c>
      <c r="L16" s="16">
        <f t="shared" si="6"/>
        <v>66.184873508964813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0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0</v>
      </c>
      <c r="F17" s="15">
        <f t="shared" si="3"/>
        <v>5.0461493011583162E+39</v>
      </c>
      <c r="H17" s="18">
        <f t="shared" si="4"/>
        <v>5.0461493011583162E+39</v>
      </c>
      <c r="I17" s="45">
        <v>88.92</v>
      </c>
      <c r="J17" s="45">
        <v>1</v>
      </c>
      <c r="K17" s="19">
        <f t="shared" si="5"/>
        <v>95.701474356454909</v>
      </c>
      <c r="L17" s="16">
        <f t="shared" si="6"/>
        <v>45.988394447255502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0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0</v>
      </c>
      <c r="F18" s="15">
        <f t="shared" si="3"/>
        <v>6.4627027097314493E+39</v>
      </c>
      <c r="H18" s="18">
        <f t="shared" si="4"/>
        <v>6.4627027097314493E+39</v>
      </c>
      <c r="I18" s="45">
        <v>93.61</v>
      </c>
      <c r="J18" s="45">
        <v>1</v>
      </c>
      <c r="K18" s="19">
        <f t="shared" si="5"/>
        <v>101.04856801392334</v>
      </c>
      <c r="L18" s="16">
        <f t="shared" si="6"/>
        <v>55.332294097763487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0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0</v>
      </c>
      <c r="F19" s="15">
        <f t="shared" si="3"/>
        <v>8.1747502575526708E+39</v>
      </c>
      <c r="H19" s="18">
        <f t="shared" si="4"/>
        <v>8.1747502575526708E+39</v>
      </c>
      <c r="I19" s="45">
        <v>100.57</v>
      </c>
      <c r="J19" s="45">
        <v>1</v>
      </c>
      <c r="K19" s="19">
        <f t="shared" si="5"/>
        <v>106.28753091355549</v>
      </c>
      <c r="L19" s="16">
        <f t="shared" si="6"/>
        <v>32.690159747462708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0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0</v>
      </c>
      <c r="F20" s="15">
        <f t="shared" si="3"/>
        <v>1.0188816753615263E+40</v>
      </c>
      <c r="G20" s="15"/>
      <c r="H20" s="18">
        <f t="shared" si="4"/>
        <v>1.0188816753615263E+40</v>
      </c>
      <c r="I20" s="45">
        <v>107.43</v>
      </c>
      <c r="J20" s="45">
        <v>1</v>
      </c>
      <c r="K20" s="19">
        <f t="shared" si="5"/>
        <v>111.31755429773452</v>
      </c>
      <c r="L20" s="16">
        <f t="shared" si="6"/>
        <v>15.113078417834064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0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0</v>
      </c>
      <c r="F21" s="15">
        <f t="shared" si="3"/>
        <v>1.2425845507053131E+40</v>
      </c>
      <c r="G21" s="15"/>
      <c r="H21" s="18">
        <f t="shared" si="4"/>
        <v>1.2425845507053131E+40</v>
      </c>
      <c r="I21" s="45">
        <v>120.02</v>
      </c>
      <c r="J21" s="45">
        <v>1</v>
      </c>
      <c r="K21" s="19">
        <f t="shared" si="5"/>
        <v>115.92771463827006</v>
      </c>
      <c r="L21" s="16">
        <f t="shared" si="6"/>
        <v>16.746799481829107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0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0</v>
      </c>
      <c r="F22" s="15">
        <f t="shared" si="3"/>
        <v>1.5012296472773156E+40</v>
      </c>
      <c r="G22" s="15"/>
      <c r="H22" s="18">
        <f t="shared" si="4"/>
        <v>1.5012296472773156E+40</v>
      </c>
      <c r="I22" s="45">
        <v>130.25</v>
      </c>
      <c r="J22" s="45">
        <v>1</v>
      </c>
      <c r="K22" s="19">
        <f t="shared" si="5"/>
        <v>120.36341286356426</v>
      </c>
      <c r="L22" s="16">
        <f t="shared" si="6"/>
        <v>97.744605206336573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0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0</v>
      </c>
      <c r="F23" s="15">
        <f t="shared" si="3"/>
        <v>1.7846294035751863E+40</v>
      </c>
      <c r="G23" s="15"/>
      <c r="H23" s="18">
        <f t="shared" si="4"/>
        <v>1.7846294035751863E+40</v>
      </c>
      <c r="I23" s="45">
        <v>138.38</v>
      </c>
      <c r="J23" s="45">
        <v>1</v>
      </c>
      <c r="K23" s="19">
        <f t="shared" si="5"/>
        <v>124.4340025962837</v>
      </c>
      <c r="L23" s="16">
        <f t="shared" si="6"/>
        <v>194.49084358446152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0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0</v>
      </c>
      <c r="F24" s="15">
        <f t="shared" si="3"/>
        <v>2.0959545838033809E+40</v>
      </c>
      <c r="G24" s="15"/>
      <c r="H24" s="18">
        <f t="shared" si="4"/>
        <v>2.0959545838033809E+40</v>
      </c>
      <c r="I24" s="45">
        <v>143.38999999999999</v>
      </c>
      <c r="J24" s="45">
        <v>1</v>
      </c>
      <c r="K24" s="19">
        <f t="shared" si="5"/>
        <v>128.20956183291159</v>
      </c>
      <c r="L24" s="16">
        <f t="shared" si="6"/>
        <v>230.44570294479414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0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0</v>
      </c>
      <c r="F25" s="15">
        <f t="shared" si="3"/>
        <v>2.4295289284282099E+40</v>
      </c>
      <c r="G25" s="15"/>
      <c r="H25" s="18">
        <f t="shared" si="4"/>
        <v>2.4295289284282099E+40</v>
      </c>
      <c r="I25" s="45">
        <v>145.96</v>
      </c>
      <c r="J25" s="45">
        <v>1</v>
      </c>
      <c r="K25" s="19">
        <f t="shared" si="5"/>
        <v>131.65129037038525</v>
      </c>
      <c r="L25" s="16">
        <f t="shared" si="6"/>
        <v>204.73917126462999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0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0</v>
      </c>
      <c r="F26" s="15">
        <f t="shared" si="3"/>
        <v>2.7784893467902385E+40</v>
      </c>
      <c r="G26" s="15"/>
      <c r="H26" s="18">
        <f t="shared" si="4"/>
        <v>2.7784893467902385E+40</v>
      </c>
      <c r="I26" s="45">
        <v>149.36000000000001</v>
      </c>
      <c r="J26" s="45">
        <v>1</v>
      </c>
      <c r="K26" s="19">
        <f t="shared" si="5"/>
        <v>134.74532252736836</v>
      </c>
      <c r="L26" s="16">
        <f t="shared" si="6"/>
        <v>213.58879762904718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0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0</v>
      </c>
      <c r="F27" s="15">
        <f t="shared" si="3"/>
        <v>3.1480045246670182E+40</v>
      </c>
      <c r="G27" s="15"/>
      <c r="H27" s="18">
        <f t="shared" si="4"/>
        <v>3.1480045246670182E+40</v>
      </c>
      <c r="I27" s="45">
        <v>154.27000000000001</v>
      </c>
      <c r="J27" s="45">
        <v>1</v>
      </c>
      <c r="K27" s="19">
        <f t="shared" si="5"/>
        <v>137.59114169148228</v>
      </c>
      <c r="L27" s="16">
        <f t="shared" si="6"/>
        <v>278.18431447561096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0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0</v>
      </c>
      <c r="F28" s="15">
        <f t="shared" si="3"/>
        <v>3.5213260853934904E+40</v>
      </c>
      <c r="G28" s="15"/>
      <c r="H28" s="18">
        <f t="shared" si="4"/>
        <v>3.5213260853934904E+40</v>
      </c>
      <c r="I28" s="45">
        <v>156.29</v>
      </c>
      <c r="J28" s="45">
        <v>1</v>
      </c>
      <c r="K28" s="19">
        <f t="shared" si="5"/>
        <v>140.12618022541301</v>
      </c>
      <c r="L28" s="16">
        <f t="shared" si="6"/>
        <v>261.26906970532917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0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0</v>
      </c>
      <c r="F29" s="15">
        <f t="shared" si="3"/>
        <v>3.8941281917553364E+40</v>
      </c>
      <c r="G29" s="15"/>
      <c r="H29" s="18">
        <f t="shared" si="4"/>
        <v>3.8941281917553364E+40</v>
      </c>
      <c r="I29" s="45">
        <v>160.05000000000001</v>
      </c>
      <c r="J29" s="45">
        <v>1</v>
      </c>
      <c r="K29" s="19">
        <f t="shared" si="5"/>
        <v>142.41028812310387</v>
      </c>
      <c r="L29" s="16">
        <f t="shared" si="6"/>
        <v>311.15943509991087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0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0</v>
      </c>
      <c r="F30" s="15">
        <f t="shared" si="3"/>
        <v>4.2602898042253377E+40</v>
      </c>
      <c r="G30" s="15"/>
      <c r="H30" s="18">
        <f t="shared" si="4"/>
        <v>4.2602898042253377E+40</v>
      </c>
      <c r="I30" s="45">
        <v>165.64</v>
      </c>
      <c r="J30" s="45">
        <v>1</v>
      </c>
      <c r="K30" s="19">
        <f t="shared" si="5"/>
        <v>144.50070751404493</v>
      </c>
      <c r="L30" s="16">
        <f t="shared" si="6"/>
        <v>446.86968680675579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0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0</v>
      </c>
      <c r="F31" s="15">
        <f t="shared" si="3"/>
        <v>4.6123009345167596E+40</v>
      </c>
      <c r="G31" s="15"/>
      <c r="H31" s="18">
        <f t="shared" si="4"/>
        <v>4.6123009345167596E+40</v>
      </c>
      <c r="I31" s="45">
        <v>168.87</v>
      </c>
      <c r="J31" s="45">
        <v>1</v>
      </c>
      <c r="K31" s="19">
        <f t="shared" si="5"/>
        <v>146.46054772111896</v>
      </c>
      <c r="L31" s="16">
        <f t="shared" si="6"/>
        <v>502.183551439447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0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0</v>
      </c>
      <c r="F32" s="15">
        <f t="shared" si="3"/>
        <v>4.935385940301232E+40</v>
      </c>
      <c r="G32" s="15"/>
      <c r="H32" s="18">
        <f t="shared" si="4"/>
        <v>4.935385940301232E+40</v>
      </c>
      <c r="I32" s="45">
        <v>170.2</v>
      </c>
      <c r="J32" s="45">
        <v>1</v>
      </c>
      <c r="K32" s="19">
        <f t="shared" si="5"/>
        <v>148.32428469316213</v>
      </c>
      <c r="L32" s="16">
        <f t="shared" si="6"/>
        <v>478.54692018582028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0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0</v>
      </c>
      <c r="F33" s="15">
        <f t="shared" si="3"/>
        <v>5.2308357934382841E+40</v>
      </c>
      <c r="G33" s="15"/>
      <c r="H33" s="18">
        <f t="shared" si="4"/>
        <v>5.2308357934382841E+40</v>
      </c>
      <c r="I33" s="45">
        <v>169.83</v>
      </c>
      <c r="J33" s="45">
        <v>1</v>
      </c>
      <c r="K33" s="19">
        <f t="shared" si="5"/>
        <v>150.22370365552194</v>
      </c>
      <c r="L33" s="16">
        <f t="shared" si="6"/>
        <v>384.40685634749406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0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0</v>
      </c>
      <c r="F34" s="15">
        <f t="shared" si="3"/>
        <v>5.487653985781494E+40</v>
      </c>
      <c r="G34" s="15"/>
      <c r="H34" s="18">
        <f t="shared" si="4"/>
        <v>5.487653985781494E+40</v>
      </c>
      <c r="I34" s="45">
        <v>168.31</v>
      </c>
      <c r="J34" s="45">
        <v>1</v>
      </c>
      <c r="K34" s="19">
        <f t="shared" si="5"/>
        <v>152.21463745062476</v>
      </c>
      <c r="L34" s="16">
        <f t="shared" si="6"/>
        <v>259.06069559583096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0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0</v>
      </c>
      <c r="F35" s="15">
        <f t="shared" si="3"/>
        <v>5.7058034745109649E+40</v>
      </c>
      <c r="G35" s="15"/>
      <c r="H35" s="18">
        <f t="shared" si="4"/>
        <v>5.7058034745109649E+40</v>
      </c>
      <c r="I35" s="45">
        <v>166.44</v>
      </c>
      <c r="J35" s="45">
        <v>1</v>
      </c>
      <c r="K35" s="19">
        <f t="shared" si="5"/>
        <v>154.41349641551176</v>
      </c>
      <c r="L35" s="16">
        <f t="shared" si="6"/>
        <v>144.63678846770847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0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0</v>
      </c>
      <c r="F36" s="15">
        <f t="shared" si="3"/>
        <v>5.8841576927895292E+40</v>
      </c>
      <c r="G36" s="15"/>
      <c r="H36" s="18">
        <f t="shared" si="4"/>
        <v>5.8841576927895292E+40</v>
      </c>
      <c r="I36" s="45">
        <v>165.26</v>
      </c>
      <c r="J36" s="45">
        <v>1</v>
      </c>
      <c r="K36" s="19">
        <f t="shared" si="5"/>
        <v>156.91476276118431</v>
      </c>
      <c r="L36" s="16">
        <f t="shared" si="6"/>
        <v>69.642984572116035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0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0</v>
      </c>
      <c r="F37" s="15">
        <f t="shared" si="3"/>
        <v>6.0239806639403903E+40</v>
      </c>
      <c r="G37" s="15"/>
      <c r="H37" s="18">
        <f t="shared" si="4"/>
        <v>6.0239806639403903E+40</v>
      </c>
      <c r="I37" s="45">
        <v>165.31</v>
      </c>
      <c r="J37" s="45">
        <v>1</v>
      </c>
      <c r="K37" s="19">
        <f t="shared" si="5"/>
        <v>159.80450272806112</v>
      </c>
      <c r="L37" s="16">
        <f t="shared" si="6"/>
        <v>30.310500211326435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s="17" customFormat="1" x14ac:dyDescent="0.25">
      <c r="A38" s="45">
        <v>16.54</v>
      </c>
      <c r="B38" s="45">
        <f t="shared" si="0"/>
        <v>16540</v>
      </c>
      <c r="C38" s="16">
        <f t="shared" si="1"/>
        <v>0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0</v>
      </c>
      <c r="F38" s="15">
        <f t="shared" si="3"/>
        <v>6.1292442471592097E+40</v>
      </c>
      <c r="G38" s="15"/>
      <c r="H38" s="18">
        <f t="shared" si="4"/>
        <v>6.1292442471592097E+40</v>
      </c>
      <c r="I38" s="45">
        <v>165.76</v>
      </c>
      <c r="J38" s="45">
        <v>1</v>
      </c>
      <c r="K38" s="19">
        <f t="shared" si="5"/>
        <v>163.17608739895789</v>
      </c>
      <c r="L38" s="16">
        <f t="shared" si="6"/>
        <v>6.6766043298241566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s="17" customFormat="1" x14ac:dyDescent="0.25">
      <c r="A39" s="45">
        <v>18.29</v>
      </c>
      <c r="B39" s="45">
        <f t="shared" si="0"/>
        <v>18290</v>
      </c>
      <c r="C39" s="16">
        <f t="shared" si="1"/>
        <v>0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0</v>
      </c>
      <c r="F39" s="15">
        <f t="shared" si="3"/>
        <v>6.2044044450245357E+40</v>
      </c>
      <c r="G39" s="15"/>
      <c r="H39" s="18">
        <f t="shared" si="4"/>
        <v>6.2044044450245357E+40</v>
      </c>
      <c r="I39" s="45">
        <v>164.66</v>
      </c>
      <c r="J39" s="45">
        <v>1</v>
      </c>
      <c r="K39" s="19">
        <f t="shared" si="5"/>
        <v>167.08551932166219</v>
      </c>
      <c r="L39" s="16">
        <f t="shared" si="6"/>
        <v>5.8831439797566265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s="17" customFormat="1" x14ac:dyDescent="0.25">
      <c r="A40" s="45">
        <v>20.2</v>
      </c>
      <c r="B40" s="45">
        <f t="shared" si="0"/>
        <v>20200</v>
      </c>
      <c r="C40" s="16">
        <f t="shared" si="1"/>
        <v>0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0</v>
      </c>
      <c r="F40" s="15">
        <f t="shared" si="3"/>
        <v>6.2549287460662515E+40</v>
      </c>
      <c r="G40" s="15"/>
      <c r="H40" s="18">
        <f t="shared" si="4"/>
        <v>6.2549287460662515E+40</v>
      </c>
      <c r="I40" s="45">
        <v>162.21</v>
      </c>
      <c r="J40" s="45">
        <v>1</v>
      </c>
      <c r="K40" s="19">
        <f t="shared" si="5"/>
        <v>171.54327626928989</v>
      </c>
      <c r="L40" s="16">
        <f t="shared" si="6"/>
        <v>87.110045918889668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spans="1:29" x14ac:dyDescent="0.25">
      <c r="A41" s="45">
        <v>22.32</v>
      </c>
      <c r="B41" s="45">
        <f t="shared" si="0"/>
        <v>22320</v>
      </c>
      <c r="C41" s="16">
        <f t="shared" si="1"/>
        <v>0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0</v>
      </c>
      <c r="F41" s="15">
        <f t="shared" si="3"/>
        <v>6.2874973632792747E+40</v>
      </c>
      <c r="H41" s="18">
        <f t="shared" si="4"/>
        <v>6.2874973632792747E+40</v>
      </c>
      <c r="I41" s="45">
        <v>160.75</v>
      </c>
      <c r="J41" s="45">
        <v>1</v>
      </c>
      <c r="K41" s="19">
        <f t="shared" si="5"/>
        <v>176.65785797828866</v>
      </c>
      <c r="L41" s="16">
        <f t="shared" si="6"/>
        <v>253.05994545740219</v>
      </c>
    </row>
    <row r="42" spans="1:29" x14ac:dyDescent="0.25">
      <c r="A42" s="45">
        <v>24.64</v>
      </c>
      <c r="B42" s="45">
        <f t="shared" si="0"/>
        <v>24640</v>
      </c>
      <c r="C42" s="16">
        <f t="shared" si="1"/>
        <v>0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0</v>
      </c>
      <c r="F42" s="15">
        <f t="shared" si="3"/>
        <v>6.3068801239964371E+40</v>
      </c>
      <c r="H42" s="18">
        <f t="shared" si="4"/>
        <v>6.3068801239964371E+40</v>
      </c>
      <c r="I42" s="45">
        <v>160.13</v>
      </c>
      <c r="J42" s="45">
        <v>1</v>
      </c>
      <c r="K42" s="19">
        <f t="shared" si="5"/>
        <v>182.37834238820119</v>
      </c>
      <c r="L42" s="16">
        <f t="shared" si="6"/>
        <v>494.98873902263006</v>
      </c>
    </row>
    <row r="43" spans="1:29" x14ac:dyDescent="0.25">
      <c r="A43" s="45">
        <v>27.19</v>
      </c>
      <c r="B43" s="45">
        <f t="shared" si="0"/>
        <v>27190</v>
      </c>
      <c r="C43" s="16">
        <f t="shared" si="1"/>
        <v>0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0</v>
      </c>
      <c r="F43" s="15">
        <f t="shared" si="3"/>
        <v>6.3176968569272719E+40</v>
      </c>
      <c r="H43" s="18">
        <f t="shared" si="4"/>
        <v>6.3176968569272719E+40</v>
      </c>
      <c r="I43" s="45">
        <v>158.87</v>
      </c>
      <c r="J43" s="45">
        <v>1</v>
      </c>
      <c r="K43" s="19">
        <f t="shared" si="5"/>
        <v>188.73415947711385</v>
      </c>
      <c r="L43" s="16">
        <f t="shared" si="6"/>
        <v>891.86802127448868</v>
      </c>
    </row>
    <row r="44" spans="1:29" x14ac:dyDescent="0.25">
      <c r="A44" s="45">
        <v>30</v>
      </c>
      <c r="B44" s="45">
        <f t="shared" si="0"/>
        <v>30000</v>
      </c>
      <c r="C44" s="16">
        <f t="shared" si="1"/>
        <v>0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0</v>
      </c>
      <c r="F44" s="15">
        <f t="shared" si="3"/>
        <v>6.3232960169174322E+40</v>
      </c>
      <c r="H44" s="18">
        <f t="shared" si="4"/>
        <v>6.3232960169174322E+40</v>
      </c>
      <c r="I44" s="45">
        <v>156.11000000000001</v>
      </c>
      <c r="J44" s="45">
        <v>1</v>
      </c>
      <c r="K44" s="19">
        <f t="shared" si="5"/>
        <v>195.74416214496853</v>
      </c>
      <c r="L44" s="16">
        <f t="shared" si="6"/>
        <v>1570.8668089336552</v>
      </c>
    </row>
    <row r="45" spans="1:29" x14ac:dyDescent="0.25">
      <c r="A45" s="45"/>
      <c r="I45" s="45"/>
      <c r="J45" s="45"/>
      <c r="L45" s="16">
        <f>SUM(L8:L44)/(COUNT(L8:L44)-4)</f>
        <v>280.88727669097744</v>
      </c>
    </row>
    <row r="46" spans="1:29" x14ac:dyDescent="0.25">
      <c r="A46" s="45"/>
      <c r="I46" s="45"/>
      <c r="J46" s="45"/>
      <c r="L46" s="16"/>
    </row>
    <row r="47" spans="1:29" ht="21" x14ac:dyDescent="0.35">
      <c r="A47" s="46" t="s">
        <v>564</v>
      </c>
      <c r="I47" s="45"/>
      <c r="J47" s="45"/>
      <c r="L47" s="16"/>
    </row>
    <row r="48" spans="1:29" x14ac:dyDescent="0.25">
      <c r="A48" s="45" t="s">
        <v>30</v>
      </c>
      <c r="D48" s="16">
        <v>6.21</v>
      </c>
      <c r="E48" s="17">
        <f>$D$48*1000</f>
        <v>6210</v>
      </c>
      <c r="F48" s="17"/>
      <c r="G48" s="17"/>
      <c r="H48" s="15"/>
      <c r="K48" s="15"/>
      <c r="L48" s="17"/>
      <c r="M48" s="45"/>
    </row>
    <row r="49" spans="1:29" x14ac:dyDescent="0.25">
      <c r="A49" s="45" t="s">
        <v>16</v>
      </c>
      <c r="D49" s="16">
        <v>0.5</v>
      </c>
      <c r="E49" s="15">
        <f>D49*10000000000*SolarMass</f>
        <v>9.9454999999999991E+39</v>
      </c>
      <c r="F49" s="43"/>
      <c r="G49" s="43"/>
      <c r="H49" s="15"/>
      <c r="K49" s="15"/>
      <c r="L49" s="17"/>
      <c r="M49" s="45"/>
    </row>
    <row r="50" spans="1:29" x14ac:dyDescent="0.25">
      <c r="A50" s="45" t="s">
        <v>569</v>
      </c>
      <c r="D50" s="16">
        <v>3.1</v>
      </c>
      <c r="E50" s="15">
        <f>D50*1000</f>
        <v>3100</v>
      </c>
      <c r="H50" s="15"/>
      <c r="K50" s="15"/>
      <c r="L50" s="17"/>
      <c r="M50" s="45"/>
    </row>
    <row r="51" spans="1:29" x14ac:dyDescent="0.25">
      <c r="A51" s="45" t="s">
        <v>17</v>
      </c>
      <c r="D51" s="45">
        <v>1.6</v>
      </c>
      <c r="G51" s="16"/>
      <c r="H51" s="15"/>
      <c r="K51" s="15"/>
      <c r="L51" s="17"/>
      <c r="M51" s="45"/>
    </row>
    <row r="52" spans="1:29" x14ac:dyDescent="0.25">
      <c r="A52" s="45" t="s">
        <v>570</v>
      </c>
      <c r="D52" s="16">
        <v>13.4</v>
      </c>
      <c r="E52" s="17">
        <f>D52*1000</f>
        <v>13400</v>
      </c>
      <c r="H52" s="15"/>
      <c r="K52" s="15"/>
      <c r="L52" s="17"/>
      <c r="M52" s="45"/>
    </row>
    <row r="53" spans="1:29" x14ac:dyDescent="0.25">
      <c r="A53" s="45" t="s">
        <v>571</v>
      </c>
      <c r="D53" s="16">
        <v>6.2</v>
      </c>
      <c r="G53" s="9"/>
      <c r="H53" s="15"/>
      <c r="K53" s="15"/>
      <c r="L53" s="17"/>
      <c r="M53" s="45"/>
    </row>
    <row r="54" spans="1:29" x14ac:dyDescent="0.25">
      <c r="A54" s="45"/>
      <c r="D54" s="12"/>
      <c r="H54" s="15"/>
      <c r="K54" s="15"/>
      <c r="L54" s="17"/>
      <c r="M54" s="45"/>
    </row>
    <row r="55" spans="1:29" x14ac:dyDescent="0.25">
      <c r="A55" s="17" t="s">
        <v>567</v>
      </c>
      <c r="D55" s="17">
        <f>(D51*10000000000)/(2*PI()*DiskScaleLengthPc^2)</f>
        <v>264.98221534550737</v>
      </c>
      <c r="H55" s="15"/>
      <c r="K55" s="15"/>
      <c r="L55" s="17"/>
      <c r="M55" s="45"/>
    </row>
    <row r="56" spans="1:29" x14ac:dyDescent="0.25">
      <c r="A56" s="17" t="s">
        <v>565</v>
      </c>
      <c r="D56" s="9">
        <f>(D53*10000000000)/(4*PI()*(LCDMHaloScaleLengthPc)^3*(LN(2)-1/2))</f>
        <v>1.0616443612486686E-2</v>
      </c>
      <c r="H56" s="15"/>
      <c r="K56" s="15"/>
      <c r="L56" s="17"/>
      <c r="M56" s="45"/>
    </row>
    <row r="57" spans="1:29" x14ac:dyDescent="0.25">
      <c r="A57" s="19"/>
      <c r="H57" s="15"/>
      <c r="K57" s="15"/>
      <c r="L57" s="17"/>
      <c r="M57" s="45"/>
    </row>
    <row r="58" spans="1:29" ht="45" x14ac:dyDescent="0.25">
      <c r="A58" s="25" t="s">
        <v>20</v>
      </c>
      <c r="B58" s="3" t="s">
        <v>19</v>
      </c>
      <c r="C58" s="7" t="s">
        <v>27</v>
      </c>
      <c r="D58" s="4" t="s">
        <v>649</v>
      </c>
      <c r="E58" s="4" t="s">
        <v>21</v>
      </c>
      <c r="F58" s="4" t="s">
        <v>22</v>
      </c>
      <c r="G58" s="4" t="s">
        <v>28</v>
      </c>
      <c r="H58" s="4" t="s">
        <v>23</v>
      </c>
      <c r="I58" s="7" t="s">
        <v>645</v>
      </c>
      <c r="J58" s="7" t="s">
        <v>646</v>
      </c>
      <c r="K58" s="25" t="s">
        <v>647</v>
      </c>
      <c r="L58" s="3" t="s">
        <v>648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x14ac:dyDescent="0.25">
      <c r="A59" s="45">
        <v>0.09</v>
      </c>
      <c r="B59" s="45">
        <f>A59*1000</f>
        <v>90</v>
      </c>
      <c r="C59" s="16">
        <f>B59/LCDMBulgeEffectiveRadius</f>
        <v>1.4492753623188406E-2</v>
      </c>
      <c r="D59" s="15">
        <f>A59*kpc</f>
        <v>2.777109822E+18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2.8512494502173912E+37</v>
      </c>
      <c r="F59" s="15">
        <f t="shared" ref="F59:F95" si="7">2*PI()*LCDMDiskSurfaceDensity*LCDMScaleLength*(LCDMScaleLength-EXP(-RadiusPc/LCDMScaleLength)*(RadiusPc+LCDMScaleLength))*SolarMass</f>
        <v>1.3155662312638345E+37</v>
      </c>
      <c r="G59" s="15">
        <f t="shared" ref="G59:G95" si="8">4*PI()*LCDMHaloRepresentativeDensity*LCDMHaloScaleLengthPc^3*(LN(1+RadiusPc/LCDMHaloScaleLengthPc)-RadiusPc/(RadiusPc+LCDMHaloScaleLengthPc))*SolarMass</f>
        <v>1.4273421056045668E+37</v>
      </c>
      <c r="H59" s="15">
        <f t="shared" ref="H59:H95" si="9">BulgeMass+DiskMass+HaloMass</f>
        <v>5.5941577870857925E+37</v>
      </c>
      <c r="I59" s="45">
        <v>46.03</v>
      </c>
      <c r="J59" s="45">
        <v>1</v>
      </c>
      <c r="K59" s="19">
        <f t="shared" ref="K59:K95" si="10">SQRT(TotalMass*GravitationalConstant/RadiusKm)/km</f>
        <v>36.666253163304837</v>
      </c>
      <c r="L59" s="16">
        <f t="shared" ref="L59:L95" si="11">(ObservedVelocity-ModelVelocity)^2/(VelocityError)^2</f>
        <v>87.679754821718689</v>
      </c>
      <c r="M59" s="45"/>
    </row>
    <row r="60" spans="1:29" x14ac:dyDescent="0.25">
      <c r="A60" s="45">
        <v>0.19</v>
      </c>
      <c r="B60" s="45">
        <f t="shared" ref="B60:B95" si="12">A60*1000</f>
        <v>190</v>
      </c>
      <c r="C60" s="16">
        <f t="shared" ref="C60:C95" si="13">B60/LCDMBulgeEffectiveRadius</f>
        <v>3.0595813204508857E-2</v>
      </c>
      <c r="D60" s="15">
        <f t="shared" ref="D60:D95" si="14">A60*kpc</f>
        <v>5.862787402E+18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8.6360809152012871E+37</v>
      </c>
      <c r="F60" s="15">
        <f t="shared" si="7"/>
        <v>5.7389242597991731E+37</v>
      </c>
      <c r="G60" s="15">
        <f t="shared" si="8"/>
        <v>6.2989749503787939E+37</v>
      </c>
      <c r="H60" s="15">
        <f t="shared" si="9"/>
        <v>2.0673980125379254E+38</v>
      </c>
      <c r="I60" s="45">
        <v>50.89</v>
      </c>
      <c r="J60" s="45">
        <v>1</v>
      </c>
      <c r="K60" s="19">
        <f t="shared" si="10"/>
        <v>48.512725926041604</v>
      </c>
      <c r="L60" s="16">
        <f t="shared" si="11"/>
        <v>5.6514320227147525</v>
      </c>
      <c r="M60" s="45"/>
    </row>
    <row r="61" spans="1:29" x14ac:dyDescent="0.25">
      <c r="A61" s="45">
        <v>0.3</v>
      </c>
      <c r="B61" s="45">
        <f t="shared" si="12"/>
        <v>300</v>
      </c>
      <c r="C61" s="16">
        <f t="shared" si="13"/>
        <v>4.8309178743961352E-2</v>
      </c>
      <c r="D61" s="15">
        <f t="shared" si="14"/>
        <v>9.25703274E+18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1.6688212678743958E+38</v>
      </c>
      <c r="F61" s="15">
        <f t="shared" si="7"/>
        <v>1.3975269451563045E+38</v>
      </c>
      <c r="G61" s="15">
        <f t="shared" si="8"/>
        <v>1.5535670162185423E+38</v>
      </c>
      <c r="H61" s="15">
        <f t="shared" si="9"/>
        <v>4.6199152292492421E+38</v>
      </c>
      <c r="I61" s="45">
        <v>46.65</v>
      </c>
      <c r="J61" s="45">
        <v>1</v>
      </c>
      <c r="K61" s="19">
        <f t="shared" si="10"/>
        <v>57.713419592643525</v>
      </c>
      <c r="L61" s="16">
        <f t="shared" si="11"/>
        <v>122.39925308288866</v>
      </c>
      <c r="M61" s="45"/>
    </row>
    <row r="62" spans="1:29" x14ac:dyDescent="0.25">
      <c r="A62" s="45">
        <v>0.42</v>
      </c>
      <c r="B62" s="45">
        <f t="shared" si="12"/>
        <v>420</v>
      </c>
      <c r="C62" s="16">
        <f t="shared" si="13"/>
        <v>6.7632850241545889E-2</v>
      </c>
      <c r="D62" s="15">
        <f t="shared" si="14"/>
        <v>1.2959845836E+19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2.643456725386473E+38</v>
      </c>
      <c r="F62" s="15">
        <f t="shared" si="7"/>
        <v>2.6700411917389227E+38</v>
      </c>
      <c r="G62" s="15">
        <f t="shared" si="8"/>
        <v>3.0097119540263729E+38</v>
      </c>
      <c r="H62" s="15">
        <f t="shared" si="9"/>
        <v>8.3232098711517683E+38</v>
      </c>
      <c r="I62" s="45">
        <v>43.76</v>
      </c>
      <c r="J62" s="45">
        <v>1</v>
      </c>
      <c r="K62" s="19">
        <f t="shared" si="10"/>
        <v>65.469829382679777</v>
      </c>
      <c r="L62" s="16">
        <f t="shared" si="11"/>
        <v>471.31669182506624</v>
      </c>
      <c r="M62" s="45"/>
    </row>
    <row r="63" spans="1:29" x14ac:dyDescent="0.25">
      <c r="A63" s="45">
        <v>0.56000000000000005</v>
      </c>
      <c r="B63" s="45">
        <f t="shared" si="12"/>
        <v>560</v>
      </c>
      <c r="C63" s="16">
        <f t="shared" si="13"/>
        <v>9.0177133655394523E-2</v>
      </c>
      <c r="D63" s="15">
        <f t="shared" si="14"/>
        <v>1.7279794448000002E+19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3.8479719253784218E+38</v>
      </c>
      <c r="F63" s="15">
        <f t="shared" si="7"/>
        <v>4.6078033406073561E+38</v>
      </c>
      <c r="G63" s="15">
        <f t="shared" si="8"/>
        <v>5.2789606394229526E+38</v>
      </c>
      <c r="H63" s="15">
        <f t="shared" si="9"/>
        <v>1.3734735905408731E+39</v>
      </c>
      <c r="I63" s="45">
        <v>47.36</v>
      </c>
      <c r="J63" s="45">
        <v>1</v>
      </c>
      <c r="K63" s="19">
        <f t="shared" si="10"/>
        <v>72.834404642753583</v>
      </c>
      <c r="L63" s="16">
        <f t="shared" si="11"/>
        <v>648.94529190274534</v>
      </c>
      <c r="M63" s="45"/>
    </row>
    <row r="64" spans="1:29" x14ac:dyDescent="0.25">
      <c r="A64" s="45">
        <v>0.7</v>
      </c>
      <c r="B64" s="45">
        <f t="shared" si="12"/>
        <v>700</v>
      </c>
      <c r="C64" s="16">
        <f t="shared" si="13"/>
        <v>0.11272141706924316</v>
      </c>
      <c r="D64" s="15">
        <f t="shared" si="14"/>
        <v>2.1599743059999998E+19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5.0901264386634446E+38</v>
      </c>
      <c r="F64" s="15">
        <f t="shared" si="7"/>
        <v>6.9897690682893288E+38</v>
      </c>
      <c r="G64" s="15">
        <f t="shared" si="8"/>
        <v>8.1389436402326608E+38</v>
      </c>
      <c r="H64" s="15">
        <f t="shared" si="9"/>
        <v>2.0218839147185436E+39</v>
      </c>
      <c r="I64" s="45">
        <v>55.13</v>
      </c>
      <c r="J64" s="45">
        <v>1</v>
      </c>
      <c r="K64" s="19">
        <f t="shared" si="10"/>
        <v>79.040471109506342</v>
      </c>
      <c r="L64" s="16">
        <f t="shared" si="11"/>
        <v>571.71062867853732</v>
      </c>
      <c r="M64" s="45"/>
    </row>
    <row r="65" spans="1:13" x14ac:dyDescent="0.25">
      <c r="A65" s="45">
        <v>0.86</v>
      </c>
      <c r="B65" s="45">
        <f t="shared" si="12"/>
        <v>860</v>
      </c>
      <c r="C65" s="16">
        <f t="shared" si="13"/>
        <v>0.13848631239935588</v>
      </c>
      <c r="D65" s="15">
        <f t="shared" si="14"/>
        <v>2.6536827187999998E+19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6.5158723195008035E+38</v>
      </c>
      <c r="F65" s="15">
        <f t="shared" si="7"/>
        <v>1.0200904244440728E+39</v>
      </c>
      <c r="G65" s="15">
        <f t="shared" si="8"/>
        <v>1.2100522577725102E+39</v>
      </c>
      <c r="H65" s="15">
        <f t="shared" si="9"/>
        <v>2.8817299141666634E+39</v>
      </c>
      <c r="I65" s="45">
        <v>61.24</v>
      </c>
      <c r="J65" s="45">
        <v>1</v>
      </c>
      <c r="K65" s="19">
        <f t="shared" si="10"/>
        <v>85.132981486357281</v>
      </c>
      <c r="L65" s="16">
        <f t="shared" si="11"/>
        <v>570.87456430741167</v>
      </c>
      <c r="M65" s="45"/>
    </row>
    <row r="66" spans="1:13" x14ac:dyDescent="0.25">
      <c r="A66" s="45">
        <v>1.04</v>
      </c>
      <c r="B66" s="45">
        <f t="shared" si="12"/>
        <v>1040</v>
      </c>
      <c r="C66" s="16">
        <f t="shared" si="13"/>
        <v>0.16747181964573268</v>
      </c>
      <c r="D66" s="15">
        <f t="shared" si="14"/>
        <v>3.2091046832E+19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8.1198364354428326E+38</v>
      </c>
      <c r="F66" s="15">
        <f t="shared" si="7"/>
        <v>1.4365969027293276E+39</v>
      </c>
      <c r="G66" s="15">
        <f t="shared" si="8"/>
        <v>1.7400783635581334E+39</v>
      </c>
      <c r="H66" s="15">
        <f t="shared" si="9"/>
        <v>3.9886589098317445E+39</v>
      </c>
      <c r="I66" s="45">
        <v>72.010000000000005</v>
      </c>
      <c r="J66" s="45">
        <v>1</v>
      </c>
      <c r="K66" s="19">
        <f t="shared" si="10"/>
        <v>91.07878144405035</v>
      </c>
      <c r="L66" s="16">
        <f t="shared" si="11"/>
        <v>363.61842576095876</v>
      </c>
      <c r="M66" s="45"/>
    </row>
    <row r="67" spans="1:13" x14ac:dyDescent="0.25">
      <c r="A67" s="45">
        <v>1.23</v>
      </c>
      <c r="B67" s="45">
        <f t="shared" si="12"/>
        <v>1230</v>
      </c>
      <c r="C67" s="16">
        <f t="shared" si="13"/>
        <v>0.19806763285024154</v>
      </c>
      <c r="D67" s="15">
        <f t="shared" si="14"/>
        <v>3.7953834233999999E+19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9.8129096689371956E+38</v>
      </c>
      <c r="F67" s="15">
        <f t="shared" si="7"/>
        <v>1.9314671812624045E+39</v>
      </c>
      <c r="G67" s="15">
        <f t="shared" si="8"/>
        <v>2.391615922243895E+39</v>
      </c>
      <c r="H67" s="15">
        <f t="shared" si="9"/>
        <v>5.3043740704000184E+39</v>
      </c>
      <c r="I67" s="45">
        <v>81.67</v>
      </c>
      <c r="J67" s="45">
        <v>1</v>
      </c>
      <c r="K67" s="19">
        <f t="shared" si="10"/>
        <v>96.579498851321802</v>
      </c>
      <c r="L67" s="16">
        <f t="shared" si="11"/>
        <v>222.29315599756606</v>
      </c>
      <c r="M67" s="45"/>
    </row>
    <row r="68" spans="1:13" x14ac:dyDescent="0.25">
      <c r="A68" s="45">
        <v>1.45</v>
      </c>
      <c r="B68" s="45">
        <f t="shared" si="12"/>
        <v>1450</v>
      </c>
      <c r="C68" s="16">
        <f t="shared" si="13"/>
        <v>0.23349436392914655</v>
      </c>
      <c r="D68" s="15">
        <f t="shared" si="14"/>
        <v>4.4742324909999997E+19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1.1675639999887276E+39</v>
      </c>
      <c r="F68" s="15">
        <f t="shared" si="7"/>
        <v>2.5646406142807513E+39</v>
      </c>
      <c r="G68" s="15">
        <f t="shared" si="8"/>
        <v>3.2576584656005637E+39</v>
      </c>
      <c r="H68" s="15">
        <f t="shared" si="9"/>
        <v>6.9898630798700421E+39</v>
      </c>
      <c r="I68" s="45">
        <v>88.92</v>
      </c>
      <c r="J68" s="45">
        <v>1</v>
      </c>
      <c r="K68" s="19">
        <f t="shared" si="10"/>
        <v>102.11058510960913</v>
      </c>
      <c r="L68" s="16">
        <f t="shared" si="11"/>
        <v>173.99153553384213</v>
      </c>
      <c r="M68" s="45"/>
    </row>
    <row r="69" spans="1:13" x14ac:dyDescent="0.25">
      <c r="A69" s="45">
        <v>1.68</v>
      </c>
      <c r="B69" s="45">
        <f t="shared" si="12"/>
        <v>1680</v>
      </c>
      <c r="C69" s="16">
        <f t="shared" si="13"/>
        <v>0.27053140096618356</v>
      </c>
      <c r="D69" s="15">
        <f t="shared" si="14"/>
        <v>5.1839383344E+19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1.3617148940628017E+39</v>
      </c>
      <c r="F69" s="15">
        <f t="shared" si="7"/>
        <v>3.2836781526910221E+39</v>
      </c>
      <c r="G69" s="15">
        <f t="shared" si="8"/>
        <v>4.283572076019757E+39</v>
      </c>
      <c r="H69" s="15">
        <f t="shared" si="9"/>
        <v>8.9289651227735802E+39</v>
      </c>
      <c r="I69" s="45">
        <v>93.61</v>
      </c>
      <c r="J69" s="45">
        <v>1</v>
      </c>
      <c r="K69" s="19">
        <f t="shared" si="10"/>
        <v>107.21766724583739</v>
      </c>
      <c r="L69" s="16">
        <f t="shared" si="11"/>
        <v>185.16860787343575</v>
      </c>
      <c r="M69" s="45"/>
    </row>
    <row r="70" spans="1:13" x14ac:dyDescent="0.25">
      <c r="A70" s="45">
        <v>1.94</v>
      </c>
      <c r="B70" s="45">
        <f t="shared" si="12"/>
        <v>1940</v>
      </c>
      <c r="C70" s="16">
        <f t="shared" si="13"/>
        <v>0.31239935587761675</v>
      </c>
      <c r="D70" s="15">
        <f t="shared" si="14"/>
        <v>5.9862145052000002E+19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1.5758156283413849E+39</v>
      </c>
      <c r="F70" s="15">
        <f t="shared" si="7"/>
        <v>4.1522870787547246E+39</v>
      </c>
      <c r="G70" s="15">
        <f t="shared" si="8"/>
        <v>5.5819687133004634E+39</v>
      </c>
      <c r="H70" s="15">
        <f t="shared" si="9"/>
        <v>1.1310071420396572E+40</v>
      </c>
      <c r="I70" s="45">
        <v>100.57</v>
      </c>
      <c r="J70" s="45">
        <v>1</v>
      </c>
      <c r="K70" s="19">
        <f t="shared" si="10"/>
        <v>112.29288513351101</v>
      </c>
      <c r="L70" s="16">
        <f t="shared" si="11"/>
        <v>137.42603585349354</v>
      </c>
      <c r="M70" s="45"/>
    </row>
    <row r="71" spans="1:13" x14ac:dyDescent="0.25">
      <c r="A71" s="45">
        <v>2.23</v>
      </c>
      <c r="B71" s="45">
        <f t="shared" si="12"/>
        <v>2230</v>
      </c>
      <c r="C71" s="16">
        <f t="shared" si="13"/>
        <v>0.35909822866344604</v>
      </c>
      <c r="D71" s="15">
        <f t="shared" si="14"/>
        <v>6.8810610034000003E+19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1.8003741279388083E+39</v>
      </c>
      <c r="F71" s="15">
        <f t="shared" si="7"/>
        <v>5.1735709321044478E+39</v>
      </c>
      <c r="G71" s="15">
        <f t="shared" si="8"/>
        <v>7.1914690269370429E+39</v>
      </c>
      <c r="H71" s="15">
        <f t="shared" si="9"/>
        <v>1.41654140869803E+40</v>
      </c>
      <c r="I71" s="45">
        <v>107.43</v>
      </c>
      <c r="J71" s="45">
        <v>1</v>
      </c>
      <c r="K71" s="19">
        <f t="shared" si="10"/>
        <v>117.21485030182394</v>
      </c>
      <c r="L71" s="16">
        <f t="shared" si="11"/>
        <v>95.743295429103995</v>
      </c>
      <c r="M71" s="45"/>
    </row>
    <row r="72" spans="1:13" x14ac:dyDescent="0.25">
      <c r="A72" s="45">
        <v>2.54</v>
      </c>
      <c r="B72" s="45">
        <f t="shared" si="12"/>
        <v>2540</v>
      </c>
      <c r="C72" s="16">
        <f t="shared" si="13"/>
        <v>0.40901771336553944</v>
      </c>
      <c r="D72" s="15">
        <f t="shared" si="14"/>
        <v>7.8376210532000006E+19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2.0365898425764895E+39</v>
      </c>
      <c r="F72" s="15">
        <f t="shared" si="7"/>
        <v>6.307242051953716E+39</v>
      </c>
      <c r="G72" s="15">
        <f t="shared" si="8"/>
        <v>9.0854600077624899E+39</v>
      </c>
      <c r="H72" s="15">
        <f t="shared" si="9"/>
        <v>1.7429291902292694E+40</v>
      </c>
      <c r="I72" s="45">
        <v>120.02</v>
      </c>
      <c r="J72" s="45">
        <v>1</v>
      </c>
      <c r="K72" s="19">
        <f t="shared" si="10"/>
        <v>121.82697058711095</v>
      </c>
      <c r="L72" s="16">
        <f t="shared" si="11"/>
        <v>3.2651427026841033</v>
      </c>
      <c r="M72" s="45"/>
    </row>
    <row r="73" spans="1:13" x14ac:dyDescent="0.25">
      <c r="A73" s="45">
        <v>2.89</v>
      </c>
      <c r="B73" s="45">
        <f t="shared" si="12"/>
        <v>2890</v>
      </c>
      <c r="C73" s="16">
        <f t="shared" si="13"/>
        <v>0.46537842190016104</v>
      </c>
      <c r="D73" s="15">
        <f t="shared" si="14"/>
        <v>8.9176082061999997E+19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2.2836738586795488E+39</v>
      </c>
      <c r="F73" s="15">
        <f t="shared" si="7"/>
        <v>7.6171381930681987E+39</v>
      </c>
      <c r="G73" s="15">
        <f t="shared" si="8"/>
        <v>1.1420991341966346E+40</v>
      </c>
      <c r="H73" s="15">
        <f t="shared" si="9"/>
        <v>2.1321803393714093E+40</v>
      </c>
      <c r="I73" s="45">
        <v>130.25</v>
      </c>
      <c r="J73" s="45">
        <v>1</v>
      </c>
      <c r="K73" s="19">
        <f t="shared" si="10"/>
        <v>126.32330435391006</v>
      </c>
      <c r="L73" s="16">
        <f t="shared" si="11"/>
        <v>15.418938697021687</v>
      </c>
      <c r="M73" s="45"/>
    </row>
    <row r="74" spans="1:13" x14ac:dyDescent="0.25">
      <c r="A74" s="45">
        <v>3.27</v>
      </c>
      <c r="B74" s="45">
        <f t="shared" si="12"/>
        <v>3270</v>
      </c>
      <c r="C74" s="16">
        <f t="shared" si="13"/>
        <v>0.52657004830917875</v>
      </c>
      <c r="D74" s="15">
        <f t="shared" si="14"/>
        <v>1.0090165686599999E+20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2.5417363614975839E+39</v>
      </c>
      <c r="F74" s="15">
        <f t="shared" si="7"/>
        <v>9.0513697219078837E+39</v>
      </c>
      <c r="G74" s="15">
        <f t="shared" si="8"/>
        <v>1.4171617644279711E+40</v>
      </c>
      <c r="H74" s="15">
        <f t="shared" si="9"/>
        <v>2.5764723727685178E+40</v>
      </c>
      <c r="I74" s="45">
        <v>138.38</v>
      </c>
      <c r="J74" s="45">
        <v>1</v>
      </c>
      <c r="K74" s="19">
        <f t="shared" si="10"/>
        <v>130.544716722814</v>
      </c>
      <c r="L74" s="16">
        <f t="shared" si="11"/>
        <v>61.391664033750487</v>
      </c>
      <c r="M74" s="45"/>
    </row>
    <row r="75" spans="1:13" x14ac:dyDescent="0.25">
      <c r="A75" s="45">
        <v>3.69</v>
      </c>
      <c r="B75" s="45">
        <f t="shared" si="12"/>
        <v>3690</v>
      </c>
      <c r="C75" s="16">
        <f t="shared" si="13"/>
        <v>0.59420289855072461</v>
      </c>
      <c r="D75" s="15">
        <f t="shared" si="14"/>
        <v>1.13861502702E+20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2.8122731798550721E+39</v>
      </c>
      <c r="F75" s="15">
        <f t="shared" si="7"/>
        <v>1.0625683419185127E+40</v>
      </c>
      <c r="G75" s="15">
        <f t="shared" si="8"/>
        <v>1.7445728534839019E+40</v>
      </c>
      <c r="H75" s="15">
        <f t="shared" si="9"/>
        <v>3.088368513387922E+40</v>
      </c>
      <c r="I75" s="45">
        <v>143.38999999999999</v>
      </c>
      <c r="J75" s="45">
        <v>1</v>
      </c>
      <c r="K75" s="19">
        <f t="shared" si="10"/>
        <v>134.5463146409036</v>
      </c>
      <c r="L75" s="16">
        <f t="shared" si="11"/>
        <v>78.210770730695728</v>
      </c>
      <c r="M75" s="45"/>
    </row>
    <row r="76" spans="1:13" x14ac:dyDescent="0.25">
      <c r="A76" s="45">
        <v>4.1500000000000004</v>
      </c>
      <c r="B76" s="45">
        <f t="shared" si="12"/>
        <v>4150</v>
      </c>
      <c r="C76" s="16">
        <f t="shared" si="13"/>
        <v>0.66827697262479868</v>
      </c>
      <c r="D76" s="15">
        <f t="shared" si="14"/>
        <v>1.2805561957E+20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3.0852161365700489E+39</v>
      </c>
      <c r="F76" s="15">
        <f t="shared" si="7"/>
        <v>1.2311043440313306E+40</v>
      </c>
      <c r="G76" s="15">
        <f t="shared" si="8"/>
        <v>2.1282438721509491E+40</v>
      </c>
      <c r="H76" s="15">
        <f t="shared" si="9"/>
        <v>3.6678698298392846E+40</v>
      </c>
      <c r="I76" s="45">
        <v>145.96</v>
      </c>
      <c r="J76" s="45">
        <v>1</v>
      </c>
      <c r="K76" s="19">
        <f t="shared" si="10"/>
        <v>138.26216097186955</v>
      </c>
      <c r="L76" s="16">
        <f t="shared" si="11"/>
        <v>59.256725703008506</v>
      </c>
      <c r="M76" s="45"/>
    </row>
    <row r="77" spans="1:13" x14ac:dyDescent="0.25">
      <c r="A77" s="45">
        <v>4.6500000000000004</v>
      </c>
      <c r="B77" s="45">
        <f t="shared" si="12"/>
        <v>4650</v>
      </c>
      <c r="C77" s="16">
        <f t="shared" si="13"/>
        <v>0.74879227053140096</v>
      </c>
      <c r="D77" s="15">
        <f t="shared" si="14"/>
        <v>1.4348400747000001E+20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3.364985453864734E+39</v>
      </c>
      <c r="F77" s="15">
        <f t="shared" si="7"/>
        <v>1.4072471937950329E+40</v>
      </c>
      <c r="G77" s="15">
        <f t="shared" si="8"/>
        <v>2.5714412375639692E+40</v>
      </c>
      <c r="H77" s="15">
        <f t="shared" si="9"/>
        <v>4.3151869767454755E+40</v>
      </c>
      <c r="I77" s="45">
        <v>149.36000000000001</v>
      </c>
      <c r="J77" s="45">
        <v>1</v>
      </c>
      <c r="K77" s="19">
        <f t="shared" si="10"/>
        <v>141.67517713260222</v>
      </c>
      <c r="L77" s="16">
        <f t="shared" si="11"/>
        <v>59.056502503280122</v>
      </c>
      <c r="M77" s="45"/>
    </row>
    <row r="78" spans="1:13" x14ac:dyDescent="0.25">
      <c r="A78" s="45">
        <v>5.21</v>
      </c>
      <c r="B78" s="45">
        <f t="shared" si="12"/>
        <v>5210</v>
      </c>
      <c r="C78" s="16">
        <f t="shared" si="13"/>
        <v>0.83896940418679544</v>
      </c>
      <c r="D78" s="15">
        <f t="shared" si="14"/>
        <v>1.6076380191800001E+20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3.657198017020933E+39</v>
      </c>
      <c r="F78" s="15">
        <f t="shared" si="7"/>
        <v>1.5935705621973125E+40</v>
      </c>
      <c r="G78" s="15">
        <f t="shared" si="8"/>
        <v>3.0959104847324983E+40</v>
      </c>
      <c r="H78" s="15">
        <f t="shared" si="9"/>
        <v>5.0552008486319044E+40</v>
      </c>
      <c r="I78" s="45">
        <v>154.27000000000001</v>
      </c>
      <c r="J78" s="45">
        <v>1</v>
      </c>
      <c r="K78" s="19">
        <f t="shared" si="10"/>
        <v>144.86743729642288</v>
      </c>
      <c r="L78" s="16">
        <f t="shared" si="11"/>
        <v>88.408185394699714</v>
      </c>
      <c r="M78" s="45"/>
    </row>
    <row r="79" spans="1:13" x14ac:dyDescent="0.25">
      <c r="A79" s="45">
        <v>5.82</v>
      </c>
      <c r="B79" s="45">
        <f t="shared" si="12"/>
        <v>5820</v>
      </c>
      <c r="C79" s="16">
        <f t="shared" si="13"/>
        <v>0.9371980676328503</v>
      </c>
      <c r="D79" s="15">
        <f t="shared" si="14"/>
        <v>1.7958643515600001E+20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3.9518285698550729E+39</v>
      </c>
      <c r="F79" s="15">
        <f t="shared" si="7"/>
        <v>1.7815962612188553E+40</v>
      </c>
      <c r="G79" s="15">
        <f t="shared" si="8"/>
        <v>3.6960845823530285E+40</v>
      </c>
      <c r="H79" s="15">
        <f t="shared" si="9"/>
        <v>5.8728637005573915E+40</v>
      </c>
      <c r="I79" s="45">
        <v>156.29</v>
      </c>
      <c r="J79" s="45">
        <v>1</v>
      </c>
      <c r="K79" s="19">
        <f t="shared" si="10"/>
        <v>147.73517129860048</v>
      </c>
      <c r="L79" s="16">
        <f t="shared" si="11"/>
        <v>73.185094110288915</v>
      </c>
      <c r="M79" s="45"/>
    </row>
    <row r="80" spans="1:13" x14ac:dyDescent="0.25">
      <c r="A80" s="45">
        <v>6.49</v>
      </c>
      <c r="B80" s="45">
        <f t="shared" si="12"/>
        <v>6490</v>
      </c>
      <c r="C80" s="16">
        <f t="shared" si="13"/>
        <v>1.0450885668276972</v>
      </c>
      <c r="D80" s="15">
        <f t="shared" si="14"/>
        <v>2.0026047494200001E+20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4.2500206046376804E+39</v>
      </c>
      <c r="F80" s="15">
        <f t="shared" si="7"/>
        <v>1.9691236482289659E+40</v>
      </c>
      <c r="G80" s="15">
        <f t="shared" si="8"/>
        <v>4.3844270577098866E+40</v>
      </c>
      <c r="H80" s="15">
        <f t="shared" si="9"/>
        <v>6.7785527664026206E+40</v>
      </c>
      <c r="I80" s="45">
        <v>160.05000000000001</v>
      </c>
      <c r="J80" s="45">
        <v>1</v>
      </c>
      <c r="K80" s="19">
        <f t="shared" si="10"/>
        <v>150.30262783096958</v>
      </c>
      <c r="L80" s="16">
        <f t="shared" si="11"/>
        <v>95.011264201588943</v>
      </c>
      <c r="M80" s="45"/>
    </row>
    <row r="81" spans="1:13" x14ac:dyDescent="0.25">
      <c r="A81" s="45">
        <v>7.23</v>
      </c>
      <c r="B81" s="45">
        <f t="shared" si="12"/>
        <v>7230</v>
      </c>
      <c r="C81" s="16">
        <f t="shared" si="13"/>
        <v>1.1642512077294687</v>
      </c>
      <c r="D81" s="15">
        <f t="shared" si="14"/>
        <v>2.2309448903400001E+20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4.5525958663043477E+39</v>
      </c>
      <c r="F81" s="15">
        <f t="shared" si="7"/>
        <v>2.1530550954367032E+40</v>
      </c>
      <c r="G81" s="15">
        <f t="shared" si="8"/>
        <v>5.17382584781605E+40</v>
      </c>
      <c r="H81" s="15">
        <f t="shared" si="9"/>
        <v>7.7821405298831875E+40</v>
      </c>
      <c r="I81" s="45">
        <v>165.64</v>
      </c>
      <c r="J81" s="45">
        <v>1</v>
      </c>
      <c r="K81" s="19">
        <f t="shared" si="10"/>
        <v>152.58112666125464</v>
      </c>
      <c r="L81" s="16">
        <f t="shared" si="11"/>
        <v>170.53417287739396</v>
      </c>
      <c r="M81" s="45"/>
    </row>
    <row r="82" spans="1:13" x14ac:dyDescent="0.25">
      <c r="A82" s="45">
        <v>8.0500000000000007</v>
      </c>
      <c r="B82" s="45">
        <f t="shared" si="12"/>
        <v>8050.0000000000009</v>
      </c>
      <c r="C82" s="16">
        <f t="shared" si="13"/>
        <v>1.2962962962962965</v>
      </c>
      <c r="D82" s="15">
        <f t="shared" si="14"/>
        <v>2.4839704519000002E+20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4.8600674849999998E+39</v>
      </c>
      <c r="F82" s="15">
        <f t="shared" si="7"/>
        <v>2.3296070597936645E+40</v>
      </c>
      <c r="G82" s="15">
        <f t="shared" si="8"/>
        <v>6.077137714673483E+40</v>
      </c>
      <c r="H82" s="15">
        <f t="shared" si="9"/>
        <v>8.892751522967148E+40</v>
      </c>
      <c r="I82" s="45">
        <v>168.87</v>
      </c>
      <c r="J82" s="45">
        <v>1</v>
      </c>
      <c r="K82" s="19">
        <f t="shared" si="10"/>
        <v>154.57546803975438</v>
      </c>
      <c r="L82" s="16">
        <f t="shared" si="11"/>
        <v>204.33364396248351</v>
      </c>
      <c r="M82" s="45"/>
    </row>
    <row r="83" spans="1:13" x14ac:dyDescent="0.25">
      <c r="A83" s="45">
        <v>8.94</v>
      </c>
      <c r="B83" s="45">
        <f t="shared" si="12"/>
        <v>8940</v>
      </c>
      <c r="C83" s="16">
        <f t="shared" si="13"/>
        <v>1.4396135265700483</v>
      </c>
      <c r="D83" s="15">
        <f t="shared" si="14"/>
        <v>2.7585957565199997E+20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5.1604278309661834E+39</v>
      </c>
      <c r="F83" s="15">
        <f t="shared" si="7"/>
        <v>2.4913784364672643E+40</v>
      </c>
      <c r="G83" s="15">
        <f t="shared" si="8"/>
        <v>7.083824742569419E+40</v>
      </c>
      <c r="H83" s="15">
        <f t="shared" si="9"/>
        <v>1.0091245962133301E+41</v>
      </c>
      <c r="I83" s="45">
        <v>170.2</v>
      </c>
      <c r="J83" s="45">
        <v>1</v>
      </c>
      <c r="K83" s="19">
        <f t="shared" si="10"/>
        <v>156.25145422766352</v>
      </c>
      <c r="L83" s="16">
        <f t="shared" si="11"/>
        <v>194.5619291629657</v>
      </c>
      <c r="M83" s="45"/>
    </row>
    <row r="84" spans="1:13" x14ac:dyDescent="0.25">
      <c r="A84" s="45">
        <v>9.93</v>
      </c>
      <c r="B84" s="45">
        <f t="shared" si="12"/>
        <v>9930</v>
      </c>
      <c r="C84" s="16">
        <f t="shared" si="13"/>
        <v>1.5990338164251208</v>
      </c>
      <c r="D84" s="15">
        <f t="shared" si="14"/>
        <v>3.06407783694E+20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5.4655360721497596E+39</v>
      </c>
      <c r="F84" s="15">
        <f t="shared" si="7"/>
        <v>2.6390393737893124E+40</v>
      </c>
      <c r="G84" s="15">
        <f t="shared" si="8"/>
        <v>8.2272550339954451E+40</v>
      </c>
      <c r="H84" s="15">
        <f t="shared" si="9"/>
        <v>1.1412848014999735E+41</v>
      </c>
      <c r="I84" s="45">
        <v>169.83</v>
      </c>
      <c r="J84" s="45">
        <v>1</v>
      </c>
      <c r="K84" s="19">
        <f t="shared" si="10"/>
        <v>157.66773334839689</v>
      </c>
      <c r="L84" s="16">
        <f t="shared" si="11"/>
        <v>147.92073010469733</v>
      </c>
      <c r="M84" s="45"/>
    </row>
    <row r="85" spans="1:13" x14ac:dyDescent="0.25">
      <c r="A85" s="45">
        <v>11.01</v>
      </c>
      <c r="B85" s="45">
        <f t="shared" si="12"/>
        <v>11010</v>
      </c>
      <c r="C85" s="16">
        <f t="shared" si="13"/>
        <v>1.7729468599033817</v>
      </c>
      <c r="D85" s="15">
        <f t="shared" si="14"/>
        <v>3.3973310155799999E+20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5.7627936142995161E+39</v>
      </c>
      <c r="F85" s="15">
        <f t="shared" si="7"/>
        <v>2.767131742258737E+40</v>
      </c>
      <c r="G85" s="15">
        <f t="shared" si="8"/>
        <v>9.4940603285850557E+40</v>
      </c>
      <c r="H85" s="15">
        <f t="shared" si="9"/>
        <v>1.2837471432273744E+41</v>
      </c>
      <c r="I85" s="45">
        <v>168.31</v>
      </c>
      <c r="J85" s="45">
        <v>1</v>
      </c>
      <c r="K85" s="19">
        <f t="shared" si="10"/>
        <v>158.80585747872368</v>
      </c>
      <c r="L85" s="16">
        <f t="shared" si="11"/>
        <v>90.328725064732637</v>
      </c>
      <c r="M85" s="45"/>
    </row>
    <row r="86" spans="1:13" x14ac:dyDescent="0.25">
      <c r="A86" s="45">
        <v>12.2</v>
      </c>
      <c r="B86" s="45">
        <f t="shared" si="12"/>
        <v>12200</v>
      </c>
      <c r="C86" s="16">
        <f t="shared" si="13"/>
        <v>1.9645732689210951</v>
      </c>
      <c r="D86" s="15">
        <f t="shared" si="14"/>
        <v>3.7645266475999999E+20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6.0572236556038643E+39</v>
      </c>
      <c r="F86" s="15">
        <f t="shared" si="7"/>
        <v>2.8756949638400968E+40</v>
      </c>
      <c r="G86" s="15">
        <f t="shared" si="8"/>
        <v>1.0903968682237043E+41</v>
      </c>
      <c r="H86" s="15">
        <f t="shared" si="9"/>
        <v>1.4385386011637526E+41</v>
      </c>
      <c r="I86" s="45">
        <v>166.44</v>
      </c>
      <c r="J86" s="45">
        <v>1</v>
      </c>
      <c r="K86" s="19">
        <f t="shared" si="10"/>
        <v>159.69866153058848</v>
      </c>
      <c r="L86" s="16">
        <f t="shared" si="11"/>
        <v>45.445644359167609</v>
      </c>
      <c r="M86" s="45"/>
    </row>
    <row r="87" spans="1:13" x14ac:dyDescent="0.25">
      <c r="A87" s="45">
        <v>13.51</v>
      </c>
      <c r="B87" s="45">
        <f t="shared" si="12"/>
        <v>13510</v>
      </c>
      <c r="C87" s="16">
        <f t="shared" si="13"/>
        <v>2.1755233494363928</v>
      </c>
      <c r="D87" s="15">
        <f t="shared" si="14"/>
        <v>4.1687504105800001E+20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6.3464112492914642E+39</v>
      </c>
      <c r="F87" s="15">
        <f t="shared" si="7"/>
        <v>2.9642361568875681E+40</v>
      </c>
      <c r="G87" s="15">
        <f t="shared" si="8"/>
        <v>1.2463454424462225E+41</v>
      </c>
      <c r="H87" s="15">
        <f t="shared" si="9"/>
        <v>1.6062331706278939E+41</v>
      </c>
      <c r="I87" s="45">
        <v>165.26</v>
      </c>
      <c r="J87" s="45">
        <v>1</v>
      </c>
      <c r="K87" s="19">
        <f t="shared" si="10"/>
        <v>160.36037095352521</v>
      </c>
      <c r="L87" s="16">
        <f t="shared" si="11"/>
        <v>24.006364793059419</v>
      </c>
      <c r="M87" s="45"/>
    </row>
    <row r="88" spans="1:13" x14ac:dyDescent="0.25">
      <c r="A88" s="45">
        <v>14.95</v>
      </c>
      <c r="B88" s="45">
        <f t="shared" si="12"/>
        <v>14950</v>
      </c>
      <c r="C88" s="16">
        <f t="shared" si="13"/>
        <v>2.4074074074074074</v>
      </c>
      <c r="D88" s="15">
        <f t="shared" si="14"/>
        <v>4.6130879820999996E+20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6.6284952575925917E+39</v>
      </c>
      <c r="F88" s="15">
        <f t="shared" si="7"/>
        <v>3.0334619547310444E+40</v>
      </c>
      <c r="G88" s="15">
        <f t="shared" si="8"/>
        <v>1.4176932694962906E+41</v>
      </c>
      <c r="H88" s="15">
        <f t="shared" si="9"/>
        <v>1.7873244175453209E+41</v>
      </c>
      <c r="I88" s="45">
        <v>165.31</v>
      </c>
      <c r="J88" s="45">
        <v>1</v>
      </c>
      <c r="K88" s="19">
        <f t="shared" si="10"/>
        <v>160.80573353368112</v>
      </c>
      <c r="L88" s="16">
        <f t="shared" si="11"/>
        <v>20.288416399604785</v>
      </c>
      <c r="M88" s="45"/>
    </row>
    <row r="89" spans="1:13" x14ac:dyDescent="0.25">
      <c r="A89" s="45">
        <v>16.54</v>
      </c>
      <c r="B89" s="45">
        <f t="shared" si="12"/>
        <v>16540</v>
      </c>
      <c r="C89" s="16">
        <f t="shared" si="13"/>
        <v>2.6634460547504024</v>
      </c>
      <c r="D89" s="15">
        <f t="shared" si="14"/>
        <v>5.1037107173199997E+20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6.9022378581320429E+39</v>
      </c>
      <c r="F89" s="15">
        <f t="shared" si="7"/>
        <v>3.0854228882297524E+40</v>
      </c>
      <c r="G89" s="15">
        <f t="shared" si="8"/>
        <v>1.6058396435822764E+41</v>
      </c>
      <c r="H89" s="15">
        <f t="shared" si="9"/>
        <v>1.9834043109865721E+41</v>
      </c>
      <c r="I89" s="45">
        <v>165.76</v>
      </c>
      <c r="J89" s="45">
        <v>1</v>
      </c>
      <c r="K89" s="19">
        <f t="shared" si="10"/>
        <v>161.04910118242339</v>
      </c>
      <c r="L89" s="16">
        <f t="shared" si="11"/>
        <v>22.192567669444664</v>
      </c>
      <c r="M89" s="45"/>
    </row>
    <row r="90" spans="1:13" x14ac:dyDescent="0.25">
      <c r="A90" s="45">
        <v>18.29</v>
      </c>
      <c r="B90" s="45">
        <f t="shared" si="12"/>
        <v>18290</v>
      </c>
      <c r="C90" s="16">
        <f t="shared" si="13"/>
        <v>2.9452495974235107</v>
      </c>
      <c r="D90" s="15">
        <f t="shared" si="14"/>
        <v>5.6437042938199998E+20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7.1668912966505624E+39</v>
      </c>
      <c r="F90" s="15">
        <f t="shared" si="7"/>
        <v>3.1224027122333062E+40</v>
      </c>
      <c r="G90" s="15">
        <f t="shared" si="8"/>
        <v>1.8107359327587239E+41</v>
      </c>
      <c r="H90" s="15">
        <f t="shared" si="9"/>
        <v>2.1946451169485602E+41</v>
      </c>
      <c r="I90" s="45">
        <v>164.66</v>
      </c>
      <c r="J90" s="45">
        <v>1</v>
      </c>
      <c r="K90" s="19">
        <f t="shared" si="10"/>
        <v>161.10007044967719</v>
      </c>
      <c r="L90" s="16">
        <f t="shared" si="11"/>
        <v>12.673098403261537</v>
      </c>
      <c r="M90" s="45"/>
    </row>
    <row r="91" spans="1:13" x14ac:dyDescent="0.25">
      <c r="A91" s="45">
        <v>20.2</v>
      </c>
      <c r="B91" s="45">
        <f t="shared" si="12"/>
        <v>20200</v>
      </c>
      <c r="C91" s="16">
        <f t="shared" si="13"/>
        <v>3.2528180354267309</v>
      </c>
      <c r="D91" s="15">
        <f t="shared" si="14"/>
        <v>6.2330687115999995E+20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7.4188627012157807E+39</v>
      </c>
      <c r="F91" s="15">
        <f t="shared" si="7"/>
        <v>3.1471723319181333E+40</v>
      </c>
      <c r="G91" s="15">
        <f t="shared" si="8"/>
        <v>2.0309419179144555E+41</v>
      </c>
      <c r="H91" s="15">
        <f t="shared" si="9"/>
        <v>2.4198477781184267E+41</v>
      </c>
      <c r="I91" s="45">
        <v>162.21</v>
      </c>
      <c r="J91" s="45">
        <v>1</v>
      </c>
      <c r="K91" s="19">
        <f t="shared" si="10"/>
        <v>160.96771179481172</v>
      </c>
      <c r="L91" s="16">
        <f t="shared" si="11"/>
        <v>1.5432799847499379</v>
      </c>
      <c r="M91" s="45"/>
    </row>
    <row r="92" spans="1:13" x14ac:dyDescent="0.25">
      <c r="A92" s="45">
        <v>22.32</v>
      </c>
      <c r="B92" s="45">
        <f t="shared" si="12"/>
        <v>22320</v>
      </c>
      <c r="C92" s="16">
        <f t="shared" si="13"/>
        <v>3.5942028985507246</v>
      </c>
      <c r="D92" s="15">
        <f t="shared" si="14"/>
        <v>6.8872323585599996E+20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7.6615966421014496E+39</v>
      </c>
      <c r="F92" s="15">
        <f t="shared" si="7"/>
        <v>3.1630763561314806E+40</v>
      </c>
      <c r="G92" s="15">
        <f t="shared" si="8"/>
        <v>2.2704755711822623E+41</v>
      </c>
      <c r="H92" s="15">
        <f t="shared" si="9"/>
        <v>2.6633991732164248E+41</v>
      </c>
      <c r="I92" s="45">
        <v>160.75</v>
      </c>
      <c r="J92" s="45">
        <v>1</v>
      </c>
      <c r="K92" s="19">
        <f t="shared" si="10"/>
        <v>160.65397170854217</v>
      </c>
      <c r="L92" s="16">
        <f t="shared" si="11"/>
        <v>9.2214327603094108E-3</v>
      </c>
      <c r="M92" s="45"/>
    </row>
    <row r="93" spans="1:13" x14ac:dyDescent="0.25">
      <c r="A93" s="45">
        <v>24.64</v>
      </c>
      <c r="B93" s="45">
        <f t="shared" si="12"/>
        <v>24640</v>
      </c>
      <c r="C93" s="16">
        <f t="shared" si="13"/>
        <v>3.967793880837359</v>
      </c>
      <c r="D93" s="15">
        <f t="shared" si="14"/>
        <v>7.6031095571200003E+20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7.8900771280032202E+39</v>
      </c>
      <c r="F93" s="15">
        <f t="shared" si="7"/>
        <v>3.1725004001254588E+40</v>
      </c>
      <c r="G93" s="15">
        <f t="shared" si="8"/>
        <v>2.5261832832276033E+41</v>
      </c>
      <c r="H93" s="15">
        <f t="shared" si="9"/>
        <v>2.9223340945201812E+41</v>
      </c>
      <c r="I93" s="45">
        <v>160.13</v>
      </c>
      <c r="J93" s="45">
        <v>1</v>
      </c>
      <c r="K93" s="19">
        <f t="shared" si="10"/>
        <v>160.16403900263208</v>
      </c>
      <c r="L93" s="16">
        <f t="shared" si="11"/>
        <v>1.1586537001870693E-3</v>
      </c>
      <c r="M93" s="45"/>
    </row>
    <row r="94" spans="1:13" x14ac:dyDescent="0.25">
      <c r="A94" s="45">
        <v>27.19</v>
      </c>
      <c r="B94" s="45">
        <f t="shared" si="12"/>
        <v>27190</v>
      </c>
      <c r="C94" s="16">
        <f t="shared" si="13"/>
        <v>4.3784219001610305</v>
      </c>
      <c r="D94" s="15">
        <f t="shared" si="14"/>
        <v>8.3899573400200007E+20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8.105566164396135E+39</v>
      </c>
      <c r="F94" s="15">
        <f t="shared" si="7"/>
        <v>3.1777346225728782E+40</v>
      </c>
      <c r="G94" s="15">
        <f t="shared" si="8"/>
        <v>2.7991624257483568E+41</v>
      </c>
      <c r="H94" s="15">
        <f t="shared" si="9"/>
        <v>3.1979915496496061E+41</v>
      </c>
      <c r="I94" s="45">
        <v>158.87</v>
      </c>
      <c r="J94" s="45">
        <v>1</v>
      </c>
      <c r="K94" s="19">
        <f t="shared" si="10"/>
        <v>159.4977216206982</v>
      </c>
      <c r="L94" s="16">
        <f t="shared" si="11"/>
        <v>0.39403443309197006</v>
      </c>
      <c r="M94" s="45"/>
    </row>
    <row r="95" spans="1:13" x14ac:dyDescent="0.25">
      <c r="A95" s="45">
        <v>30</v>
      </c>
      <c r="B95" s="45">
        <f t="shared" si="12"/>
        <v>30000</v>
      </c>
      <c r="C95" s="16">
        <f t="shared" si="13"/>
        <v>4.8309178743961354</v>
      </c>
      <c r="D95" s="15">
        <f t="shared" si="14"/>
        <v>9.2570327399999996E+20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8.3077817218840567E+39</v>
      </c>
      <c r="F95" s="15">
        <f t="shared" si="7"/>
        <v>3.1804299339270392E+40</v>
      </c>
      <c r="G95" s="15">
        <f t="shared" si="8"/>
        <v>3.090080872266862E+41</v>
      </c>
      <c r="H95" s="15">
        <f t="shared" si="9"/>
        <v>3.4912016828784064E+41</v>
      </c>
      <c r="I95" s="45">
        <v>156.11000000000001</v>
      </c>
      <c r="J95" s="45">
        <v>1</v>
      </c>
      <c r="K95" s="19">
        <f t="shared" si="10"/>
        <v>158.65262907587677</v>
      </c>
      <c r="L95" s="16">
        <f t="shared" si="11"/>
        <v>6.4649626174939101</v>
      </c>
      <c r="M95" s="45"/>
    </row>
    <row r="96" spans="1:13" x14ac:dyDescent="0.25">
      <c r="A96" s="45"/>
      <c r="H96" s="15"/>
      <c r="K96" s="45"/>
      <c r="L96" s="16">
        <f>SUM(L59:L95)/(COUNT(L59:L95)-6)</f>
        <v>165.50712616403581</v>
      </c>
      <c r="M96" s="45"/>
    </row>
    <row r="97" spans="1:29" x14ac:dyDescent="0.25">
      <c r="A97" s="45"/>
      <c r="H97" s="15"/>
      <c r="K97" s="45"/>
      <c r="L97" s="17"/>
      <c r="M97" s="45"/>
    </row>
    <row r="98" spans="1:29" x14ac:dyDescent="0.25">
      <c r="A98" s="45"/>
      <c r="I98" s="45"/>
      <c r="J98" s="45"/>
      <c r="L98" s="16"/>
    </row>
    <row r="99" spans="1:29" x14ac:dyDescent="0.25">
      <c r="A99" s="45"/>
      <c r="I99" s="45"/>
      <c r="J99" s="45"/>
      <c r="L99" s="16"/>
    </row>
    <row r="100" spans="1:29" x14ac:dyDescent="0.25">
      <c r="A100" s="45"/>
      <c r="I100" s="45"/>
      <c r="J100" s="45"/>
      <c r="L100" s="16"/>
    </row>
    <row r="101" spans="1:29" x14ac:dyDescent="0.25">
      <c r="A101" s="45"/>
      <c r="I101" s="45"/>
      <c r="J101" s="45"/>
      <c r="L101" s="16"/>
    </row>
    <row r="102" spans="1:29" x14ac:dyDescent="0.25">
      <c r="A102" s="45"/>
      <c r="I102" s="45"/>
      <c r="J102" s="45"/>
      <c r="L102" s="16"/>
    </row>
    <row r="103" spans="1:29" x14ac:dyDescent="0.25">
      <c r="A103" s="45"/>
      <c r="I103" s="45"/>
      <c r="J103" s="45"/>
      <c r="L103" s="16"/>
    </row>
    <row r="104" spans="1:29" x14ac:dyDescent="0.25">
      <c r="A104" s="45"/>
      <c r="I104" s="45"/>
      <c r="J104" s="45"/>
      <c r="L104" s="16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s="17" customFormat="1" x14ac:dyDescent="0.25">
      <c r="A543" s="45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spans="1:29" s="17" customFormat="1" x14ac:dyDescent="0.25">
      <c r="A544" s="45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spans="1:29" s="17" customFormat="1" x14ac:dyDescent="0.25">
      <c r="A545" s="45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</row>
    <row r="546" spans="1:29" s="17" customFormat="1" x14ac:dyDescent="0.25">
      <c r="A546" s="45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</row>
    <row r="547" spans="1:29" s="17" customFormat="1" x14ac:dyDescent="0.25">
      <c r="A547" s="45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</row>
    <row r="548" spans="1:29" s="17" customFormat="1" x14ac:dyDescent="0.25">
      <c r="A548" s="45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</row>
    <row r="549" spans="1:29" s="17" customFormat="1" x14ac:dyDescent="0.25">
      <c r="A549" s="45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</row>
    <row r="550" spans="1:29" s="17" customFormat="1" x14ac:dyDescent="0.25">
      <c r="A550" s="45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</row>
    <row r="551" spans="1:29" s="17" customFormat="1" x14ac:dyDescent="0.25">
      <c r="A551" s="45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</row>
    <row r="552" spans="1:29" s="17" customFormat="1" x14ac:dyDescent="0.25">
      <c r="A552" s="45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</row>
    <row r="553" spans="1:29" x14ac:dyDescent="0.25">
      <c r="A553" s="45"/>
      <c r="L553" s="16"/>
    </row>
    <row r="554" spans="1:29" x14ac:dyDescent="0.25">
      <c r="L554" s="16"/>
      <c r="N554" s="17"/>
      <c r="O554" s="38"/>
    </row>
    <row r="555" spans="1:29" x14ac:dyDescent="0.25">
      <c r="L555" s="16"/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C54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57.861773689571997</v>
      </c>
      <c r="E2" s="55"/>
      <c r="F2" s="53" t="s">
        <v>620</v>
      </c>
      <c r="G2" s="53">
        <v>94623361772</v>
      </c>
      <c r="H2" s="62"/>
      <c r="K2" s="51" t="s">
        <v>1</v>
      </c>
      <c r="L2" s="60" t="s">
        <v>591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3.30300967498275E+39</v>
      </c>
      <c r="E3" s="53"/>
      <c r="F3" s="53" t="s">
        <v>621</v>
      </c>
      <c r="G3" s="53">
        <f>H41/SolarMass</f>
        <v>64833602357.108482</v>
      </c>
      <c r="H3" s="62"/>
      <c r="K3" s="51" t="s">
        <v>562</v>
      </c>
      <c r="L3" s="57">
        <v>2.6719999999999999E-3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1500.88481108879</v>
      </c>
      <c r="E4" s="55"/>
      <c r="F4" s="53" t="s">
        <v>622</v>
      </c>
      <c r="G4" s="52">
        <f>G3/G2</f>
        <v>0.68517542753689598</v>
      </c>
      <c r="H4" s="62"/>
      <c r="K4" s="61" t="s">
        <v>614</v>
      </c>
      <c r="L4" s="52">
        <f>QEHModelChiSquare</f>
        <v>90.044347072634793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4463.3365239221903</v>
      </c>
      <c r="F5" s="53"/>
      <c r="G5" s="52"/>
      <c r="H5" s="62"/>
      <c r="K5" s="61" t="s">
        <v>615</v>
      </c>
      <c r="L5" s="52">
        <f>LCDMModelChiSquare</f>
        <v>406.19033388166065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1" si="0">RadiusKpc*1000</f>
        <v>90</v>
      </c>
      <c r="C8" s="16">
        <f t="shared" ref="C8:C41" si="1">IF(QESBulgeEffectiveRadius=0,0,RadiusPc/QESBulgeEffectiveRadius)</f>
        <v>1.5554310602860077</v>
      </c>
      <c r="D8" s="15">
        <f t="shared" ref="D8:D41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1.788131883973132E+39</v>
      </c>
      <c r="F8" s="15">
        <f t="shared" ref="F8:F41" si="3">2*PI()*QESDiskSurfaceDensity*QESDiskScaleLength*(QESDiskScaleLength-EXP(-RadiusPc/QESDiskScaleLength)*(RadiusPc+QESDiskScaleLength))*SolarMass</f>
        <v>2.1708664008138832E+38</v>
      </c>
      <c r="H8" s="18">
        <f t="shared" ref="H8:H41" si="4">BulgeMass+DiskMass+HaloMass</f>
        <v>2.0052185240545204E+39</v>
      </c>
      <c r="I8" s="16">
        <v>216.78</v>
      </c>
      <c r="J8" s="45">
        <v>1</v>
      </c>
      <c r="K8" s="19">
        <f t="shared" ref="K8:K41" si="5">SQRT(TotalMass*GravitationalConstant/RadiusKm+UniverseAcceleration*RadiusKm)/km</f>
        <v>219.7535402030328</v>
      </c>
      <c r="L8" s="16">
        <f t="shared" ref="L8:L41" si="6">(ObservedVelocity-ModelVelocity)^2/(VelocityError)^2</f>
        <v>8.8419413390523314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3.2836877939371276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2.4717266682786742E+39</v>
      </c>
      <c r="F9" s="15">
        <f t="shared" si="3"/>
        <v>9.2579662948642991E+38</v>
      </c>
      <c r="H9" s="18">
        <f t="shared" si="4"/>
        <v>3.3975232977651042E+39</v>
      </c>
      <c r="I9" s="16">
        <v>207.11</v>
      </c>
      <c r="J9" s="45">
        <v>1</v>
      </c>
      <c r="K9" s="19">
        <f t="shared" si="5"/>
        <v>197.2067937886506</v>
      </c>
      <c r="L9" s="16">
        <f t="shared" si="6"/>
        <v>98.073493264509608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5.1847702009533592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2.8018462474131405E+39</v>
      </c>
      <c r="F10" s="15">
        <f t="shared" si="3"/>
        <v>2.1994953353944377E+39</v>
      </c>
      <c r="H10" s="18">
        <f t="shared" si="4"/>
        <v>5.0013415828075782E+39</v>
      </c>
      <c r="I10" s="16">
        <v>187.96</v>
      </c>
      <c r="J10" s="45">
        <v>1</v>
      </c>
      <c r="K10" s="19">
        <f t="shared" si="5"/>
        <v>190.77720338213763</v>
      </c>
      <c r="L10" s="16">
        <f t="shared" si="6"/>
        <v>7.9366348963276465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7.2586782813347028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2.9870979366236441E+39</v>
      </c>
      <c r="F11" s="15">
        <f t="shared" si="3"/>
        <v>4.0916681823906751E+39</v>
      </c>
      <c r="H11" s="18">
        <f t="shared" si="4"/>
        <v>7.0787661190143192E+39</v>
      </c>
      <c r="I11" s="16">
        <v>189.08</v>
      </c>
      <c r="J11" s="45">
        <v>1</v>
      </c>
      <c r="K11" s="19">
        <f t="shared" si="5"/>
        <v>192.16380287751755</v>
      </c>
      <c r="L11" s="16">
        <f t="shared" si="6"/>
        <v>9.5098401873854694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9.6782377084462698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3.1032479736624968E+39</v>
      </c>
      <c r="F12" s="15">
        <f t="shared" si="3"/>
        <v>6.847332498513595E+39</v>
      </c>
      <c r="H12" s="18">
        <f t="shared" si="4"/>
        <v>9.9505804721760918E+39</v>
      </c>
      <c r="I12" s="16">
        <v>195.03</v>
      </c>
      <c r="J12" s="45">
        <v>1</v>
      </c>
      <c r="K12" s="19">
        <f t="shared" si="5"/>
        <v>197.64326276768094</v>
      </c>
      <c r="L12" s="16">
        <f t="shared" si="6"/>
        <v>6.8291422929474273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12.097797135557839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3.1694267925443195E+39</v>
      </c>
      <c r="F13" s="15">
        <f t="shared" si="3"/>
        <v>1.0076386134879202E+40</v>
      </c>
      <c r="H13" s="18">
        <f t="shared" si="4"/>
        <v>1.324581292742352E+40</v>
      </c>
      <c r="I13" s="16">
        <v>202.69</v>
      </c>
      <c r="J13" s="45">
        <v>1</v>
      </c>
      <c r="K13" s="19">
        <f t="shared" si="5"/>
        <v>204.2443295983073</v>
      </c>
      <c r="L13" s="16">
        <f t="shared" si="6"/>
        <v>2.4159405001741483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14.863007909399631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3.2138772040976227E+39</v>
      </c>
      <c r="F14" s="15">
        <f t="shared" si="3"/>
        <v>1.4210899045781162E+40</v>
      </c>
      <c r="H14" s="18">
        <f t="shared" si="4"/>
        <v>1.7424776249878785E+40</v>
      </c>
      <c r="I14" s="16">
        <v>209.78</v>
      </c>
      <c r="J14" s="45">
        <v>1</v>
      </c>
      <c r="K14" s="19">
        <f t="shared" si="5"/>
        <v>211.63991766146617</v>
      </c>
      <c r="L14" s="16">
        <f t="shared" si="6"/>
        <v>3.4592937074337868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17.973870029971646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3.239999157563503E+39</v>
      </c>
      <c r="F15" s="15">
        <f t="shared" si="3"/>
        <v>1.9269593812896668E+40</v>
      </c>
      <c r="H15" s="18">
        <f t="shared" si="4"/>
        <v>2.2509592970460169E+40</v>
      </c>
      <c r="I15" s="16">
        <v>216.9</v>
      </c>
      <c r="J15" s="45">
        <v>1</v>
      </c>
      <c r="K15" s="19">
        <f t="shared" si="5"/>
        <v>219.0529027990525</v>
      </c>
      <c r="L15" s="16">
        <f t="shared" si="6"/>
        <v>4.6349904621680809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21.257557823908773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3.2612215316908198E+39</v>
      </c>
      <c r="F16" s="15">
        <f t="shared" si="3"/>
        <v>2.4910458486741339E+40</v>
      </c>
      <c r="H16" s="18">
        <f t="shared" si="4"/>
        <v>2.817168001843216E+40</v>
      </c>
      <c r="I16" s="16">
        <v>226.51</v>
      </c>
      <c r="J16" s="45">
        <v>1</v>
      </c>
      <c r="K16" s="19">
        <f t="shared" si="5"/>
        <v>225.66163764180828</v>
      </c>
      <c r="L16" s="16">
        <f t="shared" si="6"/>
        <v>0.71971869079659456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25.059722637941235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3.2752015365457374E+39</v>
      </c>
      <c r="F17" s="15">
        <f t="shared" si="3"/>
        <v>3.1637123319255751E+40</v>
      </c>
      <c r="H17" s="18">
        <f t="shared" si="4"/>
        <v>3.4912324855801487E+40</v>
      </c>
      <c r="I17" s="16">
        <v>234.79</v>
      </c>
      <c r="J17" s="45">
        <v>1</v>
      </c>
      <c r="K17" s="19">
        <f t="shared" si="5"/>
        <v>231.75258595825673</v>
      </c>
      <c r="L17" s="16">
        <f t="shared" si="6"/>
        <v>9.2258840609791353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29.034713125338811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3.2842083269236948E+39</v>
      </c>
      <c r="F18" s="15">
        <f t="shared" si="3"/>
        <v>3.8708449203195667E+40</v>
      </c>
      <c r="H18" s="18">
        <f t="shared" si="4"/>
        <v>4.1992657530119362E+40</v>
      </c>
      <c r="I18" s="16">
        <v>244.29</v>
      </c>
      <c r="J18" s="45">
        <v>1</v>
      </c>
      <c r="K18" s="19">
        <f t="shared" si="5"/>
        <v>236.54593814679768</v>
      </c>
      <c r="L18" s="16">
        <f t="shared" si="6"/>
        <v>59.970493986223211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33.52818063283172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3.2905442231740442E+39</v>
      </c>
      <c r="F19" s="15">
        <f t="shared" si="3"/>
        <v>4.6561712089363309E+40</v>
      </c>
      <c r="H19" s="18">
        <f t="shared" si="4"/>
        <v>4.9852256312537357E+40</v>
      </c>
      <c r="I19" s="16">
        <v>249.16</v>
      </c>
      <c r="J19" s="45">
        <v>1</v>
      </c>
      <c r="K19" s="19">
        <f t="shared" si="5"/>
        <v>240.34066447164352</v>
      </c>
      <c r="L19" s="16">
        <f t="shared" si="6"/>
        <v>77.780679161730788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38.540125160419969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3.2947772100173366E+39</v>
      </c>
      <c r="F20" s="15">
        <f t="shared" si="3"/>
        <v>5.496383404058741E+40</v>
      </c>
      <c r="G20" s="15"/>
      <c r="H20" s="18">
        <f t="shared" si="4"/>
        <v>5.8258611250604747E+40</v>
      </c>
      <c r="I20" s="16">
        <v>246.62</v>
      </c>
      <c r="J20" s="45">
        <v>1</v>
      </c>
      <c r="K20" s="19">
        <f t="shared" si="5"/>
        <v>242.93098224766541</v>
      </c>
      <c r="L20" s="16">
        <f t="shared" si="6"/>
        <v>13.60885197703977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43.897721034738439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3.2975342580698963E+39</v>
      </c>
      <c r="F21" s="15">
        <f t="shared" si="3"/>
        <v>6.3378264937408259E+40</v>
      </c>
      <c r="G21" s="15"/>
      <c r="H21" s="18">
        <f t="shared" si="4"/>
        <v>6.6675799195478152E+40</v>
      </c>
      <c r="I21" s="16">
        <v>242.67</v>
      </c>
      <c r="J21" s="45">
        <v>1</v>
      </c>
      <c r="K21" s="19">
        <f t="shared" si="5"/>
        <v>244.2037330714179</v>
      </c>
      <c r="L21" s="16">
        <f t="shared" si="6"/>
        <v>2.3523371343610253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49.946619602517359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3.2994599388252167E+39</v>
      </c>
      <c r="F22" s="15">
        <f t="shared" si="3"/>
        <v>7.2060261970476862E+40</v>
      </c>
      <c r="G22" s="15"/>
      <c r="H22" s="18">
        <f t="shared" si="4"/>
        <v>7.5359721909302077E+40</v>
      </c>
      <c r="I22" s="16">
        <v>244.84</v>
      </c>
      <c r="J22" s="45">
        <v>1</v>
      </c>
      <c r="K22" s="19">
        <f t="shared" si="5"/>
        <v>244.23825544599148</v>
      </c>
      <c r="L22" s="16">
        <f t="shared" si="6"/>
        <v>0.3620965082789116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56.513995190391618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3.3006663871634828E+39</v>
      </c>
      <c r="F23" s="15">
        <f t="shared" si="3"/>
        <v>8.0447778421631362E+40</v>
      </c>
      <c r="G23" s="15"/>
      <c r="H23" s="18">
        <f t="shared" si="4"/>
        <v>8.3748444808794847E+40</v>
      </c>
      <c r="I23" s="16">
        <v>246.89</v>
      </c>
      <c r="J23" s="45">
        <v>1</v>
      </c>
      <c r="K23" s="19">
        <f t="shared" si="5"/>
        <v>243.05227038937318</v>
      </c>
      <c r="L23" s="16">
        <f t="shared" si="6"/>
        <v>14.7281685642818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63.772673471726321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3.3013637218305849E+39</v>
      </c>
      <c r="F24" s="15">
        <f t="shared" si="3"/>
        <v>8.84747018605992E+40</v>
      </c>
      <c r="G24" s="15"/>
      <c r="H24" s="18">
        <f t="shared" si="4"/>
        <v>9.1776065582429778E+40</v>
      </c>
      <c r="I24" s="16">
        <v>242.7</v>
      </c>
      <c r="J24" s="45">
        <v>1</v>
      </c>
      <c r="K24" s="19">
        <f t="shared" si="5"/>
        <v>240.72254200897842</v>
      </c>
      <c r="L24" s="16">
        <f t="shared" si="6"/>
        <v>3.9103401062550494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71.722654446521474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3.3018626402480231E+39</v>
      </c>
      <c r="F25" s="15">
        <f t="shared" si="3"/>
        <v>9.586479268355123E+40</v>
      </c>
      <c r="G25" s="15"/>
      <c r="H25" s="18">
        <f t="shared" si="4"/>
        <v>9.9166655323799257E+40</v>
      </c>
      <c r="I25" s="16">
        <v>235.44</v>
      </c>
      <c r="J25" s="45">
        <v>1</v>
      </c>
      <c r="K25" s="19">
        <f t="shared" si="5"/>
        <v>237.38991615696477</v>
      </c>
      <c r="L25" s="16">
        <f t="shared" si="6"/>
        <v>3.8021730191922787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80.363938114777071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3.3023887146456313E+39</v>
      </c>
      <c r="F26" s="15">
        <f t="shared" si="3"/>
        <v>1.0241682502104181E+41</v>
      </c>
      <c r="G26" s="15"/>
      <c r="H26" s="18">
        <f t="shared" si="4"/>
        <v>1.0571921373568745E+41</v>
      </c>
      <c r="I26" s="16">
        <v>228.97</v>
      </c>
      <c r="J26" s="45">
        <v>1</v>
      </c>
      <c r="K26" s="19">
        <f t="shared" si="5"/>
        <v>233.25313299874392</v>
      </c>
      <c r="L26" s="16">
        <f t="shared" si="6"/>
        <v>18.345228284929114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90.042175823223346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3.302564534865964E+39</v>
      </c>
      <c r="F27" s="15">
        <f t="shared" si="3"/>
        <v>1.0819744700522793E+41</v>
      </c>
      <c r="G27" s="15"/>
      <c r="H27" s="18">
        <f t="shared" si="4"/>
        <v>1.115000115400939E+41</v>
      </c>
      <c r="I27" s="16">
        <v>222.98</v>
      </c>
      <c r="J27" s="45">
        <v>1</v>
      </c>
      <c r="K27" s="19">
        <f t="shared" si="5"/>
        <v>228.36695416318153</v>
      </c>
      <c r="L27" s="16">
        <f t="shared" si="6"/>
        <v>29.019275156218949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100.58454189849517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3.3027502610776166E+39</v>
      </c>
      <c r="F28" s="15">
        <f t="shared" si="3"/>
        <v>1.1297181866869832E+41</v>
      </c>
      <c r="G28" s="15"/>
      <c r="H28" s="18">
        <f t="shared" si="4"/>
        <v>1.1627456892977593E+41</v>
      </c>
      <c r="I28" s="16">
        <v>219.09</v>
      </c>
      <c r="J28" s="45">
        <v>1</v>
      </c>
      <c r="K28" s="19">
        <f t="shared" si="5"/>
        <v>223.07096114705871</v>
      </c>
      <c r="L28" s="16">
        <f t="shared" si="6"/>
        <v>15.848051654390977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112.16386201395767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3.3028458775935446E+39</v>
      </c>
      <c r="F29" s="15">
        <f t="shared" si="3"/>
        <v>1.1679687818633323E+41</v>
      </c>
      <c r="G29" s="15"/>
      <c r="H29" s="18">
        <f t="shared" si="4"/>
        <v>1.2009972406392677E+41</v>
      </c>
      <c r="I29" s="16">
        <v>217.18</v>
      </c>
      <c r="J29" s="45">
        <v>1</v>
      </c>
      <c r="K29" s="19">
        <f t="shared" si="5"/>
        <v>217.55082334754883</v>
      </c>
      <c r="L29" s="16">
        <f t="shared" si="6"/>
        <v>0.13750995508731398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124.95296184297595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3.302918764532944E+39</v>
      </c>
      <c r="F30" s="15">
        <f t="shared" si="3"/>
        <v>1.1974481447238889E+41</v>
      </c>
      <c r="G30" s="15"/>
      <c r="H30" s="18">
        <f t="shared" si="4"/>
        <v>1.2304773323692183E+41</v>
      </c>
      <c r="I30" s="16">
        <v>215.96</v>
      </c>
      <c r="J30" s="45">
        <v>1</v>
      </c>
      <c r="K30" s="19">
        <f t="shared" si="5"/>
        <v>212.00537314018936</v>
      </c>
      <c r="L30" s="16">
        <f t="shared" si="6"/>
        <v>15.639073600335804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139.12466705891515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3.3029421691726638E+39</v>
      </c>
      <c r="F31" s="15">
        <f t="shared" si="3"/>
        <v>1.2191237853835858E+41</v>
      </c>
      <c r="G31" s="15"/>
      <c r="H31" s="18">
        <f t="shared" si="4"/>
        <v>1.2521532070753124E+41</v>
      </c>
      <c r="I31" s="16">
        <v>214.35</v>
      </c>
      <c r="J31" s="45">
        <v>1</v>
      </c>
      <c r="K31" s="19">
        <f t="shared" si="5"/>
        <v>206.64386298195748</v>
      </c>
      <c r="L31" s="16">
        <f t="shared" si="6"/>
        <v>59.384547740845129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154.5061519884101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3.3029675717694324E+39</v>
      </c>
      <c r="F32" s="15">
        <f t="shared" si="3"/>
        <v>1.2339506175653879E+41</v>
      </c>
      <c r="G32" s="15"/>
      <c r="H32" s="18">
        <f t="shared" si="4"/>
        <v>1.2669802932830822E+41</v>
      </c>
      <c r="I32" s="16">
        <v>212.63</v>
      </c>
      <c r="J32" s="45">
        <v>1</v>
      </c>
      <c r="K32" s="19">
        <f t="shared" si="5"/>
        <v>201.77352464187629</v>
      </c>
      <c r="L32" s="16">
        <f t="shared" si="6"/>
        <v>117.86305720154718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171.61589365155618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3.3029958285905568E+39</v>
      </c>
      <c r="F33" s="15">
        <f t="shared" si="3"/>
        <v>1.2437708577986365E+41</v>
      </c>
      <c r="G33" s="15"/>
      <c r="H33" s="18">
        <f t="shared" si="4"/>
        <v>1.276800816084542E+41</v>
      </c>
      <c r="I33" s="16">
        <v>210.99</v>
      </c>
      <c r="J33" s="45">
        <v>1</v>
      </c>
      <c r="K33" s="19">
        <f t="shared" si="5"/>
        <v>197.44467052195839</v>
      </c>
      <c r="L33" s="16">
        <f t="shared" si="6"/>
        <v>183.47595066870335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190.28106637498828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3.30300967498275E+39</v>
      </c>
      <c r="F34" s="15">
        <f t="shared" si="3"/>
        <v>1.2497540938652432E+41</v>
      </c>
      <c r="G34" s="15"/>
      <c r="H34" s="18">
        <f t="shared" si="4"/>
        <v>1.2827841906150706E+41</v>
      </c>
      <c r="I34" s="16">
        <v>209.54</v>
      </c>
      <c r="J34" s="45">
        <v>1</v>
      </c>
      <c r="K34" s="19">
        <f t="shared" si="5"/>
        <v>193.87920257755158</v>
      </c>
      <c r="L34" s="16">
        <f t="shared" si="6"/>
        <v>245.26057590696681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210.84732150543661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3.30300967498275E+39</v>
      </c>
      <c r="F35" s="15">
        <f t="shared" si="3"/>
        <v>1.2531981647149337E+41</v>
      </c>
      <c r="G35" s="15"/>
      <c r="H35" s="18">
        <f t="shared" si="4"/>
        <v>1.2862282614647613E+41</v>
      </c>
      <c r="I35" s="16">
        <v>208.66</v>
      </c>
      <c r="J35" s="45">
        <v>1</v>
      </c>
      <c r="K35" s="19">
        <f t="shared" si="5"/>
        <v>191.13125342109387</v>
      </c>
      <c r="L35" s="16">
        <f t="shared" si="6"/>
        <v>307.25695662751309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233.48748471626627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3.30300967498275E+39</v>
      </c>
      <c r="F36" s="15">
        <f t="shared" si="3"/>
        <v>1.2550331742972725E+41</v>
      </c>
      <c r="G36" s="15"/>
      <c r="H36" s="18">
        <f t="shared" si="4"/>
        <v>1.2880632710471001E+41</v>
      </c>
      <c r="I36" s="16">
        <v>207.39</v>
      </c>
      <c r="J36" s="45">
        <v>1</v>
      </c>
      <c r="K36" s="19">
        <f t="shared" si="5"/>
        <v>189.27083563522885</v>
      </c>
      <c r="L36" s="16">
        <f t="shared" si="6"/>
        <v>328.30411727759224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258.37438168084242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3.30300967498275E+39</v>
      </c>
      <c r="F37" s="15">
        <f t="shared" si="3"/>
        <v>1.2559317233407771E+41</v>
      </c>
      <c r="G37" s="15"/>
      <c r="H37" s="18">
        <f t="shared" si="4"/>
        <v>1.2889618200906047E+41</v>
      </c>
      <c r="I37" s="16">
        <v>205.88</v>
      </c>
      <c r="J37" s="45">
        <v>1</v>
      </c>
      <c r="K37" s="19">
        <f t="shared" si="5"/>
        <v>188.33608663801104</v>
      </c>
      <c r="L37" s="16">
        <f t="shared" si="6"/>
        <v>307.78889605297462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285.85366374589523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3.30300967498275E+39</v>
      </c>
      <c r="F38" s="15">
        <f t="shared" si="3"/>
        <v>1.2563347953410112E+41</v>
      </c>
      <c r="G38" s="15"/>
      <c r="H38" s="18">
        <f t="shared" si="4"/>
        <v>1.2893648920908388E+41</v>
      </c>
      <c r="I38" s="16">
        <v>202.11</v>
      </c>
      <c r="J38" s="45">
        <v>1</v>
      </c>
      <c r="K38" s="19">
        <f t="shared" si="5"/>
        <v>188.34062534397785</v>
      </c>
      <c r="L38" s="16">
        <f t="shared" si="6"/>
        <v>189.59567841790553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316.09815658478982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3.30300967498275E+39</v>
      </c>
      <c r="F39" s="15">
        <f t="shared" si="3"/>
        <v>1.2564975120585073E+41</v>
      </c>
      <c r="G39" s="15"/>
      <c r="H39" s="18">
        <f t="shared" si="4"/>
        <v>1.2895276088083347E+41</v>
      </c>
      <c r="I39" s="16">
        <v>195.67</v>
      </c>
      <c r="J39" s="45">
        <v>1</v>
      </c>
      <c r="K39" s="19">
        <f t="shared" si="5"/>
        <v>189.2881409786435</v>
      </c>
      <c r="L39" s="16">
        <f t="shared" si="6"/>
        <v>40.728124568469219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349.10786019752618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3.30300967498275E+39</v>
      </c>
      <c r="F40" s="15">
        <f t="shared" si="3"/>
        <v>1.2565560690204792E+41</v>
      </c>
      <c r="G40" s="15"/>
      <c r="H40" s="18">
        <f t="shared" si="4"/>
        <v>1.2895861657703068E+41</v>
      </c>
      <c r="I40" s="16">
        <v>184.91</v>
      </c>
      <c r="J40" s="45">
        <v>1</v>
      </c>
      <c r="K40" s="19">
        <f t="shared" si="5"/>
        <v>191.14888868063301</v>
      </c>
      <c r="L40" s="16">
        <f t="shared" si="6"/>
        <v>38.92373196933071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385.74690295092995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3.30300967498275E+39</v>
      </c>
      <c r="F41" s="15">
        <f t="shared" si="3"/>
        <v>1.2565750877354173E+41</v>
      </c>
      <c r="H41" s="18">
        <f t="shared" si="4"/>
        <v>1.2896051844852447E+41</v>
      </c>
      <c r="I41" s="16">
        <v>172.13</v>
      </c>
      <c r="J41" s="45">
        <v>1</v>
      </c>
      <c r="K41" s="19">
        <f t="shared" si="5"/>
        <v>193.93820068774809</v>
      </c>
      <c r="L41" s="16">
        <f t="shared" si="6"/>
        <v>475.59761723709659</v>
      </c>
    </row>
    <row r="42" spans="1:29" x14ac:dyDescent="0.25">
      <c r="I42" s="45"/>
      <c r="J42" s="45"/>
      <c r="L42" s="16">
        <f>SUM(L8:L41)/(COUNT(L8:L41)-4)</f>
        <v>90.044347072634793</v>
      </c>
    </row>
    <row r="43" spans="1:29" x14ac:dyDescent="0.25">
      <c r="I43" s="45"/>
      <c r="J43" s="45"/>
      <c r="L43" s="16"/>
    </row>
    <row r="44" spans="1:29" ht="21" x14ac:dyDescent="0.35">
      <c r="A44" s="48" t="s">
        <v>564</v>
      </c>
      <c r="I44" s="45"/>
      <c r="J44" s="45"/>
      <c r="L44" s="16"/>
    </row>
    <row r="45" spans="1:29" x14ac:dyDescent="0.25">
      <c r="A45" s="16" t="s">
        <v>30</v>
      </c>
      <c r="D45" s="16">
        <v>0.72</v>
      </c>
      <c r="E45" s="17">
        <f>$D$45*1000</f>
        <v>720</v>
      </c>
      <c r="F45" s="17"/>
      <c r="G45" s="17"/>
      <c r="H45" s="15"/>
      <c r="K45" s="15"/>
      <c r="L45" s="17"/>
      <c r="M45" s="45"/>
    </row>
    <row r="46" spans="1:29" x14ac:dyDescent="0.25">
      <c r="A46" s="16" t="s">
        <v>16</v>
      </c>
      <c r="D46" s="16">
        <v>1.52</v>
      </c>
      <c r="E46" s="15">
        <f>D46*10000000000*SolarMass</f>
        <v>3.023432E+40</v>
      </c>
      <c r="F46" s="43"/>
      <c r="G46" s="43"/>
      <c r="H46" s="15"/>
      <c r="K46" s="15"/>
      <c r="L46" s="17"/>
      <c r="M46" s="45"/>
    </row>
    <row r="47" spans="1:29" x14ac:dyDescent="0.25">
      <c r="A47" s="16" t="s">
        <v>569</v>
      </c>
      <c r="D47" s="16">
        <v>1.6</v>
      </c>
      <c r="E47" s="15">
        <f>D47*1000</f>
        <v>1600</v>
      </c>
      <c r="H47" s="15"/>
      <c r="K47" s="15"/>
      <c r="L47" s="17"/>
      <c r="M47" s="45"/>
    </row>
    <row r="48" spans="1:29" x14ac:dyDescent="0.25">
      <c r="A48" s="16" t="s">
        <v>17</v>
      </c>
      <c r="D48" s="45">
        <v>3.5</v>
      </c>
      <c r="G48" s="16"/>
      <c r="H48" s="15"/>
      <c r="K48" s="15"/>
      <c r="L48" s="17"/>
      <c r="M48" s="45"/>
    </row>
    <row r="49" spans="1:29" x14ac:dyDescent="0.25">
      <c r="A49" s="16" t="s">
        <v>570</v>
      </c>
      <c r="D49" s="16">
        <v>22.6</v>
      </c>
      <c r="E49" s="17">
        <f>D49*1000</f>
        <v>22600</v>
      </c>
      <c r="H49" s="15"/>
      <c r="K49" s="15"/>
      <c r="L49" s="17"/>
      <c r="M49" s="45"/>
    </row>
    <row r="50" spans="1:29" x14ac:dyDescent="0.25">
      <c r="A50" s="16" t="s">
        <v>571</v>
      </c>
      <c r="D50" s="16">
        <v>14</v>
      </c>
      <c r="G50" s="9"/>
      <c r="H50" s="15"/>
      <c r="K50" s="15"/>
      <c r="L50" s="17"/>
      <c r="M50" s="45"/>
    </row>
    <row r="51" spans="1:29" x14ac:dyDescent="0.25">
      <c r="D51" s="12"/>
      <c r="H51" s="15"/>
      <c r="K51" s="15"/>
      <c r="L51" s="17"/>
      <c r="M51" s="45"/>
    </row>
    <row r="52" spans="1:29" x14ac:dyDescent="0.25">
      <c r="A52" s="16" t="s">
        <v>567</v>
      </c>
      <c r="D52" s="17">
        <f>(D48*10000000000)/(2*PI()*DiskScaleLengthPc^2)</f>
        <v>2175.9464875845065</v>
      </c>
      <c r="H52" s="15"/>
      <c r="K52" s="15"/>
      <c r="L52" s="17"/>
      <c r="M52" s="45"/>
    </row>
    <row r="53" spans="1:29" x14ac:dyDescent="0.25">
      <c r="A53" s="16" t="s">
        <v>565</v>
      </c>
      <c r="D53" s="9">
        <f>(D50*10000000000)/(4*PI()*(LCDMHaloScaleLengthPc)^3*(LN(2)-1/2))</f>
        <v>4.9969439867147943E-3</v>
      </c>
      <c r="H53" s="15"/>
      <c r="K53" s="15"/>
      <c r="L53" s="17"/>
      <c r="M53" s="45"/>
    </row>
    <row r="54" spans="1:29" x14ac:dyDescent="0.25">
      <c r="H54" s="15"/>
      <c r="K54" s="15"/>
      <c r="L54" s="17"/>
      <c r="M54" s="45"/>
    </row>
    <row r="55" spans="1:29" ht="45" x14ac:dyDescent="0.25">
      <c r="A55" s="7" t="s">
        <v>20</v>
      </c>
      <c r="B55" s="3" t="s">
        <v>19</v>
      </c>
      <c r="C55" s="7" t="s">
        <v>27</v>
      </c>
      <c r="D55" s="4" t="s">
        <v>649</v>
      </c>
      <c r="E55" s="4" t="s">
        <v>21</v>
      </c>
      <c r="F55" s="4" t="s">
        <v>22</v>
      </c>
      <c r="G55" s="4" t="s">
        <v>28</v>
      </c>
      <c r="H55" s="4" t="s">
        <v>23</v>
      </c>
      <c r="I55" s="7" t="s">
        <v>645</v>
      </c>
      <c r="J55" s="7" t="s">
        <v>646</v>
      </c>
      <c r="K55" s="25" t="s">
        <v>647</v>
      </c>
      <c r="L55" s="3" t="s">
        <v>648</v>
      </c>
      <c r="M55" s="3"/>
      <c r="N55" s="3"/>
      <c r="O55" s="3"/>
      <c r="P55" s="3"/>
      <c r="Q55" s="3"/>
      <c r="R55" s="3"/>
      <c r="S55" s="3"/>
      <c r="T55" s="3"/>
      <c r="U55" s="3"/>
      <c r="V55" s="7"/>
      <c r="W55" s="7"/>
      <c r="X55" s="3"/>
      <c r="Y55" s="3"/>
      <c r="Z55" s="3"/>
      <c r="AA55" s="3"/>
      <c r="AB55" s="3"/>
      <c r="AC55" s="3"/>
    </row>
    <row r="56" spans="1:29" x14ac:dyDescent="0.25">
      <c r="A56" s="16">
        <v>0.09</v>
      </c>
      <c r="B56" s="45">
        <f>A56*1000</f>
        <v>90</v>
      </c>
      <c r="C56" s="16">
        <f>B56/LCDMBulgeEffectiveRadius</f>
        <v>0.125</v>
      </c>
      <c r="D56" s="15">
        <f>A56*kpc</f>
        <v>2.777109822E+18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1.75395337184E+39</v>
      </c>
      <c r="F56" s="15">
        <f t="shared" ref="F56:F89" si="7">2*PI()*LCDMDiskSurfaceDensity*LCDMScaleLength*(LCDMScaleLength-EXP(-RadiusPc/LCDMScaleLength)*(RadiusPc+LCDMScaleLength))*SolarMass</f>
        <v>1.06094273215668E+38</v>
      </c>
      <c r="G56" s="15">
        <f t="shared" ref="G56:G89" si="8">4*PI()*LCDMHaloRepresentativeDensity*LCDMHaloScaleLengthPc^3*(LN(1+RadiusPc/LCDMHaloScaleLengthPc)-RadiusPc/(RadiusPc+LCDMHaloScaleLengthPc))*SolarMass</f>
        <v>1.1371889601195277E+37</v>
      </c>
      <c r="H56" s="15">
        <f t="shared" ref="H56:H89" si="9">BulgeMass+DiskMass+HaloMass</f>
        <v>1.8714195346568631E+39</v>
      </c>
      <c r="I56" s="16">
        <v>216.78</v>
      </c>
      <c r="J56" s="45">
        <v>1</v>
      </c>
      <c r="K56" s="19">
        <f t="shared" ref="K56:K89" si="10">SQRT(TotalMass*GravitationalConstant/RadiusKm)/km</f>
        <v>212.0726953357493</v>
      </c>
      <c r="L56" s="16">
        <f t="shared" ref="L56:L89" si="11">(ObservedVelocity-ModelVelocity)^2/(VelocityError)^2</f>
        <v>22.158717202076392</v>
      </c>
      <c r="M56" s="45"/>
    </row>
    <row r="57" spans="1:29" x14ac:dyDescent="0.25">
      <c r="A57" s="16">
        <v>0.19</v>
      </c>
      <c r="B57" s="45">
        <f t="shared" ref="B57:B89" si="12">A57*1000</f>
        <v>190</v>
      </c>
      <c r="C57" s="16">
        <f t="shared" ref="C57:C89" si="13">B57/LCDMBulgeEffectiveRadius</f>
        <v>0.2638888888888889</v>
      </c>
      <c r="D57" s="15">
        <f t="shared" ref="D57:D89" si="14">A57*kpc</f>
        <v>5.862787402E+18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4.0337588339644441E+39</v>
      </c>
      <c r="F57" s="15">
        <f t="shared" si="7"/>
        <v>4.536817032406359E+38</v>
      </c>
      <c r="G57" s="15">
        <f t="shared" si="8"/>
        <v>5.0385673558375153E+37</v>
      </c>
      <c r="H57" s="15">
        <f t="shared" si="9"/>
        <v>4.5378262107634548E+39</v>
      </c>
      <c r="I57" s="16">
        <v>207.11</v>
      </c>
      <c r="J57" s="45">
        <v>1</v>
      </c>
      <c r="K57" s="19">
        <f t="shared" si="10"/>
        <v>227.28331794586643</v>
      </c>
      <c r="L57" s="16">
        <f t="shared" si="11"/>
        <v>406.96275694501594</v>
      </c>
      <c r="M57" s="45"/>
    </row>
    <row r="58" spans="1:29" x14ac:dyDescent="0.25">
      <c r="A58" s="16">
        <v>0.3</v>
      </c>
      <c r="B58" s="45">
        <f t="shared" si="12"/>
        <v>300</v>
      </c>
      <c r="C58" s="16">
        <f t="shared" si="13"/>
        <v>0.41666666666666669</v>
      </c>
      <c r="D58" s="15">
        <f t="shared" si="14"/>
        <v>9.25703274E+18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6.2931729269333336E+39</v>
      </c>
      <c r="F58" s="15">
        <f t="shared" si="7"/>
        <v>1.0810306489498789E+39</v>
      </c>
      <c r="G58" s="15">
        <f t="shared" si="8"/>
        <v>1.24810654631718E+38</v>
      </c>
      <c r="H58" s="15">
        <f t="shared" si="9"/>
        <v>7.4990142305149309E+39</v>
      </c>
      <c r="I58" s="16">
        <v>187.96</v>
      </c>
      <c r="J58" s="45">
        <v>1</v>
      </c>
      <c r="K58" s="19">
        <f t="shared" si="10"/>
        <v>232.52084526898241</v>
      </c>
      <c r="L58" s="16">
        <f t="shared" si="11"/>
        <v>1985.6689310861916</v>
      </c>
      <c r="M58" s="45"/>
    </row>
    <row r="59" spans="1:29" x14ac:dyDescent="0.25">
      <c r="A59" s="16">
        <v>0.42</v>
      </c>
      <c r="B59" s="45">
        <f t="shared" si="12"/>
        <v>420</v>
      </c>
      <c r="C59" s="16">
        <f t="shared" si="13"/>
        <v>0.58333333333333337</v>
      </c>
      <c r="D59" s="15">
        <f t="shared" si="14"/>
        <v>1.2959845836E+19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8.4171339069333337E+39</v>
      </c>
      <c r="F59" s="15">
        <f t="shared" si="7"/>
        <v>2.0174024552859229E+39</v>
      </c>
      <c r="G59" s="15">
        <f t="shared" si="8"/>
        <v>2.429278442103722E+38</v>
      </c>
      <c r="H59" s="15">
        <f t="shared" si="9"/>
        <v>1.0677464206429629E+40</v>
      </c>
      <c r="I59" s="16">
        <v>189.08</v>
      </c>
      <c r="J59" s="45">
        <v>1</v>
      </c>
      <c r="K59" s="19">
        <f t="shared" si="10"/>
        <v>234.4929814353352</v>
      </c>
      <c r="L59" s="16">
        <f t="shared" si="11"/>
        <v>2062.3388828460979</v>
      </c>
      <c r="M59" s="45"/>
    </row>
    <row r="60" spans="1:29" x14ac:dyDescent="0.25">
      <c r="A60" s="16">
        <v>0.56000000000000005</v>
      </c>
      <c r="B60" s="45">
        <f t="shared" si="12"/>
        <v>560</v>
      </c>
      <c r="C60" s="16">
        <f t="shared" si="13"/>
        <v>0.77777777777777779</v>
      </c>
      <c r="D60" s="15">
        <f t="shared" si="14"/>
        <v>1.7279794448000002E+19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1.0525238665777778E+40</v>
      </c>
      <c r="F60" s="15">
        <f t="shared" si="7"/>
        <v>3.3884075049889617E+39</v>
      </c>
      <c r="G60" s="15">
        <f t="shared" si="8"/>
        <v>4.2838820970254049E+38</v>
      </c>
      <c r="H60" s="15">
        <f t="shared" si="9"/>
        <v>1.434203438046928E+40</v>
      </c>
      <c r="I60" s="16">
        <v>195.03</v>
      </c>
      <c r="J60" s="45">
        <v>1</v>
      </c>
      <c r="K60" s="19">
        <f t="shared" si="10"/>
        <v>235.35953517062819</v>
      </c>
      <c r="L60" s="16">
        <f t="shared" si="11"/>
        <v>1626.4714070789362</v>
      </c>
      <c r="M60" s="45"/>
    </row>
    <row r="61" spans="1:29" x14ac:dyDescent="0.25">
      <c r="A61" s="16">
        <v>0.7</v>
      </c>
      <c r="B61" s="45">
        <f t="shared" si="12"/>
        <v>700</v>
      </c>
      <c r="C61" s="16">
        <f t="shared" si="13"/>
        <v>0.97222222222222221</v>
      </c>
      <c r="D61" s="15">
        <f t="shared" si="14"/>
        <v>2.1599743059999998E+19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1.231726040586667E+40</v>
      </c>
      <c r="F61" s="15">
        <f t="shared" si="7"/>
        <v>5.0041947153897042E+39</v>
      </c>
      <c r="G61" s="15">
        <f t="shared" si="8"/>
        <v>6.6398720764551336E+38</v>
      </c>
      <c r="H61" s="15">
        <f t="shared" si="9"/>
        <v>1.7985442328901888E+40</v>
      </c>
      <c r="I61" s="16">
        <v>202.69</v>
      </c>
      <c r="J61" s="45">
        <v>1</v>
      </c>
      <c r="K61" s="19">
        <f t="shared" si="10"/>
        <v>235.73929105668523</v>
      </c>
      <c r="L61" s="16">
        <f t="shared" si="11"/>
        <v>1092.2556393494947</v>
      </c>
      <c r="M61" s="45"/>
    </row>
    <row r="62" spans="1:29" x14ac:dyDescent="0.25">
      <c r="A62" s="16">
        <v>0.86</v>
      </c>
      <c r="B62" s="45">
        <f t="shared" si="12"/>
        <v>860</v>
      </c>
      <c r="C62" s="16">
        <f t="shared" si="13"/>
        <v>1.1944444444444444</v>
      </c>
      <c r="D62" s="15">
        <f t="shared" si="14"/>
        <v>2.6536827187999998E+19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1.4065005664E+40</v>
      </c>
      <c r="F62" s="15">
        <f t="shared" si="7"/>
        <v>7.0858977137789038E+39</v>
      </c>
      <c r="G62" s="15">
        <f t="shared" si="8"/>
        <v>9.9308526228485272E+38</v>
      </c>
      <c r="H62" s="15">
        <f t="shared" si="9"/>
        <v>2.2143988640063756E+40</v>
      </c>
      <c r="I62" s="16">
        <v>209.78</v>
      </c>
      <c r="J62" s="45">
        <v>1</v>
      </c>
      <c r="K62" s="19">
        <f t="shared" si="10"/>
        <v>235.99300529681321</v>
      </c>
      <c r="L62" s="16">
        <f t="shared" si="11"/>
        <v>687.1216466907573</v>
      </c>
      <c r="M62" s="45"/>
    </row>
    <row r="63" spans="1:29" x14ac:dyDescent="0.25">
      <c r="A63" s="16">
        <v>1.04</v>
      </c>
      <c r="B63" s="45">
        <f t="shared" si="12"/>
        <v>1040</v>
      </c>
      <c r="C63" s="16">
        <f t="shared" si="13"/>
        <v>1.4444444444444444</v>
      </c>
      <c r="D63" s="15">
        <f t="shared" si="14"/>
        <v>3.2091046832E+19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1.5716941721422223E+40</v>
      </c>
      <c r="F63" s="15">
        <f t="shared" si="7"/>
        <v>9.6508275494292839E+39</v>
      </c>
      <c r="G63" s="15">
        <f t="shared" si="8"/>
        <v>1.4375241713199237E+39</v>
      </c>
      <c r="H63" s="15">
        <f t="shared" si="9"/>
        <v>2.6805293442171436E+40</v>
      </c>
      <c r="I63" s="16">
        <v>216.9</v>
      </c>
      <c r="J63" s="45">
        <v>1</v>
      </c>
      <c r="K63" s="19">
        <f t="shared" si="10"/>
        <v>236.10981712829539</v>
      </c>
      <c r="L63" s="16">
        <f t="shared" si="11"/>
        <v>369.01707410255074</v>
      </c>
      <c r="M63" s="45"/>
    </row>
    <row r="64" spans="1:29" x14ac:dyDescent="0.25">
      <c r="A64" s="16">
        <v>1.23</v>
      </c>
      <c r="B64" s="45">
        <f t="shared" si="12"/>
        <v>1230</v>
      </c>
      <c r="C64" s="16">
        <f t="shared" si="13"/>
        <v>1.7083333333333333</v>
      </c>
      <c r="D64" s="15">
        <f t="shared" si="14"/>
        <v>3.7953834233999999E+19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1.7195190008866668E+40</v>
      </c>
      <c r="F64" s="15">
        <f t="shared" si="7"/>
        <v>1.2532813040718688E+40</v>
      </c>
      <c r="G64" s="15">
        <f t="shared" si="8"/>
        <v>1.9893184848493032E+39</v>
      </c>
      <c r="H64" s="15">
        <f t="shared" si="9"/>
        <v>3.1717321534434658E+40</v>
      </c>
      <c r="I64" s="16">
        <v>226.51</v>
      </c>
      <c r="J64" s="45">
        <v>1</v>
      </c>
      <c r="K64" s="19">
        <f t="shared" si="10"/>
        <v>236.16532262770968</v>
      </c>
      <c r="L64" s="16">
        <f t="shared" si="11"/>
        <v>93.225255045162825</v>
      </c>
      <c r="M64" s="45"/>
    </row>
    <row r="65" spans="1:13" x14ac:dyDescent="0.25">
      <c r="A65" s="16">
        <v>1.45</v>
      </c>
      <c r="B65" s="45">
        <f t="shared" si="12"/>
        <v>1450</v>
      </c>
      <c r="C65" s="16">
        <f t="shared" si="13"/>
        <v>2.0138888888888888</v>
      </c>
      <c r="D65" s="15">
        <f t="shared" si="14"/>
        <v>4.4742324909999997E+19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1.8630186421866669E+40</v>
      </c>
      <c r="F65" s="15">
        <f t="shared" si="7"/>
        <v>1.5998705622436268E+40</v>
      </c>
      <c r="G65" s="15">
        <f t="shared" si="8"/>
        <v>2.7307574659343993E+39</v>
      </c>
      <c r="H65" s="15">
        <f t="shared" si="9"/>
        <v>3.7359649510237331E+40</v>
      </c>
      <c r="I65" s="16">
        <v>234.79</v>
      </c>
      <c r="J65" s="45">
        <v>1</v>
      </c>
      <c r="K65" s="19">
        <f t="shared" si="10"/>
        <v>236.06838397616704</v>
      </c>
      <c r="L65" s="16">
        <f t="shared" si="11"/>
        <v>1.6342655905206747</v>
      </c>
      <c r="M65" s="45"/>
    </row>
    <row r="66" spans="1:13" x14ac:dyDescent="0.25">
      <c r="A66" s="16">
        <v>1.68</v>
      </c>
      <c r="B66" s="45">
        <f t="shared" si="12"/>
        <v>1680</v>
      </c>
      <c r="C66" s="16">
        <f t="shared" si="13"/>
        <v>2.3333333333333335</v>
      </c>
      <c r="D66" s="15">
        <f t="shared" si="14"/>
        <v>5.1839383344E+19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1.9887027104266667E+40</v>
      </c>
      <c r="F66" s="15">
        <f t="shared" si="7"/>
        <v>1.9676110567685313E+40</v>
      </c>
      <c r="G66" s="15">
        <f t="shared" si="8"/>
        <v>3.6192902046194596E+39</v>
      </c>
      <c r="H66" s="15">
        <f t="shared" si="9"/>
        <v>4.3182427876571438E+40</v>
      </c>
      <c r="I66" s="16">
        <v>244.29</v>
      </c>
      <c r="J66" s="45">
        <v>1</v>
      </c>
      <c r="K66" s="19">
        <f t="shared" si="10"/>
        <v>235.78670793039743</v>
      </c>
      <c r="L66" s="16">
        <f t="shared" si="11"/>
        <v>72.305976020965886</v>
      </c>
      <c r="M66" s="45"/>
    </row>
    <row r="67" spans="1:13" x14ac:dyDescent="0.25">
      <c r="A67" s="16">
        <v>1.94</v>
      </c>
      <c r="B67" s="45">
        <f t="shared" si="12"/>
        <v>1940</v>
      </c>
      <c r="C67" s="16">
        <f t="shared" si="13"/>
        <v>2.6944444444444446</v>
      </c>
      <c r="D67" s="15">
        <f t="shared" si="14"/>
        <v>5.9862145052000002E+19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2.1078024156444444E+40</v>
      </c>
      <c r="F67" s="15">
        <f t="shared" si="7"/>
        <v>2.380158094808929E+40</v>
      </c>
      <c r="G67" s="15">
        <f t="shared" si="8"/>
        <v>4.7577408300656987E+39</v>
      </c>
      <c r="H67" s="15">
        <f t="shared" si="9"/>
        <v>4.9637345934599432E+40</v>
      </c>
      <c r="I67" s="16">
        <v>249.16</v>
      </c>
      <c r="J67" s="45">
        <v>1</v>
      </c>
      <c r="K67" s="19">
        <f t="shared" si="10"/>
        <v>235.24686396149454</v>
      </c>
      <c r="L67" s="16">
        <f t="shared" si="11"/>
        <v>193.57535442595929</v>
      </c>
      <c r="M67" s="45"/>
    </row>
    <row r="68" spans="1:13" x14ac:dyDescent="0.25">
      <c r="A68" s="16">
        <v>2.23</v>
      </c>
      <c r="B68" s="45">
        <f t="shared" si="12"/>
        <v>2230</v>
      </c>
      <c r="C68" s="16">
        <f t="shared" si="13"/>
        <v>3.0972222222222223</v>
      </c>
      <c r="D68" s="15">
        <f t="shared" si="14"/>
        <v>6.8810610034000003E+19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2.2180392658911112E+40</v>
      </c>
      <c r="F68" s="15">
        <f t="shared" si="7"/>
        <v>2.8265643067214468E+40</v>
      </c>
      <c r="G68" s="15">
        <f t="shared" si="8"/>
        <v>6.1880527839210593E+39</v>
      </c>
      <c r="H68" s="15">
        <f t="shared" si="9"/>
        <v>5.6634088510046642E+40</v>
      </c>
      <c r="I68" s="16">
        <v>246.62</v>
      </c>
      <c r="J68" s="45">
        <v>1</v>
      </c>
      <c r="K68" s="19">
        <f t="shared" si="10"/>
        <v>234.37266462313829</v>
      </c>
      <c r="L68" s="16">
        <f t="shared" si="11"/>
        <v>149.99722383332843</v>
      </c>
      <c r="M68" s="45"/>
    </row>
    <row r="69" spans="1:13" x14ac:dyDescent="0.25">
      <c r="A69" s="16">
        <v>2.54</v>
      </c>
      <c r="B69" s="45">
        <f t="shared" si="12"/>
        <v>2540</v>
      </c>
      <c r="C69" s="16">
        <f t="shared" si="13"/>
        <v>3.5277777777777777</v>
      </c>
      <c r="D69" s="15">
        <f t="shared" si="14"/>
        <v>7.8376210532000006E+19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2.3155491471022225E+40</v>
      </c>
      <c r="F69" s="15">
        <f t="shared" si="7"/>
        <v>3.2791823214216397E+40</v>
      </c>
      <c r="G69" s="15">
        <f t="shared" si="8"/>
        <v>7.8952654183532577E+39</v>
      </c>
      <c r="H69" s="15">
        <f t="shared" si="9"/>
        <v>6.3842580103591884E+40</v>
      </c>
      <c r="I69" s="16">
        <v>242.67</v>
      </c>
      <c r="J69" s="45">
        <v>1</v>
      </c>
      <c r="K69" s="19">
        <f t="shared" si="10"/>
        <v>233.16254564971138</v>
      </c>
      <c r="L69" s="16">
        <f t="shared" si="11"/>
        <v>90.391688222821841</v>
      </c>
      <c r="M69" s="45"/>
    </row>
    <row r="70" spans="1:13" x14ac:dyDescent="0.25">
      <c r="A70" s="16">
        <v>2.89</v>
      </c>
      <c r="B70" s="45">
        <f t="shared" si="12"/>
        <v>2890</v>
      </c>
      <c r="C70" s="16">
        <f t="shared" si="13"/>
        <v>4.0138888888888893</v>
      </c>
      <c r="D70" s="15">
        <f t="shared" si="14"/>
        <v>8.9176082061999997E+19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2.4064948215044447E+40</v>
      </c>
      <c r="F70" s="15">
        <f t="shared" si="7"/>
        <v>3.7525773710178053E+40</v>
      </c>
      <c r="G70" s="15">
        <f t="shared" si="8"/>
        <v>1.0032587731655778E+40</v>
      </c>
      <c r="H70" s="15">
        <f t="shared" si="9"/>
        <v>7.1623309656878273E+40</v>
      </c>
      <c r="I70" s="16">
        <v>244.84</v>
      </c>
      <c r="J70" s="45">
        <v>1</v>
      </c>
      <c r="K70" s="19">
        <f t="shared" si="10"/>
        <v>231.52543184960106</v>
      </c>
      <c r="L70" s="16">
        <f t="shared" si="11"/>
        <v>177.27772503161788</v>
      </c>
      <c r="M70" s="45"/>
    </row>
    <row r="71" spans="1:13" x14ac:dyDescent="0.25">
      <c r="A71" s="16">
        <v>3.27</v>
      </c>
      <c r="B71" s="45">
        <f t="shared" si="12"/>
        <v>3270</v>
      </c>
      <c r="C71" s="16">
        <f t="shared" si="13"/>
        <v>4.541666666666667</v>
      </c>
      <c r="D71" s="15">
        <f t="shared" si="14"/>
        <v>1.0090165686599999E+20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2.4874329359866669E+40</v>
      </c>
      <c r="F71" s="15">
        <f t="shared" si="7"/>
        <v>4.2168377119483879E+40</v>
      </c>
      <c r="G71" s="15">
        <f t="shared" si="8"/>
        <v>1.2590773987584583E+40</v>
      </c>
      <c r="H71" s="15">
        <f t="shared" si="9"/>
        <v>7.9633480466935133E+40</v>
      </c>
      <c r="I71" s="16">
        <v>246.89</v>
      </c>
      <c r="J71" s="45">
        <v>1</v>
      </c>
      <c r="K71" s="19">
        <f t="shared" si="10"/>
        <v>229.50619030094987</v>
      </c>
      <c r="L71" s="16">
        <f t="shared" si="11"/>
        <v>302.19683965278898</v>
      </c>
      <c r="M71" s="45"/>
    </row>
    <row r="72" spans="1:13" x14ac:dyDescent="0.25">
      <c r="A72" s="16">
        <v>3.69</v>
      </c>
      <c r="B72" s="45">
        <f t="shared" si="12"/>
        <v>3690</v>
      </c>
      <c r="C72" s="16">
        <f t="shared" si="13"/>
        <v>5.125</v>
      </c>
      <c r="D72" s="15">
        <f t="shared" si="14"/>
        <v>1.13861502702E+20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2.5586927087E+40</v>
      </c>
      <c r="F72" s="15">
        <f t="shared" si="7"/>
        <v>4.6685086469311627E+40</v>
      </c>
      <c r="G72" s="15">
        <f t="shared" si="8"/>
        <v>1.5688172539458737E+40</v>
      </c>
      <c r="H72" s="15">
        <f t="shared" si="9"/>
        <v>8.7960186095770377E+40</v>
      </c>
      <c r="I72" s="16">
        <v>242.7</v>
      </c>
      <c r="J72" s="45">
        <v>1</v>
      </c>
      <c r="K72" s="19">
        <f t="shared" si="10"/>
        <v>227.0650634610505</v>
      </c>
      <c r="L72" s="16">
        <f t="shared" si="11"/>
        <v>244.45124057697782</v>
      </c>
      <c r="M72" s="45"/>
    </row>
    <row r="73" spans="1:13" x14ac:dyDescent="0.25">
      <c r="A73" s="16">
        <v>4.1500000000000004</v>
      </c>
      <c r="B73" s="45">
        <f t="shared" si="12"/>
        <v>4150</v>
      </c>
      <c r="C73" s="16">
        <f t="shared" si="13"/>
        <v>5.7638888888888893</v>
      </c>
      <c r="D73" s="15">
        <f t="shared" si="14"/>
        <v>1.2805561957E+20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2.6227844280466666E+40</v>
      </c>
      <c r="F73" s="15">
        <f t="shared" si="7"/>
        <v>5.0919378162772015E+40</v>
      </c>
      <c r="G73" s="15">
        <f t="shared" si="8"/>
        <v>1.9383717155223317E+40</v>
      </c>
      <c r="H73" s="15">
        <f t="shared" si="9"/>
        <v>9.653093959846199E+40</v>
      </c>
      <c r="I73" s="16">
        <v>235.44</v>
      </c>
      <c r="J73" s="45">
        <v>1</v>
      </c>
      <c r="K73" s="19">
        <f t="shared" si="10"/>
        <v>224.30019436995289</v>
      </c>
      <c r="L73" s="16">
        <f t="shared" si="11"/>
        <v>124.09526947522922</v>
      </c>
      <c r="M73" s="45"/>
    </row>
    <row r="74" spans="1:13" x14ac:dyDescent="0.25">
      <c r="A74" s="16">
        <v>4.6500000000000004</v>
      </c>
      <c r="B74" s="45">
        <f t="shared" si="12"/>
        <v>4650</v>
      </c>
      <c r="C74" s="16">
        <f t="shared" si="13"/>
        <v>6.458333333333333</v>
      </c>
      <c r="D74" s="15">
        <f t="shared" si="14"/>
        <v>1.4348400747000001E+20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2.6801439721400001E+40</v>
      </c>
      <c r="F74" s="15">
        <f t="shared" si="7"/>
        <v>5.4748315452507122E+40</v>
      </c>
      <c r="G74" s="15">
        <f t="shared" si="8"/>
        <v>2.3733587564677303E+40</v>
      </c>
      <c r="H74" s="15">
        <f t="shared" si="9"/>
        <v>1.0528334273858443E+41</v>
      </c>
      <c r="I74" s="16">
        <v>228.97</v>
      </c>
      <c r="J74" s="45">
        <v>1</v>
      </c>
      <c r="K74" s="19">
        <f t="shared" si="10"/>
        <v>221.2961140234226</v>
      </c>
      <c r="L74" s="16">
        <f t="shared" si="11"/>
        <v>58.888525981511201</v>
      </c>
      <c r="M74" s="45"/>
    </row>
    <row r="75" spans="1:13" x14ac:dyDescent="0.25">
      <c r="A75" s="16">
        <v>5.21</v>
      </c>
      <c r="B75" s="45">
        <f t="shared" si="12"/>
        <v>5210</v>
      </c>
      <c r="C75" s="16">
        <f t="shared" si="13"/>
        <v>7.2361111111111107</v>
      </c>
      <c r="D75" s="15">
        <f t="shared" si="14"/>
        <v>1.6076380191800001E+20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2.7330107802655556E+40</v>
      </c>
      <c r="F75" s="15">
        <f t="shared" si="7"/>
        <v>5.820075381941116E+40</v>
      </c>
      <c r="G75" s="15">
        <f t="shared" si="8"/>
        <v>2.898403662271747E+40</v>
      </c>
      <c r="H75" s="15">
        <f t="shared" si="9"/>
        <v>1.1451489824478419E+41</v>
      </c>
      <c r="I75" s="16">
        <v>222.98</v>
      </c>
      <c r="J75" s="45">
        <v>1</v>
      </c>
      <c r="K75" s="19">
        <f t="shared" si="10"/>
        <v>218.03818873919326</v>
      </c>
      <c r="L75" s="16">
        <f t="shared" si="11"/>
        <v>24.421498537436207</v>
      </c>
      <c r="M75" s="45"/>
    </row>
    <row r="76" spans="1:13" x14ac:dyDescent="0.25">
      <c r="A76" s="16">
        <v>5.82</v>
      </c>
      <c r="B76" s="45">
        <f t="shared" si="12"/>
        <v>5820</v>
      </c>
      <c r="C76" s="16">
        <f t="shared" si="13"/>
        <v>8.0833333333333339</v>
      </c>
      <c r="D76" s="15">
        <f t="shared" si="14"/>
        <v>1.7958643515600001E+20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2.7788489488333337E+40</v>
      </c>
      <c r="F76" s="15">
        <f t="shared" si="7"/>
        <v>6.1121562839072476E+40</v>
      </c>
      <c r="G76" s="15">
        <f t="shared" si="8"/>
        <v>3.5118447014059685E+40</v>
      </c>
      <c r="H76" s="15">
        <f t="shared" si="9"/>
        <v>1.2402849934146548E+41</v>
      </c>
      <c r="I76" s="16">
        <v>219.09</v>
      </c>
      <c r="J76" s="45">
        <v>1</v>
      </c>
      <c r="K76" s="19">
        <f t="shared" si="10"/>
        <v>214.693889396874</v>
      </c>
      <c r="L76" s="16">
        <f t="shared" si="11"/>
        <v>19.325788434916884</v>
      </c>
      <c r="M76" s="45"/>
    </row>
    <row r="77" spans="1:13" x14ac:dyDescent="0.25">
      <c r="A77" s="16">
        <v>6.49</v>
      </c>
      <c r="B77" s="45">
        <f t="shared" si="12"/>
        <v>6490</v>
      </c>
      <c r="C77" s="16">
        <f t="shared" si="13"/>
        <v>9.0138888888888893</v>
      </c>
      <c r="D77" s="15">
        <f t="shared" si="14"/>
        <v>2.0026047494200001E+20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2.8183635253888888E+40</v>
      </c>
      <c r="F77" s="15">
        <f t="shared" si="7"/>
        <v>6.3523885950548054E+40</v>
      </c>
      <c r="G77" s="15">
        <f t="shared" si="8"/>
        <v>4.230710322888364E+40</v>
      </c>
      <c r="H77" s="15">
        <f t="shared" si="9"/>
        <v>1.3401462443332058E+41</v>
      </c>
      <c r="I77" s="16">
        <v>217.18</v>
      </c>
      <c r="J77" s="45">
        <v>1</v>
      </c>
      <c r="K77" s="19">
        <f t="shared" si="10"/>
        <v>211.33633906037065</v>
      </c>
      <c r="L77" s="16">
        <f t="shared" si="11"/>
        <v>34.148373177349882</v>
      </c>
      <c r="M77" s="45"/>
    </row>
    <row r="78" spans="1:13" x14ac:dyDescent="0.25">
      <c r="A78" s="16">
        <v>7.23</v>
      </c>
      <c r="B78" s="45">
        <f t="shared" si="12"/>
        <v>7230</v>
      </c>
      <c r="C78" s="16">
        <f t="shared" si="13"/>
        <v>10.041666666666666</v>
      </c>
      <c r="D78" s="15">
        <f t="shared" si="14"/>
        <v>2.2309448903400001E+20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2.8524468422933331E+40</v>
      </c>
      <c r="F78" s="15">
        <f t="shared" si="7"/>
        <v>6.5429627008455983E+40</v>
      </c>
      <c r="G78" s="15">
        <f t="shared" si="8"/>
        <v>5.0737712512824448E+40</v>
      </c>
      <c r="H78" s="15">
        <f t="shared" si="9"/>
        <v>1.4469180794421376E+41</v>
      </c>
      <c r="I78" s="16">
        <v>215.96</v>
      </c>
      <c r="J78" s="45">
        <v>1</v>
      </c>
      <c r="K78" s="19">
        <f t="shared" si="10"/>
        <v>208.05265128100419</v>
      </c>
      <c r="L78" s="16">
        <f t="shared" si="11"/>
        <v>62.526163763804838</v>
      </c>
      <c r="M78" s="45"/>
    </row>
    <row r="79" spans="1:13" x14ac:dyDescent="0.25">
      <c r="A79" s="16">
        <v>8.0500000000000007</v>
      </c>
      <c r="B79" s="45">
        <f t="shared" si="12"/>
        <v>8050.0000000000009</v>
      </c>
      <c r="C79" s="16">
        <f t="shared" si="13"/>
        <v>11.180555555555557</v>
      </c>
      <c r="D79" s="15">
        <f t="shared" si="14"/>
        <v>2.4839704519000002E+20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2.88182578299E+40</v>
      </c>
      <c r="F79" s="15">
        <f t="shared" si="7"/>
        <v>6.6876371008944562E+40</v>
      </c>
      <c r="G79" s="15">
        <f t="shared" si="8"/>
        <v>6.0612074367193613E+40</v>
      </c>
      <c r="H79" s="15">
        <f t="shared" si="9"/>
        <v>1.5630670320603818E+41</v>
      </c>
      <c r="I79" s="16">
        <v>214.35</v>
      </c>
      <c r="J79" s="45">
        <v>1</v>
      </c>
      <c r="K79" s="19">
        <f t="shared" si="10"/>
        <v>204.93271461387744</v>
      </c>
      <c r="L79" s="16">
        <f t="shared" si="11"/>
        <v>88.685264043677492</v>
      </c>
      <c r="M79" s="45"/>
    </row>
    <row r="80" spans="1:13" x14ac:dyDescent="0.25">
      <c r="A80" s="16">
        <v>8.94</v>
      </c>
      <c r="B80" s="45">
        <f t="shared" si="12"/>
        <v>8940</v>
      </c>
      <c r="C80" s="16">
        <f t="shared" si="13"/>
        <v>12.416666666666666</v>
      </c>
      <c r="D80" s="15">
        <f t="shared" si="14"/>
        <v>2.7585957565199997E+20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2.9067476810133336E+40</v>
      </c>
      <c r="F80" s="15">
        <f t="shared" si="7"/>
        <v>6.7901284213506057E+40</v>
      </c>
      <c r="G80" s="15">
        <f t="shared" si="8"/>
        <v>7.188250185788912E+40</v>
      </c>
      <c r="H80" s="15">
        <f t="shared" si="9"/>
        <v>1.6885126288152853E+41</v>
      </c>
      <c r="I80" s="16">
        <v>212.63</v>
      </c>
      <c r="J80" s="45">
        <v>1</v>
      </c>
      <c r="K80" s="19">
        <f t="shared" si="10"/>
        <v>202.11745855316315</v>
      </c>
      <c r="L80" s="16">
        <f t="shared" si="11"/>
        <v>110.5135276714626</v>
      </c>
      <c r="M80" s="45"/>
    </row>
    <row r="81" spans="1:13" x14ac:dyDescent="0.25">
      <c r="A81" s="16">
        <v>9.93</v>
      </c>
      <c r="B81" s="45">
        <f t="shared" si="12"/>
        <v>9930</v>
      </c>
      <c r="C81" s="16">
        <f t="shared" si="13"/>
        <v>13.791666666666666</v>
      </c>
      <c r="D81" s="15">
        <f t="shared" si="14"/>
        <v>3.06407783694E+20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2.9284420653766664E+40</v>
      </c>
      <c r="F81" s="15">
        <f t="shared" si="7"/>
        <v>6.8606701903418794E+40</v>
      </c>
      <c r="G81" s="15">
        <f t="shared" si="8"/>
        <v>8.5001263442562589E+40</v>
      </c>
      <c r="H81" s="15">
        <f t="shared" si="9"/>
        <v>1.8289238599974806E+41</v>
      </c>
      <c r="I81" s="16">
        <v>210.99</v>
      </c>
      <c r="J81" s="45">
        <v>1</v>
      </c>
      <c r="K81" s="19">
        <f t="shared" si="10"/>
        <v>199.5922252595465</v>
      </c>
      <c r="L81" s="16">
        <f t="shared" si="11"/>
        <v>129.90926903412017</v>
      </c>
      <c r="M81" s="45"/>
    </row>
    <row r="82" spans="1:13" x14ac:dyDescent="0.25">
      <c r="A82" s="16">
        <v>11.01</v>
      </c>
      <c r="B82" s="45">
        <f t="shared" si="12"/>
        <v>11010</v>
      </c>
      <c r="C82" s="16">
        <f t="shared" si="13"/>
        <v>15.291666666666666</v>
      </c>
      <c r="D82" s="15">
        <f t="shared" si="14"/>
        <v>3.3973310155799999E+20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2.9456758797293335E+40</v>
      </c>
      <c r="F82" s="15">
        <f t="shared" si="7"/>
        <v>6.9055081812653439E+40</v>
      </c>
      <c r="G82" s="15">
        <f t="shared" si="8"/>
        <v>9.9904144077528494E+40</v>
      </c>
      <c r="H82" s="15">
        <f t="shared" si="9"/>
        <v>1.9841598468747527E+41</v>
      </c>
      <c r="I82" s="16">
        <v>209.54</v>
      </c>
      <c r="J82" s="45">
        <v>1</v>
      </c>
      <c r="K82" s="19">
        <f t="shared" si="10"/>
        <v>197.43088867786531</v>
      </c>
      <c r="L82" s="16">
        <f t="shared" si="11"/>
        <v>146.63057701185031</v>
      </c>
      <c r="M82" s="45"/>
    </row>
    <row r="83" spans="1:13" x14ac:dyDescent="0.25">
      <c r="A83" s="16">
        <v>12.2</v>
      </c>
      <c r="B83" s="45">
        <f t="shared" si="12"/>
        <v>12200</v>
      </c>
      <c r="C83" s="16">
        <f t="shared" si="13"/>
        <v>16.944444444444443</v>
      </c>
      <c r="D83" s="15">
        <f t="shared" si="14"/>
        <v>3.7645266475999999E+20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2.9580486033155555E+40</v>
      </c>
      <c r="F83" s="15">
        <f t="shared" si="7"/>
        <v>6.9325418543615591E+40</v>
      </c>
      <c r="G83" s="15">
        <f t="shared" si="8"/>
        <v>1.169171994701841E+41</v>
      </c>
      <c r="H83" s="15">
        <f t="shared" si="9"/>
        <v>2.1582310404695523E+41</v>
      </c>
      <c r="I83" s="16">
        <v>208.66</v>
      </c>
      <c r="J83" s="45">
        <v>1</v>
      </c>
      <c r="K83" s="19">
        <f t="shared" si="10"/>
        <v>195.60929301293928</v>
      </c>
      <c r="L83" s="16">
        <f t="shared" si="11"/>
        <v>170.32095286211552</v>
      </c>
      <c r="M83" s="45"/>
    </row>
    <row r="84" spans="1:13" x14ac:dyDescent="0.25">
      <c r="A84" s="16">
        <v>13.51</v>
      </c>
      <c r="B84" s="45">
        <f t="shared" si="12"/>
        <v>13510</v>
      </c>
      <c r="C84" s="16">
        <f t="shared" si="13"/>
        <v>18.763888888888889</v>
      </c>
      <c r="D84" s="15">
        <f t="shared" si="14"/>
        <v>4.1687504105800001E+20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2.9716689965071111E+40</v>
      </c>
      <c r="F84" s="15">
        <f t="shared" si="7"/>
        <v>6.947698739949281E+40</v>
      </c>
      <c r="G84" s="15">
        <f t="shared" si="8"/>
        <v>1.3622622171219927E+41</v>
      </c>
      <c r="H84" s="15">
        <f t="shared" si="9"/>
        <v>2.3541989907676319E+41</v>
      </c>
      <c r="I84" s="16">
        <v>207.39</v>
      </c>
      <c r="J84" s="45">
        <v>1</v>
      </c>
      <c r="K84" s="19">
        <f t="shared" si="10"/>
        <v>194.13969438601029</v>
      </c>
      <c r="L84" s="16">
        <f t="shared" si="11"/>
        <v>175.57059886412685</v>
      </c>
      <c r="M84" s="45"/>
    </row>
    <row r="85" spans="1:13" x14ac:dyDescent="0.25">
      <c r="A85" s="16">
        <v>14.95</v>
      </c>
      <c r="B85" s="45">
        <f t="shared" si="12"/>
        <v>14950</v>
      </c>
      <c r="C85" s="16">
        <f t="shared" si="13"/>
        <v>20.763888888888889</v>
      </c>
      <c r="D85" s="15">
        <f t="shared" si="14"/>
        <v>4.6130879820999996E+20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2.983509260124444E+40</v>
      </c>
      <c r="F85" s="15">
        <f t="shared" si="7"/>
        <v>6.9555482145677966E+40</v>
      </c>
      <c r="G85" s="15">
        <f t="shared" si="8"/>
        <v>1.5800029800938774E+41</v>
      </c>
      <c r="H85" s="15">
        <f t="shared" si="9"/>
        <v>2.5739087275631016E+41</v>
      </c>
      <c r="I85" s="16">
        <v>205.88</v>
      </c>
      <c r="J85" s="45">
        <v>1</v>
      </c>
      <c r="K85" s="19">
        <f t="shared" si="10"/>
        <v>192.97293686782223</v>
      </c>
      <c r="L85" s="16">
        <f t="shared" si="11"/>
        <v>166.59227869802257</v>
      </c>
      <c r="M85" s="45"/>
    </row>
    <row r="86" spans="1:13" x14ac:dyDescent="0.25">
      <c r="A86" s="16">
        <v>16.54</v>
      </c>
      <c r="B86" s="45">
        <f t="shared" si="12"/>
        <v>16540</v>
      </c>
      <c r="C86" s="16">
        <f t="shared" si="13"/>
        <v>22.972222222222221</v>
      </c>
      <c r="D86" s="15">
        <f t="shared" si="14"/>
        <v>5.1037107173199997E+20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2.9909872152711109E+40</v>
      </c>
      <c r="F86" s="15">
        <f t="shared" si="7"/>
        <v>6.9592930469416427E+40</v>
      </c>
      <c r="G86" s="15">
        <f t="shared" si="8"/>
        <v>1.8254185328311608E+41</v>
      </c>
      <c r="H86" s="15">
        <f t="shared" si="9"/>
        <v>2.8204465590524362E+41</v>
      </c>
      <c r="I86" s="16">
        <v>202.11</v>
      </c>
      <c r="J86" s="45">
        <v>1</v>
      </c>
      <c r="K86" s="19">
        <f t="shared" si="10"/>
        <v>192.04880827163015</v>
      </c>
      <c r="L86" s="16">
        <f t="shared" si="11"/>
        <v>101.22757899501815</v>
      </c>
      <c r="M86" s="45"/>
    </row>
    <row r="87" spans="1:13" x14ac:dyDescent="0.25">
      <c r="A87" s="16">
        <v>18.29</v>
      </c>
      <c r="B87" s="45">
        <f t="shared" si="12"/>
        <v>18290</v>
      </c>
      <c r="C87" s="16">
        <f t="shared" si="13"/>
        <v>25.402777777777779</v>
      </c>
      <c r="D87" s="15">
        <f t="shared" si="14"/>
        <v>5.6437042938199998E+20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2.9986891563384446E+40</v>
      </c>
      <c r="F87" s="15">
        <f t="shared" si="7"/>
        <v>6.9609109025398874E+40</v>
      </c>
      <c r="G87" s="15">
        <f t="shared" si="8"/>
        <v>2.0997664259219114E+41</v>
      </c>
      <c r="H87" s="15">
        <f t="shared" si="9"/>
        <v>3.0957264318097444E+41</v>
      </c>
      <c r="I87" s="16">
        <v>195.67</v>
      </c>
      <c r="J87" s="45">
        <v>1</v>
      </c>
      <c r="K87" s="19">
        <f t="shared" si="10"/>
        <v>191.3351963691799</v>
      </c>
      <c r="L87" s="16">
        <f t="shared" si="11"/>
        <v>18.790522517771038</v>
      </c>
      <c r="M87" s="45"/>
    </row>
    <row r="88" spans="1:13" x14ac:dyDescent="0.25">
      <c r="A88" s="16">
        <v>20.2</v>
      </c>
      <c r="B88" s="45">
        <f t="shared" si="12"/>
        <v>20200</v>
      </c>
      <c r="C88" s="16">
        <f t="shared" si="13"/>
        <v>28.055555555555557</v>
      </c>
      <c r="D88" s="15">
        <f t="shared" si="14"/>
        <v>6.2330687115999995E+20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3.0041912146888892E+40</v>
      </c>
      <c r="F88" s="15">
        <f t="shared" si="7"/>
        <v>6.9615380440031445E+40</v>
      </c>
      <c r="G88" s="15">
        <f t="shared" si="8"/>
        <v>2.4023592520256512E+41</v>
      </c>
      <c r="H88" s="15">
        <f t="shared" si="9"/>
        <v>3.3989321778948544E+41</v>
      </c>
      <c r="I88" s="16">
        <v>184.91</v>
      </c>
      <c r="J88" s="45">
        <v>1</v>
      </c>
      <c r="K88" s="19">
        <f t="shared" si="10"/>
        <v>190.77259892649869</v>
      </c>
      <c r="L88" s="16">
        <f t="shared" si="11"/>
        <v>34.370066172983606</v>
      </c>
      <c r="M88" s="45"/>
    </row>
    <row r="89" spans="1:13" x14ac:dyDescent="0.25">
      <c r="A89" s="16">
        <v>22.32</v>
      </c>
      <c r="B89" s="45">
        <f t="shared" si="12"/>
        <v>22320</v>
      </c>
      <c r="C89" s="16">
        <f t="shared" si="13"/>
        <v>31</v>
      </c>
      <c r="D89" s="15">
        <f t="shared" si="14"/>
        <v>6.8872323585599996E+20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3.0093004788319999E+40</v>
      </c>
      <c r="F89" s="15">
        <f t="shared" si="7"/>
        <v>6.9617590175071775E+40</v>
      </c>
      <c r="G89" s="15">
        <f t="shared" si="8"/>
        <v>2.74008395326169E+41</v>
      </c>
      <c r="H89" s="15">
        <f t="shared" si="9"/>
        <v>3.7371899028956082E+41</v>
      </c>
      <c r="I89" s="16">
        <v>172.13</v>
      </c>
      <c r="J89" s="45">
        <v>1</v>
      </c>
      <c r="K89" s="19">
        <f t="shared" si="10"/>
        <v>190.30312493061768</v>
      </c>
      <c r="L89" s="16">
        <f t="shared" si="11"/>
        <v>330.26246974383821</v>
      </c>
      <c r="M89" s="45"/>
    </row>
    <row r="90" spans="1:13" x14ac:dyDescent="0.25">
      <c r="H90" s="15"/>
      <c r="K90" s="45"/>
      <c r="L90" s="16">
        <f>SUM(L56:L89)/(COUNT(L56:L89)-6)</f>
        <v>406.19033388166065</v>
      </c>
      <c r="M90" s="45"/>
    </row>
    <row r="91" spans="1:13" x14ac:dyDescent="0.25">
      <c r="H91" s="15"/>
      <c r="K91" s="45"/>
      <c r="L91" s="17"/>
      <c r="M91" s="45"/>
    </row>
    <row r="92" spans="1:13" x14ac:dyDescent="0.25">
      <c r="I92" s="45"/>
      <c r="J92" s="45"/>
      <c r="L92" s="16"/>
    </row>
    <row r="93" spans="1:13" x14ac:dyDescent="0.25">
      <c r="I93" s="45"/>
      <c r="J93" s="45"/>
      <c r="L93" s="16"/>
    </row>
    <row r="94" spans="1:13" x14ac:dyDescent="0.25">
      <c r="I94" s="45"/>
      <c r="J94" s="45"/>
      <c r="L94" s="16"/>
    </row>
    <row r="95" spans="1:13" x14ac:dyDescent="0.25">
      <c r="I95" s="45"/>
      <c r="J95" s="45"/>
      <c r="L95" s="16"/>
    </row>
    <row r="96" spans="1:13" x14ac:dyDescent="0.25">
      <c r="I96" s="45"/>
      <c r="J96" s="45"/>
      <c r="L96" s="16"/>
    </row>
    <row r="97" spans="1:29" x14ac:dyDescent="0.25">
      <c r="I97" s="45"/>
      <c r="J97" s="45"/>
      <c r="L97" s="16"/>
    </row>
    <row r="98" spans="1:29" x14ac:dyDescent="0.25">
      <c r="I98" s="45"/>
      <c r="J98" s="45"/>
      <c r="L98" s="16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x14ac:dyDescent="0.25">
      <c r="L547" s="16"/>
    </row>
    <row r="548" spans="1:29" x14ac:dyDescent="0.25">
      <c r="L548" s="16"/>
      <c r="N548" s="17"/>
      <c r="O548" s="38"/>
    </row>
    <row r="549" spans="1:29" x14ac:dyDescent="0.25">
      <c r="L549" s="16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C53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1307.9094526092099</v>
      </c>
      <c r="E2" s="55"/>
      <c r="F2" s="53" t="s">
        <v>620</v>
      </c>
      <c r="G2" s="53">
        <v>21676959868</v>
      </c>
      <c r="H2" s="62"/>
      <c r="K2" s="51" t="s">
        <v>1</v>
      </c>
      <c r="L2" s="60" t="s">
        <v>579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3.9234619465154599E+40</v>
      </c>
      <c r="E3" s="53"/>
      <c r="F3" s="53" t="s">
        <v>621</v>
      </c>
      <c r="G3" s="53">
        <f>H36/SolarMass</f>
        <v>95171709562.977112</v>
      </c>
      <c r="H3" s="62"/>
      <c r="K3" s="51" t="s">
        <v>562</v>
      </c>
      <c r="L3" s="57">
        <v>2.8119999999999998E-3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4778.9203523649603</v>
      </c>
      <c r="E4" s="55"/>
      <c r="F4" s="53" t="s">
        <v>622</v>
      </c>
      <c r="G4" s="52">
        <f>G3/G2</f>
        <v>4.3904546644232925</v>
      </c>
      <c r="H4" s="62"/>
      <c r="K4" s="61" t="s">
        <v>614</v>
      </c>
      <c r="L4" s="52">
        <f>QEHModelChiSquare</f>
        <v>44.489605137146071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689.35689674192895</v>
      </c>
      <c r="F5" s="53"/>
      <c r="G5" s="52"/>
      <c r="H5" s="62"/>
      <c r="K5" s="61" t="s">
        <v>615</v>
      </c>
      <c r="L5" s="52">
        <f>LCDMModelChiSquare</f>
        <v>170.07001985453971</v>
      </c>
      <c r="M5" s="55"/>
    </row>
    <row r="6" spans="1:13" ht="20.100000000000001" customHeight="1" x14ac:dyDescent="0.25">
      <c r="A6" s="45"/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36" si="0">RadiusKpc*1000</f>
        <v>90</v>
      </c>
      <c r="C8" s="16">
        <f t="shared" ref="C8:C36" si="1">IF(QESBulgeEffectiveRadius=0,0,RadiusPc/QESBulgeEffectiveRadius)</f>
        <v>6.8812103024758153E-2</v>
      </c>
      <c r="D8" s="15">
        <f t="shared" ref="D8:D36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1.0669251352753693E+39</v>
      </c>
      <c r="F8" s="15">
        <f t="shared" ref="F8:F36" si="3">2*PI()*QESDiskSurfaceDensity*QESDiskScaleLength*(QESDiskScaleLength-EXP(-RadiusPc/QESDiskScaleLength)*(RadiusPc+QESDiskScaleLength))*SolarMass</f>
        <v>3.4457779641193365E+37</v>
      </c>
      <c r="H8" s="18">
        <f t="shared" ref="H8:H36" si="4">BulgeMass+DiskMass+HaloMass</f>
        <v>1.1013829149165627E+39</v>
      </c>
      <c r="I8" s="45">
        <v>165.99</v>
      </c>
      <c r="J8" s="45">
        <v>1</v>
      </c>
      <c r="K8" s="19">
        <f t="shared" ref="K8:K36" si="5">SQRT(TotalMass*GravitationalConstant/RadiusKm+UniverseAcceleration*RadiusKm)/km</f>
        <v>163.0037393172168</v>
      </c>
      <c r="L8" s="16">
        <f t="shared" ref="L8:L36" si="6">(ObservedVelocity-ModelVelocity)^2/(VelocityError)^2</f>
        <v>8.9177528655368494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0.14526999527448944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2.7185756250752323E+39</v>
      </c>
      <c r="F9" s="15">
        <f t="shared" si="3"/>
        <v>1.5144879375605348E+38</v>
      </c>
      <c r="H9" s="18">
        <f t="shared" si="4"/>
        <v>2.8700244188312855E+39</v>
      </c>
      <c r="I9" s="45">
        <v>185.86</v>
      </c>
      <c r="J9" s="45">
        <v>1</v>
      </c>
      <c r="K9" s="19">
        <f t="shared" si="5"/>
        <v>181.34381078170955</v>
      </c>
      <c r="L9" s="16">
        <f t="shared" si="6"/>
        <v>20.395965055403028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0.22937367674919387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4.5207806824671251E+39</v>
      </c>
      <c r="F10" s="15">
        <f t="shared" si="3"/>
        <v>3.7184793552972132E+38</v>
      </c>
      <c r="H10" s="18">
        <f t="shared" si="4"/>
        <v>4.8926286179968462E+39</v>
      </c>
      <c r="I10" s="45">
        <v>187.23</v>
      </c>
      <c r="J10" s="45">
        <v>1</v>
      </c>
      <c r="K10" s="19">
        <f t="shared" si="5"/>
        <v>188.71181497276658</v>
      </c>
      <c r="L10" s="16">
        <f t="shared" si="6"/>
        <v>2.1957756135152366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0.32112314744887138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6.3820225457351918E+39</v>
      </c>
      <c r="F11" s="15">
        <f t="shared" si="3"/>
        <v>7.1679859572161677E+38</v>
      </c>
      <c r="H11" s="18">
        <f t="shared" si="4"/>
        <v>7.0988211414568085E+39</v>
      </c>
      <c r="I11" s="45">
        <v>186.95</v>
      </c>
      <c r="J11" s="45">
        <v>1</v>
      </c>
      <c r="K11" s="19">
        <f t="shared" si="5"/>
        <v>192.43234337974593</v>
      </c>
      <c r="L11" s="16">
        <f t="shared" si="6"/>
        <v>30.056088933444155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0.42816419659849519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8.3654006737087655E+39</v>
      </c>
      <c r="F12" s="15">
        <f t="shared" si="3"/>
        <v>1.2498725283966462E+39</v>
      </c>
      <c r="H12" s="18">
        <f t="shared" si="4"/>
        <v>9.6152732021054113E+39</v>
      </c>
      <c r="I12" s="45">
        <v>188.29</v>
      </c>
      <c r="J12" s="45">
        <v>1</v>
      </c>
      <c r="K12" s="19">
        <f t="shared" si="5"/>
        <v>194.33934669880225</v>
      </c>
      <c r="L12" s="16">
        <f t="shared" si="6"/>
        <v>36.594595482309721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0.53520524574811901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1.0163318164393167E+40</v>
      </c>
      <c r="F13" s="15">
        <f t="shared" si="3"/>
        <v>1.9155693400468599E+39</v>
      </c>
      <c r="H13" s="18">
        <f t="shared" si="4"/>
        <v>1.2078887504440028E+40</v>
      </c>
      <c r="I13" s="45">
        <v>191.13</v>
      </c>
      <c r="J13" s="45">
        <v>1</v>
      </c>
      <c r="K13" s="19">
        <f t="shared" si="5"/>
        <v>195.2180232537674</v>
      </c>
      <c r="L13" s="16">
        <f t="shared" si="6"/>
        <v>16.711934123343028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0.65753787334768909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1.2016089890354603E+40</v>
      </c>
      <c r="F14" s="15">
        <f t="shared" si="3"/>
        <v>2.8283842239229227E+39</v>
      </c>
      <c r="H14" s="18">
        <f t="shared" si="4"/>
        <v>1.4844474114277527E+40</v>
      </c>
      <c r="I14" s="45">
        <v>195.05</v>
      </c>
      <c r="J14" s="45">
        <v>1</v>
      </c>
      <c r="K14" s="19">
        <f t="shared" si="5"/>
        <v>195.70878568376168</v>
      </c>
      <c r="L14" s="16">
        <f t="shared" si="6"/>
        <v>0.43399857712932333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0.7951620793972054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1.3888572139420182E+40</v>
      </c>
      <c r="F15" s="15">
        <f t="shared" si="3"/>
        <v>4.0353939866957924E+39</v>
      </c>
      <c r="H15" s="18">
        <f t="shared" si="4"/>
        <v>1.7923966126115974E+40</v>
      </c>
      <c r="I15" s="45">
        <v>198.5</v>
      </c>
      <c r="J15" s="45">
        <v>1</v>
      </c>
      <c r="K15" s="19">
        <f t="shared" si="5"/>
        <v>196.07982061219718</v>
      </c>
      <c r="L15" s="16">
        <f t="shared" si="6"/>
        <v>5.8572682691456244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0.94043207467169487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1.5626204124721297E+40</v>
      </c>
      <c r="F16" s="15">
        <f t="shared" si="3"/>
        <v>5.4998361430714123E+39</v>
      </c>
      <c r="H16" s="18">
        <f t="shared" si="4"/>
        <v>2.1126040267792709E+40</v>
      </c>
      <c r="I16" s="45">
        <v>202.92</v>
      </c>
      <c r="J16" s="45">
        <v>1</v>
      </c>
      <c r="K16" s="19">
        <f t="shared" si="5"/>
        <v>196.29978626459106</v>
      </c>
      <c r="L16" s="16">
        <f t="shared" si="6"/>
        <v>43.827229902496988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1.1086394376211037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1.7421759468549351E+40</v>
      </c>
      <c r="F17" s="15">
        <f t="shared" si="3"/>
        <v>7.4176104497812845E+39</v>
      </c>
      <c r="H17" s="18">
        <f t="shared" si="4"/>
        <v>2.4839369918330635E+40</v>
      </c>
      <c r="I17" s="45">
        <v>205.62</v>
      </c>
      <c r="J17" s="45">
        <v>1</v>
      </c>
      <c r="K17" s="19">
        <f t="shared" si="5"/>
        <v>196.68180586743782</v>
      </c>
      <c r="L17" s="16">
        <f t="shared" si="6"/>
        <v>79.891314351369132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1.2844925897954855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1.9066496846450849E+40</v>
      </c>
      <c r="F18" s="15">
        <f t="shared" si="3"/>
        <v>9.6516248653886285E+39</v>
      </c>
      <c r="H18" s="18">
        <f t="shared" si="4"/>
        <v>2.8718121711839479E+40</v>
      </c>
      <c r="I18" s="45">
        <v>205.27</v>
      </c>
      <c r="J18" s="45">
        <v>1</v>
      </c>
      <c r="K18" s="19">
        <f t="shared" si="5"/>
        <v>197.13861140699055</v>
      </c>
      <c r="L18" s="16">
        <f t="shared" si="6"/>
        <v>66.119480450524392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1.4832831096447869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2.0700706208706645E+40</v>
      </c>
      <c r="F19" s="15">
        <f t="shared" si="3"/>
        <v>1.2426322108293341E+40</v>
      </c>
      <c r="H19" s="18">
        <f t="shared" si="4"/>
        <v>3.3127028316999989E+40</v>
      </c>
      <c r="I19" s="45">
        <v>202.78</v>
      </c>
      <c r="J19" s="45">
        <v>1</v>
      </c>
      <c r="K19" s="19">
        <f t="shared" si="5"/>
        <v>197.77901847874941</v>
      </c>
      <c r="L19" s="16">
        <f t="shared" si="6"/>
        <v>25.009816175889906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1.7050109971690077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2.2292338730318461E+40</v>
      </c>
      <c r="F20" s="15">
        <f t="shared" si="3"/>
        <v>1.5791956738433737E+40</v>
      </c>
      <c r="G20" s="15"/>
      <c r="H20" s="18">
        <f t="shared" si="4"/>
        <v>3.8084295468752199E+40</v>
      </c>
      <c r="I20" s="45">
        <v>200.03</v>
      </c>
      <c r="J20" s="45">
        <v>1</v>
      </c>
      <c r="K20" s="19">
        <f t="shared" si="5"/>
        <v>198.61517043595617</v>
      </c>
      <c r="L20" s="16">
        <f t="shared" si="6"/>
        <v>2.0017426952924477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1.9420304631431746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2.3765236359135244E+40</v>
      </c>
      <c r="F21" s="15">
        <f t="shared" si="3"/>
        <v>1.9657047388446059E+40</v>
      </c>
      <c r="G21" s="15"/>
      <c r="H21" s="18">
        <f t="shared" si="4"/>
        <v>4.3422283747581303E+40</v>
      </c>
      <c r="I21" s="45">
        <v>198.75</v>
      </c>
      <c r="J21" s="45">
        <v>1</v>
      </c>
      <c r="K21" s="19">
        <f t="shared" si="5"/>
        <v>199.58474205433242</v>
      </c>
      <c r="L21" s="16">
        <f t="shared" si="6"/>
        <v>0.69679429727111442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2.2096330860172344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2.5209899065709582E+40</v>
      </c>
      <c r="F22" s="15">
        <f t="shared" si="3"/>
        <v>2.4293036282650032E+40</v>
      </c>
      <c r="G22" s="15"/>
      <c r="H22" s="18">
        <f t="shared" si="4"/>
        <v>4.9502935348359614E+40</v>
      </c>
      <c r="I22" s="45">
        <v>199.94</v>
      </c>
      <c r="J22" s="45">
        <v>1</v>
      </c>
      <c r="K22" s="19">
        <f t="shared" si="5"/>
        <v>200.7503289551924</v>
      </c>
      <c r="L22" s="16">
        <f t="shared" si="6"/>
        <v>0.65663301562321241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2.5001730765662131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2.6557854458929073E+40</v>
      </c>
      <c r="F23" s="15">
        <f t="shared" si="3"/>
        <v>2.9583243309558063E+40</v>
      </c>
      <c r="G23" s="15"/>
      <c r="H23" s="18">
        <f t="shared" si="4"/>
        <v>5.6141097768487141E+40</v>
      </c>
      <c r="I23" s="45">
        <v>202.69</v>
      </c>
      <c r="J23" s="45">
        <v>1</v>
      </c>
      <c r="K23" s="19">
        <f t="shared" si="5"/>
        <v>202.02398585578263</v>
      </c>
      <c r="L23" s="16">
        <f t="shared" si="6"/>
        <v>0.44357484029759708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2.8212962240150845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2.7831691004989392E+40</v>
      </c>
      <c r="F24" s="15">
        <f t="shared" si="3"/>
        <v>3.5659170438379259E+40</v>
      </c>
      <c r="G24" s="15"/>
      <c r="H24" s="18">
        <f t="shared" si="4"/>
        <v>6.3490861443368652E+40</v>
      </c>
      <c r="I24" s="45">
        <v>203.5</v>
      </c>
      <c r="J24" s="45">
        <v>1</v>
      </c>
      <c r="K24" s="19">
        <f t="shared" si="5"/>
        <v>203.39063687923337</v>
      </c>
      <c r="L24" s="16">
        <f t="shared" si="6"/>
        <v>1.1960292183816622E-2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3.1730025283638486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2.9022609298699822E+40</v>
      </c>
      <c r="F25" s="15">
        <f t="shared" si="3"/>
        <v>4.2495845736626682E+40</v>
      </c>
      <c r="G25" s="15"/>
      <c r="H25" s="18">
        <f t="shared" si="4"/>
        <v>7.1518455035326504E+40</v>
      </c>
      <c r="I25" s="45">
        <v>201.86</v>
      </c>
      <c r="J25" s="45">
        <v>1</v>
      </c>
      <c r="K25" s="19">
        <f t="shared" si="5"/>
        <v>204.80262826516696</v>
      </c>
      <c r="L25" s="16">
        <f t="shared" si="6"/>
        <v>8.6590611069594257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3.5552919896125048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3.0121505672805114E+40</v>
      </c>
      <c r="F26" s="15">
        <f t="shared" si="3"/>
        <v>5.0040018767774423E+40</v>
      </c>
      <c r="G26" s="15"/>
      <c r="H26" s="18">
        <f t="shared" si="4"/>
        <v>8.0161524440579536E+40</v>
      </c>
      <c r="I26" s="45">
        <v>202.27</v>
      </c>
      <c r="J26" s="45">
        <v>1</v>
      </c>
      <c r="K26" s="19">
        <f t="shared" si="5"/>
        <v>206.20136977108592</v>
      </c>
      <c r="L26" s="16">
        <f t="shared" si="6"/>
        <v>15.455668277008094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3.9834561862110003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3.1161326926610949E+40</v>
      </c>
      <c r="F27" s="15">
        <f t="shared" si="3"/>
        <v>5.8513423632670116E+40</v>
      </c>
      <c r="G27" s="15"/>
      <c r="H27" s="18">
        <f t="shared" si="4"/>
        <v>8.9674750559281074E+40</v>
      </c>
      <c r="I27" s="45">
        <v>205.65</v>
      </c>
      <c r="J27" s="45">
        <v>1</v>
      </c>
      <c r="K27" s="19">
        <f t="shared" si="5"/>
        <v>207.58311190741836</v>
      </c>
      <c r="L27" s="16">
        <f t="shared" si="6"/>
        <v>3.7369216466026134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4.449849328934361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3.2110704984672377E+40</v>
      </c>
      <c r="F28" s="15">
        <f t="shared" si="3"/>
        <v>6.7649345065789274E+40</v>
      </c>
      <c r="G28" s="15"/>
      <c r="H28" s="18">
        <f t="shared" si="4"/>
        <v>9.9760050050461651E+40</v>
      </c>
      <c r="I28" s="45">
        <v>209.93</v>
      </c>
      <c r="J28" s="45">
        <v>1</v>
      </c>
      <c r="K28" s="19">
        <f t="shared" si="5"/>
        <v>208.86182642053865</v>
      </c>
      <c r="L28" s="16">
        <f t="shared" si="6"/>
        <v>1.1409947958592916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4.9621172070075605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3.2982035652782072E+40</v>
      </c>
      <c r="F29" s="15">
        <f t="shared" si="3"/>
        <v>7.7445101386795148E+40</v>
      </c>
      <c r="G29" s="15"/>
      <c r="H29" s="18">
        <f t="shared" si="4"/>
        <v>1.1042713703957723E+41</v>
      </c>
      <c r="I29" s="45">
        <v>213.76</v>
      </c>
      <c r="J29" s="45">
        <v>1</v>
      </c>
      <c r="K29" s="19">
        <f t="shared" si="5"/>
        <v>210.01137605226302</v>
      </c>
      <c r="L29" s="16">
        <f t="shared" si="6"/>
        <v>14.052181501547132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5.5279056096555719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3.3728272426388572E+40</v>
      </c>
      <c r="F30" s="15">
        <f t="shared" si="3"/>
        <v>8.7850256380149656E+40</v>
      </c>
      <c r="G30" s="15"/>
      <c r="H30" s="18">
        <f t="shared" si="4"/>
        <v>1.2157852880653822E+41</v>
      </c>
      <c r="I30" s="45">
        <v>216.61</v>
      </c>
      <c r="J30" s="45">
        <v>1</v>
      </c>
      <c r="K30" s="19">
        <f t="shared" si="5"/>
        <v>210.96623429646607</v>
      </c>
      <c r="L30" s="16">
        <f t="shared" si="6"/>
        <v>31.852091316385994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6.1548603261033694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3.4490491139186565E+40</v>
      </c>
      <c r="F31" s="15">
        <f t="shared" si="3"/>
        <v>9.8758444725320084E+40</v>
      </c>
      <c r="G31" s="15"/>
      <c r="H31" s="18">
        <f t="shared" si="4"/>
        <v>1.3324893586450665E+41</v>
      </c>
      <c r="I31" s="45">
        <v>219.9</v>
      </c>
      <c r="J31" s="45">
        <v>1</v>
      </c>
      <c r="K31" s="19">
        <f t="shared" si="5"/>
        <v>211.80227986447073</v>
      </c>
      <c r="L31" s="16">
        <f t="shared" si="6"/>
        <v>65.573071393356216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6.835335567125977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3.513925708661522E+40</v>
      </c>
      <c r="F32" s="15">
        <f t="shared" si="3"/>
        <v>1.0976760159692802E+41</v>
      </c>
      <c r="G32" s="15"/>
      <c r="H32" s="18">
        <f t="shared" si="4"/>
        <v>1.4490685868354325E+41</v>
      </c>
      <c r="I32" s="45">
        <v>223.8</v>
      </c>
      <c r="J32" s="45">
        <v>1</v>
      </c>
      <c r="K32" s="19">
        <f t="shared" si="5"/>
        <v>212.40987612904371</v>
      </c>
      <c r="L32" s="16">
        <f t="shared" si="6"/>
        <v>129.73492179572858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7.5922687003983169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3.572172583620006E+40</v>
      </c>
      <c r="F33" s="15">
        <f t="shared" si="3"/>
        <v>1.2094193476491668E+41</v>
      </c>
      <c r="G33" s="15"/>
      <c r="H33" s="18">
        <f t="shared" si="4"/>
        <v>1.5666366060111674E+41</v>
      </c>
      <c r="I33" s="45">
        <v>227.17</v>
      </c>
      <c r="J33" s="45">
        <v>1</v>
      </c>
      <c r="K33" s="19">
        <f t="shared" si="5"/>
        <v>212.83212128783552</v>
      </c>
      <c r="L33" s="16">
        <f t="shared" si="6"/>
        <v>205.57476596473902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8.4180139366954148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3.624571894956899E+40</v>
      </c>
      <c r="F34" s="15">
        <f t="shared" si="3"/>
        <v>1.3183744825756376E+41</v>
      </c>
      <c r="G34" s="15"/>
      <c r="H34" s="18">
        <f t="shared" si="4"/>
        <v>1.6808316720713275E+41</v>
      </c>
      <c r="I34" s="45">
        <v>227.24</v>
      </c>
      <c r="J34" s="45">
        <v>1</v>
      </c>
      <c r="K34" s="19">
        <f t="shared" si="5"/>
        <v>213.09344234595312</v>
      </c>
      <c r="L34" s="16">
        <f t="shared" si="6"/>
        <v>200.12509345927256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9.3278628544672166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3.6709721166022881E+40</v>
      </c>
      <c r="F35" s="15">
        <f t="shared" si="3"/>
        <v>1.4233386706106427E+41</v>
      </c>
      <c r="G35" s="15"/>
      <c r="H35" s="18">
        <f t="shared" si="4"/>
        <v>1.7904358822708717E+41</v>
      </c>
      <c r="I35" s="45">
        <v>218.13</v>
      </c>
      <c r="J35" s="45">
        <v>1</v>
      </c>
      <c r="K35" s="19">
        <f t="shared" si="5"/>
        <v>213.23739569209783</v>
      </c>
      <c r="L35" s="16">
        <f t="shared" si="6"/>
        <v>23.937576913702785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10.329461242938697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3.7115136246355903E+40</v>
      </c>
      <c r="F36" s="15">
        <f t="shared" si="3"/>
        <v>1.5219091124536188E+41</v>
      </c>
      <c r="G36" s="15"/>
      <c r="H36" s="18">
        <f t="shared" si="4"/>
        <v>1.8930604749171776E+41</v>
      </c>
      <c r="I36" s="45">
        <v>204.81</v>
      </c>
      <c r="J36" s="45">
        <v>1</v>
      </c>
      <c r="K36" s="19">
        <f t="shared" si="5"/>
        <v>213.32914639601378</v>
      </c>
      <c r="L36" s="16">
        <f t="shared" si="6"/>
        <v>72.575855316714595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x14ac:dyDescent="0.25">
      <c r="A37" s="45"/>
      <c r="I37" s="45"/>
      <c r="J37" s="45"/>
      <c r="L37" s="16">
        <f>SUM(L8:L36)/(COUNT(L8:L36)-4)</f>
        <v>44.489605137146071</v>
      </c>
    </row>
    <row r="38" spans="1:29" x14ac:dyDescent="0.25">
      <c r="A38" s="45"/>
      <c r="I38" s="45"/>
      <c r="J38" s="45"/>
      <c r="L38" s="16"/>
    </row>
    <row r="39" spans="1:29" ht="21" x14ac:dyDescent="0.35">
      <c r="A39" s="46" t="s">
        <v>564</v>
      </c>
      <c r="I39" s="45"/>
      <c r="J39" s="45"/>
      <c r="L39" s="16"/>
    </row>
    <row r="40" spans="1:29" x14ac:dyDescent="0.25">
      <c r="A40" s="45" t="s">
        <v>30</v>
      </c>
      <c r="D40" s="16">
        <v>0.84</v>
      </c>
      <c r="E40" s="17">
        <f>$D$40*1000</f>
        <v>840</v>
      </c>
      <c r="F40" s="17"/>
      <c r="G40" s="17"/>
      <c r="H40" s="15"/>
      <c r="K40" s="15"/>
      <c r="L40" s="17"/>
      <c r="M40" s="45"/>
    </row>
    <row r="41" spans="1:29" x14ac:dyDescent="0.25">
      <c r="A41" s="45" t="s">
        <v>16</v>
      </c>
      <c r="D41" s="16">
        <v>1.52</v>
      </c>
      <c r="E41" s="15">
        <f>D41*10000000000*SolarMass</f>
        <v>3.023432E+40</v>
      </c>
      <c r="F41" s="43"/>
      <c r="G41" s="43"/>
      <c r="H41" s="15"/>
      <c r="K41" s="15"/>
      <c r="L41" s="17"/>
      <c r="M41" s="45"/>
    </row>
    <row r="42" spans="1:29" x14ac:dyDescent="0.25">
      <c r="A42" s="45" t="s">
        <v>569</v>
      </c>
      <c r="D42" s="16">
        <v>3.6</v>
      </c>
      <c r="E42" s="15">
        <f>D42*1000</f>
        <v>3600</v>
      </c>
      <c r="H42" s="15"/>
      <c r="K42" s="15"/>
      <c r="L42" s="17"/>
      <c r="M42" s="45"/>
    </row>
    <row r="43" spans="1:29" x14ac:dyDescent="0.25">
      <c r="A43" s="45" t="s">
        <v>17</v>
      </c>
      <c r="D43" s="45">
        <v>3.6</v>
      </c>
      <c r="G43" s="16"/>
      <c r="H43" s="15"/>
      <c r="K43" s="15"/>
      <c r="L43" s="17"/>
      <c r="M43" s="45"/>
    </row>
    <row r="44" spans="1:29" x14ac:dyDescent="0.25">
      <c r="A44" s="45" t="s">
        <v>570</v>
      </c>
      <c r="D44" s="16">
        <v>8.5</v>
      </c>
      <c r="E44" s="17">
        <f>D44*1000</f>
        <v>8500</v>
      </c>
      <c r="H44" s="15"/>
      <c r="K44" s="15"/>
      <c r="L44" s="17"/>
      <c r="M44" s="45"/>
    </row>
    <row r="45" spans="1:29" x14ac:dyDescent="0.25">
      <c r="A45" s="45" t="s">
        <v>571</v>
      </c>
      <c r="D45" s="16">
        <v>4.8</v>
      </c>
      <c r="G45" s="9"/>
      <c r="H45" s="15"/>
      <c r="K45" s="15"/>
      <c r="L45" s="17"/>
      <c r="M45" s="45"/>
    </row>
    <row r="46" spans="1:29" x14ac:dyDescent="0.25">
      <c r="A46" s="45"/>
      <c r="D46" s="12"/>
      <c r="H46" s="15"/>
      <c r="K46" s="15"/>
      <c r="L46" s="17"/>
      <c r="M46" s="45"/>
    </row>
    <row r="47" spans="1:29" x14ac:dyDescent="0.25">
      <c r="A47" s="17" t="s">
        <v>567</v>
      </c>
      <c r="D47" s="17">
        <f>(D43*10000000000)/(2*PI()*DiskScaleLengthPc^2)</f>
        <v>442.09706414415376</v>
      </c>
      <c r="H47" s="15"/>
      <c r="K47" s="15"/>
      <c r="L47" s="17"/>
      <c r="M47" s="45"/>
    </row>
    <row r="48" spans="1:29" x14ac:dyDescent="0.25">
      <c r="A48" s="17" t="s">
        <v>565</v>
      </c>
      <c r="D48" s="9">
        <f>(D45*10000000000)/(4*PI()*(LCDMHaloScaleLengthPc)^3*(LN(2)-1/2))</f>
        <v>3.2202250440382024E-2</v>
      </c>
      <c r="H48" s="15"/>
      <c r="K48" s="15"/>
      <c r="L48" s="17"/>
      <c r="M48" s="45"/>
    </row>
    <row r="49" spans="1:29" x14ac:dyDescent="0.25">
      <c r="A49" s="19"/>
      <c r="H49" s="15"/>
      <c r="K49" s="15"/>
      <c r="L49" s="17"/>
      <c r="M49" s="45"/>
    </row>
    <row r="50" spans="1:29" ht="45" x14ac:dyDescent="0.25">
      <c r="A50" s="25" t="s">
        <v>20</v>
      </c>
      <c r="B50" s="3" t="s">
        <v>19</v>
      </c>
      <c r="C50" s="7" t="s">
        <v>27</v>
      </c>
      <c r="D50" s="4" t="s">
        <v>649</v>
      </c>
      <c r="E50" s="4" t="s">
        <v>21</v>
      </c>
      <c r="F50" s="4" t="s">
        <v>22</v>
      </c>
      <c r="G50" s="4" t="s">
        <v>28</v>
      </c>
      <c r="H50" s="4" t="s">
        <v>23</v>
      </c>
      <c r="I50" s="7" t="s">
        <v>645</v>
      </c>
      <c r="J50" s="7" t="s">
        <v>646</v>
      </c>
      <c r="K50" s="25" t="s">
        <v>647</v>
      </c>
      <c r="L50" s="3" t="s">
        <v>648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x14ac:dyDescent="0.25">
      <c r="A51" s="45">
        <v>0.09</v>
      </c>
      <c r="B51" s="45">
        <f>A51*1000</f>
        <v>90</v>
      </c>
      <c r="C51" s="16">
        <f>B51/LCDMBulgeEffectiveRadius</f>
        <v>0.10714285714285714</v>
      </c>
      <c r="D51" s="15">
        <f>A51*kpc</f>
        <v>2.777109822E+18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1.4535538066971428E+39</v>
      </c>
      <c r="F51" s="15">
        <f t="shared" ref="F51:F79" si="7">2*PI()*LCDMDiskSurfaceDensity*LCDMScaleLength*(LCDMScaleLength-EXP(-RadiusPc/LCDMScaleLength)*(RadiusPc+LCDMScaleLength))*SolarMass</f>
        <v>2.2007892025972678E+37</v>
      </c>
      <c r="G51" s="15">
        <f t="shared" ref="G51:G79" si="8">4*PI()*LCDMHaloRepresentativeDensity*LCDMHaloScaleLengthPc^3*(LN(1+RadiusPc/LCDMHaloScaleLengthPc)-RadiusPc/(RadiusPc+LCDMHaloScaleLengthPc))*SolarMass</f>
        <v>2.7322786730013502E+37</v>
      </c>
      <c r="H51" s="15">
        <f t="shared" ref="H51:H79" si="9">BulgeMass+DiskMass+HaloMass</f>
        <v>1.5028844854531289E+39</v>
      </c>
      <c r="I51" s="45">
        <v>165.99</v>
      </c>
      <c r="J51" s="45">
        <v>1</v>
      </c>
      <c r="K51" s="19">
        <f t="shared" ref="K51:K79" si="10">SQRT(TotalMass*GravitationalConstant/RadiusKm)/km</f>
        <v>190.04741965858659</v>
      </c>
      <c r="L51" s="16">
        <f t="shared" ref="L51:L79" si="11">(ObservedVelocity-ModelVelocity)^2/(VelocityError)^2</f>
        <v>578.75944062934809</v>
      </c>
      <c r="M51" s="45"/>
    </row>
    <row r="52" spans="1:29" x14ac:dyDescent="0.25">
      <c r="A52" s="45">
        <v>0.19</v>
      </c>
      <c r="B52" s="45">
        <f t="shared" ref="B52:B79" si="12">A52*1000</f>
        <v>190</v>
      </c>
      <c r="C52" s="16">
        <f t="shared" ref="C52:C79" si="13">B52/LCDMBulgeEffectiveRadius</f>
        <v>0.22619047619047619</v>
      </c>
      <c r="D52" s="15">
        <f t="shared" ref="D52:D79" si="14">A52*kpc</f>
        <v>5.862787402E+18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3.4330004960152375E+39</v>
      </c>
      <c r="F52" s="15">
        <f t="shared" si="7"/>
        <v>9.6290684308766561E+37</v>
      </c>
      <c r="G52" s="15">
        <f t="shared" si="8"/>
        <v>1.1990461673737297E+38</v>
      </c>
      <c r="H52" s="15">
        <f t="shared" si="9"/>
        <v>3.6491957970613765E+39</v>
      </c>
      <c r="I52" s="45">
        <v>185.86</v>
      </c>
      <c r="J52" s="45">
        <v>1</v>
      </c>
      <c r="K52" s="19">
        <f t="shared" si="10"/>
        <v>203.81784906086716</v>
      </c>
      <c r="L52" s="16">
        <f t="shared" si="11"/>
        <v>322.48434289288707</v>
      </c>
      <c r="M52" s="45"/>
    </row>
    <row r="53" spans="1:29" x14ac:dyDescent="0.25">
      <c r="A53" s="45">
        <v>0.3</v>
      </c>
      <c r="B53" s="45">
        <f t="shared" si="12"/>
        <v>300</v>
      </c>
      <c r="C53" s="16">
        <f t="shared" si="13"/>
        <v>0.35714285714285715</v>
      </c>
      <c r="D53" s="15">
        <f t="shared" si="14"/>
        <v>9.25703274E+18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5.4445531537142863E+39</v>
      </c>
      <c r="F53" s="15">
        <f t="shared" si="7"/>
        <v>2.3524653957170582E+38</v>
      </c>
      <c r="G53" s="15">
        <f t="shared" si="8"/>
        <v>2.9394772236738244E+38</v>
      </c>
      <c r="H53" s="15">
        <f t="shared" si="9"/>
        <v>5.9737474156533753E+39</v>
      </c>
      <c r="I53" s="45">
        <v>187.23</v>
      </c>
      <c r="J53" s="45">
        <v>1</v>
      </c>
      <c r="K53" s="19">
        <f t="shared" si="10"/>
        <v>207.53112101908374</v>
      </c>
      <c r="L53" s="16">
        <f t="shared" si="11"/>
        <v>412.13551463148411</v>
      </c>
      <c r="M53" s="45"/>
    </row>
    <row r="54" spans="1:29" x14ac:dyDescent="0.25">
      <c r="A54" s="45">
        <v>0.42</v>
      </c>
      <c r="B54" s="45">
        <f t="shared" si="12"/>
        <v>420</v>
      </c>
      <c r="C54" s="16">
        <f t="shared" si="13"/>
        <v>0.5</v>
      </c>
      <c r="D54" s="15">
        <f t="shared" si="14"/>
        <v>1.2959845836E+19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7.4037802815999991E+39</v>
      </c>
      <c r="F54" s="15">
        <f t="shared" si="7"/>
        <v>4.5103400697441753E+38</v>
      </c>
      <c r="G54" s="15">
        <f t="shared" si="8"/>
        <v>5.6579112224593911E+38</v>
      </c>
      <c r="H54" s="15">
        <f t="shared" si="9"/>
        <v>8.4206054108203556E+39</v>
      </c>
      <c r="I54" s="45">
        <v>186.95</v>
      </c>
      <c r="J54" s="45">
        <v>1</v>
      </c>
      <c r="K54" s="19">
        <f t="shared" si="10"/>
        <v>208.24157735988319</v>
      </c>
      <c r="L54" s="16">
        <f t="shared" si="11"/>
        <v>453.33126647189113</v>
      </c>
      <c r="M54" s="45"/>
    </row>
    <row r="55" spans="1:29" x14ac:dyDescent="0.25">
      <c r="A55" s="45">
        <v>0.56000000000000005</v>
      </c>
      <c r="B55" s="45">
        <f t="shared" si="12"/>
        <v>560</v>
      </c>
      <c r="C55" s="16">
        <f t="shared" si="13"/>
        <v>0.66666666666666663</v>
      </c>
      <c r="D55" s="15">
        <f t="shared" si="14"/>
        <v>1.7279794448000002E+19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9.3611501584000024E+39</v>
      </c>
      <c r="F55" s="15">
        <f t="shared" si="7"/>
        <v>7.8154886959558972E+38</v>
      </c>
      <c r="G55" s="15">
        <f t="shared" si="8"/>
        <v>9.8508484884317887E+38</v>
      </c>
      <c r="H55" s="15">
        <f t="shared" si="9"/>
        <v>1.1127783876838771E+40</v>
      </c>
      <c r="I55" s="45">
        <v>188.29</v>
      </c>
      <c r="J55" s="45">
        <v>1</v>
      </c>
      <c r="K55" s="19">
        <f t="shared" si="10"/>
        <v>207.31501581127782</v>
      </c>
      <c r="L55" s="16">
        <f t="shared" si="11"/>
        <v>361.95122661937125</v>
      </c>
      <c r="M55" s="45"/>
    </row>
    <row r="56" spans="1:29" x14ac:dyDescent="0.25">
      <c r="A56" s="45">
        <v>0.7</v>
      </c>
      <c r="B56" s="45">
        <f t="shared" si="12"/>
        <v>700</v>
      </c>
      <c r="C56" s="16">
        <f t="shared" si="13"/>
        <v>0.83333333333333337</v>
      </c>
      <c r="D56" s="15">
        <f t="shared" si="14"/>
        <v>2.1599743059999998E+19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1.1064954871466666E+40</v>
      </c>
      <c r="F56" s="15">
        <f t="shared" si="7"/>
        <v>1.1903721941429516E+39</v>
      </c>
      <c r="G56" s="15">
        <f t="shared" si="8"/>
        <v>1.5078604628970341E+39</v>
      </c>
      <c r="H56" s="15">
        <f t="shared" si="9"/>
        <v>1.376318752850665E+40</v>
      </c>
      <c r="I56" s="45">
        <v>191.13</v>
      </c>
      <c r="J56" s="45">
        <v>1</v>
      </c>
      <c r="K56" s="19">
        <f t="shared" si="10"/>
        <v>206.22006775137606</v>
      </c>
      <c r="L56" s="16">
        <f t="shared" si="11"/>
        <v>227.71014474111999</v>
      </c>
      <c r="M56" s="45"/>
    </row>
    <row r="57" spans="1:29" x14ac:dyDescent="0.25">
      <c r="A57" s="45">
        <v>0.86</v>
      </c>
      <c r="B57" s="45">
        <f t="shared" si="12"/>
        <v>860</v>
      </c>
      <c r="C57" s="16">
        <f t="shared" si="13"/>
        <v>1.0238095238095237</v>
      </c>
      <c r="D57" s="15">
        <f t="shared" si="14"/>
        <v>2.6536827187999998E+19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1.2749251249485711E+40</v>
      </c>
      <c r="F57" s="15">
        <f t="shared" si="7"/>
        <v>1.7452243083181919E+39</v>
      </c>
      <c r="G57" s="15">
        <f t="shared" si="8"/>
        <v>2.2238461116592386E+39</v>
      </c>
      <c r="H57" s="15">
        <f t="shared" si="9"/>
        <v>1.6718321669463142E+40</v>
      </c>
      <c r="I57" s="45">
        <v>195.05</v>
      </c>
      <c r="J57" s="45">
        <v>1</v>
      </c>
      <c r="K57" s="19">
        <f t="shared" si="10"/>
        <v>205.05366898390363</v>
      </c>
      <c r="L57" s="16">
        <f t="shared" si="11"/>
        <v>100.07339313951535</v>
      </c>
      <c r="M57" s="45"/>
    </row>
    <row r="58" spans="1:29" x14ac:dyDescent="0.25">
      <c r="A58" s="45">
        <v>1.04</v>
      </c>
      <c r="B58" s="45">
        <f t="shared" si="12"/>
        <v>1040</v>
      </c>
      <c r="C58" s="16">
        <f t="shared" si="13"/>
        <v>1.2380952380952381</v>
      </c>
      <c r="D58" s="15">
        <f t="shared" si="14"/>
        <v>3.2091046832E+19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1.437076102297143E+40</v>
      </c>
      <c r="F58" s="15">
        <f t="shared" si="7"/>
        <v>2.4704062679790607E+39</v>
      </c>
      <c r="G58" s="15">
        <f t="shared" si="8"/>
        <v>3.1699091069629501E+39</v>
      </c>
      <c r="H58" s="15">
        <f t="shared" si="9"/>
        <v>2.001107639791344E+40</v>
      </c>
      <c r="I58" s="45">
        <v>198.5</v>
      </c>
      <c r="J58" s="45">
        <v>1</v>
      </c>
      <c r="K58" s="19">
        <f t="shared" si="10"/>
        <v>204.00414278905868</v>
      </c>
      <c r="L58" s="16">
        <f t="shared" si="11"/>
        <v>30.29558784234662</v>
      </c>
      <c r="M58" s="45"/>
    </row>
    <row r="59" spans="1:29" x14ac:dyDescent="0.25">
      <c r="A59" s="45">
        <v>1.23</v>
      </c>
      <c r="B59" s="45">
        <f t="shared" si="12"/>
        <v>1230</v>
      </c>
      <c r="C59" s="16">
        <f t="shared" si="13"/>
        <v>1.4642857142857142</v>
      </c>
      <c r="D59" s="15">
        <f t="shared" si="14"/>
        <v>3.7953834233999999E+19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1.5837039159200004E+40</v>
      </c>
      <c r="F59" s="15">
        <f t="shared" si="7"/>
        <v>3.3391880993946967E+39</v>
      </c>
      <c r="G59" s="15">
        <f t="shared" si="8"/>
        <v>4.3176892757803103E+39</v>
      </c>
      <c r="H59" s="15">
        <f t="shared" si="9"/>
        <v>2.3493916534375013E+40</v>
      </c>
      <c r="I59" s="45">
        <v>202.92</v>
      </c>
      <c r="J59" s="45">
        <v>1</v>
      </c>
      <c r="K59" s="19">
        <f t="shared" si="10"/>
        <v>203.25703525259618</v>
      </c>
      <c r="L59" s="16">
        <f t="shared" si="11"/>
        <v>0.11359276149258085</v>
      </c>
      <c r="M59" s="45"/>
    </row>
    <row r="60" spans="1:29" x14ac:dyDescent="0.25">
      <c r="A60" s="45">
        <v>1.45</v>
      </c>
      <c r="B60" s="45">
        <f t="shared" si="12"/>
        <v>1450</v>
      </c>
      <c r="C60" s="16">
        <f t="shared" si="13"/>
        <v>1.7261904761904763</v>
      </c>
      <c r="D60" s="15">
        <f t="shared" si="14"/>
        <v>4.4742324909999997E+19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1.728465120215238E+40</v>
      </c>
      <c r="F60" s="15">
        <f t="shared" si="7"/>
        <v>4.4610305613349828E+39</v>
      </c>
      <c r="G60" s="15">
        <f t="shared" si="8"/>
        <v>5.8219920623325952E+39</v>
      </c>
      <c r="H60" s="15">
        <f t="shared" si="9"/>
        <v>2.7567673825819957E+40</v>
      </c>
      <c r="I60" s="45">
        <v>205.62</v>
      </c>
      <c r="J60" s="45">
        <v>1</v>
      </c>
      <c r="K60" s="19">
        <f t="shared" si="10"/>
        <v>202.78531011442408</v>
      </c>
      <c r="L60" s="16">
        <f t="shared" si="11"/>
        <v>8.0354667473864581</v>
      </c>
      <c r="M60" s="45"/>
    </row>
    <row r="61" spans="1:29" x14ac:dyDescent="0.25">
      <c r="A61" s="45">
        <v>1.68</v>
      </c>
      <c r="B61" s="45">
        <f t="shared" si="12"/>
        <v>1680</v>
      </c>
      <c r="C61" s="16">
        <f t="shared" si="13"/>
        <v>2</v>
      </c>
      <c r="D61" s="15">
        <f t="shared" si="14"/>
        <v>5.1839383344E+19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1.8571733403200001E+40</v>
      </c>
      <c r="F61" s="15">
        <f t="shared" si="7"/>
        <v>5.7478949055216312E+39</v>
      </c>
      <c r="G61" s="15">
        <f t="shared" si="8"/>
        <v>7.577640846901773E+39</v>
      </c>
      <c r="H61" s="15">
        <f t="shared" si="9"/>
        <v>3.1897269155623405E+40</v>
      </c>
      <c r="I61" s="45">
        <v>205.27</v>
      </c>
      <c r="J61" s="45">
        <v>1</v>
      </c>
      <c r="K61" s="19">
        <f t="shared" si="10"/>
        <v>202.64810280120867</v>
      </c>
      <c r="L61" s="16">
        <f t="shared" si="11"/>
        <v>6.874344921029901</v>
      </c>
      <c r="M61" s="45"/>
    </row>
    <row r="62" spans="1:29" x14ac:dyDescent="0.25">
      <c r="A62" s="45">
        <v>1.94</v>
      </c>
      <c r="B62" s="45">
        <f t="shared" si="12"/>
        <v>1940</v>
      </c>
      <c r="C62" s="16">
        <f t="shared" si="13"/>
        <v>2.3095238095238093</v>
      </c>
      <c r="D62" s="15">
        <f t="shared" si="14"/>
        <v>5.9862145052000002E+19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1.9801867102933333E+40</v>
      </c>
      <c r="F62" s="15">
        <f t="shared" si="7"/>
        <v>7.3196005554030978E+39</v>
      </c>
      <c r="G62" s="15">
        <f t="shared" si="8"/>
        <v>9.7651548133296034E+39</v>
      </c>
      <c r="H62" s="15">
        <f t="shared" si="9"/>
        <v>3.6886622471666032E+40</v>
      </c>
      <c r="I62" s="45">
        <v>202.78</v>
      </c>
      <c r="J62" s="45">
        <v>1</v>
      </c>
      <c r="K62" s="19">
        <f t="shared" si="10"/>
        <v>202.79349124075338</v>
      </c>
      <c r="L62" s="16">
        <f t="shared" si="11"/>
        <v>1.8201357706571037E-4</v>
      </c>
      <c r="M62" s="45"/>
    </row>
    <row r="63" spans="1:29" x14ac:dyDescent="0.25">
      <c r="A63" s="45">
        <v>2.23</v>
      </c>
      <c r="B63" s="45">
        <f t="shared" si="12"/>
        <v>2230</v>
      </c>
      <c r="C63" s="16">
        <f t="shared" si="13"/>
        <v>2.6547619047619047</v>
      </c>
      <c r="D63" s="15">
        <f t="shared" si="14"/>
        <v>6.8810610034000003E+19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2.0956127056761901E+40</v>
      </c>
      <c r="F63" s="15">
        <f t="shared" si="7"/>
        <v>9.190459569582485E+39</v>
      </c>
      <c r="G63" s="15">
        <f t="shared" si="8"/>
        <v>1.2431629077163759E+40</v>
      </c>
      <c r="H63" s="15">
        <f t="shared" si="9"/>
        <v>4.2578215703508143E+40</v>
      </c>
      <c r="I63" s="45">
        <v>200.03</v>
      </c>
      <c r="J63" s="45">
        <v>1</v>
      </c>
      <c r="K63" s="19">
        <f t="shared" si="10"/>
        <v>203.21779225962615</v>
      </c>
      <c r="L63" s="16">
        <f t="shared" si="11"/>
        <v>10.162019490532394</v>
      </c>
      <c r="M63" s="45"/>
    </row>
    <row r="64" spans="1:29" x14ac:dyDescent="0.25">
      <c r="A64" s="45">
        <v>2.54</v>
      </c>
      <c r="B64" s="45">
        <f t="shared" si="12"/>
        <v>2540</v>
      </c>
      <c r="C64" s="16">
        <f t="shared" si="13"/>
        <v>3.0238095238095237</v>
      </c>
      <c r="D64" s="15">
        <f t="shared" si="14"/>
        <v>7.8376210532000006E+19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2.1993725727276191E+40</v>
      </c>
      <c r="F64" s="15">
        <f t="shared" si="7"/>
        <v>1.1295270344743069E+40</v>
      </c>
      <c r="G64" s="15">
        <f t="shared" si="8"/>
        <v>1.5514978390277411E+40</v>
      </c>
      <c r="H64" s="15">
        <f t="shared" si="9"/>
        <v>4.8803974462296671E+40</v>
      </c>
      <c r="I64" s="45">
        <v>198.75</v>
      </c>
      <c r="J64" s="45">
        <v>1</v>
      </c>
      <c r="K64" s="19">
        <f t="shared" si="10"/>
        <v>203.85960051547588</v>
      </c>
      <c r="L64" s="16">
        <f t="shared" si="11"/>
        <v>26.108017427751335</v>
      </c>
      <c r="M64" s="45"/>
    </row>
    <row r="65" spans="1:13" x14ac:dyDescent="0.25">
      <c r="A65" s="45">
        <v>2.89</v>
      </c>
      <c r="B65" s="45">
        <f t="shared" si="12"/>
        <v>2890</v>
      </c>
      <c r="C65" s="16">
        <f t="shared" si="13"/>
        <v>3.4404761904761907</v>
      </c>
      <c r="D65" s="15">
        <f t="shared" si="14"/>
        <v>8.9176082061999997E+19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2.2971841972514283E+40</v>
      </c>
      <c r="F65" s="15">
        <f t="shared" si="7"/>
        <v>1.3763461792668306E+40</v>
      </c>
      <c r="G65" s="15">
        <f t="shared" si="8"/>
        <v>1.9248023560114231E+40</v>
      </c>
      <c r="H65" s="15">
        <f t="shared" si="9"/>
        <v>5.5983327325296825E+40</v>
      </c>
      <c r="I65" s="45">
        <v>199.94</v>
      </c>
      <c r="J65" s="45">
        <v>1</v>
      </c>
      <c r="K65" s="19">
        <f t="shared" si="10"/>
        <v>204.691997253685</v>
      </c>
      <c r="L65" s="16">
        <f t="shared" si="11"/>
        <v>22.581477899029828</v>
      </c>
      <c r="M65" s="45"/>
    </row>
    <row r="66" spans="1:13" x14ac:dyDescent="0.25">
      <c r="A66" s="45">
        <v>3.27</v>
      </c>
      <c r="B66" s="45">
        <f t="shared" si="12"/>
        <v>3270</v>
      </c>
      <c r="C66" s="16">
        <f t="shared" si="13"/>
        <v>3.8928571428571428</v>
      </c>
      <c r="D66" s="15">
        <f t="shared" si="14"/>
        <v>1.0090165686599999E+20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2.3855267206971429E+40</v>
      </c>
      <c r="F66" s="15">
        <f t="shared" si="7"/>
        <v>1.6510441716658036E+40</v>
      </c>
      <c r="G66" s="15">
        <f t="shared" si="8"/>
        <v>2.3560735426715182E+40</v>
      </c>
      <c r="H66" s="15">
        <f t="shared" si="9"/>
        <v>6.3926444350344647E+40</v>
      </c>
      <c r="I66" s="45">
        <v>202.69</v>
      </c>
      <c r="J66" s="45">
        <v>1</v>
      </c>
      <c r="K66" s="19">
        <f t="shared" si="10"/>
        <v>205.63016775901542</v>
      </c>
      <c r="L66" s="16">
        <f t="shared" si="11"/>
        <v>8.6445864511537778</v>
      </c>
      <c r="M66" s="45"/>
    </row>
    <row r="67" spans="1:13" x14ac:dyDescent="0.25">
      <c r="A67" s="45">
        <v>3.69</v>
      </c>
      <c r="B67" s="45">
        <f t="shared" si="12"/>
        <v>3690</v>
      </c>
      <c r="C67" s="16">
        <f t="shared" si="13"/>
        <v>4.3928571428571432</v>
      </c>
      <c r="D67" s="15">
        <f t="shared" si="14"/>
        <v>1.13861502702E+20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2.4662393975314288E+40</v>
      </c>
      <c r="F67" s="15">
        <f t="shared" si="7"/>
        <v>1.9580178603188477E+40</v>
      </c>
      <c r="G67" s="15">
        <f t="shared" si="8"/>
        <v>2.859286084897458E+40</v>
      </c>
      <c r="H67" s="15">
        <f t="shared" si="9"/>
        <v>7.2835433427477352E+40</v>
      </c>
      <c r="I67" s="45">
        <v>203.5</v>
      </c>
      <c r="J67" s="45">
        <v>1</v>
      </c>
      <c r="K67" s="19">
        <f t="shared" si="10"/>
        <v>206.62297149194086</v>
      </c>
      <c r="L67" s="16">
        <f t="shared" si="11"/>
        <v>9.7529509394753173</v>
      </c>
      <c r="M67" s="45"/>
    </row>
    <row r="68" spans="1:13" x14ac:dyDescent="0.25">
      <c r="A68" s="45">
        <v>4.1500000000000004</v>
      </c>
      <c r="B68" s="45">
        <f t="shared" si="12"/>
        <v>4150</v>
      </c>
      <c r="C68" s="16">
        <f t="shared" si="13"/>
        <v>4.9404761904761907</v>
      </c>
      <c r="D68" s="15">
        <f t="shared" si="14"/>
        <v>1.2805561957E+20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2.5390083667180953E+40</v>
      </c>
      <c r="F68" s="15">
        <f t="shared" si="7"/>
        <v>2.2931778239705531E+40</v>
      </c>
      <c r="G68" s="15">
        <f t="shared" si="8"/>
        <v>3.436909016759365E+40</v>
      </c>
      <c r="H68" s="15">
        <f t="shared" si="9"/>
        <v>8.2690952074480139E+40</v>
      </c>
      <c r="I68" s="45">
        <v>201.86</v>
      </c>
      <c r="J68" s="45">
        <v>1</v>
      </c>
      <c r="K68" s="19">
        <f t="shared" si="10"/>
        <v>207.59905837858366</v>
      </c>
      <c r="L68" s="16">
        <f t="shared" si="11"/>
        <v>32.936791072791188</v>
      </c>
      <c r="M68" s="45"/>
    </row>
    <row r="69" spans="1:13" x14ac:dyDescent="0.25">
      <c r="A69" s="45">
        <v>4.6500000000000004</v>
      </c>
      <c r="B69" s="45">
        <f t="shared" si="12"/>
        <v>4650</v>
      </c>
      <c r="C69" s="16">
        <f t="shared" si="13"/>
        <v>5.5357142857142856</v>
      </c>
      <c r="D69" s="15">
        <f t="shared" si="14"/>
        <v>1.4348400747000001E+20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2.5998945282799998E+40</v>
      </c>
      <c r="F69" s="15">
        <f t="shared" si="7"/>
        <v>2.6510682240902323E+40</v>
      </c>
      <c r="G69" s="15">
        <f t="shared" si="8"/>
        <v>4.0901853638566276E+40</v>
      </c>
      <c r="H69" s="15">
        <f t="shared" si="9"/>
        <v>9.3411481162268597E+40</v>
      </c>
      <c r="I69" s="45">
        <v>202.27</v>
      </c>
      <c r="J69" s="45">
        <v>1</v>
      </c>
      <c r="K69" s="19">
        <f t="shared" si="10"/>
        <v>208.44624896945035</v>
      </c>
      <c r="L69" s="16">
        <f t="shared" si="11"/>
        <v>38.146051332636404</v>
      </c>
      <c r="M69" s="45"/>
    </row>
    <row r="70" spans="1:13" x14ac:dyDescent="0.25">
      <c r="A70" s="45">
        <v>5.21</v>
      </c>
      <c r="B70" s="45">
        <f t="shared" si="12"/>
        <v>5210</v>
      </c>
      <c r="C70" s="16">
        <f t="shared" si="13"/>
        <v>6.2023809523809526</v>
      </c>
      <c r="D70" s="15">
        <f t="shared" si="14"/>
        <v>1.6076380191800001E+20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2.6613393048971425E+40</v>
      </c>
      <c r="F70" s="15">
        <f t="shared" si="7"/>
        <v>3.0387228590196166E+40</v>
      </c>
      <c r="G70" s="15">
        <f t="shared" si="8"/>
        <v>4.8465621986284661E+40</v>
      </c>
      <c r="H70" s="15">
        <f t="shared" si="9"/>
        <v>1.0546624362545226E+41</v>
      </c>
      <c r="I70" s="45">
        <v>205.65</v>
      </c>
      <c r="J70" s="45">
        <v>1</v>
      </c>
      <c r="K70" s="19">
        <f t="shared" si="10"/>
        <v>209.24655132021573</v>
      </c>
      <c r="L70" s="16">
        <f t="shared" si="11"/>
        <v>12.935181398945467</v>
      </c>
      <c r="M70" s="45"/>
    </row>
    <row r="71" spans="1:13" x14ac:dyDescent="0.25">
      <c r="A71" s="45">
        <v>5.82</v>
      </c>
      <c r="B71" s="45">
        <f t="shared" si="12"/>
        <v>5820</v>
      </c>
      <c r="C71" s="16">
        <f t="shared" si="13"/>
        <v>6.9285714285714288</v>
      </c>
      <c r="D71" s="15">
        <f t="shared" si="14"/>
        <v>1.7958643515600001E+20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2.714692081725714E+40</v>
      </c>
      <c r="F71" s="15">
        <f t="shared" si="7"/>
        <v>3.4402874229778063E+40</v>
      </c>
      <c r="G71" s="15">
        <f t="shared" si="8"/>
        <v>5.692923362212148E+40</v>
      </c>
      <c r="H71" s="15">
        <f t="shared" si="9"/>
        <v>1.1847902866915668E+41</v>
      </c>
      <c r="I71" s="45">
        <v>209.93</v>
      </c>
      <c r="J71" s="45">
        <v>1</v>
      </c>
      <c r="K71" s="19">
        <f t="shared" si="10"/>
        <v>209.83584674693805</v>
      </c>
      <c r="L71" s="16">
        <f t="shared" si="11"/>
        <v>8.8648350621496862E-3</v>
      </c>
      <c r="M71" s="45"/>
    </row>
    <row r="72" spans="1:13" x14ac:dyDescent="0.25">
      <c r="A72" s="45">
        <v>6.49</v>
      </c>
      <c r="B72" s="45">
        <f t="shared" si="12"/>
        <v>6490</v>
      </c>
      <c r="C72" s="16">
        <f t="shared" si="13"/>
        <v>7.7261904761904763</v>
      </c>
      <c r="D72" s="15">
        <f t="shared" si="14"/>
        <v>2.0026047494200001E+20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2.7601411034009525E+40</v>
      </c>
      <c r="F72" s="15">
        <f t="shared" si="7"/>
        <v>3.8524108071023616E+40</v>
      </c>
      <c r="G72" s="15">
        <f t="shared" si="8"/>
        <v>6.6417946010843839E+40</v>
      </c>
      <c r="H72" s="15">
        <f t="shared" si="9"/>
        <v>1.3254346511587697E+41</v>
      </c>
      <c r="I72" s="45">
        <v>213.76</v>
      </c>
      <c r="J72" s="45">
        <v>1</v>
      </c>
      <c r="K72" s="19">
        <f t="shared" si="10"/>
        <v>210.17315481297874</v>
      </c>
      <c r="L72" s="16">
        <f t="shared" si="11"/>
        <v>12.865458395657534</v>
      </c>
      <c r="M72" s="45"/>
    </row>
    <row r="73" spans="1:13" x14ac:dyDescent="0.25">
      <c r="A73" s="45">
        <v>7.23</v>
      </c>
      <c r="B73" s="45">
        <f t="shared" si="12"/>
        <v>7230</v>
      </c>
      <c r="C73" s="16">
        <f t="shared" si="13"/>
        <v>8.6071428571428577</v>
      </c>
      <c r="D73" s="15">
        <f t="shared" si="14"/>
        <v>2.2309448903400001E+20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2.8011633167228571E+40</v>
      </c>
      <c r="F73" s="15">
        <f t="shared" si="7"/>
        <v>4.2695676271125336E+40</v>
      </c>
      <c r="G73" s="15">
        <f t="shared" si="8"/>
        <v>7.7051013922213526E+40</v>
      </c>
      <c r="H73" s="15">
        <f t="shared" si="9"/>
        <v>1.4775832336056744E+41</v>
      </c>
      <c r="I73" s="45">
        <v>216.61</v>
      </c>
      <c r="J73" s="45">
        <v>1</v>
      </c>
      <c r="K73" s="19">
        <f t="shared" si="10"/>
        <v>210.24576673925532</v>
      </c>
      <c r="L73" s="16">
        <f t="shared" si="11"/>
        <v>40.503464997169083</v>
      </c>
      <c r="M73" s="45"/>
    </row>
    <row r="74" spans="1:13" x14ac:dyDescent="0.25">
      <c r="A74" s="45">
        <v>8.0500000000000007</v>
      </c>
      <c r="B74" s="45">
        <f t="shared" si="12"/>
        <v>8050.0000000000009</v>
      </c>
      <c r="C74" s="16">
        <f t="shared" si="13"/>
        <v>9.5833333333333339</v>
      </c>
      <c r="D74" s="15">
        <f t="shared" si="14"/>
        <v>2.4839704519000002E+20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2.8374052680933334E+40</v>
      </c>
      <c r="F74" s="15">
        <f t="shared" si="7"/>
        <v>4.684183051514379E+40</v>
      </c>
      <c r="G74" s="15">
        <f t="shared" si="8"/>
        <v>8.8935900584032163E+40</v>
      </c>
      <c r="H74" s="15">
        <f t="shared" si="9"/>
        <v>1.6415178378010928E+41</v>
      </c>
      <c r="I74" s="45">
        <v>219.9</v>
      </c>
      <c r="J74" s="45">
        <v>1</v>
      </c>
      <c r="K74" s="19">
        <f t="shared" si="10"/>
        <v>210.01257240982412</v>
      </c>
      <c r="L74" s="16">
        <f t="shared" si="11"/>
        <v>97.761224350971389</v>
      </c>
      <c r="M74" s="45"/>
    </row>
    <row r="75" spans="1:13" x14ac:dyDescent="0.25">
      <c r="A75" s="45">
        <v>8.94</v>
      </c>
      <c r="B75" s="45">
        <f t="shared" si="12"/>
        <v>8940</v>
      </c>
      <c r="C75" s="16">
        <f t="shared" si="13"/>
        <v>10.642857142857142</v>
      </c>
      <c r="D75" s="15">
        <f t="shared" si="14"/>
        <v>2.7585957565199997E+20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2.868442237302857E+40</v>
      </c>
      <c r="F75" s="15">
        <f t="shared" si="7"/>
        <v>5.0788776155044274E+40</v>
      </c>
      <c r="G75" s="15">
        <f t="shared" si="8"/>
        <v>1.0187252681481107E+41</v>
      </c>
      <c r="H75" s="15">
        <f t="shared" si="9"/>
        <v>1.8134572534288393E+41</v>
      </c>
      <c r="I75" s="45">
        <v>223.8</v>
      </c>
      <c r="J75" s="45">
        <v>1</v>
      </c>
      <c r="K75" s="19">
        <f t="shared" si="10"/>
        <v>209.46204225812232</v>
      </c>
      <c r="L75" s="16">
        <f t="shared" si="11"/>
        <v>205.57703220787033</v>
      </c>
      <c r="M75" s="45"/>
    </row>
    <row r="76" spans="1:13" x14ac:dyDescent="0.25">
      <c r="A76" s="45">
        <v>9.93</v>
      </c>
      <c r="B76" s="45">
        <f t="shared" si="12"/>
        <v>9930</v>
      </c>
      <c r="C76" s="16">
        <f t="shared" si="13"/>
        <v>11.821428571428571</v>
      </c>
      <c r="D76" s="15">
        <f t="shared" si="14"/>
        <v>3.06407783694E+20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2.895602374837143E+40</v>
      </c>
      <c r="F76" s="15">
        <f t="shared" si="7"/>
        <v>5.4545775592911992E+40</v>
      </c>
      <c r="G76" s="15">
        <f t="shared" si="8"/>
        <v>1.1622395959270936E+41</v>
      </c>
      <c r="H76" s="15">
        <f t="shared" si="9"/>
        <v>1.9972575893399279E+41</v>
      </c>
      <c r="I76" s="45">
        <v>227.17</v>
      </c>
      <c r="J76" s="45">
        <v>1</v>
      </c>
      <c r="K76" s="19">
        <f t="shared" si="10"/>
        <v>208.57528579827962</v>
      </c>
      <c r="L76" s="16">
        <f t="shared" si="11"/>
        <v>345.76339624366102</v>
      </c>
      <c r="M76" s="45"/>
    </row>
    <row r="77" spans="1:13" x14ac:dyDescent="0.25">
      <c r="A77" s="45">
        <v>11.01</v>
      </c>
      <c r="B77" s="45">
        <f t="shared" si="12"/>
        <v>11010</v>
      </c>
      <c r="C77" s="16">
        <f t="shared" si="13"/>
        <v>13.107142857142858</v>
      </c>
      <c r="D77" s="15">
        <f t="shared" si="14"/>
        <v>3.3973310155799999E+20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2.9185286277742855E+40</v>
      </c>
      <c r="F77" s="15">
        <f t="shared" si="7"/>
        <v>5.7958954846482342E+40</v>
      </c>
      <c r="G77" s="15">
        <f t="shared" si="8"/>
        <v>1.3175397766901181E+41</v>
      </c>
      <c r="H77" s="15">
        <f t="shared" si="9"/>
        <v>2.1889821879323703E+41</v>
      </c>
      <c r="I77" s="45">
        <v>227.24</v>
      </c>
      <c r="J77" s="45">
        <v>1</v>
      </c>
      <c r="K77" s="19">
        <f t="shared" si="10"/>
        <v>207.37093502536564</v>
      </c>
      <c r="L77" s="16">
        <f t="shared" si="11"/>
        <v>394.77974296624228</v>
      </c>
      <c r="M77" s="45"/>
    </row>
    <row r="78" spans="1:13" x14ac:dyDescent="0.25">
      <c r="A78" s="45">
        <v>12.2</v>
      </c>
      <c r="B78" s="45">
        <f t="shared" si="12"/>
        <v>12200</v>
      </c>
      <c r="C78" s="16">
        <f t="shared" si="13"/>
        <v>14.523809523809524</v>
      </c>
      <c r="D78" s="15">
        <f t="shared" si="14"/>
        <v>3.7645266475999999E+20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2.9377623344152386E+40</v>
      </c>
      <c r="F78" s="15">
        <f t="shared" si="7"/>
        <v>6.1001933653656992E+40</v>
      </c>
      <c r="G78" s="15">
        <f t="shared" si="8"/>
        <v>1.4864027208316606E+41</v>
      </c>
      <c r="H78" s="15">
        <f t="shared" si="9"/>
        <v>2.3901982908097541E+41</v>
      </c>
      <c r="I78" s="45">
        <v>218.13</v>
      </c>
      <c r="J78" s="45">
        <v>1</v>
      </c>
      <c r="K78" s="19">
        <f t="shared" si="10"/>
        <v>205.85313337427607</v>
      </c>
      <c r="L78" s="16">
        <f t="shared" si="11"/>
        <v>150.72145414581396</v>
      </c>
      <c r="M78" s="45"/>
    </row>
    <row r="79" spans="1:13" x14ac:dyDescent="0.25">
      <c r="A79" s="45">
        <v>13.51</v>
      </c>
      <c r="B79" s="45">
        <f t="shared" si="12"/>
        <v>13510</v>
      </c>
      <c r="C79" s="16">
        <f t="shared" si="13"/>
        <v>16.083333333333332</v>
      </c>
      <c r="D79" s="15">
        <f t="shared" si="14"/>
        <v>4.1687504105800001E+20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2.9516023103546666E+40</v>
      </c>
      <c r="F79" s="15">
        <f t="shared" si="7"/>
        <v>6.3625889967840496E+40</v>
      </c>
      <c r="G79" s="15">
        <f t="shared" si="8"/>
        <v>1.6689223864566956E+41</v>
      </c>
      <c r="H79" s="15">
        <f t="shared" si="9"/>
        <v>2.6003415171705669E+41</v>
      </c>
      <c r="I79" s="45">
        <v>204.81</v>
      </c>
      <c r="J79" s="45">
        <v>1</v>
      </c>
      <c r="K79" s="19">
        <f t="shared" si="10"/>
        <v>204.03654082964928</v>
      </c>
      <c r="L79" s="16">
        <f t="shared" si="11"/>
        <v>0.5982390881996229</v>
      </c>
      <c r="M79" s="45"/>
    </row>
    <row r="80" spans="1:13" x14ac:dyDescent="0.25">
      <c r="A80" s="45"/>
      <c r="H80" s="15"/>
      <c r="K80" s="45"/>
      <c r="L80" s="16">
        <f>SUM(L51:L79)/(COUNT(L51:L79)-6)</f>
        <v>170.07001985453971</v>
      </c>
      <c r="M80" s="45"/>
    </row>
    <row r="81" spans="1:29" x14ac:dyDescent="0.25">
      <c r="A81" s="45"/>
      <c r="H81" s="15"/>
      <c r="K81" s="45"/>
      <c r="L81" s="17"/>
      <c r="M81" s="45"/>
    </row>
    <row r="82" spans="1:29" x14ac:dyDescent="0.25">
      <c r="A82" s="45"/>
      <c r="I82" s="45"/>
      <c r="J82" s="45"/>
      <c r="L82" s="16"/>
    </row>
    <row r="83" spans="1:29" x14ac:dyDescent="0.25">
      <c r="A83" s="45"/>
      <c r="I83" s="45"/>
      <c r="J83" s="45"/>
      <c r="L83" s="16"/>
    </row>
    <row r="84" spans="1:29" x14ac:dyDescent="0.25">
      <c r="A84" s="45"/>
      <c r="I84" s="45"/>
      <c r="J84" s="45"/>
      <c r="L84" s="16"/>
    </row>
    <row r="85" spans="1:29" x14ac:dyDescent="0.25">
      <c r="A85" s="45"/>
      <c r="I85" s="45"/>
      <c r="J85" s="45"/>
      <c r="L85" s="16"/>
    </row>
    <row r="86" spans="1:29" x14ac:dyDescent="0.25">
      <c r="A86" s="45"/>
      <c r="I86" s="45"/>
      <c r="J86" s="45"/>
      <c r="L86" s="16"/>
    </row>
    <row r="87" spans="1:29" x14ac:dyDescent="0.25">
      <c r="A87" s="45"/>
      <c r="I87" s="45"/>
      <c r="J87" s="45"/>
      <c r="L87" s="16"/>
    </row>
    <row r="88" spans="1:29" x14ac:dyDescent="0.25">
      <c r="A88" s="45"/>
      <c r="I88" s="45"/>
      <c r="J88" s="45"/>
      <c r="L88" s="16"/>
    </row>
    <row r="89" spans="1:29" s="17" customFormat="1" x14ac:dyDescent="0.25">
      <c r="A89" s="45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spans="1:29" s="17" customFormat="1" x14ac:dyDescent="0.25">
      <c r="A90" s="45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spans="1:29" s="17" customFormat="1" x14ac:dyDescent="0.25">
      <c r="A91" s="45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spans="1:29" s="17" customFormat="1" x14ac:dyDescent="0.25">
      <c r="A92" s="45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spans="1:29" s="17" customFormat="1" x14ac:dyDescent="0.25">
      <c r="A93" s="45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spans="1:29" s="17" customFormat="1" x14ac:dyDescent="0.25">
      <c r="A94" s="45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spans="1:29" s="17" customFormat="1" x14ac:dyDescent="0.25">
      <c r="A95" s="45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spans="1:29" s="17" customFormat="1" x14ac:dyDescent="0.25">
      <c r="A96" s="45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spans="1:29" s="17" customFormat="1" x14ac:dyDescent="0.25">
      <c r="A97" s="45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spans="1:29" s="17" customFormat="1" x14ac:dyDescent="0.25">
      <c r="A98" s="45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spans="1:29" s="17" customFormat="1" x14ac:dyDescent="0.25">
      <c r="A99" s="45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45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x14ac:dyDescent="0.25">
      <c r="A537" s="45"/>
      <c r="L537" s="16"/>
    </row>
    <row r="538" spans="1:29" x14ac:dyDescent="0.25">
      <c r="L538" s="16"/>
      <c r="N538" s="17"/>
      <c r="O538" s="38"/>
    </row>
    <row r="539" spans="1:29" x14ac:dyDescent="0.25">
      <c r="L539" s="16"/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C555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1537.45803409067</v>
      </c>
      <c r="E2" s="55"/>
      <c r="F2" s="53" t="s">
        <v>620</v>
      </c>
      <c r="G2" s="53">
        <v>157035692334</v>
      </c>
      <c r="H2" s="62"/>
      <c r="K2" s="51" t="s">
        <v>1</v>
      </c>
      <c r="L2" s="60" t="s">
        <v>600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3.25774784908867E+40</v>
      </c>
      <c r="E3" s="53"/>
      <c r="F3" s="53" t="s">
        <v>621</v>
      </c>
      <c r="G3" s="53">
        <f>H44/SolarMass</f>
        <v>114646885783.21107</v>
      </c>
      <c r="H3" s="62"/>
      <c r="K3" s="51" t="s">
        <v>562</v>
      </c>
      <c r="L3" s="57">
        <v>5.999E-3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4062.8038549038602</v>
      </c>
      <c r="E4" s="55"/>
      <c r="F4" s="53" t="s">
        <v>622</v>
      </c>
      <c r="G4" s="52">
        <f>G3/G2</f>
        <v>0.73006896762914275</v>
      </c>
      <c r="H4" s="62"/>
      <c r="K4" s="61" t="s">
        <v>614</v>
      </c>
      <c r="L4" s="52">
        <f>QEHModelChiSquare</f>
        <v>68.78449955782159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954.89450332997603</v>
      </c>
      <c r="F5" s="53"/>
      <c r="G5" s="52"/>
      <c r="H5" s="62"/>
      <c r="K5" s="61" t="s">
        <v>615</v>
      </c>
      <c r="L5" s="52">
        <f>LCDMModelChiSquare</f>
        <v>252.56992867344516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4" si="0">RadiusKpc*1000</f>
        <v>90</v>
      </c>
      <c r="C8" s="16">
        <f t="shared" ref="C8:C44" si="1">IF(QESBulgeEffectiveRadius=0,0,RadiusPc/QESBulgeEffectiveRadius)</f>
        <v>5.8538183159731264E-2</v>
      </c>
      <c r="D8" s="15">
        <f t="shared" ref="D8:D44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7.1250750333741563E+38</v>
      </c>
      <c r="F8" s="15">
        <f t="shared" ref="F8:F44" si="3">2*PI()*QESDiskSurfaceDensity*QESDiskScaleLength*(QESDiskScaleLength-EXP(-RadiusPc/QESDiskScaleLength)*(RadiusPc+QESDiskScaleLength))*SolarMass</f>
        <v>4.7625452211110338E+37</v>
      </c>
      <c r="H8" s="18">
        <f t="shared" ref="H8:H44" si="4">BulgeMass+DiskMass+HaloMass</f>
        <v>7.6013295554852604E+38</v>
      </c>
      <c r="I8" s="16">
        <v>117.07</v>
      </c>
      <c r="J8" s="45">
        <v>1</v>
      </c>
      <c r="K8" s="19">
        <f t="shared" ref="K8:K44" si="5">SQRT(TotalMass*GravitationalConstant/RadiusKm+UniverseAcceleration*RadiusKm)/km</f>
        <v>135.53280290351037</v>
      </c>
      <c r="L8" s="16">
        <f t="shared" ref="L8:L44" si="6">(ObservedVelocity-ModelVelocity)^2/(VelocityError)^2</f>
        <v>340.8750910538713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0.12358060889276601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1.8641566442440769E+39</v>
      </c>
      <c r="F9" s="15">
        <f t="shared" si="3"/>
        <v>2.0881200207302878E+38</v>
      </c>
      <c r="H9" s="18">
        <f t="shared" si="4"/>
        <v>2.0729686463171056E+39</v>
      </c>
      <c r="I9" s="16">
        <v>159.74</v>
      </c>
      <c r="J9" s="45">
        <v>1</v>
      </c>
      <c r="K9" s="19">
        <f t="shared" si="5"/>
        <v>154.31154882438204</v>
      </c>
      <c r="L9" s="16">
        <f t="shared" si="6"/>
        <v>29.468082166068072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0.19512727719910422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3.1610193548646663E+39</v>
      </c>
      <c r="F10" s="15">
        <f t="shared" si="3"/>
        <v>5.1131829513802092E+38</v>
      </c>
      <c r="H10" s="18">
        <f t="shared" si="4"/>
        <v>3.6723376500026873E+39</v>
      </c>
      <c r="I10" s="16">
        <v>173.22</v>
      </c>
      <c r="J10" s="45">
        <v>1</v>
      </c>
      <c r="K10" s="19">
        <f t="shared" si="5"/>
        <v>163.75032337316279</v>
      </c>
      <c r="L10" s="16">
        <f t="shared" si="6"/>
        <v>89.674775416867021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0.27317818807874589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4.5058809434742846E+39</v>
      </c>
      <c r="F11" s="15">
        <f t="shared" si="3"/>
        <v>9.8278677091567348E+38</v>
      </c>
      <c r="H11" s="18">
        <f t="shared" si="4"/>
        <v>5.4886677143899582E+39</v>
      </c>
      <c r="I11" s="16">
        <v>178.96</v>
      </c>
      <c r="J11" s="45">
        <v>1</v>
      </c>
      <c r="K11" s="19">
        <f t="shared" si="5"/>
        <v>169.52349560360935</v>
      </c>
      <c r="L11" s="16">
        <f t="shared" si="6"/>
        <v>89.047615223100252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0.36423758410499457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5.9782563276901355E+39</v>
      </c>
      <c r="F12" s="15">
        <f t="shared" si="3"/>
        <v>1.7078941866239178E+39</v>
      </c>
      <c r="H12" s="18">
        <f t="shared" si="4"/>
        <v>7.6861505143140529E+39</v>
      </c>
      <c r="I12" s="16">
        <v>181.13</v>
      </c>
      <c r="J12" s="45">
        <v>1</v>
      </c>
      <c r="K12" s="19">
        <f t="shared" si="5"/>
        <v>174.11724184193855</v>
      </c>
      <c r="L12" s="16">
        <f t="shared" si="6"/>
        <v>49.178776983457347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0.4552969801312432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7.335630749482806E+39</v>
      </c>
      <c r="F13" s="15">
        <f t="shared" si="3"/>
        <v>2.608761267434188E+39</v>
      </c>
      <c r="H13" s="18">
        <f t="shared" si="4"/>
        <v>9.9443920169169947E+39</v>
      </c>
      <c r="I13" s="16">
        <v>181.71</v>
      </c>
      <c r="J13" s="45">
        <v>1</v>
      </c>
      <c r="K13" s="19">
        <f t="shared" si="5"/>
        <v>177.52386688568359</v>
      </c>
      <c r="L13" s="16">
        <f t="shared" si="6"/>
        <v>17.523710450776484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0.55936486130409879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8.7554106362307832E+39</v>
      </c>
      <c r="F14" s="15">
        <f t="shared" si="3"/>
        <v>3.8372290482443405E+39</v>
      </c>
      <c r="H14" s="18">
        <f t="shared" si="4"/>
        <v>1.2592639684475124E+40</v>
      </c>
      <c r="I14" s="16">
        <v>182.38</v>
      </c>
      <c r="J14" s="45">
        <v>1</v>
      </c>
      <c r="K14" s="19">
        <f t="shared" si="5"/>
        <v>180.66130612886852</v>
      </c>
      <c r="L14" s="16">
        <f t="shared" si="6"/>
        <v>2.9539086226649056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0.67644122762356129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1.020375764639232E+40</v>
      </c>
      <c r="F15" s="15">
        <f t="shared" si="3"/>
        <v>5.4514727690264344E+39</v>
      </c>
      <c r="H15" s="18">
        <f t="shared" si="4"/>
        <v>1.5655230415418755E+40</v>
      </c>
      <c r="I15" s="16">
        <v>182.7</v>
      </c>
      <c r="J15" s="45">
        <v>1</v>
      </c>
      <c r="K15" s="19">
        <f t="shared" si="5"/>
        <v>183.65438238417261</v>
      </c>
      <c r="L15" s="16">
        <f t="shared" si="6"/>
        <v>0.91084573521901058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0.8000218365163273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1.1585423855135011E+40</v>
      </c>
      <c r="F16" s="15">
        <f t="shared" si="3"/>
        <v>7.3967046776842644E+39</v>
      </c>
      <c r="H16" s="18">
        <f t="shared" si="4"/>
        <v>1.8982128532819275E+40</v>
      </c>
      <c r="I16" s="16">
        <v>183.99</v>
      </c>
      <c r="J16" s="45">
        <v>1</v>
      </c>
      <c r="K16" s="19">
        <f t="shared" si="5"/>
        <v>186.44997929065426</v>
      </c>
      <c r="L16" s="16">
        <f t="shared" si="6"/>
        <v>6.0514981104477679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0.94311517312900373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1.2999893966575182E+40</v>
      </c>
      <c r="F17" s="15">
        <f t="shared" si="3"/>
        <v>9.9249016866110405E+39</v>
      </c>
      <c r="H17" s="18">
        <f t="shared" si="4"/>
        <v>2.2924795653186225E+40</v>
      </c>
      <c r="I17" s="16">
        <v>184.49</v>
      </c>
      <c r="J17" s="45">
        <v>1</v>
      </c>
      <c r="K17" s="19">
        <f t="shared" si="5"/>
        <v>189.28237919021456</v>
      </c>
      <c r="L17" s="16">
        <f t="shared" si="6"/>
        <v>22.966898302801436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1.0927127523149835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1.4333283778830541E+40</v>
      </c>
      <c r="F18" s="15">
        <f t="shared" si="3"/>
        <v>1.2845687901225776E+40</v>
      </c>
      <c r="H18" s="18">
        <f t="shared" si="4"/>
        <v>2.7178971680056317E+40</v>
      </c>
      <c r="I18" s="16">
        <v>188.28</v>
      </c>
      <c r="J18" s="45">
        <v>1</v>
      </c>
      <c r="K18" s="19">
        <f t="shared" si="5"/>
        <v>192.04699393413716</v>
      </c>
      <c r="L18" s="16">
        <f t="shared" si="6"/>
        <v>14.19024329982617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1.2618230592208739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1.5661896177664034E+40</v>
      </c>
      <c r="F19" s="15">
        <f t="shared" si="3"/>
        <v>1.6440735832179735E+40</v>
      </c>
      <c r="H19" s="18">
        <f t="shared" si="4"/>
        <v>3.2102632009843766E+40</v>
      </c>
      <c r="I19" s="16">
        <v>189.34</v>
      </c>
      <c r="J19" s="45">
        <v>1</v>
      </c>
      <c r="K19" s="19">
        <f t="shared" si="5"/>
        <v>194.87029595530905</v>
      </c>
      <c r="L19" s="16">
        <f t="shared" si="6"/>
        <v>30.584173353307563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1.4504460938466748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1.6974146848888962E+40</v>
      </c>
      <c r="F20" s="15">
        <f t="shared" si="3"/>
        <v>2.0757437968371022E+40</v>
      </c>
      <c r="G20" s="15"/>
      <c r="H20" s="18">
        <f t="shared" si="4"/>
        <v>3.7731584817259984E+40</v>
      </c>
      <c r="I20" s="16">
        <v>196.54</v>
      </c>
      <c r="J20" s="45">
        <v>1</v>
      </c>
      <c r="K20" s="19">
        <f t="shared" si="5"/>
        <v>197.75207899028334</v>
      </c>
      <c r="L20" s="16">
        <f t="shared" si="6"/>
        <v>1.4691354786862934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1.6520776136190825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1.820775065366835E+40</v>
      </c>
      <c r="F21" s="15">
        <f t="shared" si="3"/>
        <v>2.5660225338412667E+40</v>
      </c>
      <c r="G21" s="15"/>
      <c r="H21" s="18">
        <f t="shared" si="4"/>
        <v>4.3867975992081018E+40</v>
      </c>
      <c r="I21" s="16">
        <v>198</v>
      </c>
      <c r="J21" s="45">
        <v>1</v>
      </c>
      <c r="K21" s="19">
        <f t="shared" si="5"/>
        <v>200.53327869471863</v>
      </c>
      <c r="L21" s="16">
        <f t="shared" si="6"/>
        <v>6.4175009451153366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1.8797261036847039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1.9428075934701661E+40</v>
      </c>
      <c r="F22" s="15">
        <f t="shared" si="3"/>
        <v>3.1469760005065094E+40</v>
      </c>
      <c r="G22" s="15"/>
      <c r="H22" s="18">
        <f t="shared" si="4"/>
        <v>5.0897835939766761E+40</v>
      </c>
      <c r="I22" s="16">
        <v>203.17</v>
      </c>
      <c r="J22" s="45">
        <v>1</v>
      </c>
      <c r="K22" s="19">
        <f t="shared" si="5"/>
        <v>203.33386435340802</v>
      </c>
      <c r="L22" s="16">
        <f t="shared" si="6"/>
        <v>2.6851526317831814E-2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2.1268873214702362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2.0579791660017848E+40</v>
      </c>
      <c r="F23" s="15">
        <f t="shared" si="3"/>
        <v>3.8010536440101042E+40</v>
      </c>
      <c r="G23" s="15"/>
      <c r="H23" s="18">
        <f t="shared" si="4"/>
        <v>5.8590328100118893E+40</v>
      </c>
      <c r="I23" s="16">
        <v>205.62</v>
      </c>
      <c r="J23" s="45">
        <v>1</v>
      </c>
      <c r="K23" s="19">
        <f t="shared" si="5"/>
        <v>205.99446516151696</v>
      </c>
      <c r="L23" s="16">
        <f t="shared" si="6"/>
        <v>0.14022415718991668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2.4000655095489818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2.1685438220922872E+40</v>
      </c>
      <c r="F24" s="15">
        <f t="shared" si="3"/>
        <v>4.5412834597167804E+40</v>
      </c>
      <c r="G24" s="15"/>
      <c r="H24" s="18">
        <f t="shared" si="4"/>
        <v>6.7098272818090681E+40</v>
      </c>
      <c r="I24" s="16">
        <v>210.3</v>
      </c>
      <c r="J24" s="45">
        <v>1</v>
      </c>
      <c r="K24" s="19">
        <f t="shared" si="5"/>
        <v>208.52401116909283</v>
      </c>
      <c r="L24" s="16">
        <f t="shared" si="6"/>
        <v>3.1541363275070564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2.6992606679209419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2.2727511198251307E+40</v>
      </c>
      <c r="F25" s="15">
        <f t="shared" si="3"/>
        <v>5.3607991803180311E+40</v>
      </c>
      <c r="G25" s="15"/>
      <c r="H25" s="18">
        <f t="shared" si="4"/>
        <v>7.6335503001431618E+40</v>
      </c>
      <c r="I25" s="16">
        <v>214.32</v>
      </c>
      <c r="J25" s="45">
        <v>1</v>
      </c>
      <c r="K25" s="19">
        <f t="shared" si="5"/>
        <v>210.84281977515411</v>
      </c>
      <c r="L25" s="16">
        <f t="shared" si="6"/>
        <v>12.090782316059252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3.0244727965861156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2.3700055730998552E+40</v>
      </c>
      <c r="F26" s="15">
        <f t="shared" si="3"/>
        <v>6.2492699474666768E+40</v>
      </c>
      <c r="G26" s="15"/>
      <c r="H26" s="18">
        <f t="shared" si="4"/>
        <v>8.6192755205665325E+40</v>
      </c>
      <c r="I26" s="16">
        <v>217.17</v>
      </c>
      <c r="J26" s="45">
        <v>1</v>
      </c>
      <c r="K26" s="19">
        <f t="shared" si="5"/>
        <v>212.89527670631307</v>
      </c>
      <c r="L26" s="16">
        <f t="shared" si="6"/>
        <v>18.273259237589535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3.3887103806911099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2.4632127421388643E+40</v>
      </c>
      <c r="F27" s="15">
        <f t="shared" si="3"/>
        <v>7.2278809498937765E+40</v>
      </c>
      <c r="G27" s="15"/>
      <c r="H27" s="18">
        <f t="shared" si="4"/>
        <v>9.6910936920326409E+40</v>
      </c>
      <c r="I27" s="16">
        <v>219.07</v>
      </c>
      <c r="J27" s="45">
        <v>1</v>
      </c>
      <c r="K27" s="19">
        <f t="shared" si="5"/>
        <v>214.69708418414274</v>
      </c>
      <c r="L27" s="16">
        <f t="shared" si="6"/>
        <v>19.122392732574518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3.7854691776626219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2.5493707214726317E+40</v>
      </c>
      <c r="F28" s="15">
        <f t="shared" si="3"/>
        <v>8.2605151329158224E+40</v>
      </c>
      <c r="G28" s="15"/>
      <c r="H28" s="18">
        <f t="shared" si="4"/>
        <v>1.0809885854388454E+41</v>
      </c>
      <c r="I28" s="16">
        <v>220.32</v>
      </c>
      <c r="J28" s="45">
        <v>1</v>
      </c>
      <c r="K28" s="19">
        <f t="shared" si="5"/>
        <v>216.15333606636733</v>
      </c>
      <c r="L28" s="16">
        <f t="shared" si="6"/>
        <v>17.361088335835213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4.221253430073955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2.6293549231072398E+40</v>
      </c>
      <c r="F29" s="15">
        <f t="shared" si="3"/>
        <v>9.3419404693376701E+40</v>
      </c>
      <c r="G29" s="15"/>
      <c r="H29" s="18">
        <f t="shared" si="4"/>
        <v>1.1971295392444909E+41</v>
      </c>
      <c r="I29" s="16">
        <v>220.95</v>
      </c>
      <c r="J29" s="45">
        <v>1</v>
      </c>
      <c r="K29" s="19">
        <f t="shared" si="5"/>
        <v>217.25437135118358</v>
      </c>
      <c r="L29" s="16">
        <f t="shared" si="6"/>
        <v>13.657671109952602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4.7025673804984116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2.7036354663892093E+40</v>
      </c>
      <c r="F30" s="15">
        <f t="shared" si="3"/>
        <v>1.0461211102435794E+41</v>
      </c>
      <c r="G30" s="15"/>
      <c r="H30" s="18">
        <f t="shared" si="4"/>
        <v>1.3164846568825004E+41</v>
      </c>
      <c r="I30" s="16">
        <v>221.32</v>
      </c>
      <c r="J30" s="45">
        <v>1</v>
      </c>
      <c r="K30" s="19">
        <f t="shared" si="5"/>
        <v>217.98914578534738</v>
      </c>
      <c r="L30" s="16">
        <f t="shared" si="6"/>
        <v>11.094589799269109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5.2359152715092971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2.7689803445306086E+40</v>
      </c>
      <c r="F31" s="15">
        <f t="shared" si="3"/>
        <v>1.1601387404933915E+41</v>
      </c>
      <c r="G31" s="15"/>
      <c r="H31" s="18">
        <f t="shared" si="4"/>
        <v>1.4370367749464525E+41</v>
      </c>
      <c r="I31" s="16">
        <v>223.12</v>
      </c>
      <c r="J31" s="45">
        <v>1</v>
      </c>
      <c r="K31" s="19">
        <f t="shared" si="5"/>
        <v>218.33288370821447</v>
      </c>
      <c r="L31" s="16">
        <f t="shared" si="6"/>
        <v>22.916482391078514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5.8147928605333057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2.8315524235077472E+40</v>
      </c>
      <c r="F32" s="15">
        <f t="shared" si="3"/>
        <v>1.2716470679139473E+41</v>
      </c>
      <c r="G32" s="15"/>
      <c r="H32" s="18">
        <f t="shared" si="4"/>
        <v>1.554802310264722E+41</v>
      </c>
      <c r="I32" s="16">
        <v>225.29</v>
      </c>
      <c r="J32" s="45">
        <v>1</v>
      </c>
      <c r="K32" s="19">
        <f t="shared" si="5"/>
        <v>218.34846384857721</v>
      </c>
      <c r="L32" s="16">
        <f t="shared" si="6"/>
        <v>48.184924141509399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6.4587128752903498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2.8878850597169766E+40</v>
      </c>
      <c r="F33" s="15">
        <f t="shared" si="3"/>
        <v>1.380982441991688E+41</v>
      </c>
      <c r="G33" s="15"/>
      <c r="H33" s="18">
        <f t="shared" si="4"/>
        <v>1.6697709479633856E+41</v>
      </c>
      <c r="I33" s="16">
        <v>227.49</v>
      </c>
      <c r="J33" s="45">
        <v>1</v>
      </c>
      <c r="K33" s="19">
        <f t="shared" si="5"/>
        <v>218.04575742886115</v>
      </c>
      <c r="L33" s="16">
        <f t="shared" si="6"/>
        <v>89.19371774251151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7.1611710732071252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2.9403488718668079E+40</v>
      </c>
      <c r="F34" s="15">
        <f t="shared" si="3"/>
        <v>1.4836077626457462E+41</v>
      </c>
      <c r="G34" s="15"/>
      <c r="H34" s="18">
        <f t="shared" si="4"/>
        <v>1.7776426498324268E+41</v>
      </c>
      <c r="I34" s="16">
        <v>230.08</v>
      </c>
      <c r="J34" s="45">
        <v>1</v>
      </c>
      <c r="K34" s="19">
        <f t="shared" si="5"/>
        <v>217.51016860309966</v>
      </c>
      <c r="L34" s="16">
        <f t="shared" si="6"/>
        <v>158.00066134650194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7.9351759394302386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2.9865177691863308E+40</v>
      </c>
      <c r="F35" s="15">
        <f t="shared" si="3"/>
        <v>1.5784341065046276E+41</v>
      </c>
      <c r="G35" s="15"/>
      <c r="H35" s="18">
        <f t="shared" si="4"/>
        <v>1.8770858834232606E+41</v>
      </c>
      <c r="I35" s="16">
        <v>230.44</v>
      </c>
      <c r="J35" s="45">
        <v>1</v>
      </c>
      <c r="K35" s="19">
        <f t="shared" si="5"/>
        <v>216.80957876865025</v>
      </c>
      <c r="L35" s="16">
        <f t="shared" si="6"/>
        <v>185.78838294402985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8.7872317165329932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3.0265197313705535E+40</v>
      </c>
      <c r="F36" s="15">
        <f t="shared" si="3"/>
        <v>1.663486710125558E+41</v>
      </c>
      <c r="G36" s="15"/>
      <c r="H36" s="18">
        <f t="shared" si="4"/>
        <v>1.9661386832626134E+41</v>
      </c>
      <c r="I36" s="16">
        <v>227.75</v>
      </c>
      <c r="J36" s="45">
        <v>1</v>
      </c>
      <c r="K36" s="19">
        <f t="shared" si="5"/>
        <v>216.05390795945564</v>
      </c>
      <c r="L36" s="16">
        <f t="shared" si="6"/>
        <v>136.79856902088508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9.7238426470886932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3.0623667012101701E+40</v>
      </c>
      <c r="F37" s="15">
        <f t="shared" si="3"/>
        <v>1.737313378847107E+41</v>
      </c>
      <c r="G37" s="15"/>
      <c r="H37" s="18">
        <f t="shared" si="4"/>
        <v>2.0435500489681239E+41</v>
      </c>
      <c r="I37" s="16">
        <v>227.02</v>
      </c>
      <c r="J37" s="45">
        <v>1</v>
      </c>
      <c r="K37" s="19">
        <f t="shared" si="5"/>
        <v>215.37790524056757</v>
      </c>
      <c r="L37" s="16">
        <f t="shared" si="6"/>
        <v>135.53837038760426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10.758017216243946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3.0940478163295031E+40</v>
      </c>
      <c r="F38" s="15">
        <f t="shared" si="3"/>
        <v>1.7994867949777482E+41</v>
      </c>
      <c r="G38" s="15"/>
      <c r="H38" s="18">
        <f t="shared" si="4"/>
        <v>2.1088915766106984E+41</v>
      </c>
      <c r="I38" s="16">
        <v>227.55</v>
      </c>
      <c r="J38" s="45">
        <v>1</v>
      </c>
      <c r="K38" s="19">
        <f t="shared" si="5"/>
        <v>214.91643342494416</v>
      </c>
      <c r="L38" s="16">
        <f t="shared" si="6"/>
        <v>159.60700440636845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11.896259666572053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3.1217447152776332E+40</v>
      </c>
      <c r="F39" s="15">
        <f t="shared" si="3"/>
        <v>1.8497164404196552E+41</v>
      </c>
      <c r="G39" s="15"/>
      <c r="H39" s="18">
        <f t="shared" si="4"/>
        <v>2.1618909119474185E+41</v>
      </c>
      <c r="I39" s="16">
        <v>228.93</v>
      </c>
      <c r="J39" s="45">
        <v>1</v>
      </c>
      <c r="K39" s="19">
        <f t="shared" si="5"/>
        <v>214.81693173473241</v>
      </c>
      <c r="L39" s="16">
        <f t="shared" si="6"/>
        <v>199.17869586010343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13.138569998073018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3.1452048784043447E+40</v>
      </c>
      <c r="F40" s="15">
        <f t="shared" si="3"/>
        <v>1.8883754006016356E+41</v>
      </c>
      <c r="G40" s="15"/>
      <c r="H40" s="18">
        <f t="shared" si="4"/>
        <v>2.20289588844207E+41</v>
      </c>
      <c r="I40" s="16">
        <v>228.8</v>
      </c>
      <c r="J40" s="45">
        <v>1</v>
      </c>
      <c r="K40" s="19">
        <f t="shared" si="5"/>
        <v>215.21429613754106</v>
      </c>
      <c r="L40" s="16">
        <f t="shared" si="6"/>
        <v>184.57134943843221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14.517469423613354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3.1653565834283401E+40</v>
      </c>
      <c r="F41" s="15">
        <f t="shared" si="3"/>
        <v>1.9172911865276882E+41</v>
      </c>
      <c r="H41" s="18">
        <f t="shared" si="4"/>
        <v>2.2338268448705224E+41</v>
      </c>
      <c r="I41" s="16">
        <v>224.59</v>
      </c>
      <c r="J41" s="45">
        <v>1</v>
      </c>
      <c r="K41" s="19">
        <f t="shared" si="5"/>
        <v>216.24526802886939</v>
      </c>
      <c r="L41" s="16">
        <f t="shared" si="6"/>
        <v>69.634551670009415</v>
      </c>
    </row>
    <row r="42" spans="1:29" x14ac:dyDescent="0.25">
      <c r="A42" s="16">
        <v>24.64</v>
      </c>
      <c r="B42" s="45">
        <f t="shared" si="0"/>
        <v>24640</v>
      </c>
      <c r="C42" s="16">
        <f t="shared" si="1"/>
        <v>16.026453700619761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3.1798925600411739E+40</v>
      </c>
      <c r="F42" s="15">
        <f t="shared" si="3"/>
        <v>1.937564564811489E+41</v>
      </c>
      <c r="H42" s="18">
        <f t="shared" si="4"/>
        <v>2.2555538208156064E+41</v>
      </c>
      <c r="I42" s="16">
        <v>219.06</v>
      </c>
      <c r="J42" s="45">
        <v>1</v>
      </c>
      <c r="K42" s="19">
        <f t="shared" si="5"/>
        <v>218.00248245515075</v>
      </c>
      <c r="L42" s="16">
        <f t="shared" si="6"/>
        <v>1.1183433576639799</v>
      </c>
    </row>
    <row r="43" spans="1:29" x14ac:dyDescent="0.25">
      <c r="A43" s="16">
        <v>27.19</v>
      </c>
      <c r="B43" s="45">
        <f t="shared" si="0"/>
        <v>27190</v>
      </c>
      <c r="C43" s="16">
        <f t="shared" si="1"/>
        <v>17.685035556812146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3.1932709859321557E+40</v>
      </c>
      <c r="F43" s="15">
        <f t="shared" si="3"/>
        <v>1.9511030962541855E+41</v>
      </c>
      <c r="H43" s="18">
        <f t="shared" si="4"/>
        <v>2.2704301948474011E+41</v>
      </c>
      <c r="I43" s="16">
        <v>217.79</v>
      </c>
      <c r="J43" s="45">
        <v>1</v>
      </c>
      <c r="K43" s="19">
        <f t="shared" si="5"/>
        <v>220.58075917900123</v>
      </c>
      <c r="L43" s="16">
        <f t="shared" si="6"/>
        <v>7.7883367951796849</v>
      </c>
    </row>
    <row r="44" spans="1:29" x14ac:dyDescent="0.25">
      <c r="A44" s="16">
        <v>30</v>
      </c>
      <c r="B44" s="45">
        <f t="shared" si="0"/>
        <v>30000</v>
      </c>
      <c r="C44" s="16">
        <f t="shared" si="1"/>
        <v>19.512727719910423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3.2080134866198645E+40</v>
      </c>
      <c r="F44" s="15">
        <f t="shared" si="3"/>
        <v>1.9596398564518649E+41</v>
      </c>
      <c r="H44" s="18">
        <f t="shared" si="4"/>
        <v>2.2804412051138515E+41</v>
      </c>
      <c r="I44" s="16">
        <v>215.37</v>
      </c>
      <c r="J44" s="45">
        <v>1</v>
      </c>
      <c r="K44" s="19">
        <f t="shared" si="5"/>
        <v>224.04962241239392</v>
      </c>
      <c r="L44" s="16">
        <f t="shared" si="6"/>
        <v>75.335845221730693</v>
      </c>
    </row>
    <row r="45" spans="1:29" x14ac:dyDescent="0.25">
      <c r="I45" s="45"/>
      <c r="J45" s="45"/>
      <c r="L45" s="16">
        <f>SUM(L8:L44)/(COUNT(L8:L44)-4)</f>
        <v>68.78449955782159</v>
      </c>
    </row>
    <row r="46" spans="1:29" x14ac:dyDescent="0.25">
      <c r="I46" s="45"/>
      <c r="J46" s="45"/>
      <c r="L46" s="16"/>
    </row>
    <row r="47" spans="1:29" ht="21" x14ac:dyDescent="0.35">
      <c r="A47" s="48" t="s">
        <v>564</v>
      </c>
      <c r="I47" s="45"/>
      <c r="J47" s="45"/>
      <c r="L47" s="16"/>
    </row>
    <row r="48" spans="1:29" x14ac:dyDescent="0.25">
      <c r="A48" s="16" t="s">
        <v>30</v>
      </c>
      <c r="D48" s="16">
        <v>1.66</v>
      </c>
      <c r="E48" s="17">
        <f>$D$48*1000</f>
        <v>1660</v>
      </c>
      <c r="F48" s="17"/>
      <c r="G48" s="17"/>
      <c r="H48" s="15"/>
      <c r="K48" s="15"/>
      <c r="L48" s="17"/>
      <c r="M48" s="45"/>
    </row>
    <row r="49" spans="1:29" x14ac:dyDescent="0.25">
      <c r="A49" s="16" t="s">
        <v>16</v>
      </c>
      <c r="D49" s="16">
        <v>2.44</v>
      </c>
      <c r="E49" s="15">
        <f>D49*10000000000*SolarMass</f>
        <v>4.8534039999999996E+40</v>
      </c>
      <c r="F49" s="43"/>
      <c r="G49" s="43"/>
      <c r="H49" s="15"/>
      <c r="K49" s="15"/>
      <c r="L49" s="17"/>
      <c r="M49" s="45"/>
    </row>
    <row r="50" spans="1:29" x14ac:dyDescent="0.25">
      <c r="A50" s="16" t="s">
        <v>569</v>
      </c>
      <c r="D50" s="16">
        <v>6.3</v>
      </c>
      <c r="E50" s="15">
        <f>D50*1000</f>
        <v>6300</v>
      </c>
      <c r="H50" s="15"/>
      <c r="K50" s="15"/>
      <c r="L50" s="17"/>
      <c r="M50" s="45"/>
    </row>
    <row r="51" spans="1:29" x14ac:dyDescent="0.25">
      <c r="A51" s="16" t="s">
        <v>17</v>
      </c>
      <c r="D51" s="45">
        <v>11.9</v>
      </c>
      <c r="G51" s="16"/>
      <c r="H51" s="15"/>
      <c r="K51" s="15"/>
      <c r="L51" s="17"/>
      <c r="M51" s="45"/>
    </row>
    <row r="52" spans="1:29" x14ac:dyDescent="0.25">
      <c r="A52" s="16" t="s">
        <v>570</v>
      </c>
      <c r="D52" s="16">
        <v>7.7</v>
      </c>
      <c r="E52" s="17">
        <f>D52*1000</f>
        <v>7700</v>
      </c>
      <c r="H52" s="15"/>
      <c r="K52" s="15"/>
      <c r="L52" s="17"/>
      <c r="M52" s="45"/>
    </row>
    <row r="53" spans="1:29" x14ac:dyDescent="0.25">
      <c r="A53" s="16" t="s">
        <v>571</v>
      </c>
      <c r="D53" s="16">
        <v>2.8</v>
      </c>
      <c r="G53" s="9"/>
      <c r="H53" s="15"/>
      <c r="K53" s="15"/>
      <c r="L53" s="17"/>
      <c r="M53" s="45"/>
    </row>
    <row r="54" spans="1:29" x14ac:dyDescent="0.25">
      <c r="D54" s="12"/>
      <c r="H54" s="15"/>
      <c r="K54" s="15"/>
      <c r="L54" s="17"/>
      <c r="M54" s="45"/>
    </row>
    <row r="55" spans="1:29" x14ac:dyDescent="0.25">
      <c r="A55" s="16" t="s">
        <v>567</v>
      </c>
      <c r="D55" s="17">
        <f>(D51*10000000000)/(2*PI()*DiskScaleLengthPc^2)</f>
        <v>477.1841327270231</v>
      </c>
      <c r="H55" s="15"/>
      <c r="K55" s="15"/>
      <c r="L55" s="17"/>
      <c r="M55" s="45"/>
    </row>
    <row r="56" spans="1:29" x14ac:dyDescent="0.25">
      <c r="A56" s="16" t="s">
        <v>565</v>
      </c>
      <c r="D56" s="9">
        <f>(D53*10000000000)/(4*PI()*(LCDMHaloScaleLengthPc)^3*(LN(2)-1/2))</f>
        <v>2.5268974598020532E-2</v>
      </c>
      <c r="H56" s="15"/>
      <c r="K56" s="15"/>
      <c r="L56" s="17"/>
      <c r="M56" s="45"/>
    </row>
    <row r="57" spans="1:29" x14ac:dyDescent="0.25">
      <c r="H57" s="15"/>
      <c r="K57" s="15"/>
      <c r="L57" s="17"/>
      <c r="M57" s="45"/>
    </row>
    <row r="58" spans="1:29" ht="45" x14ac:dyDescent="0.25">
      <c r="A58" s="7" t="s">
        <v>20</v>
      </c>
      <c r="B58" s="3" t="s">
        <v>19</v>
      </c>
      <c r="C58" s="7" t="s">
        <v>27</v>
      </c>
      <c r="D58" s="4" t="s">
        <v>649</v>
      </c>
      <c r="E58" s="4" t="s">
        <v>21</v>
      </c>
      <c r="F58" s="4" t="s">
        <v>22</v>
      </c>
      <c r="G58" s="4" t="s">
        <v>28</v>
      </c>
      <c r="H58" s="4" t="s">
        <v>23</v>
      </c>
      <c r="I58" s="7" t="s">
        <v>645</v>
      </c>
      <c r="J58" s="7" t="s">
        <v>646</v>
      </c>
      <c r="K58" s="25" t="s">
        <v>647</v>
      </c>
      <c r="L58" s="3" t="s">
        <v>648</v>
      </c>
      <c r="M58" s="3"/>
      <c r="N58" s="3"/>
      <c r="O58" s="3"/>
      <c r="P58" s="3"/>
      <c r="Q58" s="3"/>
      <c r="R58" s="3"/>
      <c r="S58" s="3"/>
      <c r="T58" s="3"/>
      <c r="U58" s="3"/>
      <c r="V58" s="7"/>
      <c r="W58" s="7"/>
      <c r="X58" s="3"/>
      <c r="Y58" s="3"/>
      <c r="Z58" s="3"/>
      <c r="AA58" s="3"/>
      <c r="AB58" s="3"/>
      <c r="AC58" s="3"/>
    </row>
    <row r="59" spans="1:29" x14ac:dyDescent="0.25">
      <c r="A59" s="16">
        <v>0.09</v>
      </c>
      <c r="B59" s="45">
        <f>A59*1000</f>
        <v>90</v>
      </c>
      <c r="C59" s="16">
        <f>B59/LCDMBulgeEffectiveRadius</f>
        <v>5.4216867469879519E-2</v>
      </c>
      <c r="D59" s="15">
        <f>A59*kpc</f>
        <v>2.777109822E+18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9.5621122385783125E+38</v>
      </c>
      <c r="F59" s="15">
        <f t="shared" ref="F59:F95" si="7">2*PI()*LCDMDiskSurfaceDensity*LCDMScaleLength*(LCDMScaleLength-EXP(-RadiusPc/LCDMScaleLength)*(RadiusPc+LCDMScaleLength))*SolarMass</f>
        <v>2.3924552803612687E+37</v>
      </c>
      <c r="G59" s="15">
        <f t="shared" ref="G59:G95" si="8">4*PI()*LCDMHaloRepresentativeDensity*LCDMHaloScaleLengthPc^3*(LN(1+RadiusPc/LCDMHaloScaleLengthPc)-RadiusPc/(RadiusPc+LCDMHaloScaleLengthPc))*SolarMass</f>
        <v>1.9394009902960826E+37</v>
      </c>
      <c r="H59" s="15">
        <f t="shared" ref="H59:H95" si="9">BulgeMass+DiskMass+HaloMass</f>
        <v>9.995297865644048E+38</v>
      </c>
      <c r="I59" s="16">
        <v>117.07</v>
      </c>
      <c r="J59" s="45">
        <v>1</v>
      </c>
      <c r="K59" s="19">
        <f t="shared" ref="K59:K95" si="10">SQRT(TotalMass*GravitationalConstant/RadiusKm)/km</f>
        <v>154.98763355895855</v>
      </c>
      <c r="L59" s="16">
        <f t="shared" ref="L59:L95" si="11">(ObservedVelocity-ModelVelocity)^2/(VelocityError)^2</f>
        <v>1437.7469347114602</v>
      </c>
      <c r="M59" s="45"/>
    </row>
    <row r="60" spans="1:29" x14ac:dyDescent="0.25">
      <c r="A60" s="16">
        <v>0.19</v>
      </c>
      <c r="B60" s="45">
        <f t="shared" ref="B60:B95" si="12">A60*1000</f>
        <v>190</v>
      </c>
      <c r="C60" s="16">
        <f t="shared" ref="C60:C95" si="13">B60/LCDMBulgeEffectiveRadius</f>
        <v>0.1144578313253012</v>
      </c>
      <c r="D60" s="15">
        <f t="shared" ref="D60:D95" si="14">A60*kpc</f>
        <v>5.862787402E+18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2.5308724227691561E+39</v>
      </c>
      <c r="F60" s="15">
        <f t="shared" si="7"/>
        <v>1.0550640533719175E+38</v>
      </c>
      <c r="G60" s="15">
        <f t="shared" si="8"/>
        <v>8.497528905042474E+37</v>
      </c>
      <c r="H60" s="15">
        <f t="shared" si="9"/>
        <v>2.7213541171567726E+39</v>
      </c>
      <c r="I60" s="16">
        <v>159.74</v>
      </c>
      <c r="J60" s="45">
        <v>1</v>
      </c>
      <c r="K60" s="19">
        <f t="shared" si="10"/>
        <v>176.00952064518563</v>
      </c>
      <c r="L60" s="16">
        <f t="shared" si="11"/>
        <v>264.6973020241212</v>
      </c>
      <c r="M60" s="45"/>
    </row>
    <row r="61" spans="1:29" x14ac:dyDescent="0.25">
      <c r="A61" s="16">
        <v>0.3</v>
      </c>
      <c r="B61" s="45">
        <f t="shared" si="12"/>
        <v>300</v>
      </c>
      <c r="C61" s="16">
        <f t="shared" si="13"/>
        <v>0.18072289156626506</v>
      </c>
      <c r="D61" s="15">
        <f t="shared" si="14"/>
        <v>9.25703274E+18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4.3203166300944567E+39</v>
      </c>
      <c r="F61" s="15">
        <f t="shared" si="7"/>
        <v>2.600011568778522E+38</v>
      </c>
      <c r="G61" s="15">
        <f t="shared" si="8"/>
        <v>2.079647430622412E+38</v>
      </c>
      <c r="H61" s="15">
        <f t="shared" si="9"/>
        <v>4.7882825300345498E+39</v>
      </c>
      <c r="I61" s="16">
        <v>173.22</v>
      </c>
      <c r="J61" s="45">
        <v>1</v>
      </c>
      <c r="K61" s="19">
        <f t="shared" si="10"/>
        <v>185.80170205891699</v>
      </c>
      <c r="L61" s="16">
        <f t="shared" si="11"/>
        <v>158.29922669935598</v>
      </c>
      <c r="M61" s="45"/>
    </row>
    <row r="62" spans="1:29" x14ac:dyDescent="0.25">
      <c r="A62" s="16">
        <v>0.42</v>
      </c>
      <c r="B62" s="45">
        <f t="shared" si="12"/>
        <v>420</v>
      </c>
      <c r="C62" s="16">
        <f t="shared" si="13"/>
        <v>0.25301204819277107</v>
      </c>
      <c r="D62" s="15">
        <f t="shared" si="14"/>
        <v>1.2959845836E+19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6.1970004819460218E+39</v>
      </c>
      <c r="F62" s="15">
        <f t="shared" si="7"/>
        <v>5.0320258427677603E+38</v>
      </c>
      <c r="G62" s="15">
        <f t="shared" si="8"/>
        <v>3.9956877149422345E+38</v>
      </c>
      <c r="H62" s="15">
        <f t="shared" si="9"/>
        <v>7.0997718377170205E+39</v>
      </c>
      <c r="I62" s="16">
        <v>178.96</v>
      </c>
      <c r="J62" s="45">
        <v>1</v>
      </c>
      <c r="K62" s="19">
        <f t="shared" si="10"/>
        <v>191.21324969447076</v>
      </c>
      <c r="L62" s="16">
        <f t="shared" si="11"/>
        <v>150.14212807504759</v>
      </c>
      <c r="M62" s="45"/>
    </row>
    <row r="63" spans="1:29" x14ac:dyDescent="0.25">
      <c r="A63" s="16">
        <v>0.56000000000000005</v>
      </c>
      <c r="B63" s="45">
        <f t="shared" si="12"/>
        <v>560</v>
      </c>
      <c r="C63" s="16">
        <f t="shared" si="13"/>
        <v>0.33734939759036142</v>
      </c>
      <c r="D63" s="15">
        <f t="shared" si="14"/>
        <v>1.7279794448000002E+19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8.2754631432289154E+39</v>
      </c>
      <c r="F63" s="15">
        <f t="shared" si="7"/>
        <v>8.8151206709510505E+38</v>
      </c>
      <c r="G63" s="15">
        <f t="shared" si="8"/>
        <v>6.9425554904970466E+38</v>
      </c>
      <c r="H63" s="15">
        <f t="shared" si="9"/>
        <v>9.8512307593737252E+39</v>
      </c>
      <c r="I63" s="16">
        <v>181.13</v>
      </c>
      <c r="J63" s="45">
        <v>1</v>
      </c>
      <c r="K63" s="19">
        <f t="shared" si="10"/>
        <v>195.06154698740693</v>
      </c>
      <c r="L63" s="16">
        <f t="shared" si="11"/>
        <v>194.08800146232716</v>
      </c>
      <c r="M63" s="45"/>
    </row>
    <row r="64" spans="1:29" x14ac:dyDescent="0.25">
      <c r="A64" s="16">
        <v>0.7</v>
      </c>
      <c r="B64" s="45">
        <f t="shared" si="12"/>
        <v>700</v>
      </c>
      <c r="C64" s="16">
        <f t="shared" si="13"/>
        <v>0.42168674698795183</v>
      </c>
      <c r="D64" s="15">
        <f t="shared" si="14"/>
        <v>2.1599743059999998E+19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1.0209597264501204E+40</v>
      </c>
      <c r="F64" s="15">
        <f t="shared" si="7"/>
        <v>1.3572763066888038E+39</v>
      </c>
      <c r="G64" s="15">
        <f t="shared" si="8"/>
        <v>1.0605793221253796E+39</v>
      </c>
      <c r="H64" s="15">
        <f t="shared" si="9"/>
        <v>1.2627452893315388E+40</v>
      </c>
      <c r="I64" s="16">
        <v>181.71</v>
      </c>
      <c r="J64" s="45">
        <v>1</v>
      </c>
      <c r="K64" s="19">
        <f t="shared" si="10"/>
        <v>197.52828362864412</v>
      </c>
      <c r="L64" s="16">
        <f t="shared" si="11"/>
        <v>250.21809695623028</v>
      </c>
      <c r="M64" s="45"/>
    </row>
    <row r="65" spans="1:13" x14ac:dyDescent="0.25">
      <c r="A65" s="16">
        <v>0.86</v>
      </c>
      <c r="B65" s="45">
        <f t="shared" si="12"/>
        <v>860</v>
      </c>
      <c r="C65" s="16">
        <f t="shared" si="13"/>
        <v>0.51807228915662651</v>
      </c>
      <c r="D65" s="15">
        <f t="shared" si="14"/>
        <v>2.6536827187999998E+19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1.223779386377831E+40</v>
      </c>
      <c r="F65" s="15">
        <f t="shared" si="7"/>
        <v>2.0146167645798161E+39</v>
      </c>
      <c r="G65" s="15">
        <f t="shared" si="8"/>
        <v>1.5607377257447109E+39</v>
      </c>
      <c r="H65" s="15">
        <f t="shared" si="9"/>
        <v>1.5813148354102837E+40</v>
      </c>
      <c r="I65" s="16">
        <v>182.38</v>
      </c>
      <c r="J65" s="45">
        <v>1</v>
      </c>
      <c r="K65" s="19">
        <f t="shared" si="10"/>
        <v>199.42535719828058</v>
      </c>
      <c r="L65" s="16">
        <f t="shared" si="11"/>
        <v>290.5442020169757</v>
      </c>
      <c r="M65" s="45"/>
    </row>
    <row r="66" spans="1:13" x14ac:dyDescent="0.25">
      <c r="A66" s="16">
        <v>1.04</v>
      </c>
      <c r="B66" s="45">
        <f t="shared" si="12"/>
        <v>1040</v>
      </c>
      <c r="C66" s="16">
        <f t="shared" si="13"/>
        <v>0.62650602409638556</v>
      </c>
      <c r="D66" s="15">
        <f t="shared" si="14"/>
        <v>3.2091046832E+19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1.4310209066727715E+40</v>
      </c>
      <c r="F66" s="15">
        <f t="shared" si="7"/>
        <v>2.8913118011271002E+39</v>
      </c>
      <c r="G66" s="15">
        <f t="shared" si="8"/>
        <v>2.2193831804358652E+39</v>
      </c>
      <c r="H66" s="15">
        <f t="shared" si="9"/>
        <v>1.942090404829068E+40</v>
      </c>
      <c r="I66" s="16">
        <v>182.7</v>
      </c>
      <c r="J66" s="45">
        <v>1</v>
      </c>
      <c r="K66" s="19">
        <f t="shared" si="10"/>
        <v>200.97335527694753</v>
      </c>
      <c r="L66" s="16">
        <f t="shared" si="11"/>
        <v>333.91551307754656</v>
      </c>
      <c r="M66" s="45"/>
    </row>
    <row r="67" spans="1:13" x14ac:dyDescent="0.25">
      <c r="A67" s="16">
        <v>1.23</v>
      </c>
      <c r="B67" s="45">
        <f t="shared" si="12"/>
        <v>1230</v>
      </c>
      <c r="C67" s="16">
        <f t="shared" si="13"/>
        <v>0.74096385542168675</v>
      </c>
      <c r="D67" s="15">
        <f t="shared" si="14"/>
        <v>3.7953834233999999E+19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1.6292935702746988E+40</v>
      </c>
      <c r="F67" s="15">
        <f t="shared" si="7"/>
        <v>3.9649642231871829E+39</v>
      </c>
      <c r="G67" s="15">
        <f t="shared" si="8"/>
        <v>3.0156382023761349E+39</v>
      </c>
      <c r="H67" s="15">
        <f t="shared" si="9"/>
        <v>2.3273538128310306E+40</v>
      </c>
      <c r="I67" s="16">
        <v>183.99</v>
      </c>
      <c r="J67" s="45">
        <v>1</v>
      </c>
      <c r="K67" s="19">
        <f t="shared" si="10"/>
        <v>202.30149001110365</v>
      </c>
      <c r="L67" s="16">
        <f t="shared" si="11"/>
        <v>335.31066642674853</v>
      </c>
      <c r="M67" s="45"/>
    </row>
    <row r="68" spans="1:13" x14ac:dyDescent="0.25">
      <c r="A68" s="16">
        <v>1.45</v>
      </c>
      <c r="B68" s="45">
        <f t="shared" si="12"/>
        <v>1450</v>
      </c>
      <c r="C68" s="16">
        <f t="shared" si="13"/>
        <v>0.87349397590361444</v>
      </c>
      <c r="D68" s="15">
        <f t="shared" si="14"/>
        <v>4.4742324909999997E+19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1.8367572946081923E+40</v>
      </c>
      <c r="F68" s="15">
        <f t="shared" si="7"/>
        <v>5.3856261457848612E+39</v>
      </c>
      <c r="G68" s="15">
        <f t="shared" si="8"/>
        <v>4.0552995364815612E+39</v>
      </c>
      <c r="H68" s="15">
        <f t="shared" si="9"/>
        <v>2.7808498628348348E+40</v>
      </c>
      <c r="I68" s="16">
        <v>184.49</v>
      </c>
      <c r="J68" s="45">
        <v>1</v>
      </c>
      <c r="K68" s="19">
        <f t="shared" si="10"/>
        <v>203.6691268174805</v>
      </c>
      <c r="L68" s="16">
        <f t="shared" si="11"/>
        <v>367.83890548099947</v>
      </c>
      <c r="M68" s="45"/>
    </row>
    <row r="69" spans="1:13" x14ac:dyDescent="0.25">
      <c r="A69" s="16">
        <v>1.68</v>
      </c>
      <c r="B69" s="45">
        <f t="shared" si="12"/>
        <v>1680</v>
      </c>
      <c r="C69" s="16">
        <f t="shared" si="13"/>
        <v>1.0120481927710843</v>
      </c>
      <c r="D69" s="15">
        <f t="shared" si="14"/>
        <v>5.1839383344E+19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2.0314349307653007E+40</v>
      </c>
      <c r="F69" s="15">
        <f t="shared" si="7"/>
        <v>7.0594520814147608E+39</v>
      </c>
      <c r="G69" s="15">
        <f t="shared" si="8"/>
        <v>5.2638933217744812E+39</v>
      </c>
      <c r="H69" s="15">
        <f t="shared" si="9"/>
        <v>3.263769471084225E+40</v>
      </c>
      <c r="I69" s="16">
        <v>188.28</v>
      </c>
      <c r="J69" s="45">
        <v>1</v>
      </c>
      <c r="K69" s="19">
        <f t="shared" si="10"/>
        <v>204.98662665016747</v>
      </c>
      <c r="L69" s="16">
        <f t="shared" si="11"/>
        <v>279.11137402808578</v>
      </c>
      <c r="M69" s="45"/>
    </row>
    <row r="70" spans="1:13" x14ac:dyDescent="0.25">
      <c r="A70" s="16">
        <v>1.94</v>
      </c>
      <c r="B70" s="45">
        <f t="shared" si="12"/>
        <v>1940</v>
      </c>
      <c r="C70" s="16">
        <f t="shared" si="13"/>
        <v>1.1686746987951808</v>
      </c>
      <c r="D70" s="15">
        <f t="shared" si="14"/>
        <v>5.9862145052000002E+19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2.2269610355012046E+40</v>
      </c>
      <c r="F70" s="15">
        <f t="shared" si="7"/>
        <v>9.164282593410271E+39</v>
      </c>
      <c r="G70" s="15">
        <f t="shared" si="8"/>
        <v>6.7636263619836939E+39</v>
      </c>
      <c r="H70" s="15">
        <f t="shared" si="9"/>
        <v>3.8197519310406007E+40</v>
      </c>
      <c r="I70" s="16">
        <v>189.34</v>
      </c>
      <c r="J70" s="45">
        <v>1</v>
      </c>
      <c r="K70" s="19">
        <f t="shared" si="10"/>
        <v>206.36552474571695</v>
      </c>
      <c r="L70" s="16">
        <f t="shared" si="11"/>
        <v>289.86849286702022</v>
      </c>
      <c r="M70" s="45"/>
    </row>
    <row r="71" spans="1:13" x14ac:dyDescent="0.25">
      <c r="A71" s="16">
        <v>2.23</v>
      </c>
      <c r="B71" s="45">
        <f t="shared" si="12"/>
        <v>2230</v>
      </c>
      <c r="C71" s="16">
        <f t="shared" si="13"/>
        <v>1.3433734939759037</v>
      </c>
      <c r="D71" s="15">
        <f t="shared" si="14"/>
        <v>6.8810610034000003E+19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2.4209293729773491E+40</v>
      </c>
      <c r="F71" s="15">
        <f t="shared" si="7"/>
        <v>1.1753105358769458E+40</v>
      </c>
      <c r="G71" s="15">
        <f t="shared" si="8"/>
        <v>8.5837695728493886E+39</v>
      </c>
      <c r="H71" s="15">
        <f t="shared" si="9"/>
        <v>4.4546168661392339E+40</v>
      </c>
      <c r="I71" s="16">
        <v>196.54</v>
      </c>
      <c r="J71" s="45">
        <v>1</v>
      </c>
      <c r="K71" s="19">
        <f t="shared" si="10"/>
        <v>207.86107956732624</v>
      </c>
      <c r="L71" s="16">
        <f t="shared" si="11"/>
        <v>128.16684256973193</v>
      </c>
      <c r="M71" s="45"/>
    </row>
    <row r="72" spans="1:13" x14ac:dyDescent="0.25">
      <c r="A72" s="16">
        <v>2.54</v>
      </c>
      <c r="B72" s="45">
        <f t="shared" si="12"/>
        <v>2540</v>
      </c>
      <c r="C72" s="16">
        <f t="shared" si="13"/>
        <v>1.5301204819277108</v>
      </c>
      <c r="D72" s="15">
        <f t="shared" si="14"/>
        <v>7.8376210532000006E+19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2.6044026628640963E+40</v>
      </c>
      <c r="F72" s="15">
        <f t="shared" si="7"/>
        <v>1.477148153359336E+40</v>
      </c>
      <c r="G72" s="15">
        <f t="shared" si="8"/>
        <v>1.0679029186081936E+40</v>
      </c>
      <c r="H72" s="15">
        <f t="shared" si="9"/>
        <v>5.1494537348316263E+40</v>
      </c>
      <c r="I72" s="16">
        <v>198</v>
      </c>
      <c r="J72" s="45">
        <v>1</v>
      </c>
      <c r="K72" s="19">
        <f t="shared" si="10"/>
        <v>209.40360475719737</v>
      </c>
      <c r="L72" s="16">
        <f t="shared" si="11"/>
        <v>130.04220145837451</v>
      </c>
      <c r="M72" s="45"/>
    </row>
    <row r="73" spans="1:13" x14ac:dyDescent="0.25">
      <c r="A73" s="16">
        <v>2.89</v>
      </c>
      <c r="B73" s="45">
        <f t="shared" si="12"/>
        <v>2890</v>
      </c>
      <c r="C73" s="16">
        <f t="shared" si="13"/>
        <v>1.7409638554216869</v>
      </c>
      <c r="D73" s="15">
        <f t="shared" si="14"/>
        <v>8.9176082061999997E+19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2.7865222623580719E+40</v>
      </c>
      <c r="F73" s="15">
        <f t="shared" si="7"/>
        <v>1.8452743348682839E+40</v>
      </c>
      <c r="G73" s="15">
        <f t="shared" si="8"/>
        <v>1.3203989359479217E+40</v>
      </c>
      <c r="H73" s="15">
        <f t="shared" si="9"/>
        <v>5.952195533174278E+40</v>
      </c>
      <c r="I73" s="16">
        <v>203.17</v>
      </c>
      <c r="J73" s="45">
        <v>1</v>
      </c>
      <c r="K73" s="19">
        <f t="shared" si="10"/>
        <v>211.06202712612159</v>
      </c>
      <c r="L73" s="16">
        <f t="shared" si="11"/>
        <v>62.284092159439233</v>
      </c>
      <c r="M73" s="45"/>
    </row>
    <row r="74" spans="1:13" x14ac:dyDescent="0.25">
      <c r="A74" s="16">
        <v>3.27</v>
      </c>
      <c r="B74" s="45">
        <f t="shared" si="12"/>
        <v>3270</v>
      </c>
      <c r="C74" s="16">
        <f t="shared" si="13"/>
        <v>1.9698795180722892</v>
      </c>
      <c r="D74" s="15">
        <f t="shared" si="14"/>
        <v>1.0090165686599999E+20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2.9597186154616865E+40</v>
      </c>
      <c r="F74" s="15">
        <f t="shared" si="7"/>
        <v>2.2731636935362343E+40</v>
      </c>
      <c r="G74" s="15">
        <f t="shared" si="8"/>
        <v>1.6106962852633091E+40</v>
      </c>
      <c r="H74" s="15">
        <f t="shared" si="9"/>
        <v>6.8435785942612297E+40</v>
      </c>
      <c r="I74" s="16">
        <v>205.62</v>
      </c>
      <c r="J74" s="45">
        <v>1</v>
      </c>
      <c r="K74" s="19">
        <f t="shared" si="10"/>
        <v>212.75911974058334</v>
      </c>
      <c r="L74" s="16">
        <f t="shared" si="11"/>
        <v>50.967030670386727</v>
      </c>
      <c r="M74" s="45"/>
    </row>
    <row r="75" spans="1:13" x14ac:dyDescent="0.25">
      <c r="A75" s="16">
        <v>3.69</v>
      </c>
      <c r="B75" s="45">
        <f t="shared" si="12"/>
        <v>3690</v>
      </c>
      <c r="C75" s="16">
        <f t="shared" si="13"/>
        <v>2.2228915662650603</v>
      </c>
      <c r="D75" s="15">
        <f t="shared" si="14"/>
        <v>1.13861502702E+20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3.126547653365783E+40</v>
      </c>
      <c r="F75" s="15">
        <f t="shared" si="7"/>
        <v>2.7746327814197165E+40</v>
      </c>
      <c r="G75" s="15">
        <f t="shared" si="8"/>
        <v>1.9477476829095434E+40</v>
      </c>
      <c r="H75" s="15">
        <f t="shared" si="9"/>
        <v>7.8489281176950418E+40</v>
      </c>
      <c r="I75" s="16">
        <v>210.3</v>
      </c>
      <c r="J75" s="45">
        <v>1</v>
      </c>
      <c r="K75" s="19">
        <f t="shared" si="10"/>
        <v>214.49265468270025</v>
      </c>
      <c r="L75" s="16">
        <f t="shared" si="11"/>
        <v>17.578353288368223</v>
      </c>
      <c r="M75" s="45"/>
    </row>
    <row r="76" spans="1:13" x14ac:dyDescent="0.25">
      <c r="A76" s="16">
        <v>4.1500000000000004</v>
      </c>
      <c r="B76" s="45">
        <f t="shared" si="12"/>
        <v>4150</v>
      </c>
      <c r="C76" s="16">
        <f t="shared" si="13"/>
        <v>2.5</v>
      </c>
      <c r="D76" s="15">
        <f t="shared" si="14"/>
        <v>1.2805561957E+20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3.2851720995200005E+40</v>
      </c>
      <c r="F76" s="15">
        <f t="shared" si="7"/>
        <v>3.3515652671736852E+40</v>
      </c>
      <c r="G76" s="15">
        <f t="shared" si="8"/>
        <v>2.3326864915753018E+40</v>
      </c>
      <c r="H76" s="15">
        <f t="shared" si="9"/>
        <v>8.9694238582689871E+40</v>
      </c>
      <c r="I76" s="16">
        <v>214.32</v>
      </c>
      <c r="J76" s="45">
        <v>1</v>
      </c>
      <c r="K76" s="19">
        <f t="shared" si="10"/>
        <v>216.21143386226672</v>
      </c>
      <c r="L76" s="16">
        <f t="shared" si="11"/>
        <v>3.5775220553292129</v>
      </c>
      <c r="M76" s="45"/>
    </row>
    <row r="77" spans="1:13" x14ac:dyDescent="0.25">
      <c r="A77" s="16">
        <v>4.6500000000000004</v>
      </c>
      <c r="B77" s="45">
        <f t="shared" si="12"/>
        <v>4650</v>
      </c>
      <c r="C77" s="16">
        <f t="shared" si="13"/>
        <v>2.8012048192771086</v>
      </c>
      <c r="D77" s="15">
        <f t="shared" si="14"/>
        <v>1.4348400747000001E+20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3.4338377115146997E+40</v>
      </c>
      <c r="F77" s="15">
        <f t="shared" si="7"/>
        <v>4.0038179383926134E+40</v>
      </c>
      <c r="G77" s="15">
        <f t="shared" si="8"/>
        <v>2.765821811037101E+40</v>
      </c>
      <c r="H77" s="15">
        <f t="shared" si="9"/>
        <v>1.0203477460944413E+41</v>
      </c>
      <c r="I77" s="16">
        <v>217.17</v>
      </c>
      <c r="J77" s="45">
        <v>1</v>
      </c>
      <c r="K77" s="19">
        <f t="shared" si="10"/>
        <v>217.85526482925022</v>
      </c>
      <c r="L77" s="16">
        <f t="shared" si="11"/>
        <v>0.46958788620734615</v>
      </c>
      <c r="M77" s="45"/>
    </row>
    <row r="78" spans="1:13" x14ac:dyDescent="0.25">
      <c r="A78" s="16">
        <v>5.21</v>
      </c>
      <c r="B78" s="45">
        <f t="shared" si="12"/>
        <v>5210</v>
      </c>
      <c r="C78" s="16">
        <f t="shared" si="13"/>
        <v>3.1385542168674698</v>
      </c>
      <c r="D78" s="15">
        <f t="shared" si="14"/>
        <v>1.6076380191800001E+20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3.5767149083050598E+40</v>
      </c>
      <c r="F78" s="15">
        <f t="shared" si="7"/>
        <v>4.7562758333099923E+40</v>
      </c>
      <c r="G78" s="15">
        <f t="shared" si="8"/>
        <v>3.2647100683460925E+40</v>
      </c>
      <c r="H78" s="15">
        <f t="shared" si="9"/>
        <v>1.1597700809961145E+41</v>
      </c>
      <c r="I78" s="16">
        <v>219.07</v>
      </c>
      <c r="J78" s="45">
        <v>1</v>
      </c>
      <c r="K78" s="19">
        <f t="shared" si="10"/>
        <v>219.42571407174597</v>
      </c>
      <c r="L78" s="16">
        <f t="shared" si="11"/>
        <v>0.12653250083810336</v>
      </c>
      <c r="M78" s="45"/>
    </row>
    <row r="79" spans="1:13" x14ac:dyDescent="0.25">
      <c r="A79" s="16">
        <v>5.82</v>
      </c>
      <c r="B79" s="45">
        <f t="shared" si="12"/>
        <v>5820</v>
      </c>
      <c r="C79" s="16">
        <f t="shared" si="13"/>
        <v>3.5060240963855422</v>
      </c>
      <c r="D79" s="15">
        <f t="shared" si="14"/>
        <v>1.7958643515600001E+20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3.7099285684081924E+40</v>
      </c>
      <c r="F79" s="15">
        <f t="shared" si="7"/>
        <v>5.5918783718306373E+40</v>
      </c>
      <c r="G79" s="15">
        <f t="shared" si="8"/>
        <v>3.8200116891945096E+40</v>
      </c>
      <c r="H79" s="15">
        <f t="shared" si="9"/>
        <v>1.3121818629433338E+41</v>
      </c>
      <c r="I79" s="16">
        <v>220.32</v>
      </c>
      <c r="J79" s="45">
        <v>1</v>
      </c>
      <c r="K79" s="19">
        <f t="shared" si="10"/>
        <v>220.82892308003576</v>
      </c>
      <c r="L79" s="16">
        <f t="shared" si="11"/>
        <v>0.25900270139309589</v>
      </c>
      <c r="M79" s="45"/>
    </row>
    <row r="80" spans="1:13" x14ac:dyDescent="0.25">
      <c r="A80" s="16">
        <v>6.49</v>
      </c>
      <c r="B80" s="45">
        <f t="shared" si="12"/>
        <v>6490</v>
      </c>
      <c r="C80" s="16">
        <f t="shared" si="13"/>
        <v>3.9096385542168677</v>
      </c>
      <c r="D80" s="15">
        <f t="shared" si="14"/>
        <v>2.0026047494200001E+20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3.8341564141416866E+40</v>
      </c>
      <c r="F80" s="15">
        <f t="shared" si="7"/>
        <v>6.5172412536226596E+40</v>
      </c>
      <c r="G80" s="15">
        <f t="shared" si="8"/>
        <v>4.4392942018714591E+40</v>
      </c>
      <c r="H80" s="15">
        <f t="shared" si="9"/>
        <v>1.4790691869635806E+41</v>
      </c>
      <c r="I80" s="16">
        <v>220.95</v>
      </c>
      <c r="J80" s="45">
        <v>1</v>
      </c>
      <c r="K80" s="19">
        <f t="shared" si="10"/>
        <v>222.02011739467068</v>
      </c>
      <c r="L80" s="16">
        <f t="shared" si="11"/>
        <v>1.1451512383767828</v>
      </c>
      <c r="M80" s="45"/>
    </row>
    <row r="81" spans="1:13" x14ac:dyDescent="0.25">
      <c r="A81" s="16">
        <v>7.23</v>
      </c>
      <c r="B81" s="45">
        <f t="shared" si="12"/>
        <v>7230</v>
      </c>
      <c r="C81" s="16">
        <f t="shared" si="13"/>
        <v>4.3554216867469879</v>
      </c>
      <c r="D81" s="15">
        <f t="shared" si="14"/>
        <v>2.2309448903400001E+20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3.9500241252983122E+40</v>
      </c>
      <c r="F81" s="15">
        <f t="shared" si="7"/>
        <v>7.5357641860217781E+40</v>
      </c>
      <c r="G81" s="15">
        <f t="shared" si="8"/>
        <v>5.1296020951653176E+40</v>
      </c>
      <c r="H81" s="15">
        <f t="shared" si="9"/>
        <v>1.6615390406485406E+41</v>
      </c>
      <c r="I81" s="16">
        <v>221.32</v>
      </c>
      <c r="J81" s="45">
        <v>1</v>
      </c>
      <c r="K81" s="19">
        <f t="shared" si="10"/>
        <v>222.94952838296425</v>
      </c>
      <c r="L81" s="16">
        <f t="shared" si="11"/>
        <v>2.6553627508860926</v>
      </c>
      <c r="M81" s="45"/>
    </row>
    <row r="82" spans="1:13" x14ac:dyDescent="0.25">
      <c r="A82" s="16">
        <v>8.0500000000000007</v>
      </c>
      <c r="B82" s="45">
        <f t="shared" si="12"/>
        <v>8050.0000000000009</v>
      </c>
      <c r="C82" s="16">
        <f t="shared" si="13"/>
        <v>4.8493975903614466</v>
      </c>
      <c r="D82" s="15">
        <f t="shared" si="14"/>
        <v>2.4839704519000002E+20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4.0578837198549388E+40</v>
      </c>
      <c r="F82" s="15">
        <f t="shared" si="7"/>
        <v>8.6463758797807902E+40</v>
      </c>
      <c r="G82" s="15">
        <f t="shared" si="8"/>
        <v>5.8971006772284398E+40</v>
      </c>
      <c r="H82" s="15">
        <f t="shared" si="9"/>
        <v>1.860136027686417E+41</v>
      </c>
      <c r="I82" s="16">
        <v>223.12</v>
      </c>
      <c r="J82" s="45">
        <v>1</v>
      </c>
      <c r="K82" s="19">
        <f t="shared" si="10"/>
        <v>223.56038226899935</v>
      </c>
      <c r="L82" s="16">
        <f t="shared" si="11"/>
        <v>0.19393654284900996</v>
      </c>
      <c r="M82" s="45"/>
    </row>
    <row r="83" spans="1:13" x14ac:dyDescent="0.25">
      <c r="A83" s="16">
        <v>8.94</v>
      </c>
      <c r="B83" s="45">
        <f t="shared" si="12"/>
        <v>8940</v>
      </c>
      <c r="C83" s="16">
        <f t="shared" si="13"/>
        <v>5.3855421686746991</v>
      </c>
      <c r="D83" s="15">
        <f t="shared" si="14"/>
        <v>2.7585957565199997E+20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4.1493317919219271E+40</v>
      </c>
      <c r="F83" s="15">
        <f t="shared" si="7"/>
        <v>9.8166644206345988E+40</v>
      </c>
      <c r="G83" s="15">
        <f t="shared" si="8"/>
        <v>6.7281537871589427E+40</v>
      </c>
      <c r="H83" s="15">
        <f t="shared" si="9"/>
        <v>2.0694149999715466E+41</v>
      </c>
      <c r="I83" s="16">
        <v>225.29</v>
      </c>
      <c r="J83" s="45">
        <v>1</v>
      </c>
      <c r="K83" s="19">
        <f t="shared" si="10"/>
        <v>223.75640124115156</v>
      </c>
      <c r="L83" s="16">
        <f t="shared" si="11"/>
        <v>2.3519251531414365</v>
      </c>
      <c r="M83" s="45"/>
    </row>
    <row r="84" spans="1:13" x14ac:dyDescent="0.25">
      <c r="A84" s="16">
        <v>9.93</v>
      </c>
      <c r="B84" s="45">
        <f t="shared" si="12"/>
        <v>9930</v>
      </c>
      <c r="C84" s="16">
        <f t="shared" si="13"/>
        <v>5.9819277108433733</v>
      </c>
      <c r="D84" s="15">
        <f t="shared" si="14"/>
        <v>3.06407783694E+20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4.2453713011224095E+40</v>
      </c>
      <c r="F84" s="15">
        <f t="shared" si="7"/>
        <v>1.1062158698729632E+41</v>
      </c>
      <c r="G84" s="15">
        <f t="shared" si="8"/>
        <v>7.6453423583902749E+40</v>
      </c>
      <c r="H84" s="15">
        <f t="shared" si="9"/>
        <v>2.2952872358242316E+41</v>
      </c>
      <c r="I84" s="16">
        <v>227.49</v>
      </c>
      <c r="J84" s="45">
        <v>1</v>
      </c>
      <c r="K84" s="19">
        <f t="shared" si="10"/>
        <v>223.59615345707752</v>
      </c>
      <c r="L84" s="16">
        <f t="shared" si="11"/>
        <v>15.162040899829419</v>
      </c>
      <c r="M84" s="45"/>
    </row>
    <row r="85" spans="1:13" x14ac:dyDescent="0.25">
      <c r="A85" s="16">
        <v>11.01</v>
      </c>
      <c r="B85" s="45">
        <f t="shared" si="12"/>
        <v>11010</v>
      </c>
      <c r="C85" s="16">
        <f t="shared" si="13"/>
        <v>6.6325301204819276</v>
      </c>
      <c r="D85" s="15">
        <f t="shared" si="14"/>
        <v>3.3973310155799999E+20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4.322880747749879E+40</v>
      </c>
      <c r="F85" s="15">
        <f t="shared" si="7"/>
        <v>1.2341623594185614E+41</v>
      </c>
      <c r="G85" s="15">
        <f t="shared" si="8"/>
        <v>8.632818283522849E+40</v>
      </c>
      <c r="H85" s="15">
        <f t="shared" si="9"/>
        <v>2.5297322625458343E+41</v>
      </c>
      <c r="I85" s="16">
        <v>230.08</v>
      </c>
      <c r="J85" s="45">
        <v>1</v>
      </c>
      <c r="K85" s="19">
        <f t="shared" si="10"/>
        <v>222.92770845831734</v>
      </c>
      <c r="L85" s="16">
        <f t="shared" si="11"/>
        <v>51.155274297225496</v>
      </c>
      <c r="M85" s="45"/>
    </row>
    <row r="86" spans="1:13" x14ac:dyDescent="0.25">
      <c r="A86" s="16">
        <v>12.2</v>
      </c>
      <c r="B86" s="45">
        <f t="shared" si="12"/>
        <v>12200</v>
      </c>
      <c r="C86" s="16">
        <f t="shared" si="13"/>
        <v>7.3493975903614457</v>
      </c>
      <c r="D86" s="15">
        <f t="shared" si="14"/>
        <v>3.7645266475999999E+20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4.3972688123831324E+40</v>
      </c>
      <c r="F86" s="15">
        <f t="shared" si="7"/>
        <v>1.3646774951078443E+41</v>
      </c>
      <c r="G86" s="15">
        <f t="shared" si="8"/>
        <v>9.7012177630130292E+40</v>
      </c>
      <c r="H86" s="15">
        <f t="shared" si="9"/>
        <v>2.7745261526474606E+41</v>
      </c>
      <c r="I86" s="16">
        <v>230.44</v>
      </c>
      <c r="J86" s="45">
        <v>1</v>
      </c>
      <c r="K86" s="19">
        <f t="shared" si="10"/>
        <v>221.78640818995814</v>
      </c>
      <c r="L86" s="16">
        <f t="shared" si="11"/>
        <v>74.884651214823549</v>
      </c>
      <c r="M86" s="45"/>
    </row>
    <row r="87" spans="1:13" x14ac:dyDescent="0.25">
      <c r="A87" s="16">
        <v>13.51</v>
      </c>
      <c r="B87" s="45">
        <f t="shared" si="12"/>
        <v>13510</v>
      </c>
      <c r="C87" s="16">
        <f t="shared" si="13"/>
        <v>8.1385542168674707</v>
      </c>
      <c r="D87" s="15">
        <f t="shared" si="14"/>
        <v>4.1687504105800001E+20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4.4645600893481932E+40</v>
      </c>
      <c r="F87" s="15">
        <f t="shared" si="7"/>
        <v>1.4952084215295337E+41</v>
      </c>
      <c r="G87" s="15">
        <f t="shared" si="8"/>
        <v>1.0850443812963538E+41</v>
      </c>
      <c r="H87" s="15">
        <f t="shared" si="9"/>
        <v>3.0267088117607066E+41</v>
      </c>
      <c r="I87" s="16">
        <v>227.75</v>
      </c>
      <c r="J87" s="45">
        <v>1</v>
      </c>
      <c r="K87" s="19">
        <f t="shared" si="10"/>
        <v>220.12941406584378</v>
      </c>
      <c r="L87" s="16">
        <f t="shared" si="11"/>
        <v>58.0733299798597</v>
      </c>
      <c r="M87" s="45"/>
    </row>
    <row r="88" spans="1:13" x14ac:dyDescent="0.25">
      <c r="A88" s="16">
        <v>14.95</v>
      </c>
      <c r="B88" s="45">
        <f t="shared" si="12"/>
        <v>14950</v>
      </c>
      <c r="C88" s="16">
        <f t="shared" si="13"/>
        <v>9.0060240963855414</v>
      </c>
      <c r="D88" s="15">
        <f t="shared" si="14"/>
        <v>4.6130879820999996E+20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4.5237929614308423E+40</v>
      </c>
      <c r="F88" s="15">
        <f t="shared" si="7"/>
        <v>1.62292392835464E+41</v>
      </c>
      <c r="G88" s="15">
        <f t="shared" si="8"/>
        <v>1.2079023856440787E+41</v>
      </c>
      <c r="H88" s="15">
        <f t="shared" si="9"/>
        <v>3.283205610141803E+41</v>
      </c>
      <c r="I88" s="16">
        <v>227.02</v>
      </c>
      <c r="J88" s="45">
        <v>1</v>
      </c>
      <c r="K88" s="19">
        <f t="shared" si="10"/>
        <v>217.94598648091653</v>
      </c>
      <c r="L88" s="16">
        <f t="shared" si="11"/>
        <v>82.337721344509745</v>
      </c>
      <c r="M88" s="45"/>
    </row>
    <row r="89" spans="1:13" x14ac:dyDescent="0.25">
      <c r="A89" s="16">
        <v>16.54</v>
      </c>
      <c r="B89" s="45">
        <f t="shared" si="12"/>
        <v>16540</v>
      </c>
      <c r="C89" s="16">
        <f t="shared" si="13"/>
        <v>9.9638554216867465</v>
      </c>
      <c r="D89" s="15">
        <f t="shared" si="14"/>
        <v>5.1037107173199997E+20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4.5752080522149396E+40</v>
      </c>
      <c r="F89" s="15">
        <f t="shared" si="7"/>
        <v>1.7456396940348208E+41</v>
      </c>
      <c r="G89" s="15">
        <f t="shared" si="8"/>
        <v>1.3392339532736404E+41</v>
      </c>
      <c r="H89" s="15">
        <f t="shared" si="9"/>
        <v>3.5423944525299551E+41</v>
      </c>
      <c r="I89" s="16">
        <v>227.55</v>
      </c>
      <c r="J89" s="45">
        <v>1</v>
      </c>
      <c r="K89" s="19">
        <f t="shared" si="10"/>
        <v>215.22917375636544</v>
      </c>
      <c r="L89" s="16">
        <f t="shared" si="11"/>
        <v>151.80275932583436</v>
      </c>
      <c r="M89" s="45"/>
    </row>
    <row r="90" spans="1:13" x14ac:dyDescent="0.25">
      <c r="A90" s="16">
        <v>18.29</v>
      </c>
      <c r="B90" s="45">
        <f t="shared" si="12"/>
        <v>18290</v>
      </c>
      <c r="C90" s="16">
        <f t="shared" si="13"/>
        <v>11.018072289156626</v>
      </c>
      <c r="D90" s="15">
        <f t="shared" si="14"/>
        <v>5.6437042938199998E+20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4.6204818326966262E+40</v>
      </c>
      <c r="F90" s="15">
        <f t="shared" si="7"/>
        <v>1.8602847284934248E+41</v>
      </c>
      <c r="G90" s="15">
        <f t="shared" si="8"/>
        <v>1.4785630015318067E+41</v>
      </c>
      <c r="H90" s="15">
        <f t="shared" si="9"/>
        <v>3.8008959132948939E+41</v>
      </c>
      <c r="I90" s="16">
        <v>228.93</v>
      </c>
      <c r="J90" s="45">
        <v>1</v>
      </c>
      <c r="K90" s="19">
        <f t="shared" si="10"/>
        <v>212.01010794536097</v>
      </c>
      <c r="L90" s="16">
        <f t="shared" si="11"/>
        <v>286.28274714063718</v>
      </c>
      <c r="M90" s="45"/>
    </row>
    <row r="91" spans="1:13" x14ac:dyDescent="0.25">
      <c r="A91" s="16">
        <v>20.2</v>
      </c>
      <c r="B91" s="45">
        <f t="shared" si="12"/>
        <v>20200</v>
      </c>
      <c r="C91" s="16">
        <f t="shared" si="13"/>
        <v>12.168674698795181</v>
      </c>
      <c r="D91" s="15">
        <f t="shared" si="14"/>
        <v>6.2330687115999995E+20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4.659114051415421E+40</v>
      </c>
      <c r="F91" s="15">
        <f t="shared" si="7"/>
        <v>1.9637467235967165E+41</v>
      </c>
      <c r="G91" s="15">
        <f t="shared" si="8"/>
        <v>1.6245645395601975E+41</v>
      </c>
      <c r="H91" s="15">
        <f t="shared" si="9"/>
        <v>4.0542226682984562E+41</v>
      </c>
      <c r="I91" s="16">
        <v>228.8</v>
      </c>
      <c r="J91" s="45">
        <v>1</v>
      </c>
      <c r="K91" s="19">
        <f t="shared" si="10"/>
        <v>208.35241831217581</v>
      </c>
      <c r="L91" s="16">
        <f t="shared" si="11"/>
        <v>418.10359688024346</v>
      </c>
      <c r="M91" s="45"/>
    </row>
    <row r="92" spans="1:13" x14ac:dyDescent="0.25">
      <c r="A92" s="16">
        <v>22.32</v>
      </c>
      <c r="B92" s="45">
        <f t="shared" si="12"/>
        <v>22320</v>
      </c>
      <c r="C92" s="16">
        <f t="shared" si="13"/>
        <v>13.445783132530121</v>
      </c>
      <c r="D92" s="15">
        <f t="shared" si="14"/>
        <v>6.8872323585599996E+20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4.692879124568674E+40</v>
      </c>
      <c r="F92" s="15">
        <f t="shared" si="7"/>
        <v>2.0559366357921585E+41</v>
      </c>
      <c r="G92" s="15">
        <f t="shared" si="8"/>
        <v>1.7795466841907158E+41</v>
      </c>
      <c r="H92" s="15">
        <f t="shared" si="9"/>
        <v>4.3047712324397417E+41</v>
      </c>
      <c r="I92" s="16">
        <v>224.59</v>
      </c>
      <c r="J92" s="45">
        <v>1</v>
      </c>
      <c r="K92" s="19">
        <f t="shared" si="10"/>
        <v>204.24356146288545</v>
      </c>
      <c r="L92" s="16">
        <f t="shared" si="11"/>
        <v>413.97756114458014</v>
      </c>
      <c r="M92" s="45"/>
    </row>
    <row r="93" spans="1:13" x14ac:dyDescent="0.25">
      <c r="A93" s="16">
        <v>24.64</v>
      </c>
      <c r="B93" s="45">
        <f t="shared" si="12"/>
        <v>24640</v>
      </c>
      <c r="C93" s="16">
        <f t="shared" si="13"/>
        <v>14.843373493975903</v>
      </c>
      <c r="D93" s="15">
        <f t="shared" si="14"/>
        <v>7.6031095571200003E+20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4.7220545148308437E+40</v>
      </c>
      <c r="F93" s="15">
        <f t="shared" si="7"/>
        <v>2.1343220441294394E+41</v>
      </c>
      <c r="G93" s="15">
        <f t="shared" si="8"/>
        <v>1.9411420957353402E+41</v>
      </c>
      <c r="H93" s="15">
        <f t="shared" si="9"/>
        <v>4.5476695913478634E+41</v>
      </c>
      <c r="I93" s="16">
        <v>219.06</v>
      </c>
      <c r="J93" s="45">
        <v>1</v>
      </c>
      <c r="K93" s="19">
        <f t="shared" si="10"/>
        <v>199.79956191734826</v>
      </c>
      <c r="L93" s="16">
        <f t="shared" si="11"/>
        <v>370.96447513566164</v>
      </c>
      <c r="M93" s="45"/>
    </row>
    <row r="94" spans="1:13" x14ac:dyDescent="0.25">
      <c r="A94" s="16">
        <v>27.19</v>
      </c>
      <c r="B94" s="45">
        <f t="shared" si="12"/>
        <v>27190</v>
      </c>
      <c r="C94" s="16">
        <f t="shared" si="13"/>
        <v>16.379518072289155</v>
      </c>
      <c r="D94" s="15">
        <f t="shared" si="14"/>
        <v>8.3899573400200007E+20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4.7416577059605784E+40</v>
      </c>
      <c r="F94" s="15">
        <f t="shared" si="7"/>
        <v>2.1989868066488149E+41</v>
      </c>
      <c r="G94" s="15">
        <f t="shared" si="8"/>
        <v>2.1098113401973466E+41</v>
      </c>
      <c r="H94" s="15">
        <f t="shared" si="9"/>
        <v>4.7829639174422193E+41</v>
      </c>
      <c r="I94" s="16">
        <v>217.79</v>
      </c>
      <c r="J94" s="45">
        <v>1</v>
      </c>
      <c r="K94" s="19">
        <f t="shared" si="10"/>
        <v>195.05827537179889</v>
      </c>
      <c r="L94" s="16">
        <f t="shared" si="11"/>
        <v>516.73130457236471</v>
      </c>
      <c r="M94" s="45"/>
    </row>
    <row r="95" spans="1:13" x14ac:dyDescent="0.25">
      <c r="A95" s="16">
        <v>30</v>
      </c>
      <c r="B95" s="45">
        <f t="shared" si="12"/>
        <v>30000</v>
      </c>
      <c r="C95" s="16">
        <f t="shared" si="13"/>
        <v>18.072289156626507</v>
      </c>
      <c r="D95" s="15">
        <f t="shared" si="14"/>
        <v>9.2570327399999996E+20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4.7619997839932524E+40</v>
      </c>
      <c r="F95" s="15">
        <f t="shared" si="7"/>
        <v>2.2504284247773613E+41</v>
      </c>
      <c r="G95" s="15">
        <f t="shared" si="8"/>
        <v>2.2857369925262661E+41</v>
      </c>
      <c r="H95" s="15">
        <f t="shared" si="9"/>
        <v>5.0123653957029527E+41</v>
      </c>
      <c r="I95" s="16">
        <v>215.37</v>
      </c>
      <c r="J95" s="45">
        <v>1</v>
      </c>
      <c r="K95" s="19">
        <f t="shared" si="10"/>
        <v>190.0995836571696</v>
      </c>
      <c r="L95" s="16">
        <f t="shared" si="11"/>
        <v>638.59394213998985</v>
      </c>
      <c r="M95" s="45"/>
    </row>
    <row r="96" spans="1:13" x14ac:dyDescent="0.25">
      <c r="H96" s="15"/>
      <c r="K96" s="45"/>
      <c r="L96" s="16">
        <f>SUM(L59:L95)/(COUNT(L59:L95)-6)</f>
        <v>252.56992867344516</v>
      </c>
      <c r="M96" s="45"/>
    </row>
    <row r="97" spans="1:29" x14ac:dyDescent="0.25">
      <c r="H97" s="15"/>
      <c r="K97" s="45"/>
      <c r="L97" s="17"/>
      <c r="M97" s="45"/>
    </row>
    <row r="98" spans="1:29" x14ac:dyDescent="0.25">
      <c r="I98" s="45"/>
      <c r="J98" s="45"/>
      <c r="L98" s="16"/>
    </row>
    <row r="99" spans="1:29" x14ac:dyDescent="0.25">
      <c r="I99" s="45"/>
      <c r="J99" s="45"/>
      <c r="L99" s="16"/>
    </row>
    <row r="100" spans="1:29" x14ac:dyDescent="0.25">
      <c r="I100" s="45"/>
      <c r="J100" s="45"/>
      <c r="L100" s="16"/>
    </row>
    <row r="101" spans="1:29" x14ac:dyDescent="0.25">
      <c r="I101" s="45"/>
      <c r="J101" s="45"/>
      <c r="L101" s="16"/>
    </row>
    <row r="102" spans="1:29" x14ac:dyDescent="0.25">
      <c r="I102" s="45"/>
      <c r="J102" s="45"/>
      <c r="L102" s="16"/>
    </row>
    <row r="103" spans="1:29" x14ac:dyDescent="0.25">
      <c r="I103" s="45"/>
      <c r="J103" s="45"/>
      <c r="L103" s="16"/>
    </row>
    <row r="104" spans="1:29" x14ac:dyDescent="0.25">
      <c r="I104" s="45"/>
      <c r="J104" s="45"/>
      <c r="L104" s="16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s="17" customFormat="1" x14ac:dyDescent="0.25">
      <c r="A551" s="16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16"/>
      <c r="W551" s="16"/>
      <c r="X551" s="45"/>
      <c r="Y551" s="45"/>
      <c r="Z551" s="45"/>
      <c r="AA551" s="45"/>
      <c r="AB551" s="45"/>
      <c r="AC551" s="45"/>
    </row>
    <row r="552" spans="1:29" s="17" customFormat="1" x14ac:dyDescent="0.25">
      <c r="A552" s="16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16"/>
      <c r="W552" s="16"/>
      <c r="X552" s="45"/>
      <c r="Y552" s="45"/>
      <c r="Z552" s="45"/>
      <c r="AA552" s="45"/>
      <c r="AB552" s="45"/>
      <c r="AC552" s="45"/>
    </row>
    <row r="553" spans="1:29" x14ac:dyDescent="0.25">
      <c r="L553" s="16"/>
    </row>
    <row r="554" spans="1:29" x14ac:dyDescent="0.25">
      <c r="L554" s="16"/>
      <c r="N554" s="17"/>
      <c r="O554" s="38"/>
    </row>
    <row r="555" spans="1:29" x14ac:dyDescent="0.25">
      <c r="L555" s="16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C51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1199.99999997087</v>
      </c>
      <c r="E2" s="55"/>
      <c r="F2" s="53" t="s">
        <v>620</v>
      </c>
      <c r="G2" s="53">
        <v>22490461831</v>
      </c>
      <c r="H2" s="62"/>
      <c r="K2" s="51" t="s">
        <v>1</v>
      </c>
      <c r="L2" s="60" t="s">
        <v>604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1.1643994945737299E+39</v>
      </c>
      <c r="E3" s="53"/>
      <c r="F3" s="53" t="s">
        <v>621</v>
      </c>
      <c r="G3" s="53">
        <f>H26/SolarMass</f>
        <v>23452846659.465172</v>
      </c>
      <c r="H3" s="62"/>
      <c r="K3" s="51" t="s">
        <v>562</v>
      </c>
      <c r="L3" s="57">
        <v>3.699E-3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1535.91588186026</v>
      </c>
      <c r="E4" s="55"/>
      <c r="F4" s="53" t="s">
        <v>622</v>
      </c>
      <c r="G4" s="52">
        <f>G3/G2</f>
        <v>1.0427907988593927</v>
      </c>
      <c r="H4" s="62"/>
      <c r="K4" s="61" t="s">
        <v>614</v>
      </c>
      <c r="L4" s="52">
        <f>QEHModelChiSquare</f>
        <v>31.203024291498242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1550.17868817574</v>
      </c>
      <c r="F5" s="53"/>
      <c r="G5" s="52"/>
      <c r="H5" s="62"/>
      <c r="K5" s="61" t="s">
        <v>615</v>
      </c>
      <c r="L5" s="52">
        <f>LCDMModelChiSquare</f>
        <v>102.84033153535164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0.24</v>
      </c>
      <c r="B8" s="45">
        <f t="shared" ref="B8:B26" si="0">RadiusKpc*1000</f>
        <v>240</v>
      </c>
      <c r="C8" s="16">
        <f t="shared" ref="C8:C26" si="1">IF(QESBulgeEffectiveRadius=0,0,RadiusPc/QESBulgeEffectiveRadius)</f>
        <v>0.20000000000485499</v>
      </c>
      <c r="D8" s="15">
        <f t="shared" ref="D8:D26" si="2">RadiusKpc*kpc</f>
        <v>7.405626192E+18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1.161395343907526E+38</v>
      </c>
      <c r="F8" s="15">
        <f t="shared" ref="F8:F26" si="3">2*PI()*QESDiskSurfaceDensity*QESDiskScaleLength*(QESDiskScaleLength-EXP(-RadiusPc/QESDiskScaleLength)*(RadiusPc+QESDiskScaleLength))*SolarMass</f>
        <v>5.0311333844005646E+38</v>
      </c>
      <c r="H8" s="18">
        <f t="shared" ref="H8:H26" si="4">BulgeMass+DiskMass+HaloMass</f>
        <v>6.1925287283080902E+38</v>
      </c>
      <c r="I8" s="16">
        <v>73.89</v>
      </c>
      <c r="J8" s="45">
        <v>1</v>
      </c>
      <c r="K8" s="19">
        <f t="shared" ref="K8:K26" si="5">SQRT(TotalMass*GravitationalConstant/RadiusKm+UniverseAcceleration*RadiusKm)/km</f>
        <v>76.49098040526917</v>
      </c>
      <c r="L8" s="16">
        <f t="shared" ref="L8:L26" si="6">(ObservedVelocity-ModelVelocity)^2/(VelocityError)^2</f>
        <v>6.7650990685941714</v>
      </c>
    </row>
    <row r="9" spans="1:23" x14ac:dyDescent="0.25">
      <c r="A9" s="16">
        <v>0.5</v>
      </c>
      <c r="B9" s="45">
        <f t="shared" si="0"/>
        <v>500</v>
      </c>
      <c r="C9" s="16">
        <f t="shared" si="1"/>
        <v>0.41666666667678126</v>
      </c>
      <c r="D9" s="15">
        <f t="shared" si="2"/>
        <v>1.54283879E+19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2.4236587346906477E+38</v>
      </c>
      <c r="F9" s="15">
        <f t="shared" si="3"/>
        <v>1.955112361041151E+39</v>
      </c>
      <c r="H9" s="18">
        <f t="shared" si="4"/>
        <v>2.1974782345102157E+39</v>
      </c>
      <c r="I9" s="16">
        <v>109</v>
      </c>
      <c r="J9" s="45">
        <v>1</v>
      </c>
      <c r="K9" s="19">
        <f t="shared" si="5"/>
        <v>100.34222554991696</v>
      </c>
      <c r="L9" s="16">
        <f t="shared" si="6"/>
        <v>74.957058428510678</v>
      </c>
    </row>
    <row r="10" spans="1:23" x14ac:dyDescent="0.25">
      <c r="A10" s="16">
        <v>0.78</v>
      </c>
      <c r="B10" s="45">
        <f t="shared" si="0"/>
        <v>780</v>
      </c>
      <c r="C10" s="16">
        <f t="shared" si="1"/>
        <v>0.65000000001577873</v>
      </c>
      <c r="D10" s="15">
        <f t="shared" si="2"/>
        <v>2.4068285124000002E+19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3.533836026149389E+38</v>
      </c>
      <c r="F10" s="15">
        <f t="shared" si="3"/>
        <v>4.2317661963464276E+39</v>
      </c>
      <c r="H10" s="18">
        <f t="shared" si="4"/>
        <v>4.5851497989613667E+39</v>
      </c>
      <c r="I10" s="16">
        <v>114.76</v>
      </c>
      <c r="J10" s="45">
        <v>1</v>
      </c>
      <c r="K10" s="19">
        <f t="shared" si="5"/>
        <v>116.58555955629654</v>
      </c>
      <c r="L10" s="16">
        <f t="shared" si="6"/>
        <v>3.3326676935856185</v>
      </c>
    </row>
    <row r="11" spans="1:23" x14ac:dyDescent="0.25">
      <c r="A11" s="16">
        <v>1.1000000000000001</v>
      </c>
      <c r="B11" s="45">
        <f t="shared" si="0"/>
        <v>1100</v>
      </c>
      <c r="C11" s="16">
        <f t="shared" si="1"/>
        <v>0.91666666668891872</v>
      </c>
      <c r="D11" s="15">
        <f t="shared" si="2"/>
        <v>3.3942453380000002E+19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4.558158261532635E+38</v>
      </c>
      <c r="F11" s="15">
        <f t="shared" si="3"/>
        <v>7.3788978237960349E+39</v>
      </c>
      <c r="H11" s="18">
        <f t="shared" si="4"/>
        <v>7.8347136499492985E+39</v>
      </c>
      <c r="I11" s="16">
        <v>128.37</v>
      </c>
      <c r="J11" s="45">
        <v>1</v>
      </c>
      <c r="K11" s="19">
        <f t="shared" si="5"/>
        <v>129.00810683709523</v>
      </c>
      <c r="L11" s="16">
        <f t="shared" si="6"/>
        <v>0.4071803355476683</v>
      </c>
    </row>
    <row r="12" spans="1:23" x14ac:dyDescent="0.25">
      <c r="A12" s="16">
        <v>1.45</v>
      </c>
      <c r="B12" s="45">
        <f t="shared" si="0"/>
        <v>1450</v>
      </c>
      <c r="C12" s="16">
        <f t="shared" si="1"/>
        <v>1.2083333333626656</v>
      </c>
      <c r="D12" s="15">
        <f t="shared" si="2"/>
        <v>4.4742324909999997E+19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5.4550078622447591E+38</v>
      </c>
      <c r="F12" s="15">
        <f t="shared" si="3"/>
        <v>1.1136837192304586E+40</v>
      </c>
      <c r="H12" s="18">
        <f t="shared" si="4"/>
        <v>1.1682337978529061E+40</v>
      </c>
      <c r="I12" s="16">
        <v>137.25</v>
      </c>
      <c r="J12" s="45">
        <v>1</v>
      </c>
      <c r="K12" s="19">
        <f t="shared" si="5"/>
        <v>138.04991184851184</v>
      </c>
      <c r="L12" s="16">
        <f t="shared" si="6"/>
        <v>0.63985896538962916</v>
      </c>
    </row>
    <row r="13" spans="1:23" x14ac:dyDescent="0.25">
      <c r="A13" s="16">
        <v>1.83</v>
      </c>
      <c r="B13" s="45">
        <f t="shared" si="0"/>
        <v>1830</v>
      </c>
      <c r="C13" s="16">
        <f t="shared" si="1"/>
        <v>1.5250000000370194</v>
      </c>
      <c r="D13" s="15">
        <f t="shared" si="2"/>
        <v>5.6467899714000003E+19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6.2371350027524587E+38</v>
      </c>
      <c r="F13" s="15">
        <f t="shared" si="3"/>
        <v>1.5278263964367759E+40</v>
      </c>
      <c r="H13" s="18">
        <f t="shared" si="4"/>
        <v>1.5901977464643004E+40</v>
      </c>
      <c r="I13" s="16">
        <v>143.55000000000001</v>
      </c>
      <c r="J13" s="45">
        <v>1</v>
      </c>
      <c r="K13" s="19">
        <f t="shared" si="5"/>
        <v>144.40950784716782</v>
      </c>
      <c r="L13" s="16">
        <f t="shared" si="6"/>
        <v>0.7387537393430349</v>
      </c>
    </row>
    <row r="14" spans="1:23" x14ac:dyDescent="0.25">
      <c r="A14" s="16">
        <v>2.25</v>
      </c>
      <c r="B14" s="45">
        <f t="shared" si="0"/>
        <v>2250</v>
      </c>
      <c r="C14" s="16">
        <f t="shared" si="1"/>
        <v>1.8750000000455156</v>
      </c>
      <c r="D14" s="15">
        <f t="shared" si="2"/>
        <v>6.9427745549999997E+19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6.9354835996248733E+38</v>
      </c>
      <c r="F14" s="15">
        <f t="shared" si="3"/>
        <v>1.9669444151638502E+40</v>
      </c>
      <c r="H14" s="18">
        <f t="shared" si="4"/>
        <v>2.036299251160099E+40</v>
      </c>
      <c r="I14" s="16">
        <v>149.77000000000001</v>
      </c>
      <c r="J14" s="45">
        <v>1</v>
      </c>
      <c r="K14" s="19">
        <f t="shared" si="5"/>
        <v>148.68315690718549</v>
      </c>
      <c r="L14" s="16">
        <f t="shared" si="6"/>
        <v>1.1812279083986286</v>
      </c>
    </row>
    <row r="15" spans="1:23" x14ac:dyDescent="0.25">
      <c r="A15" s="16">
        <v>2.71</v>
      </c>
      <c r="B15" s="45">
        <f t="shared" si="0"/>
        <v>2710</v>
      </c>
      <c r="C15" s="16">
        <f t="shared" si="1"/>
        <v>2.2583333333881543</v>
      </c>
      <c r="D15" s="15">
        <f t="shared" si="2"/>
        <v>8.3621862418000003E+19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7.5525280017837921E+38</v>
      </c>
      <c r="F15" s="15">
        <f t="shared" si="3"/>
        <v>2.4062781082442295E+40</v>
      </c>
      <c r="H15" s="18">
        <f t="shared" si="4"/>
        <v>2.4818033882620673E+40</v>
      </c>
      <c r="I15" s="16">
        <v>152.99</v>
      </c>
      <c r="J15" s="45">
        <v>1</v>
      </c>
      <c r="K15" s="19">
        <f t="shared" si="5"/>
        <v>151.18628116153903</v>
      </c>
      <c r="L15" s="16">
        <f t="shared" si="6"/>
        <v>3.2534016482190289</v>
      </c>
    </row>
    <row r="16" spans="1:23" x14ac:dyDescent="0.25">
      <c r="A16" s="16">
        <v>3.21</v>
      </c>
      <c r="B16" s="45">
        <f t="shared" si="0"/>
        <v>3210</v>
      </c>
      <c r="C16" s="16">
        <f t="shared" si="1"/>
        <v>2.6750000000649354</v>
      </c>
      <c r="D16" s="15">
        <f t="shared" si="2"/>
        <v>9.9050250317999997E+19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8.0946724064544741E+38</v>
      </c>
      <c r="F16" s="15">
        <f t="shared" si="3"/>
        <v>2.8235674331950322E+40</v>
      </c>
      <c r="H16" s="18">
        <f t="shared" si="4"/>
        <v>2.9045141572595772E+40</v>
      </c>
      <c r="I16" s="16">
        <v>155.83000000000001</v>
      </c>
      <c r="J16" s="45">
        <v>1</v>
      </c>
      <c r="K16" s="19">
        <f t="shared" si="5"/>
        <v>152.25904303744625</v>
      </c>
      <c r="L16" s="16">
        <f t="shared" si="6"/>
        <v>12.751733628411214</v>
      </c>
    </row>
    <row r="17" spans="1:29" x14ac:dyDescent="0.25">
      <c r="A17" s="16">
        <v>3.77</v>
      </c>
      <c r="B17" s="45">
        <f t="shared" si="0"/>
        <v>3770</v>
      </c>
      <c r="C17" s="16">
        <f t="shared" si="1"/>
        <v>3.1416666667429305</v>
      </c>
      <c r="D17" s="15">
        <f t="shared" si="2"/>
        <v>1.1633004476600001E+20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8.5839530740689331E+38</v>
      </c>
      <c r="F17" s="15">
        <f t="shared" si="3"/>
        <v>3.2141266374013861E+40</v>
      </c>
      <c r="H17" s="18">
        <f t="shared" si="4"/>
        <v>3.2999661681420756E+40</v>
      </c>
      <c r="I17" s="16">
        <v>157.22</v>
      </c>
      <c r="J17" s="45">
        <v>1</v>
      </c>
      <c r="K17" s="19">
        <f t="shared" si="5"/>
        <v>152.23224130269318</v>
      </c>
      <c r="L17" s="16">
        <f t="shared" si="6"/>
        <v>24.87773682255979</v>
      </c>
    </row>
    <row r="18" spans="1:29" x14ac:dyDescent="0.25">
      <c r="A18" s="16">
        <v>4.3899999999999997</v>
      </c>
      <c r="B18" s="45">
        <f t="shared" si="0"/>
        <v>4390</v>
      </c>
      <c r="C18" s="16">
        <f t="shared" si="1"/>
        <v>3.6583333334221395</v>
      </c>
      <c r="D18" s="15">
        <f t="shared" si="2"/>
        <v>1.3546124576199999E+20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9.0186913286928703E+38</v>
      </c>
      <c r="F18" s="15">
        <f t="shared" si="3"/>
        <v>3.5587440057072427E+40</v>
      </c>
      <c r="H18" s="18">
        <f t="shared" si="4"/>
        <v>3.6489309189941713E+40</v>
      </c>
      <c r="I18" s="16">
        <v>158.4</v>
      </c>
      <c r="J18" s="45">
        <v>1</v>
      </c>
      <c r="K18" s="19">
        <f t="shared" si="5"/>
        <v>151.38618437435929</v>
      </c>
      <c r="L18" s="16">
        <f t="shared" si="6"/>
        <v>49.193609630481888</v>
      </c>
    </row>
    <row r="19" spans="1:29" x14ac:dyDescent="0.25">
      <c r="A19" s="16">
        <v>5.0599999999999996</v>
      </c>
      <c r="B19" s="45">
        <f t="shared" si="0"/>
        <v>5060</v>
      </c>
      <c r="C19" s="16">
        <f t="shared" si="1"/>
        <v>4.2166666667690258</v>
      </c>
      <c r="D19" s="15">
        <f t="shared" si="2"/>
        <v>1.5613528554799999E+20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9.3952290152445626E+38</v>
      </c>
      <c r="F19" s="15">
        <f t="shared" si="3"/>
        <v>3.8424430436213051E+40</v>
      </c>
      <c r="H19" s="18">
        <f t="shared" si="4"/>
        <v>3.9363953337737505E+40</v>
      </c>
      <c r="I19" s="16">
        <v>157.77000000000001</v>
      </c>
      <c r="J19" s="45">
        <v>1</v>
      </c>
      <c r="K19" s="19">
        <f t="shared" si="5"/>
        <v>150.06655539469367</v>
      </c>
      <c r="L19" s="16">
        <f t="shared" si="6"/>
        <v>59.343058787023423</v>
      </c>
    </row>
    <row r="20" spans="1:29" s="17" customFormat="1" x14ac:dyDescent="0.25">
      <c r="A20" s="16">
        <v>5.81</v>
      </c>
      <c r="B20" s="45">
        <f t="shared" si="0"/>
        <v>5810</v>
      </c>
      <c r="C20" s="16">
        <f t="shared" si="1"/>
        <v>4.8416666667841977</v>
      </c>
      <c r="D20" s="15">
        <f t="shared" si="2"/>
        <v>1.7927786739799998E+20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9.7317307658424722E+38</v>
      </c>
      <c r="F20" s="15">
        <f t="shared" si="3"/>
        <v>4.0728803038312219E+40</v>
      </c>
      <c r="G20" s="15"/>
      <c r="H20" s="18">
        <f t="shared" si="4"/>
        <v>4.1701976114896466E+40</v>
      </c>
      <c r="I20" s="16">
        <v>153.25</v>
      </c>
      <c r="J20" s="45">
        <v>1</v>
      </c>
      <c r="K20" s="19">
        <f t="shared" si="5"/>
        <v>148.53352981506544</v>
      </c>
      <c r="L20" s="16">
        <f t="shared" si="6"/>
        <v>22.245091005376686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6.62</v>
      </c>
      <c r="B21" s="45">
        <f t="shared" si="0"/>
        <v>6620</v>
      </c>
      <c r="C21" s="16">
        <f t="shared" si="1"/>
        <v>5.5166666668005835</v>
      </c>
      <c r="D21" s="15">
        <f t="shared" si="2"/>
        <v>2.04271855796E+20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1.0005486909009722E+39</v>
      </c>
      <c r="F21" s="15">
        <f t="shared" si="3"/>
        <v>4.244407683439752E+40</v>
      </c>
      <c r="G21" s="15"/>
      <c r="H21" s="18">
        <f t="shared" si="4"/>
        <v>4.3444625525298492E+40</v>
      </c>
      <c r="I21" s="16">
        <v>149.84</v>
      </c>
      <c r="J21" s="45">
        <v>1</v>
      </c>
      <c r="K21" s="19">
        <f t="shared" si="5"/>
        <v>147.11720598056334</v>
      </c>
      <c r="L21" s="16">
        <f t="shared" si="6"/>
        <v>7.4136072722800561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7.52</v>
      </c>
      <c r="B22" s="45">
        <f t="shared" si="0"/>
        <v>7520</v>
      </c>
      <c r="C22" s="16">
        <f t="shared" si="1"/>
        <v>6.2666666668187903</v>
      </c>
      <c r="D22" s="15">
        <f t="shared" si="2"/>
        <v>2.3204295401599998E+20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1.0267674743194195E+39</v>
      </c>
      <c r="F22" s="15">
        <f t="shared" si="3"/>
        <v>4.368937977847872E+40</v>
      </c>
      <c r="G22" s="15"/>
      <c r="H22" s="18">
        <f t="shared" si="4"/>
        <v>4.4716147252798141E+40</v>
      </c>
      <c r="I22" s="16">
        <v>148.72999999999999</v>
      </c>
      <c r="J22" s="45">
        <v>1</v>
      </c>
      <c r="K22" s="19">
        <f t="shared" si="5"/>
        <v>146.02428143004886</v>
      </c>
      <c r="L22" s="16">
        <f t="shared" si="6"/>
        <v>7.3209129797783925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8.51</v>
      </c>
      <c r="B23" s="45">
        <f t="shared" si="0"/>
        <v>8510</v>
      </c>
      <c r="C23" s="16">
        <f t="shared" si="1"/>
        <v>7.0916666668388171</v>
      </c>
      <c r="D23" s="15">
        <f t="shared" si="2"/>
        <v>2.6259116205800001E+20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1.04947142083044E+39</v>
      </c>
      <c r="F23" s="15">
        <f t="shared" si="3"/>
        <v>4.4530895851948897E+40</v>
      </c>
      <c r="G23" s="15"/>
      <c r="H23" s="18">
        <f t="shared" si="4"/>
        <v>4.5580367272779333E+40</v>
      </c>
      <c r="I23" s="16">
        <v>150.29</v>
      </c>
      <c r="J23" s="45">
        <v>1</v>
      </c>
      <c r="K23" s="19">
        <f t="shared" si="5"/>
        <v>145.46651582228782</v>
      </c>
      <c r="L23" s="16">
        <f t="shared" si="6"/>
        <v>23.265999612639693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9.6</v>
      </c>
      <c r="B24" s="45">
        <f t="shared" si="0"/>
        <v>9600</v>
      </c>
      <c r="C24" s="16">
        <f t="shared" si="1"/>
        <v>8.0000000001942002</v>
      </c>
      <c r="D24" s="15">
        <f t="shared" si="2"/>
        <v>2.9622504768E+20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1.0688372280572501E+39</v>
      </c>
      <c r="F24" s="15">
        <f t="shared" si="3"/>
        <v>4.5064410775907409E+40</v>
      </c>
      <c r="G24" s="15"/>
      <c r="H24" s="18">
        <f t="shared" si="4"/>
        <v>4.6133248003964664E+40</v>
      </c>
      <c r="I24" s="16">
        <v>152.5</v>
      </c>
      <c r="J24" s="45">
        <v>1</v>
      </c>
      <c r="K24" s="19">
        <f t="shared" si="5"/>
        <v>145.58919296769096</v>
      </c>
      <c r="L24" s="16">
        <f t="shared" si="6"/>
        <v>47.759253837812047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10.8</v>
      </c>
      <c r="B25" s="45">
        <f t="shared" si="0"/>
        <v>10800</v>
      </c>
      <c r="C25" s="16">
        <f t="shared" si="1"/>
        <v>9.0000000002184741</v>
      </c>
      <c r="D25" s="15">
        <f t="shared" si="2"/>
        <v>3.3325317864000002E+20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1.0852436169354213E+39</v>
      </c>
      <c r="F25" s="15">
        <f t="shared" si="3"/>
        <v>4.5379576799283819E+40</v>
      </c>
      <c r="G25" s="15"/>
      <c r="H25" s="18">
        <f t="shared" si="4"/>
        <v>4.6464820416219238E+40</v>
      </c>
      <c r="I25" s="16">
        <v>153.83000000000001</v>
      </c>
      <c r="J25" s="45">
        <v>1</v>
      </c>
      <c r="K25" s="19">
        <f t="shared" si="5"/>
        <v>146.48549308449566</v>
      </c>
      <c r="L25" s="16">
        <f t="shared" si="6"/>
        <v>53.941781831891284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12.11</v>
      </c>
      <c r="B26" s="45">
        <f t="shared" si="0"/>
        <v>12110</v>
      </c>
      <c r="C26" s="16">
        <f t="shared" si="1"/>
        <v>10.091666666911642</v>
      </c>
      <c r="D26" s="15">
        <f t="shared" si="2"/>
        <v>3.7367555493799998E+20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1.0990611576040596E+39</v>
      </c>
      <c r="F26" s="15">
        <f t="shared" si="3"/>
        <v>4.5550996132738109E+40</v>
      </c>
      <c r="G26" s="15"/>
      <c r="H26" s="18">
        <f t="shared" si="4"/>
        <v>4.6650057290342172E+40</v>
      </c>
      <c r="I26" s="16">
        <v>156.47</v>
      </c>
      <c r="J26" s="45">
        <v>1</v>
      </c>
      <c r="K26" s="19">
        <f t="shared" si="5"/>
        <v>148.18402804876635</v>
      </c>
      <c r="L26" s="16">
        <f t="shared" si="6"/>
        <v>68.657331176630748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x14ac:dyDescent="0.25">
      <c r="I27" s="45"/>
      <c r="J27" s="45"/>
      <c r="L27" s="16">
        <f>SUM(L8:L26)/(COUNT(L8:L26)-4)</f>
        <v>31.203024291498242</v>
      </c>
    </row>
    <row r="28" spans="1:29" x14ac:dyDescent="0.25">
      <c r="I28" s="45"/>
      <c r="J28" s="45"/>
      <c r="L28" s="16"/>
    </row>
    <row r="29" spans="1:29" ht="21" x14ac:dyDescent="0.35">
      <c r="A29" s="48" t="s">
        <v>564</v>
      </c>
      <c r="I29" s="45"/>
      <c r="J29" s="45"/>
      <c r="L29" s="16"/>
    </row>
    <row r="30" spans="1:29" x14ac:dyDescent="0.25">
      <c r="A30" s="16" t="s">
        <v>30</v>
      </c>
      <c r="D30" s="16">
        <v>0.55000000000000004</v>
      </c>
      <c r="E30" s="17">
        <f>$D$30*1000</f>
        <v>550</v>
      </c>
      <c r="F30" s="17"/>
      <c r="G30" s="17"/>
      <c r="H30" s="15"/>
      <c r="K30" s="15"/>
      <c r="L30" s="17"/>
      <c r="M30" s="45"/>
    </row>
    <row r="31" spans="1:29" x14ac:dyDescent="0.25">
      <c r="A31" s="16" t="s">
        <v>16</v>
      </c>
      <c r="D31" s="16">
        <v>0.09</v>
      </c>
      <c r="E31" s="15">
        <f>D31*10000000000*SolarMass</f>
        <v>1.7901899999999999E+39</v>
      </c>
      <c r="F31" s="43"/>
      <c r="G31" s="43"/>
      <c r="H31" s="15"/>
      <c r="K31" s="15"/>
      <c r="L31" s="17"/>
      <c r="M31" s="45"/>
    </row>
    <row r="32" spans="1:29" x14ac:dyDescent="0.25">
      <c r="A32" s="16" t="s">
        <v>569</v>
      </c>
      <c r="D32" s="16">
        <v>1.2</v>
      </c>
      <c r="E32" s="15">
        <f>D32*1000</f>
        <v>1200</v>
      </c>
      <c r="H32" s="15"/>
      <c r="K32" s="15"/>
      <c r="L32" s="17"/>
      <c r="M32" s="45"/>
    </row>
    <row r="33" spans="1:29" x14ac:dyDescent="0.25">
      <c r="A33" s="16" t="s">
        <v>17</v>
      </c>
      <c r="D33" s="45">
        <v>1.2</v>
      </c>
      <c r="G33" s="16"/>
      <c r="H33" s="15"/>
      <c r="K33" s="15"/>
      <c r="L33" s="17"/>
      <c r="M33" s="45"/>
    </row>
    <row r="34" spans="1:29" x14ac:dyDescent="0.25">
      <c r="A34" s="16" t="s">
        <v>570</v>
      </c>
      <c r="D34" s="16">
        <v>23.6</v>
      </c>
      <c r="E34" s="17">
        <f>D34*1000</f>
        <v>23600</v>
      </c>
      <c r="H34" s="15"/>
      <c r="K34" s="15"/>
      <c r="L34" s="17"/>
      <c r="M34" s="45"/>
    </row>
    <row r="35" spans="1:29" x14ac:dyDescent="0.25">
      <c r="A35" s="16" t="s">
        <v>571</v>
      </c>
      <c r="D35" s="16">
        <v>13.8</v>
      </c>
      <c r="G35" s="9"/>
      <c r="H35" s="15"/>
      <c r="K35" s="15"/>
      <c r="L35" s="17"/>
      <c r="M35" s="45"/>
    </row>
    <row r="36" spans="1:29" x14ac:dyDescent="0.25">
      <c r="D36" s="12"/>
      <c r="H36" s="15"/>
      <c r="K36" s="15"/>
      <c r="L36" s="17"/>
      <c r="M36" s="45"/>
    </row>
    <row r="37" spans="1:29" x14ac:dyDescent="0.25">
      <c r="A37" s="16" t="s">
        <v>567</v>
      </c>
      <c r="D37" s="17">
        <f>(D33*10000000000)/(2*PI()*DiskScaleLengthPc^2)</f>
        <v>1326.291192432461</v>
      </c>
      <c r="H37" s="15"/>
      <c r="K37" s="15"/>
      <c r="L37" s="17"/>
      <c r="M37" s="45"/>
    </row>
    <row r="38" spans="1:29" x14ac:dyDescent="0.25">
      <c r="A38" s="16" t="s">
        <v>565</v>
      </c>
      <c r="D38" s="9">
        <f>(D35*10000000000)/(4*PI()*(LCDMHaloScaleLengthPc)^3*(LN(2)-1/2))</f>
        <v>4.3255848998708163E-3</v>
      </c>
      <c r="H38" s="15"/>
      <c r="K38" s="15"/>
      <c r="L38" s="17"/>
      <c r="M38" s="45"/>
    </row>
    <row r="39" spans="1:29" x14ac:dyDescent="0.25">
      <c r="H39" s="15"/>
      <c r="K39" s="15"/>
      <c r="L39" s="17"/>
      <c r="M39" s="45"/>
    </row>
    <row r="40" spans="1:29" ht="45" x14ac:dyDescent="0.25">
      <c r="A40" s="7" t="s">
        <v>20</v>
      </c>
      <c r="B40" s="3" t="s">
        <v>19</v>
      </c>
      <c r="C40" s="7" t="s">
        <v>27</v>
      </c>
      <c r="D40" s="4" t="s">
        <v>649</v>
      </c>
      <c r="E40" s="4" t="s">
        <v>21</v>
      </c>
      <c r="F40" s="4" t="s">
        <v>22</v>
      </c>
      <c r="G40" s="4" t="s">
        <v>28</v>
      </c>
      <c r="H40" s="4" t="s">
        <v>23</v>
      </c>
      <c r="I40" s="7" t="s">
        <v>645</v>
      </c>
      <c r="J40" s="7" t="s">
        <v>646</v>
      </c>
      <c r="K40" s="25" t="s">
        <v>647</v>
      </c>
      <c r="L40" s="3" t="s">
        <v>648</v>
      </c>
      <c r="M40" s="3"/>
      <c r="N40" s="3"/>
      <c r="O40" s="3"/>
      <c r="P40" s="3"/>
      <c r="Q40" s="3"/>
      <c r="R40" s="3"/>
      <c r="S40" s="3"/>
      <c r="T40" s="3"/>
      <c r="U40" s="3"/>
      <c r="V40" s="7"/>
      <c r="W40" s="7"/>
      <c r="X40" s="3"/>
      <c r="Y40" s="3"/>
      <c r="Z40" s="3"/>
      <c r="AA40" s="3"/>
      <c r="AB40" s="3"/>
      <c r="AC40" s="3"/>
    </row>
    <row r="41" spans="1:29" x14ac:dyDescent="0.25">
      <c r="A41" s="16">
        <v>0.24</v>
      </c>
      <c r="B41" s="45">
        <f>A41*1000</f>
        <v>240</v>
      </c>
      <c r="C41" s="16">
        <f>B41/LCDMBulgeEffectiveRadius</f>
        <v>0.43636363636363634</v>
      </c>
      <c r="D41" s="15">
        <f>A41*kpc</f>
        <v>7.405626192E+18</v>
      </c>
      <c r="E41" s="15">
        <f>FORECAST($C41, OFFSET('De Vaucouleurs Deprojection'!$F$3:$F$126, MATCH($C41, 'De Vaucouleurs Deprojection'!$A$3:$A$126,1)-1,0,2), OFFSET('De Vaucouleurs Deprojection'!$A$3:$A$126, MATCH($C41, 'De Vaucouleurs Deprojection'!$A$3:$A$126,1)-1,0,2))*LCDMTotalBulgeMass</f>
        <v>3.8816527025454537E+38</v>
      </c>
      <c r="F41" s="15">
        <f t="shared" ref="F41:F59" si="7">2*PI()*LCDMDiskSurfaceDensity*LCDMScaleLength*(LCDMScaleLength-EXP(-RadiusPc/LCDMScaleLength)*(RadiusPc+LCDMScaleLength))*SolarMass</f>
        <v>4.1826229035724161E+38</v>
      </c>
      <c r="G41" s="15">
        <f t="shared" ref="G41:G59" si="8">4*PI()*LCDMHaloRepresentativeDensity*LCDMHaloScaleLengthPc^3*(LN(1+RadiusPc/LCDMHaloScaleLengthPc)-RadiusPc/(RadiusPc+LCDMHaloScaleLengthPc))*SolarMass</f>
        <v>7.2502727469030661E+37</v>
      </c>
      <c r="H41" s="15">
        <f t="shared" ref="H41:H59" si="9">BulgeMass+DiskMass+HaloMass</f>
        <v>8.7893028808081756E+38</v>
      </c>
      <c r="I41" s="16">
        <v>73.89</v>
      </c>
      <c r="J41" s="45">
        <v>1</v>
      </c>
      <c r="K41" s="19">
        <f t="shared" ref="K41:K59" si="10">SQRT(TotalMass*GravitationalConstant/RadiusKm)/km</f>
        <v>89.000413823425077</v>
      </c>
      <c r="L41" s="16">
        <f t="shared" ref="L41:L59" si="11">(ObservedVelocity-ModelVelocity)^2/(VelocityError)^2</f>
        <v>228.32460591515564</v>
      </c>
      <c r="M41" s="45"/>
    </row>
    <row r="42" spans="1:29" x14ac:dyDescent="0.25">
      <c r="A42" s="16">
        <v>0.5</v>
      </c>
      <c r="B42" s="45">
        <f t="shared" ref="B42:B59" si="12">A42*1000</f>
        <v>500</v>
      </c>
      <c r="C42" s="16">
        <f t="shared" ref="C42:C59" si="13">B42/LCDMBulgeEffectiveRadius</f>
        <v>0.90909090909090906</v>
      </c>
      <c r="D42" s="15">
        <f t="shared" ref="D42:D59" si="14">A42*kpc</f>
        <v>1.54283879E+19</v>
      </c>
      <c r="E42" s="15">
        <f>FORECAST($C42, OFFSET('De Vaucouleurs Deprojection'!$F$3:$F$126, MATCH($C42, 'De Vaucouleurs Deprojection'!$A$3:$A$126,1)-1,0,2), OFFSET('De Vaucouleurs Deprojection'!$A$3:$A$126, MATCH($C42, 'De Vaucouleurs Deprojection'!$A$3:$A$126,1)-1,0,2))*LCDMTotalBulgeMass</f>
        <v>6.9689818276363644E+38</v>
      </c>
      <c r="F42" s="15">
        <f t="shared" si="7"/>
        <v>1.5771758619610527E+39</v>
      </c>
      <c r="G42" s="15">
        <f t="shared" si="8"/>
        <v>3.1015777700242014E+38</v>
      </c>
      <c r="H42" s="15">
        <f t="shared" si="9"/>
        <v>2.5842318217271091E+39</v>
      </c>
      <c r="I42" s="16">
        <v>109</v>
      </c>
      <c r="J42" s="45">
        <v>1</v>
      </c>
      <c r="K42" s="19">
        <f t="shared" si="10"/>
        <v>105.73071384475965</v>
      </c>
      <c r="L42" s="16">
        <f t="shared" si="11"/>
        <v>10.688231964846238</v>
      </c>
      <c r="M42" s="45"/>
    </row>
    <row r="43" spans="1:29" x14ac:dyDescent="0.25">
      <c r="A43" s="16">
        <v>0.78</v>
      </c>
      <c r="B43" s="45">
        <f t="shared" si="12"/>
        <v>780</v>
      </c>
      <c r="C43" s="16">
        <f t="shared" si="13"/>
        <v>1.4181818181818182</v>
      </c>
      <c r="D43" s="15">
        <f t="shared" si="14"/>
        <v>2.4068285124000002E+19</v>
      </c>
      <c r="E43" s="15">
        <f>FORECAST($C43, OFFSET('De Vaucouleurs Deprojection'!$F$3:$F$126, MATCH($C43, 'De Vaucouleurs Deprojection'!$A$3:$A$126,1)-1,0,2), OFFSET('De Vaucouleurs Deprojection'!$A$3:$A$126, MATCH($C43, 'De Vaucouleurs Deprojection'!$A$3:$A$126,1)-1,0,2))*LCDMTotalBulgeMass</f>
        <v>9.211959702E+38</v>
      </c>
      <c r="F43" s="15">
        <f t="shared" si="7"/>
        <v>3.308855159804327E+39</v>
      </c>
      <c r="G43" s="15">
        <f t="shared" si="8"/>
        <v>7.4323828920765149E+38</v>
      </c>
      <c r="H43" s="15">
        <f t="shared" si="9"/>
        <v>4.9732894192119784E+39</v>
      </c>
      <c r="I43" s="16">
        <v>114.76</v>
      </c>
      <c r="J43" s="45">
        <v>1</v>
      </c>
      <c r="K43" s="19">
        <f t="shared" si="10"/>
        <v>117.43430908813481</v>
      </c>
      <c r="L43" s="16">
        <f t="shared" si="11"/>
        <v>7.1519290988804141</v>
      </c>
      <c r="M43" s="45"/>
    </row>
    <row r="44" spans="1:29" x14ac:dyDescent="0.25">
      <c r="A44" s="16">
        <v>1.1000000000000001</v>
      </c>
      <c r="B44" s="45">
        <f t="shared" si="12"/>
        <v>1100</v>
      </c>
      <c r="C44" s="16">
        <f t="shared" si="13"/>
        <v>2</v>
      </c>
      <c r="D44" s="15">
        <f t="shared" si="14"/>
        <v>3.3942453380000002E+19</v>
      </c>
      <c r="E44" s="15">
        <f>FORECAST($C44, OFFSET('De Vaucouleurs Deprojection'!$F$3:$F$126, MATCH($C44, 'De Vaucouleurs Deprojection'!$A$3:$A$126,1)-1,0,2), OFFSET('De Vaucouleurs Deprojection'!$A$3:$A$126, MATCH($C44, 'De Vaucouleurs Deprojection'!$A$3:$A$126,1)-1,0,2))*LCDMTotalBulgeMass</f>
        <v>1.0996421094E+39</v>
      </c>
      <c r="F44" s="15">
        <f t="shared" si="7"/>
        <v>5.5763582084812725E+39</v>
      </c>
      <c r="G44" s="15">
        <f t="shared" si="8"/>
        <v>1.4526087042161394E+39</v>
      </c>
      <c r="H44" s="15">
        <f t="shared" si="9"/>
        <v>8.1286090220974114E+39</v>
      </c>
      <c r="I44" s="16">
        <v>128.37</v>
      </c>
      <c r="J44" s="45">
        <v>1</v>
      </c>
      <c r="K44" s="19">
        <f t="shared" si="10"/>
        <v>126.42477996081374</v>
      </c>
      <c r="L44" s="16">
        <f t="shared" si="11"/>
        <v>3.783881000851824</v>
      </c>
      <c r="M44" s="45"/>
    </row>
    <row r="45" spans="1:29" x14ac:dyDescent="0.25">
      <c r="A45" s="16">
        <v>1.45</v>
      </c>
      <c r="B45" s="45">
        <f t="shared" si="12"/>
        <v>1450</v>
      </c>
      <c r="C45" s="16">
        <f t="shared" si="13"/>
        <v>2.6363636363636362</v>
      </c>
      <c r="D45" s="15">
        <f t="shared" si="14"/>
        <v>4.4742324909999997E+19</v>
      </c>
      <c r="E45" s="15">
        <f>FORECAST($C45, OFFSET('De Vaucouleurs Deprojection'!$F$3:$F$126, MATCH($C45, 'De Vaucouleurs Deprojection'!$A$3:$A$126,1)-1,0,2), OFFSET('De Vaucouleurs Deprojection'!$A$3:$A$126, MATCH($C45, 'De Vaucouleurs Deprojection'!$A$3:$A$126,1)-1,0,2))*LCDMTotalBulgeMass</f>
        <v>1.2374769747272724E+39</v>
      </c>
      <c r="F45" s="15">
        <f t="shared" si="7"/>
        <v>8.1246594287010785E+39</v>
      </c>
      <c r="G45" s="15">
        <f t="shared" si="8"/>
        <v>2.4769418128424169E+39</v>
      </c>
      <c r="H45" s="15">
        <f t="shared" si="9"/>
        <v>1.1839078216270768E+40</v>
      </c>
      <c r="I45" s="16">
        <v>137.25</v>
      </c>
      <c r="J45" s="45">
        <v>1</v>
      </c>
      <c r="K45" s="19">
        <f t="shared" si="10"/>
        <v>132.89094058616413</v>
      </c>
      <c r="L45" s="16">
        <f t="shared" si="11"/>
        <v>19.00139897335108</v>
      </c>
      <c r="M45" s="45"/>
    </row>
    <row r="46" spans="1:29" x14ac:dyDescent="0.25">
      <c r="A46" s="16">
        <v>1.83</v>
      </c>
      <c r="B46" s="45">
        <f t="shared" si="12"/>
        <v>1830</v>
      </c>
      <c r="C46" s="16">
        <f t="shared" si="13"/>
        <v>3.3272727272727272</v>
      </c>
      <c r="D46" s="15">
        <f t="shared" si="14"/>
        <v>5.6467899714000003E+19</v>
      </c>
      <c r="E46" s="15">
        <f>FORECAST($C46, OFFSET('De Vaucouleurs Deprojection'!$F$3:$F$126, MATCH($C46, 'De Vaucouleurs Deprojection'!$A$3:$A$126,1)-1,0,2), OFFSET('De Vaucouleurs Deprojection'!$A$3:$A$126, MATCH($C46, 'De Vaucouleurs Deprojection'!$A$3:$A$126,1)-1,0,2))*LCDMTotalBulgeMass</f>
        <v>1.3454840197636364E+39</v>
      </c>
      <c r="F46" s="15">
        <f t="shared" si="7"/>
        <v>1.0753237660417766E+40</v>
      </c>
      <c r="G46" s="15">
        <f t="shared" si="8"/>
        <v>3.8664723819227919E+39</v>
      </c>
      <c r="H46" s="15">
        <f t="shared" si="9"/>
        <v>1.5965194062104195E+40</v>
      </c>
      <c r="I46" s="16">
        <v>143.55000000000001</v>
      </c>
      <c r="J46" s="45">
        <v>1</v>
      </c>
      <c r="K46" s="19">
        <f t="shared" si="10"/>
        <v>137.36686524530791</v>
      </c>
      <c r="L46" s="16">
        <f t="shared" si="11"/>
        <v>38.231155394681402</v>
      </c>
      <c r="M46" s="45"/>
    </row>
    <row r="47" spans="1:29" x14ac:dyDescent="0.25">
      <c r="A47" s="16">
        <v>2.25</v>
      </c>
      <c r="B47" s="45">
        <f t="shared" si="12"/>
        <v>2250</v>
      </c>
      <c r="C47" s="16">
        <f t="shared" si="13"/>
        <v>4.0909090909090908</v>
      </c>
      <c r="D47" s="15">
        <f t="shared" si="14"/>
        <v>6.9427745549999997E+19</v>
      </c>
      <c r="E47" s="15">
        <f>FORECAST($C47, OFFSET('De Vaucouleurs Deprojection'!$F$3:$F$126, MATCH($C47, 'De Vaucouleurs Deprojection'!$A$3:$A$126,1)-1,0,2), OFFSET('De Vaucouleurs Deprojection'!$A$3:$A$126, MATCH($C47, 'De Vaucouleurs Deprojection'!$A$3:$A$126,1)-1,0,2))*LCDMTotalBulgeMass</f>
        <v>1.4325230575636362E+39</v>
      </c>
      <c r="F47" s="15">
        <f t="shared" si="7"/>
        <v>1.3345376422981968E+40</v>
      </c>
      <c r="G47" s="15">
        <f t="shared" si="8"/>
        <v>5.7177676894126276E+39</v>
      </c>
      <c r="H47" s="15">
        <f t="shared" si="9"/>
        <v>2.049566716995823E+40</v>
      </c>
      <c r="I47" s="16">
        <v>149.77000000000001</v>
      </c>
      <c r="J47" s="45">
        <v>1</v>
      </c>
      <c r="K47" s="19">
        <f t="shared" si="10"/>
        <v>140.36544357908767</v>
      </c>
      <c r="L47" s="16">
        <f t="shared" si="11"/>
        <v>88.445681474123575</v>
      </c>
      <c r="M47" s="45"/>
    </row>
    <row r="48" spans="1:29" x14ac:dyDescent="0.25">
      <c r="A48" s="16">
        <v>2.71</v>
      </c>
      <c r="B48" s="45">
        <f t="shared" si="12"/>
        <v>2710</v>
      </c>
      <c r="C48" s="16">
        <f t="shared" si="13"/>
        <v>4.9272727272727277</v>
      </c>
      <c r="D48" s="15">
        <f t="shared" si="14"/>
        <v>8.3621862418000003E+19</v>
      </c>
      <c r="E48" s="15">
        <f>FORECAST($C48, OFFSET('De Vaucouleurs Deprojection'!$F$3:$F$126, MATCH($C48, 'De Vaucouleurs Deprojection'!$A$3:$A$126,1)-1,0,2), OFFSET('De Vaucouleurs Deprojection'!$A$3:$A$126, MATCH($C48, 'De Vaucouleurs Deprojection'!$A$3:$A$126,1)-1,0,2))*LCDMTotalBulgeMass</f>
        <v>1.5024218398363635E+39</v>
      </c>
      <c r="F48" s="15">
        <f t="shared" si="7"/>
        <v>1.5739927722531858E+40</v>
      </c>
      <c r="G48" s="15">
        <f t="shared" si="8"/>
        <v>8.1002987727914851E+39</v>
      </c>
      <c r="H48" s="15">
        <f t="shared" si="9"/>
        <v>2.5342648335159705E+40</v>
      </c>
      <c r="I48" s="16">
        <v>152.99</v>
      </c>
      <c r="J48" s="45">
        <v>1</v>
      </c>
      <c r="K48" s="19">
        <f t="shared" si="10"/>
        <v>142.22036362376392</v>
      </c>
      <c r="L48" s="16">
        <f t="shared" si="11"/>
        <v>115.98506767634768</v>
      </c>
      <c r="M48" s="45"/>
    </row>
    <row r="49" spans="1:13" x14ac:dyDescent="0.25">
      <c r="A49" s="16">
        <v>3.21</v>
      </c>
      <c r="B49" s="45">
        <f t="shared" si="12"/>
        <v>3210</v>
      </c>
      <c r="C49" s="16">
        <f t="shared" si="13"/>
        <v>5.836363636363636</v>
      </c>
      <c r="D49" s="15">
        <f t="shared" si="14"/>
        <v>9.9050250317999997E+19</v>
      </c>
      <c r="E49" s="15">
        <f>FORECAST($C49, OFFSET('De Vaucouleurs Deprojection'!$F$3:$F$126, MATCH($C49, 'De Vaucouleurs Deprojection'!$A$3:$A$126,1)-1,0,2), OFFSET('De Vaucouleurs Deprojection'!$A$3:$A$126, MATCH($C49, 'De Vaucouleurs Deprojection'!$A$3:$A$126,1)-1,0,2))*LCDMTotalBulgeMass</f>
        <v>1.5572693555672727E+39</v>
      </c>
      <c r="F49" s="15">
        <f t="shared" si="7"/>
        <v>1.7824740558931789E+40</v>
      </c>
      <c r="G49" s="15">
        <f t="shared" si="8"/>
        <v>1.1080606759470499E+40</v>
      </c>
      <c r="H49" s="15">
        <f t="shared" si="9"/>
        <v>3.0462616673969561E+40</v>
      </c>
      <c r="I49" s="16">
        <v>155.83000000000001</v>
      </c>
      <c r="J49" s="45">
        <v>1</v>
      </c>
      <c r="K49" s="19">
        <f t="shared" si="10"/>
        <v>143.26876529994541</v>
      </c>
      <c r="L49" s="16">
        <f t="shared" si="11"/>
        <v>157.78461718985574</v>
      </c>
      <c r="M49" s="45"/>
    </row>
    <row r="50" spans="1:13" x14ac:dyDescent="0.25">
      <c r="A50" s="16">
        <v>3.77</v>
      </c>
      <c r="B50" s="45">
        <f t="shared" si="12"/>
        <v>3770</v>
      </c>
      <c r="C50" s="16">
        <f t="shared" si="13"/>
        <v>6.8545454545454545</v>
      </c>
      <c r="D50" s="15">
        <f t="shared" si="14"/>
        <v>1.1633004476600001E+20</v>
      </c>
      <c r="E50" s="15">
        <f>FORECAST($C50, OFFSET('De Vaucouleurs Deprojection'!$F$3:$F$126, MATCH($C50, 'De Vaucouleurs Deprojection'!$A$3:$A$126,1)-1,0,2), OFFSET('De Vaucouleurs Deprojection'!$A$3:$A$126, MATCH($C50, 'De Vaucouleurs Deprojection'!$A$3:$A$126,1)-1,0,2))*LCDMTotalBulgeMass</f>
        <v>1.604163219872727E+39</v>
      </c>
      <c r="F50" s="15">
        <f t="shared" si="7"/>
        <v>1.95974629766232E+40</v>
      </c>
      <c r="G50" s="15">
        <f t="shared" si="8"/>
        <v>1.4863717127484425E+40</v>
      </c>
      <c r="H50" s="15">
        <f t="shared" si="9"/>
        <v>3.6065343323980353E+40</v>
      </c>
      <c r="I50" s="16">
        <v>157.22</v>
      </c>
      <c r="J50" s="45">
        <v>1</v>
      </c>
      <c r="K50" s="19">
        <f t="shared" si="10"/>
        <v>143.84500704629698</v>
      </c>
      <c r="L50" s="16">
        <f t="shared" si="11"/>
        <v>178.89043651160529</v>
      </c>
      <c r="M50" s="45"/>
    </row>
    <row r="51" spans="1:13" x14ac:dyDescent="0.25">
      <c r="A51" s="16">
        <v>4.3899999999999997</v>
      </c>
      <c r="B51" s="45">
        <f t="shared" si="12"/>
        <v>4390</v>
      </c>
      <c r="C51" s="16">
        <f t="shared" si="13"/>
        <v>7.9818181818181815</v>
      </c>
      <c r="D51" s="15">
        <f t="shared" si="14"/>
        <v>1.3546124576199999E+20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1.6426731361745454E+39</v>
      </c>
      <c r="F51" s="15">
        <f t="shared" si="7"/>
        <v>2.1003211485326908E+40</v>
      </c>
      <c r="G51" s="15">
        <f t="shared" si="8"/>
        <v>1.9553740857341698E+40</v>
      </c>
      <c r="H51" s="15">
        <f t="shared" si="9"/>
        <v>4.2199625478843152E+40</v>
      </c>
      <c r="I51" s="16">
        <v>158.4</v>
      </c>
      <c r="J51" s="45">
        <v>1</v>
      </c>
      <c r="K51" s="19">
        <f t="shared" si="10"/>
        <v>144.19243295496025</v>
      </c>
      <c r="L51" s="16">
        <f t="shared" si="11"/>
        <v>201.85496133929959</v>
      </c>
      <c r="M51" s="45"/>
    </row>
    <row r="52" spans="1:13" x14ac:dyDescent="0.25">
      <c r="A52" s="16">
        <v>5.0599999999999996</v>
      </c>
      <c r="B52" s="45">
        <f t="shared" si="12"/>
        <v>5060</v>
      </c>
      <c r="C52" s="16">
        <f t="shared" si="13"/>
        <v>9.1999999999999993</v>
      </c>
      <c r="D52" s="15">
        <f t="shared" si="14"/>
        <v>1.5613528554799999E+20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1.6724527840799998E+39</v>
      </c>
      <c r="F52" s="15">
        <f t="shared" si="7"/>
        <v>2.2032848199036272E+40</v>
      </c>
      <c r="G52" s="15">
        <f t="shared" si="8"/>
        <v>2.5159081473922515E+40</v>
      </c>
      <c r="H52" s="15">
        <f t="shared" si="9"/>
        <v>4.8864382457038793E+40</v>
      </c>
      <c r="I52" s="16">
        <v>157.77000000000001</v>
      </c>
      <c r="J52" s="45">
        <v>1</v>
      </c>
      <c r="K52" s="19">
        <f t="shared" si="10"/>
        <v>144.52446833678513</v>
      </c>
      <c r="L52" s="16">
        <f t="shared" si="11"/>
        <v>175.44410904122785</v>
      </c>
      <c r="M52" s="45"/>
    </row>
    <row r="53" spans="1:13" x14ac:dyDescent="0.25">
      <c r="A53" s="16">
        <v>5.81</v>
      </c>
      <c r="B53" s="45">
        <f t="shared" si="12"/>
        <v>5810</v>
      </c>
      <c r="C53" s="16">
        <f t="shared" si="13"/>
        <v>10.563636363636364</v>
      </c>
      <c r="D53" s="15">
        <f t="shared" si="14"/>
        <v>1.7927786739799998E+20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1.6971717275999997E+39</v>
      </c>
      <c r="F53" s="15">
        <f t="shared" si="7"/>
        <v>2.2768508737921189E+40</v>
      </c>
      <c r="G53" s="15">
        <f t="shared" si="8"/>
        <v>3.2027849320577075E+40</v>
      </c>
      <c r="H53" s="15">
        <f t="shared" si="9"/>
        <v>5.6493529786098259E+40</v>
      </c>
      <c r="I53" s="16">
        <v>153.25</v>
      </c>
      <c r="J53" s="45">
        <v>1</v>
      </c>
      <c r="K53" s="19">
        <f t="shared" si="10"/>
        <v>145.02127557573021</v>
      </c>
      <c r="L53" s="16">
        <f t="shared" si="11"/>
        <v>67.71190565057411</v>
      </c>
      <c r="M53" s="45"/>
    </row>
    <row r="54" spans="1:13" x14ac:dyDescent="0.25">
      <c r="A54" s="16">
        <v>6.62</v>
      </c>
      <c r="B54" s="45">
        <f t="shared" si="12"/>
        <v>6620</v>
      </c>
      <c r="C54" s="16">
        <f t="shared" si="13"/>
        <v>12.036363636363637</v>
      </c>
      <c r="D54" s="15">
        <f t="shared" si="14"/>
        <v>2.04271855796E+20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1.7171518754454544E+39</v>
      </c>
      <c r="F54" s="15">
        <f t="shared" si="7"/>
        <v>2.3244019420630881E+40</v>
      </c>
      <c r="G54" s="15">
        <f t="shared" si="8"/>
        <v>4.0072878538599555E+40</v>
      </c>
      <c r="H54" s="15">
        <f t="shared" si="9"/>
        <v>6.5034049834675887E+40</v>
      </c>
      <c r="I54" s="16">
        <v>149.84</v>
      </c>
      <c r="J54" s="45">
        <v>1</v>
      </c>
      <c r="K54" s="19">
        <f t="shared" si="10"/>
        <v>145.76787965137191</v>
      </c>
      <c r="L54" s="16">
        <f t="shared" si="11"/>
        <v>16.582164133710958</v>
      </c>
      <c r="M54" s="45"/>
    </row>
    <row r="55" spans="1:13" x14ac:dyDescent="0.25">
      <c r="A55" s="16">
        <v>7.52</v>
      </c>
      <c r="B55" s="45">
        <f t="shared" si="12"/>
        <v>7520</v>
      </c>
      <c r="C55" s="16">
        <f t="shared" si="13"/>
        <v>13.672727272727272</v>
      </c>
      <c r="D55" s="15">
        <f t="shared" si="14"/>
        <v>2.3204295401599998E+20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1.7329260532581815E+39</v>
      </c>
      <c r="F55" s="15">
        <f t="shared" si="7"/>
        <v>2.3539898014651892E+40</v>
      </c>
      <c r="G55" s="15">
        <f t="shared" si="8"/>
        <v>4.9682465548642958E+40</v>
      </c>
      <c r="H55" s="15">
        <f t="shared" si="9"/>
        <v>7.4955289616553037E+40</v>
      </c>
      <c r="I55" s="16">
        <v>148.72999999999999</v>
      </c>
      <c r="J55" s="45">
        <v>1</v>
      </c>
      <c r="K55" s="19">
        <f t="shared" si="10"/>
        <v>146.82927504907647</v>
      </c>
      <c r="L55" s="16">
        <f t="shared" si="11"/>
        <v>3.6127553390632099</v>
      </c>
      <c r="M55" s="45"/>
    </row>
    <row r="56" spans="1:13" x14ac:dyDescent="0.25">
      <c r="A56" s="16">
        <v>8.51</v>
      </c>
      <c r="B56" s="45">
        <f t="shared" si="12"/>
        <v>8510</v>
      </c>
      <c r="C56" s="16">
        <f t="shared" si="13"/>
        <v>15.472727272727273</v>
      </c>
      <c r="D56" s="15">
        <f t="shared" si="14"/>
        <v>2.6259116205800001E+20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1.7449527449716364E+39</v>
      </c>
      <c r="F56" s="15">
        <f t="shared" si="7"/>
        <v>2.3708504340448672E+40</v>
      </c>
      <c r="G56" s="15">
        <f t="shared" si="8"/>
        <v>6.0960309661131803E+40</v>
      </c>
      <c r="H56" s="15">
        <f t="shared" si="9"/>
        <v>8.6413766746552105E+40</v>
      </c>
      <c r="I56" s="16">
        <v>150.29</v>
      </c>
      <c r="J56" s="45">
        <v>1</v>
      </c>
      <c r="K56" s="19">
        <f t="shared" si="10"/>
        <v>148.19963009419217</v>
      </c>
      <c r="L56" s="16">
        <f t="shared" si="11"/>
        <v>4.3696463431069894</v>
      </c>
      <c r="M56" s="45"/>
    </row>
    <row r="57" spans="1:13" x14ac:dyDescent="0.25">
      <c r="A57" s="16">
        <v>9.6</v>
      </c>
      <c r="B57" s="45">
        <f t="shared" si="12"/>
        <v>9600</v>
      </c>
      <c r="C57" s="16">
        <f t="shared" si="13"/>
        <v>17.454545454545453</v>
      </c>
      <c r="D57" s="15">
        <f t="shared" si="14"/>
        <v>2.9622504768E+20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1.7537371747527272E+39</v>
      </c>
      <c r="F57" s="15">
        <f t="shared" si="7"/>
        <v>2.379713497897862E+40</v>
      </c>
      <c r="G57" s="15">
        <f t="shared" si="8"/>
        <v>7.4109316300597085E+40</v>
      </c>
      <c r="H57" s="15">
        <f t="shared" si="9"/>
        <v>9.9660188454328431E+40</v>
      </c>
      <c r="I57" s="16">
        <v>152.5</v>
      </c>
      <c r="J57" s="45">
        <v>1</v>
      </c>
      <c r="K57" s="19">
        <f t="shared" si="10"/>
        <v>149.84617690213526</v>
      </c>
      <c r="L57" s="16">
        <f t="shared" si="11"/>
        <v>7.042777034760431</v>
      </c>
      <c r="M57" s="45"/>
    </row>
    <row r="58" spans="1:13" x14ac:dyDescent="0.25">
      <c r="A58" s="16">
        <v>10.8</v>
      </c>
      <c r="B58" s="45">
        <f t="shared" si="12"/>
        <v>10800</v>
      </c>
      <c r="C58" s="16">
        <f t="shared" si="13"/>
        <v>19.636363636363637</v>
      </c>
      <c r="D58" s="15">
        <f t="shared" si="14"/>
        <v>3.3325317864000002E+20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1.7634081066218181E+39</v>
      </c>
      <c r="F58" s="15">
        <f t="shared" si="7"/>
        <v>2.3839743067042938E+40</v>
      </c>
      <c r="G58" s="15">
        <f t="shared" si="8"/>
        <v>8.9329846102748389E+40</v>
      </c>
      <c r="H58" s="15">
        <f t="shared" si="9"/>
        <v>1.1493299727641314E+41</v>
      </c>
      <c r="I58" s="16">
        <v>153.83000000000001</v>
      </c>
      <c r="J58" s="45">
        <v>1</v>
      </c>
      <c r="K58" s="19">
        <f t="shared" si="10"/>
        <v>151.71583794332386</v>
      </c>
      <c r="L58" s="16">
        <f t="shared" si="11"/>
        <v>4.4696812018891299</v>
      </c>
      <c r="M58" s="45"/>
    </row>
    <row r="59" spans="1:13" x14ac:dyDescent="0.25">
      <c r="A59" s="16">
        <v>12.11</v>
      </c>
      <c r="B59" s="45">
        <f t="shared" si="12"/>
        <v>12110</v>
      </c>
      <c r="C59" s="16">
        <f t="shared" si="13"/>
        <v>22.018181818181819</v>
      </c>
      <c r="D59" s="15">
        <f t="shared" si="14"/>
        <v>3.7367555493799998E+20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1.7690664089781816E+39</v>
      </c>
      <c r="F59" s="15">
        <f t="shared" si="7"/>
        <v>2.3858233210026258E+40</v>
      </c>
      <c r="G59" s="15">
        <f t="shared" si="8"/>
        <v>1.0667810757982084E+41</v>
      </c>
      <c r="H59" s="15">
        <f t="shared" si="9"/>
        <v>1.3230540719882527E+41</v>
      </c>
      <c r="I59" s="16">
        <v>156.47</v>
      </c>
      <c r="J59" s="45">
        <v>1</v>
      </c>
      <c r="K59" s="19">
        <f t="shared" si="10"/>
        <v>153.72240019721932</v>
      </c>
      <c r="L59" s="16">
        <f t="shared" si="11"/>
        <v>7.5493046762404523</v>
      </c>
      <c r="M59" s="45"/>
    </row>
    <row r="60" spans="1:13" x14ac:dyDescent="0.25">
      <c r="H60" s="15"/>
      <c r="K60" s="45"/>
      <c r="L60" s="16">
        <f>SUM(L41:L59)/(COUNT(L41:L59)-6)</f>
        <v>102.84033153535164</v>
      </c>
      <c r="M60" s="45"/>
    </row>
    <row r="61" spans="1:13" x14ac:dyDescent="0.25">
      <c r="H61" s="15"/>
      <c r="K61" s="45"/>
      <c r="L61" s="17"/>
      <c r="M61" s="45"/>
    </row>
    <row r="62" spans="1:13" x14ac:dyDescent="0.25">
      <c r="I62" s="45"/>
      <c r="J62" s="45"/>
      <c r="L62" s="16"/>
    </row>
    <row r="63" spans="1:13" x14ac:dyDescent="0.25">
      <c r="I63" s="45"/>
      <c r="J63" s="45"/>
      <c r="L63" s="16"/>
    </row>
    <row r="64" spans="1:13" x14ac:dyDescent="0.25">
      <c r="I64" s="45"/>
      <c r="J64" s="45"/>
      <c r="L64" s="16"/>
    </row>
    <row r="65" spans="1:29" x14ac:dyDescent="0.25">
      <c r="I65" s="45"/>
      <c r="J65" s="45"/>
      <c r="L65" s="16"/>
    </row>
    <row r="66" spans="1:29" x14ac:dyDescent="0.25">
      <c r="I66" s="45"/>
      <c r="J66" s="45"/>
      <c r="L66" s="16"/>
    </row>
    <row r="67" spans="1:29" x14ac:dyDescent="0.25">
      <c r="I67" s="45"/>
      <c r="J67" s="45"/>
      <c r="L67" s="16"/>
    </row>
    <row r="68" spans="1:29" x14ac:dyDescent="0.25">
      <c r="I68" s="45"/>
      <c r="J68" s="45"/>
      <c r="L68" s="16"/>
    </row>
    <row r="69" spans="1:29" s="17" customFormat="1" x14ac:dyDescent="0.25">
      <c r="A69" s="16"/>
      <c r="B69" s="45"/>
      <c r="C69" s="16"/>
      <c r="D69" s="15"/>
      <c r="E69" s="15"/>
      <c r="F69" s="15"/>
      <c r="G69" s="15"/>
      <c r="H69" s="18"/>
      <c r="I69" s="45"/>
      <c r="J69" s="45"/>
      <c r="K69" s="19"/>
      <c r="L69" s="16"/>
      <c r="N69" s="45"/>
      <c r="O69" s="45"/>
      <c r="P69" s="45"/>
      <c r="Q69" s="45"/>
      <c r="R69" s="45"/>
      <c r="S69" s="45"/>
      <c r="T69" s="45"/>
      <c r="U69" s="45"/>
      <c r="V69" s="16"/>
      <c r="W69" s="16"/>
      <c r="X69" s="45"/>
      <c r="Y69" s="45"/>
      <c r="Z69" s="45"/>
      <c r="AA69" s="45"/>
      <c r="AB69" s="45"/>
      <c r="AC69" s="45"/>
    </row>
    <row r="70" spans="1:29" s="17" customFormat="1" x14ac:dyDescent="0.25">
      <c r="A70" s="16"/>
      <c r="B70" s="45"/>
      <c r="C70" s="16"/>
      <c r="D70" s="15"/>
      <c r="E70" s="15"/>
      <c r="F70" s="15"/>
      <c r="G70" s="15"/>
      <c r="H70" s="18"/>
      <c r="I70" s="45"/>
      <c r="J70" s="45"/>
      <c r="K70" s="19"/>
      <c r="L70" s="16"/>
      <c r="N70" s="45"/>
      <c r="O70" s="45"/>
      <c r="P70" s="45"/>
      <c r="Q70" s="45"/>
      <c r="R70" s="45"/>
      <c r="S70" s="45"/>
      <c r="T70" s="45"/>
      <c r="U70" s="45"/>
      <c r="V70" s="16"/>
      <c r="W70" s="16"/>
      <c r="X70" s="45"/>
      <c r="Y70" s="45"/>
      <c r="Z70" s="45"/>
      <c r="AA70" s="45"/>
      <c r="AB70" s="45"/>
      <c r="AC70" s="45"/>
    </row>
    <row r="71" spans="1:29" s="17" customFormat="1" x14ac:dyDescent="0.25">
      <c r="A71" s="16"/>
      <c r="B71" s="45"/>
      <c r="C71" s="16"/>
      <c r="D71" s="15"/>
      <c r="E71" s="15"/>
      <c r="F71" s="15"/>
      <c r="G71" s="15"/>
      <c r="H71" s="18"/>
      <c r="I71" s="45"/>
      <c r="J71" s="45"/>
      <c r="K71" s="19"/>
      <c r="L71" s="16"/>
      <c r="N71" s="45"/>
      <c r="O71" s="45"/>
      <c r="P71" s="45"/>
      <c r="Q71" s="45"/>
      <c r="R71" s="45"/>
      <c r="S71" s="45"/>
      <c r="T71" s="45"/>
      <c r="U71" s="45"/>
      <c r="V71" s="16"/>
      <c r="W71" s="16"/>
      <c r="X71" s="45"/>
      <c r="Y71" s="45"/>
      <c r="Z71" s="45"/>
      <c r="AA71" s="45"/>
      <c r="AB71" s="45"/>
      <c r="AC71" s="45"/>
    </row>
    <row r="72" spans="1:29" s="17" customFormat="1" x14ac:dyDescent="0.25">
      <c r="A72" s="16"/>
      <c r="B72" s="45"/>
      <c r="C72" s="16"/>
      <c r="D72" s="15"/>
      <c r="E72" s="15"/>
      <c r="F72" s="15"/>
      <c r="G72" s="15"/>
      <c r="H72" s="18"/>
      <c r="I72" s="45"/>
      <c r="J72" s="45"/>
      <c r="K72" s="19"/>
      <c r="L72" s="16"/>
      <c r="N72" s="45"/>
      <c r="O72" s="45"/>
      <c r="P72" s="45"/>
      <c r="Q72" s="45"/>
      <c r="R72" s="45"/>
      <c r="S72" s="45"/>
      <c r="T72" s="45"/>
      <c r="U72" s="45"/>
      <c r="V72" s="16"/>
      <c r="W72" s="16"/>
      <c r="X72" s="45"/>
      <c r="Y72" s="45"/>
      <c r="Z72" s="45"/>
      <c r="AA72" s="45"/>
      <c r="AB72" s="45"/>
      <c r="AC72" s="45"/>
    </row>
    <row r="73" spans="1:29" s="17" customFormat="1" x14ac:dyDescent="0.25">
      <c r="A73" s="16"/>
      <c r="B73" s="45"/>
      <c r="C73" s="16"/>
      <c r="D73" s="15"/>
      <c r="E73" s="15"/>
      <c r="F73" s="15"/>
      <c r="G73" s="15"/>
      <c r="H73" s="18"/>
      <c r="I73" s="45"/>
      <c r="J73" s="45"/>
      <c r="K73" s="19"/>
      <c r="L73" s="16"/>
      <c r="N73" s="45"/>
      <c r="O73" s="45"/>
      <c r="P73" s="45"/>
      <c r="Q73" s="45"/>
      <c r="R73" s="45"/>
      <c r="S73" s="45"/>
      <c r="T73" s="45"/>
      <c r="U73" s="45"/>
      <c r="V73" s="16"/>
      <c r="W73" s="16"/>
      <c r="X73" s="45"/>
      <c r="Y73" s="45"/>
      <c r="Z73" s="45"/>
      <c r="AA73" s="45"/>
      <c r="AB73" s="45"/>
      <c r="AC73" s="45"/>
    </row>
    <row r="74" spans="1:29" s="17" customFormat="1" x14ac:dyDescent="0.25">
      <c r="A74" s="16"/>
      <c r="B74" s="45"/>
      <c r="C74" s="16"/>
      <c r="D74" s="15"/>
      <c r="E74" s="15"/>
      <c r="F74" s="15"/>
      <c r="G74" s="15"/>
      <c r="H74" s="18"/>
      <c r="I74" s="45"/>
      <c r="J74" s="45"/>
      <c r="K74" s="19"/>
      <c r="L74" s="16"/>
      <c r="N74" s="45"/>
      <c r="O74" s="45"/>
      <c r="P74" s="45"/>
      <c r="Q74" s="45"/>
      <c r="R74" s="45"/>
      <c r="S74" s="45"/>
      <c r="T74" s="45"/>
      <c r="U74" s="45"/>
      <c r="V74" s="16"/>
      <c r="W74" s="16"/>
      <c r="X74" s="45"/>
      <c r="Y74" s="45"/>
      <c r="Z74" s="45"/>
      <c r="AA74" s="45"/>
      <c r="AB74" s="45"/>
      <c r="AC74" s="45"/>
    </row>
    <row r="75" spans="1:29" s="17" customFormat="1" x14ac:dyDescent="0.25">
      <c r="A75" s="16"/>
      <c r="B75" s="45"/>
      <c r="C75" s="16"/>
      <c r="D75" s="15"/>
      <c r="E75" s="15"/>
      <c r="F75" s="15"/>
      <c r="G75" s="15"/>
      <c r="H75" s="18"/>
      <c r="I75" s="45"/>
      <c r="J75" s="45"/>
      <c r="K75" s="19"/>
      <c r="L75" s="16"/>
      <c r="N75" s="45"/>
      <c r="O75" s="45"/>
      <c r="P75" s="45"/>
      <c r="Q75" s="45"/>
      <c r="R75" s="45"/>
      <c r="S75" s="45"/>
      <c r="T75" s="45"/>
      <c r="U75" s="45"/>
      <c r="V75" s="16"/>
      <c r="W75" s="16"/>
      <c r="X75" s="45"/>
      <c r="Y75" s="45"/>
      <c r="Z75" s="45"/>
      <c r="AA75" s="45"/>
      <c r="AB75" s="45"/>
      <c r="AC75" s="45"/>
    </row>
    <row r="76" spans="1:29" s="17" customFormat="1" x14ac:dyDescent="0.25">
      <c r="A76" s="16"/>
      <c r="B76" s="45"/>
      <c r="C76" s="16"/>
      <c r="D76" s="15"/>
      <c r="E76" s="15"/>
      <c r="F76" s="15"/>
      <c r="G76" s="15"/>
      <c r="H76" s="18"/>
      <c r="I76" s="45"/>
      <c r="J76" s="45"/>
      <c r="K76" s="19"/>
      <c r="L76" s="16"/>
      <c r="N76" s="45"/>
      <c r="O76" s="45"/>
      <c r="P76" s="45"/>
      <c r="Q76" s="45"/>
      <c r="R76" s="45"/>
      <c r="S76" s="45"/>
      <c r="T76" s="45"/>
      <c r="U76" s="45"/>
      <c r="V76" s="16"/>
      <c r="W76" s="16"/>
      <c r="X76" s="45"/>
      <c r="Y76" s="45"/>
      <c r="Z76" s="45"/>
      <c r="AA76" s="45"/>
      <c r="AB76" s="45"/>
      <c r="AC76" s="45"/>
    </row>
    <row r="77" spans="1:29" s="17" customFormat="1" x14ac:dyDescent="0.25">
      <c r="A77" s="16"/>
      <c r="B77" s="45"/>
      <c r="C77" s="16"/>
      <c r="D77" s="15"/>
      <c r="E77" s="15"/>
      <c r="F77" s="15"/>
      <c r="G77" s="15"/>
      <c r="H77" s="18"/>
      <c r="I77" s="45"/>
      <c r="J77" s="45"/>
      <c r="K77" s="19"/>
      <c r="L77" s="16"/>
      <c r="N77" s="45"/>
      <c r="O77" s="45"/>
      <c r="P77" s="45"/>
      <c r="Q77" s="45"/>
      <c r="R77" s="45"/>
      <c r="S77" s="45"/>
      <c r="T77" s="45"/>
      <c r="U77" s="45"/>
      <c r="V77" s="16"/>
      <c r="W77" s="16"/>
      <c r="X77" s="45"/>
      <c r="Y77" s="45"/>
      <c r="Z77" s="45"/>
      <c r="AA77" s="45"/>
      <c r="AB77" s="45"/>
      <c r="AC77" s="45"/>
    </row>
    <row r="78" spans="1:29" s="17" customFormat="1" x14ac:dyDescent="0.25">
      <c r="A78" s="16"/>
      <c r="B78" s="45"/>
      <c r="C78" s="16"/>
      <c r="D78" s="15"/>
      <c r="E78" s="15"/>
      <c r="F78" s="15"/>
      <c r="G78" s="15"/>
      <c r="H78" s="18"/>
      <c r="I78" s="45"/>
      <c r="J78" s="45"/>
      <c r="K78" s="19"/>
      <c r="L78" s="16"/>
      <c r="N78" s="45"/>
      <c r="O78" s="45"/>
      <c r="P78" s="45"/>
      <c r="Q78" s="45"/>
      <c r="R78" s="45"/>
      <c r="S78" s="45"/>
      <c r="T78" s="45"/>
      <c r="U78" s="45"/>
      <c r="V78" s="16"/>
      <c r="W78" s="16"/>
      <c r="X78" s="45"/>
      <c r="Y78" s="45"/>
      <c r="Z78" s="45"/>
      <c r="AA78" s="45"/>
      <c r="AB78" s="45"/>
      <c r="AC78" s="45"/>
    </row>
    <row r="79" spans="1:29" s="17" customFormat="1" x14ac:dyDescent="0.25">
      <c r="A79" s="16"/>
      <c r="B79" s="45"/>
      <c r="C79" s="16"/>
      <c r="D79" s="15"/>
      <c r="E79" s="15"/>
      <c r="F79" s="15"/>
      <c r="G79" s="15"/>
      <c r="H79" s="18"/>
      <c r="I79" s="45"/>
      <c r="J79" s="45"/>
      <c r="K79" s="19"/>
      <c r="L79" s="16"/>
      <c r="N79" s="45"/>
      <c r="O79" s="45"/>
      <c r="P79" s="45"/>
      <c r="Q79" s="45"/>
      <c r="R79" s="45"/>
      <c r="S79" s="45"/>
      <c r="T79" s="45"/>
      <c r="U79" s="45"/>
      <c r="V79" s="16"/>
      <c r="W79" s="16"/>
      <c r="X79" s="45"/>
      <c r="Y79" s="45"/>
      <c r="Z79" s="45"/>
      <c r="AA79" s="45"/>
      <c r="AB79" s="45"/>
      <c r="AC79" s="45"/>
    </row>
    <row r="80" spans="1:29" s="17" customFormat="1" x14ac:dyDescent="0.25">
      <c r="A80" s="16"/>
      <c r="B80" s="45"/>
      <c r="C80" s="16"/>
      <c r="D80" s="15"/>
      <c r="E80" s="15"/>
      <c r="F80" s="15"/>
      <c r="G80" s="15"/>
      <c r="H80" s="18"/>
      <c r="I80" s="45"/>
      <c r="J80" s="45"/>
      <c r="K80" s="19"/>
      <c r="L80" s="16"/>
      <c r="N80" s="45"/>
      <c r="O80" s="45"/>
      <c r="P80" s="45"/>
      <c r="Q80" s="45"/>
      <c r="R80" s="45"/>
      <c r="S80" s="45"/>
      <c r="T80" s="45"/>
      <c r="U80" s="45"/>
      <c r="V80" s="16"/>
      <c r="W80" s="16"/>
      <c r="X80" s="45"/>
      <c r="Y80" s="45"/>
      <c r="Z80" s="45"/>
      <c r="AA80" s="45"/>
      <c r="AB80" s="45"/>
      <c r="AC80" s="45"/>
    </row>
    <row r="81" spans="1:29" s="17" customFormat="1" x14ac:dyDescent="0.25">
      <c r="A81" s="16"/>
      <c r="B81" s="45"/>
      <c r="C81" s="16"/>
      <c r="D81" s="15"/>
      <c r="E81" s="15"/>
      <c r="F81" s="15"/>
      <c r="G81" s="15"/>
      <c r="H81" s="18"/>
      <c r="I81" s="45"/>
      <c r="J81" s="45"/>
      <c r="K81" s="19"/>
      <c r="L81" s="16"/>
      <c r="N81" s="45"/>
      <c r="O81" s="45"/>
      <c r="P81" s="45"/>
      <c r="Q81" s="45"/>
      <c r="R81" s="45"/>
      <c r="S81" s="45"/>
      <c r="T81" s="45"/>
      <c r="U81" s="45"/>
      <c r="V81" s="16"/>
      <c r="W81" s="16"/>
      <c r="X81" s="45"/>
      <c r="Y81" s="45"/>
      <c r="Z81" s="45"/>
      <c r="AA81" s="45"/>
      <c r="AB81" s="45"/>
      <c r="AC81" s="45"/>
    </row>
    <row r="82" spans="1:29" s="17" customFormat="1" x14ac:dyDescent="0.25">
      <c r="A82" s="16"/>
      <c r="B82" s="45"/>
      <c r="C82" s="16"/>
      <c r="D82" s="15"/>
      <c r="E82" s="15"/>
      <c r="F82" s="15"/>
      <c r="G82" s="15"/>
      <c r="H82" s="18"/>
      <c r="I82" s="45"/>
      <c r="J82" s="45"/>
      <c r="K82" s="19"/>
      <c r="L82" s="16"/>
      <c r="N82" s="45"/>
      <c r="O82" s="45"/>
      <c r="P82" s="45"/>
      <c r="Q82" s="45"/>
      <c r="R82" s="45"/>
      <c r="S82" s="45"/>
      <c r="T82" s="45"/>
      <c r="U82" s="45"/>
      <c r="V82" s="16"/>
      <c r="W82" s="16"/>
      <c r="X82" s="45"/>
      <c r="Y82" s="45"/>
      <c r="Z82" s="45"/>
      <c r="AA82" s="45"/>
      <c r="AB82" s="45"/>
      <c r="AC82" s="45"/>
    </row>
    <row r="83" spans="1:29" s="17" customFormat="1" x14ac:dyDescent="0.25">
      <c r="A83" s="16"/>
      <c r="B83" s="45"/>
      <c r="C83" s="16"/>
      <c r="D83" s="15"/>
      <c r="E83" s="15"/>
      <c r="F83" s="15"/>
      <c r="G83" s="15"/>
      <c r="H83" s="18"/>
      <c r="I83" s="45"/>
      <c r="J83" s="45"/>
      <c r="K83" s="19"/>
      <c r="L83" s="16"/>
      <c r="N83" s="45"/>
      <c r="O83" s="45"/>
      <c r="P83" s="45"/>
      <c r="Q83" s="45"/>
      <c r="R83" s="45"/>
      <c r="S83" s="45"/>
      <c r="T83" s="45"/>
      <c r="U83" s="45"/>
      <c r="V83" s="16"/>
      <c r="W83" s="16"/>
      <c r="X83" s="45"/>
      <c r="Y83" s="45"/>
      <c r="Z83" s="45"/>
      <c r="AA83" s="45"/>
      <c r="AB83" s="45"/>
      <c r="AC83" s="45"/>
    </row>
    <row r="84" spans="1:29" s="17" customFormat="1" x14ac:dyDescent="0.25">
      <c r="A84" s="16"/>
      <c r="B84" s="45"/>
      <c r="C84" s="16"/>
      <c r="D84" s="15"/>
      <c r="E84" s="15"/>
      <c r="F84" s="15"/>
      <c r="G84" s="15"/>
      <c r="H84" s="18"/>
      <c r="I84" s="45"/>
      <c r="J84" s="45"/>
      <c r="K84" s="19"/>
      <c r="L84" s="16"/>
      <c r="N84" s="45"/>
      <c r="O84" s="45"/>
      <c r="P84" s="45"/>
      <c r="Q84" s="45"/>
      <c r="R84" s="45"/>
      <c r="S84" s="45"/>
      <c r="T84" s="45"/>
      <c r="U84" s="45"/>
      <c r="V84" s="16"/>
      <c r="W84" s="16"/>
      <c r="X84" s="45"/>
      <c r="Y84" s="45"/>
      <c r="Z84" s="45"/>
      <c r="AA84" s="45"/>
      <c r="AB84" s="45"/>
      <c r="AC84" s="45"/>
    </row>
    <row r="85" spans="1:29" s="17" customFormat="1" x14ac:dyDescent="0.25">
      <c r="A85" s="16"/>
      <c r="B85" s="45"/>
      <c r="C85" s="16"/>
      <c r="D85" s="15"/>
      <c r="E85" s="15"/>
      <c r="F85" s="15"/>
      <c r="G85" s="15"/>
      <c r="H85" s="18"/>
      <c r="I85" s="45"/>
      <c r="J85" s="45"/>
      <c r="K85" s="19"/>
      <c r="L85" s="16"/>
      <c r="N85" s="45"/>
      <c r="O85" s="45"/>
      <c r="P85" s="45"/>
      <c r="Q85" s="45"/>
      <c r="R85" s="45"/>
      <c r="S85" s="45"/>
      <c r="T85" s="45"/>
      <c r="U85" s="45"/>
      <c r="V85" s="16"/>
      <c r="W85" s="16"/>
      <c r="X85" s="45"/>
      <c r="Y85" s="45"/>
      <c r="Z85" s="45"/>
      <c r="AA85" s="45"/>
      <c r="AB85" s="45"/>
      <c r="AC85" s="45"/>
    </row>
    <row r="86" spans="1:29" s="17" customFormat="1" x14ac:dyDescent="0.25">
      <c r="A86" s="16"/>
      <c r="B86" s="45"/>
      <c r="C86" s="16"/>
      <c r="D86" s="15"/>
      <c r="E86" s="15"/>
      <c r="F86" s="15"/>
      <c r="G86" s="15"/>
      <c r="H86" s="18"/>
      <c r="I86" s="45"/>
      <c r="J86" s="45"/>
      <c r="K86" s="19"/>
      <c r="L86" s="16"/>
      <c r="N86" s="45"/>
      <c r="O86" s="45"/>
      <c r="P86" s="45"/>
      <c r="Q86" s="45"/>
      <c r="R86" s="45"/>
      <c r="S86" s="45"/>
      <c r="T86" s="45"/>
      <c r="U86" s="45"/>
      <c r="V86" s="16"/>
      <c r="W86" s="16"/>
      <c r="X86" s="45"/>
      <c r="Y86" s="45"/>
      <c r="Z86" s="45"/>
      <c r="AA86" s="45"/>
      <c r="AB86" s="45"/>
      <c r="AC86" s="45"/>
    </row>
    <row r="87" spans="1:29" s="17" customFormat="1" x14ac:dyDescent="0.25">
      <c r="A87" s="16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16"/>
      <c r="W87" s="16"/>
      <c r="X87" s="45"/>
      <c r="Y87" s="45"/>
      <c r="Z87" s="45"/>
      <c r="AA87" s="45"/>
      <c r="AB87" s="45"/>
      <c r="AC87" s="45"/>
    </row>
    <row r="88" spans="1:29" s="17" customFormat="1" x14ac:dyDescent="0.25">
      <c r="A88" s="16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16"/>
      <c r="W88" s="16"/>
      <c r="X88" s="45"/>
      <c r="Y88" s="45"/>
      <c r="Z88" s="45"/>
      <c r="AA88" s="45"/>
      <c r="AB88" s="45"/>
      <c r="AC88" s="45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16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16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15"/>
      <c r="J109" s="1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15"/>
      <c r="J110" s="1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15"/>
      <c r="J111" s="1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15"/>
      <c r="J112" s="1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15"/>
      <c r="J113" s="1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15"/>
      <c r="J114" s="1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15"/>
      <c r="J115" s="1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15"/>
      <c r="J116" s="1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15"/>
      <c r="J117" s="1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15"/>
      <c r="J118" s="1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15"/>
      <c r="J119" s="1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15"/>
      <c r="J120" s="1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15"/>
      <c r="J121" s="1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15"/>
      <c r="J122" s="1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15"/>
      <c r="J123" s="1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15"/>
      <c r="J124" s="1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15"/>
      <c r="J125" s="1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15"/>
      <c r="J126" s="1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x14ac:dyDescent="0.25">
      <c r="L517" s="16"/>
    </row>
    <row r="518" spans="1:29" x14ac:dyDescent="0.25">
      <c r="L518" s="16"/>
      <c r="N518" s="17"/>
      <c r="O518" s="38"/>
    </row>
    <row r="519" spans="1:29" x14ac:dyDescent="0.25">
      <c r="L519" s="16"/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553"/>
  <sheetViews>
    <sheetView zoomScaleNormal="100" workbookViewId="0">
      <selection activeCell="O8" sqref="O8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1752.06696846828</v>
      </c>
      <c r="E2" s="55"/>
      <c r="F2" s="53" t="s">
        <v>620</v>
      </c>
      <c r="G2" s="53">
        <v>45289588381</v>
      </c>
      <c r="H2" s="62"/>
      <c r="K2" s="51" t="s">
        <v>1</v>
      </c>
      <c r="L2" s="60" t="s">
        <v>578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8.2396448963921204E+40</v>
      </c>
      <c r="E3" s="53"/>
      <c r="F3" s="53" t="s">
        <v>621</v>
      </c>
      <c r="G3" s="53">
        <f>H43/SolarMass</f>
        <v>64257832979.603752</v>
      </c>
      <c r="H3" s="62"/>
      <c r="K3" s="51" t="s">
        <v>562</v>
      </c>
      <c r="L3" s="57">
        <v>1.4940000000000001E-3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5629.4647242371702</v>
      </c>
      <c r="E4" s="55"/>
      <c r="F4" s="53" t="s">
        <v>622</v>
      </c>
      <c r="G4" s="52">
        <f>G3/G2</f>
        <v>1.4188213069863393</v>
      </c>
      <c r="H4" s="62"/>
      <c r="K4" s="61" t="s">
        <v>614</v>
      </c>
      <c r="L4" s="52">
        <f>QEHModelChiSquare</f>
        <v>150.63427667642452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125.76322760253601</v>
      </c>
      <c r="F5" s="53"/>
      <c r="G5" s="52"/>
      <c r="H5" s="62"/>
      <c r="K5" s="61" t="s">
        <v>615</v>
      </c>
      <c r="L5" s="52">
        <f>LCDMModelChiSquare</f>
        <v>209.36089940726399</v>
      </c>
      <c r="M5" s="55"/>
    </row>
    <row r="6" spans="1:13" ht="20.100000000000001" customHeight="1" x14ac:dyDescent="0.25">
      <c r="A6" s="45"/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3" si="0">RadiusKpc*1000</f>
        <v>90</v>
      </c>
      <c r="C8" s="16">
        <f t="shared" ref="C8:C43" si="1">IF(QESBulgeEffectiveRadius=0,0,RadiusPc/QESBulgeEffectiveRadius)</f>
        <v>5.136789952651253E-2</v>
      </c>
      <c r="D8" s="15">
        <f t="shared" ref="D8:D43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1.5055220069196332E+39</v>
      </c>
      <c r="F8" s="15">
        <f t="shared" ref="F8:F43" si="3">2*PI()*QESDiskSurfaceDensity*QESDiskScaleLength*(QESDiskScaleLength-EXP(-RadiusPc/QESDiskScaleLength)*(RadiusPc+QESDiskScaleLength))*SolarMass</f>
        <v>6.2982438132707611E+36</v>
      </c>
      <c r="H8" s="18">
        <f t="shared" ref="H8:H43" si="4">BulgeMass+DiskMass+HaloMass</f>
        <v>1.5118202507329041E+39</v>
      </c>
      <c r="I8" s="45">
        <v>215.65</v>
      </c>
      <c r="J8" s="45">
        <v>1</v>
      </c>
      <c r="K8" s="19">
        <f t="shared" ref="K8:K43" si="5">SQRT(TotalMass*GravitationalConstant/RadiusKm+UniverseAcceleration*RadiusKm)/km</f>
        <v>190.87703040810712</v>
      </c>
      <c r="L8" s="16">
        <f t="shared" ref="L8:L43" si="6">(ObservedVelocity-ModelVelocity)^2/(VelocityError)^2</f>
        <v>613.70002240084966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0.10844334344485977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4.0209365163987697E+39</v>
      </c>
      <c r="F9" s="15">
        <f t="shared" si="3"/>
        <v>2.7740176324962004E+37</v>
      </c>
      <c r="H9" s="18">
        <f t="shared" si="4"/>
        <v>4.0486766927237316E+39</v>
      </c>
      <c r="I9" s="45">
        <v>223.1</v>
      </c>
      <c r="J9" s="45">
        <v>1</v>
      </c>
      <c r="K9" s="19">
        <f t="shared" si="5"/>
        <v>215.18159684274931</v>
      </c>
      <c r="L9" s="16">
        <f t="shared" si="6"/>
        <v>62.701108560757532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0.17122633175504176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6.8992467369245287E+39</v>
      </c>
      <c r="F10" s="15">
        <f t="shared" si="3"/>
        <v>6.8266506770533378E+37</v>
      </c>
      <c r="H10" s="18">
        <f t="shared" si="4"/>
        <v>6.9675132436950618E+39</v>
      </c>
      <c r="I10" s="45">
        <v>212.2</v>
      </c>
      <c r="J10" s="45">
        <v>1</v>
      </c>
      <c r="K10" s="19">
        <f t="shared" si="5"/>
        <v>224.88114186139234</v>
      </c>
      <c r="L10" s="16">
        <f t="shared" si="6"/>
        <v>160.81135890875737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0.23971686445705845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9.943270984540103E+39</v>
      </c>
      <c r="F11" s="15">
        <f t="shared" si="3"/>
        <v>1.3192437589994761E+38</v>
      </c>
      <c r="H11" s="18">
        <f t="shared" si="4"/>
        <v>1.0075195360440051E+40</v>
      </c>
      <c r="I11" s="45">
        <v>207.71</v>
      </c>
      <c r="J11" s="45">
        <v>1</v>
      </c>
      <c r="K11" s="19">
        <f t="shared" si="5"/>
        <v>228.81866494830794</v>
      </c>
      <c r="L11" s="16">
        <f t="shared" si="6"/>
        <v>445.57573589992393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0.31962248594274462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1.334307264314791E+40</v>
      </c>
      <c r="F12" s="15">
        <f t="shared" si="3"/>
        <v>2.3070377232819563E+38</v>
      </c>
      <c r="H12" s="18">
        <f t="shared" si="4"/>
        <v>1.3573776415476106E+40</v>
      </c>
      <c r="I12" s="45">
        <v>210.49</v>
      </c>
      <c r="J12" s="45">
        <v>1</v>
      </c>
      <c r="K12" s="19">
        <f t="shared" si="5"/>
        <v>230.34094110930593</v>
      </c>
      <c r="L12" s="16">
        <f t="shared" si="6"/>
        <v>394.05986292513182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0.39952810742843076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1.6526407373351632E+40</v>
      </c>
      <c r="F13" s="15">
        <f t="shared" si="3"/>
        <v>3.5460268023922412E+38</v>
      </c>
      <c r="H13" s="18">
        <f t="shared" si="4"/>
        <v>1.6881010053590855E+40</v>
      </c>
      <c r="I13" s="45">
        <v>219.35</v>
      </c>
      <c r="J13" s="45">
        <v>1</v>
      </c>
      <c r="K13" s="19">
        <f t="shared" si="5"/>
        <v>230.10454223724008</v>
      </c>
      <c r="L13" s="16">
        <f t="shared" si="6"/>
        <v>115.66017873258103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0.49084881769778638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1.9844868235114095E+40</v>
      </c>
      <c r="F14" s="15">
        <f t="shared" si="3"/>
        <v>5.2530283286743503E+38</v>
      </c>
      <c r="H14" s="18">
        <f t="shared" si="4"/>
        <v>2.037017106798153E+40</v>
      </c>
      <c r="I14" s="45">
        <v>228.35</v>
      </c>
      <c r="J14" s="45">
        <v>1</v>
      </c>
      <c r="K14" s="19">
        <f t="shared" si="5"/>
        <v>228.47143836462303</v>
      </c>
      <c r="L14" s="16">
        <f t="shared" si="6"/>
        <v>1.4747276402316397E-2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0.59358461675081142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2.3278622749666983E+40</v>
      </c>
      <c r="F15" s="15">
        <f t="shared" si="3"/>
        <v>7.5223503101477925E+38</v>
      </c>
      <c r="H15" s="18">
        <f t="shared" si="4"/>
        <v>2.4030857780681763E+40</v>
      </c>
      <c r="I15" s="45">
        <v>232.23</v>
      </c>
      <c r="J15" s="45">
        <v>1</v>
      </c>
      <c r="K15" s="19">
        <f t="shared" si="5"/>
        <v>226.15923244655605</v>
      </c>
      <c r="L15" s="16">
        <f t="shared" si="6"/>
        <v>36.854218687947757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0.70202796019567115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2.6578147425417757E+40</v>
      </c>
      <c r="F16" s="15">
        <f t="shared" si="3"/>
        <v>1.0291804832265042E+39</v>
      </c>
      <c r="H16" s="18">
        <f t="shared" si="4"/>
        <v>2.7607327908644261E+40</v>
      </c>
      <c r="I16" s="45">
        <v>232.71</v>
      </c>
      <c r="J16" s="45">
        <v>1</v>
      </c>
      <c r="K16" s="19">
        <f t="shared" si="5"/>
        <v>223.45195601690128</v>
      </c>
      <c r="L16" s="16">
        <f t="shared" si="6"/>
        <v>85.711378392990596</v>
      </c>
    </row>
    <row r="17" spans="1:27" x14ac:dyDescent="0.25">
      <c r="A17" s="45">
        <v>1.45</v>
      </c>
      <c r="B17" s="45">
        <f t="shared" si="0"/>
        <v>1450</v>
      </c>
      <c r="C17" s="16">
        <f t="shared" si="1"/>
        <v>0.8275939368160351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3.0008018512032194E+40</v>
      </c>
      <c r="F17" s="15">
        <f t="shared" si="3"/>
        <v>1.3942171316381033E+39</v>
      </c>
      <c r="H17" s="18">
        <f t="shared" si="4"/>
        <v>3.1402235643670298E+40</v>
      </c>
      <c r="I17" s="45">
        <v>230.74</v>
      </c>
      <c r="J17" s="45">
        <v>1</v>
      </c>
      <c r="K17" s="19">
        <f t="shared" si="5"/>
        <v>220.16667561702485</v>
      </c>
      <c r="L17" s="16">
        <f t="shared" si="6"/>
        <v>111.79518850761701</v>
      </c>
    </row>
    <row r="18" spans="1:27" x14ac:dyDescent="0.25">
      <c r="A18" s="45">
        <v>1.68</v>
      </c>
      <c r="B18" s="45">
        <f t="shared" si="0"/>
        <v>1680</v>
      </c>
      <c r="C18" s="16">
        <f t="shared" si="1"/>
        <v>0.95886745782823379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3.3252173533546557E+40</v>
      </c>
      <c r="F18" s="15">
        <f t="shared" si="3"/>
        <v>1.8224802169561365E+39</v>
      </c>
      <c r="H18" s="18">
        <f t="shared" si="4"/>
        <v>3.5074653750502694E+40</v>
      </c>
      <c r="I18" s="45">
        <v>227.39</v>
      </c>
      <c r="J18" s="45">
        <v>1</v>
      </c>
      <c r="K18" s="19">
        <f t="shared" si="5"/>
        <v>216.9040619199013</v>
      </c>
      <c r="L18" s="16">
        <f t="shared" si="6"/>
        <v>109.95489741966382</v>
      </c>
    </row>
    <row r="19" spans="1:27" x14ac:dyDescent="0.25">
      <c r="A19" s="45">
        <v>1.94</v>
      </c>
      <c r="B19" s="45">
        <f t="shared" si="0"/>
        <v>1940</v>
      </c>
      <c r="C19" s="16">
        <f t="shared" si="1"/>
        <v>1.1072636120159367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3.6559403834992634E+40</v>
      </c>
      <c r="F19" s="15">
        <f t="shared" si="3"/>
        <v>2.358529892313046E+39</v>
      </c>
      <c r="H19" s="18">
        <f t="shared" si="4"/>
        <v>3.891793372730568E+40</v>
      </c>
      <c r="I19" s="45">
        <v>223.14</v>
      </c>
      <c r="J19" s="45">
        <v>1</v>
      </c>
      <c r="K19" s="19">
        <f t="shared" si="5"/>
        <v>213.47802797290586</v>
      </c>
      <c r="L19" s="16">
        <f t="shared" si="6"/>
        <v>93.353703452349322</v>
      </c>
    </row>
    <row r="20" spans="1:27" s="17" customFormat="1" x14ac:dyDescent="0.25">
      <c r="A20" s="45">
        <v>2.23</v>
      </c>
      <c r="B20" s="45">
        <f t="shared" si="0"/>
        <v>2230</v>
      </c>
      <c r="C20" s="16">
        <f t="shared" si="1"/>
        <v>1.2727823993791436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3.9820025276329286E+40</v>
      </c>
      <c r="F20" s="15">
        <f t="shared" si="3"/>
        <v>3.0144214515652133E+39</v>
      </c>
      <c r="G20" s="15"/>
      <c r="H20" s="18">
        <f t="shared" si="4"/>
        <v>4.2834446727894499E+40</v>
      </c>
      <c r="I20" s="45">
        <v>218.5</v>
      </c>
      <c r="J20" s="45">
        <v>1</v>
      </c>
      <c r="K20" s="19">
        <f t="shared" si="5"/>
        <v>209.89343377529934</v>
      </c>
      <c r="L20" s="16">
        <f t="shared" si="6"/>
        <v>74.072982180158121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</row>
    <row r="21" spans="1:27" s="17" customFormat="1" x14ac:dyDescent="0.25">
      <c r="A21" s="45">
        <v>2.54</v>
      </c>
      <c r="B21" s="45">
        <f t="shared" si="0"/>
        <v>2540</v>
      </c>
      <c r="C21" s="16">
        <f t="shared" si="1"/>
        <v>1.4497162755260202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4.2919749834348911E+40</v>
      </c>
      <c r="F21" s="15">
        <f t="shared" si="3"/>
        <v>3.7748198345343697E+39</v>
      </c>
      <c r="G21" s="15"/>
      <c r="H21" s="18">
        <f t="shared" si="4"/>
        <v>4.6694569668883277E+40</v>
      </c>
      <c r="I21" s="45">
        <v>213.33</v>
      </c>
      <c r="J21" s="45">
        <v>1</v>
      </c>
      <c r="K21" s="19">
        <f t="shared" si="5"/>
        <v>206.44748737859265</v>
      </c>
      <c r="L21" s="16">
        <f t="shared" si="6"/>
        <v>47.368979983831579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</row>
    <row r="22" spans="1:27" s="17" customFormat="1" x14ac:dyDescent="0.25">
      <c r="A22" s="45">
        <v>2.89</v>
      </c>
      <c r="B22" s="45">
        <f t="shared" si="0"/>
        <v>2890</v>
      </c>
      <c r="C22" s="16">
        <f t="shared" si="1"/>
        <v>1.6494803292402356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4.6014167892062155E+40</v>
      </c>
      <c r="F22" s="15">
        <f t="shared" si="3"/>
        <v>4.6964456170110478E+39</v>
      </c>
      <c r="G22" s="15"/>
      <c r="H22" s="18">
        <f t="shared" si="4"/>
        <v>5.0710613509073207E+40</v>
      </c>
      <c r="I22" s="45">
        <v>208.13</v>
      </c>
      <c r="J22" s="45">
        <v>1</v>
      </c>
      <c r="K22" s="19">
        <f t="shared" si="5"/>
        <v>202.98901483608651</v>
      </c>
      <c r="L22" s="16">
        <f t="shared" si="6"/>
        <v>26.429728455578555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</row>
    <row r="23" spans="1:27" s="17" customFormat="1" x14ac:dyDescent="0.25">
      <c r="A23" s="45">
        <v>3.27</v>
      </c>
      <c r="B23" s="45">
        <f t="shared" si="0"/>
        <v>3270</v>
      </c>
      <c r="C23" s="16">
        <f t="shared" si="1"/>
        <v>1.866367016129955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4.8966552727019184E+40</v>
      </c>
      <c r="F23" s="15">
        <f t="shared" si="3"/>
        <v>5.7603281488079838E+39</v>
      </c>
      <c r="G23" s="15"/>
      <c r="H23" s="18">
        <f t="shared" si="4"/>
        <v>5.4726880875827172E+40</v>
      </c>
      <c r="I23" s="45">
        <v>202.75</v>
      </c>
      <c r="J23" s="45">
        <v>1</v>
      </c>
      <c r="K23" s="19">
        <f t="shared" si="5"/>
        <v>199.69543189561253</v>
      </c>
      <c r="L23" s="16">
        <f t="shared" si="6"/>
        <v>9.3303863043412676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</row>
    <row r="24" spans="1:27" s="17" customFormat="1" x14ac:dyDescent="0.25">
      <c r="A24" s="45">
        <v>3.69</v>
      </c>
      <c r="B24" s="45">
        <f t="shared" si="0"/>
        <v>3690</v>
      </c>
      <c r="C24" s="16">
        <f t="shared" si="1"/>
        <v>2.1060838805870135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5.1825771094723833E+40</v>
      </c>
      <c r="F24" s="15">
        <f t="shared" si="3"/>
        <v>6.9977649223994872E+39</v>
      </c>
      <c r="G24" s="15"/>
      <c r="H24" s="18">
        <f t="shared" si="4"/>
        <v>5.8823536017123318E+40</v>
      </c>
      <c r="I24" s="45">
        <v>197.98</v>
      </c>
      <c r="J24" s="45">
        <v>1</v>
      </c>
      <c r="K24" s="19">
        <f t="shared" si="5"/>
        <v>196.55015210222354</v>
      </c>
      <c r="L24" s="16">
        <f t="shared" si="6"/>
        <v>2.0444650107757467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</row>
    <row r="25" spans="1:27" s="17" customFormat="1" x14ac:dyDescent="0.25">
      <c r="A25" s="45">
        <v>4.1500000000000004</v>
      </c>
      <c r="B25" s="45">
        <f t="shared" si="0"/>
        <v>4150</v>
      </c>
      <c r="C25" s="16">
        <f t="shared" si="1"/>
        <v>2.3686309226114108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5.4541426173735815E+40</v>
      </c>
      <c r="F25" s="15">
        <f t="shared" si="3"/>
        <v>8.4096286612769843E+39</v>
      </c>
      <c r="G25" s="15"/>
      <c r="H25" s="18">
        <f t="shared" si="4"/>
        <v>6.2951054835012797E+40</v>
      </c>
      <c r="I25" s="45">
        <v>193.87</v>
      </c>
      <c r="J25" s="45">
        <v>1</v>
      </c>
      <c r="K25" s="19">
        <f t="shared" si="5"/>
        <v>193.59469839164495</v>
      </c>
      <c r="L25" s="16">
        <f t="shared" si="6"/>
        <v>7.5790975562877658E-2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</row>
    <row r="26" spans="1:27" s="17" customFormat="1" x14ac:dyDescent="0.25">
      <c r="A26" s="45">
        <v>4.6500000000000004</v>
      </c>
      <c r="B26" s="45">
        <f t="shared" si="0"/>
        <v>4650</v>
      </c>
      <c r="C26" s="16">
        <f t="shared" si="1"/>
        <v>2.6540081422031472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5.7104630489513716E+40</v>
      </c>
      <c r="F26" s="15">
        <f t="shared" si="3"/>
        <v>9.991404116015623E+39</v>
      </c>
      <c r="G26" s="15"/>
      <c r="H26" s="18">
        <f t="shared" si="4"/>
        <v>6.7096034605529342E+40</v>
      </c>
      <c r="I26" s="45">
        <v>190.64</v>
      </c>
      <c r="J26" s="45">
        <v>1</v>
      </c>
      <c r="K26" s="19">
        <f t="shared" si="5"/>
        <v>190.89699808472673</v>
      </c>
      <c r="L26" s="16">
        <f t="shared" si="6"/>
        <v>6.6048015553215669E-2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</row>
    <row r="27" spans="1:27" s="17" customFormat="1" x14ac:dyDescent="0.25">
      <c r="A27" s="45">
        <v>5.21</v>
      </c>
      <c r="B27" s="45">
        <f t="shared" si="0"/>
        <v>5210</v>
      </c>
      <c r="C27" s="16">
        <f t="shared" si="1"/>
        <v>2.9736306281458917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5.958226131313426E+40</v>
      </c>
      <c r="F27" s="15">
        <f t="shared" si="3"/>
        <v>1.1798004023616665E+40</v>
      </c>
      <c r="G27" s="15"/>
      <c r="H27" s="18">
        <f t="shared" si="4"/>
        <v>7.1380265336750927E+40</v>
      </c>
      <c r="I27" s="45">
        <v>187.97</v>
      </c>
      <c r="J27" s="45">
        <v>1</v>
      </c>
      <c r="K27" s="19">
        <f t="shared" si="5"/>
        <v>188.40336005369599</v>
      </c>
      <c r="L27" s="16">
        <f t="shared" si="6"/>
        <v>0.18780093613939314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</row>
    <row r="28" spans="1:27" s="17" customFormat="1" x14ac:dyDescent="0.25">
      <c r="A28" s="45">
        <v>5.82</v>
      </c>
      <c r="B28" s="45">
        <f t="shared" si="0"/>
        <v>5820</v>
      </c>
      <c r="C28" s="16">
        <f t="shared" si="1"/>
        <v>3.3217908360478101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6.1894878095133743E+40</v>
      </c>
      <c r="F28" s="15">
        <f t="shared" si="3"/>
        <v>1.3782179877715288E+40</v>
      </c>
      <c r="G28" s="15"/>
      <c r="H28" s="18">
        <f t="shared" si="4"/>
        <v>7.5677057972849031E+40</v>
      </c>
      <c r="I28" s="45">
        <v>185.51</v>
      </c>
      <c r="J28" s="45">
        <v>1</v>
      </c>
      <c r="K28" s="19">
        <f t="shared" si="5"/>
        <v>186.20728665136897</v>
      </c>
      <c r="L28" s="16">
        <f t="shared" si="6"/>
        <v>0.48620867417737063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</row>
    <row r="29" spans="1:27" s="17" customFormat="1" x14ac:dyDescent="0.25">
      <c r="A29" s="45">
        <v>6.49</v>
      </c>
      <c r="B29" s="45">
        <f t="shared" si="0"/>
        <v>6490</v>
      </c>
      <c r="C29" s="16">
        <f t="shared" si="1"/>
        <v>3.7041963103007367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6.4063322331118585E+40</v>
      </c>
      <c r="F29" s="15">
        <f t="shared" si="3"/>
        <v>1.5953093355749748E+40</v>
      </c>
      <c r="G29" s="15"/>
      <c r="H29" s="18">
        <f t="shared" si="4"/>
        <v>8.0016415686868333E+40</v>
      </c>
      <c r="I29" s="45">
        <v>183.64</v>
      </c>
      <c r="J29" s="45">
        <v>1</v>
      </c>
      <c r="K29" s="19">
        <f t="shared" si="5"/>
        <v>184.30897496996866</v>
      </c>
      <c r="L29" s="16">
        <f t="shared" si="6"/>
        <v>0.44752751044458677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</row>
    <row r="30" spans="1:27" s="17" customFormat="1" x14ac:dyDescent="0.25">
      <c r="A30" s="45">
        <v>7.23</v>
      </c>
      <c r="B30" s="45">
        <f t="shared" si="0"/>
        <v>7230</v>
      </c>
      <c r="C30" s="16">
        <f t="shared" si="1"/>
        <v>4.1265545952965059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6.6091843681210581E+40</v>
      </c>
      <c r="F30" s="15">
        <f t="shared" si="3"/>
        <v>1.8310959269484436E+40</v>
      </c>
      <c r="G30" s="15"/>
      <c r="H30" s="18">
        <f t="shared" si="4"/>
        <v>8.4402802950695022E+40</v>
      </c>
      <c r="I30" s="45">
        <v>182.19</v>
      </c>
      <c r="J30" s="45">
        <v>1</v>
      </c>
      <c r="K30" s="19">
        <f t="shared" si="5"/>
        <v>182.71640982229343</v>
      </c>
      <c r="L30" s="16">
        <f t="shared" si="6"/>
        <v>0.27710730100700143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</row>
    <row r="31" spans="1:27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4.5945732354269539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6.7988725717568565E+40</v>
      </c>
      <c r="F31" s="15">
        <f t="shared" si="3"/>
        <v>2.0844422910784214E+40</v>
      </c>
      <c r="G31" s="15"/>
      <c r="H31" s="18">
        <f t="shared" si="4"/>
        <v>8.8833148628352786E+40</v>
      </c>
      <c r="I31" s="45">
        <v>180.99</v>
      </c>
      <c r="J31" s="45">
        <v>1</v>
      </c>
      <c r="K31" s="19">
        <f t="shared" si="5"/>
        <v>181.45607474940357</v>
      </c>
      <c r="L31" s="16">
        <f t="shared" si="6"/>
        <v>0.21722567203159165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</row>
    <row r="32" spans="1:27" s="17" customFormat="1" x14ac:dyDescent="0.25">
      <c r="A32" s="45">
        <v>8.94</v>
      </c>
      <c r="B32" s="45">
        <f t="shared" si="0"/>
        <v>8940</v>
      </c>
      <c r="C32" s="16">
        <f t="shared" si="1"/>
        <v>5.1025446863002442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6.9669693902090195E+40</v>
      </c>
      <c r="F32" s="15">
        <f t="shared" si="3"/>
        <v>2.3471272073239145E+40</v>
      </c>
      <c r="G32" s="15"/>
      <c r="H32" s="18">
        <f t="shared" si="4"/>
        <v>9.314096597532934E+40</v>
      </c>
      <c r="I32" s="45">
        <v>180.31</v>
      </c>
      <c r="J32" s="45">
        <v>1</v>
      </c>
      <c r="K32" s="19">
        <f t="shared" si="5"/>
        <v>180.53764239683935</v>
      </c>
      <c r="L32" s="16">
        <f t="shared" si="6"/>
        <v>5.1821060838760952E-2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</row>
    <row r="33" spans="1:27" s="17" customFormat="1" x14ac:dyDescent="0.25">
      <c r="A33" s="45">
        <v>9.93</v>
      </c>
      <c r="B33" s="45">
        <f t="shared" si="0"/>
        <v>9930</v>
      </c>
      <c r="C33" s="16">
        <f t="shared" si="1"/>
        <v>5.667591581091882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7.1214483618217797E+40</v>
      </c>
      <c r="F33" s="15">
        <f t="shared" si="3"/>
        <v>2.6217773861662988E+40</v>
      </c>
      <c r="G33" s="15"/>
      <c r="H33" s="18">
        <f t="shared" si="4"/>
        <v>9.743225747988078E+40</v>
      </c>
      <c r="I33" s="45">
        <v>180.93</v>
      </c>
      <c r="J33" s="45">
        <v>1</v>
      </c>
      <c r="K33" s="19">
        <f t="shared" si="5"/>
        <v>179.98863853126016</v>
      </c>
      <c r="L33" s="16">
        <f t="shared" si="6"/>
        <v>0.88616141482803279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</row>
    <row r="34" spans="1:27" s="17" customFormat="1" x14ac:dyDescent="0.25">
      <c r="A34" s="45">
        <v>11.01</v>
      </c>
      <c r="B34" s="45">
        <f t="shared" si="0"/>
        <v>11010</v>
      </c>
      <c r="C34" s="16">
        <f t="shared" si="1"/>
        <v>6.2840063754100326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7.2691906845750205E+40</v>
      </c>
      <c r="F34" s="15">
        <f t="shared" si="3"/>
        <v>2.8984615965552937E+40</v>
      </c>
      <c r="G34" s="15"/>
      <c r="H34" s="18">
        <f t="shared" si="4"/>
        <v>1.0167652281130313E+41</v>
      </c>
      <c r="I34" s="45">
        <v>183.72</v>
      </c>
      <c r="J34" s="45">
        <v>1</v>
      </c>
      <c r="K34" s="19">
        <f t="shared" si="5"/>
        <v>179.89770563304992</v>
      </c>
      <c r="L34" s="16">
        <f t="shared" si="6"/>
        <v>14.609934227618275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</row>
    <row r="35" spans="1:27" s="17" customFormat="1" x14ac:dyDescent="0.25">
      <c r="A35" s="45">
        <v>12.2</v>
      </c>
      <c r="B35" s="45">
        <f t="shared" si="0"/>
        <v>12200</v>
      </c>
      <c r="C35" s="16">
        <f t="shared" si="1"/>
        <v>6.9632041580383648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7.4051819541765873E+40</v>
      </c>
      <c r="F35" s="15">
        <f t="shared" si="3"/>
        <v>3.1747220994660673E+40</v>
      </c>
      <c r="G35" s="15"/>
      <c r="H35" s="18">
        <f t="shared" si="4"/>
        <v>1.0579904053642655E+41</v>
      </c>
      <c r="I35" s="45">
        <v>188.64</v>
      </c>
      <c r="J35" s="45">
        <v>1</v>
      </c>
      <c r="K35" s="19">
        <f t="shared" si="5"/>
        <v>180.23528225481715</v>
      </c>
      <c r="L35" s="16">
        <f t="shared" si="6"/>
        <v>70.639280376191252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</row>
    <row r="36" spans="1:27" s="17" customFormat="1" x14ac:dyDescent="0.25">
      <c r="A36" s="45">
        <v>13.51</v>
      </c>
      <c r="B36" s="45">
        <f t="shared" si="0"/>
        <v>13510</v>
      </c>
      <c r="C36" s="16">
        <f t="shared" si="1"/>
        <v>7.7108924733687134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7.5198001948910727E+40</v>
      </c>
      <c r="F36" s="15">
        <f t="shared" si="3"/>
        <v>3.4445794089727807E+40</v>
      </c>
      <c r="G36" s="15"/>
      <c r="H36" s="18">
        <f t="shared" si="4"/>
        <v>1.0964379603863854E+41</v>
      </c>
      <c r="I36" s="45">
        <v>195.18</v>
      </c>
      <c r="J36" s="45">
        <v>1</v>
      </c>
      <c r="K36" s="19">
        <f t="shared" si="5"/>
        <v>180.98499688186428</v>
      </c>
      <c r="L36" s="16">
        <f t="shared" si="6"/>
        <v>201.49811352388312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</row>
    <row r="37" spans="1:27" s="17" customFormat="1" x14ac:dyDescent="0.25">
      <c r="A37" s="45">
        <v>14.95</v>
      </c>
      <c r="B37" s="45">
        <f t="shared" si="0"/>
        <v>14950</v>
      </c>
      <c r="C37" s="16">
        <f t="shared" si="1"/>
        <v>8.5327788657929133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7.6252710527989441E+40</v>
      </c>
      <c r="F37" s="15">
        <f t="shared" si="3"/>
        <v>3.7018599588022537E+40</v>
      </c>
      <c r="G37" s="15"/>
      <c r="H37" s="18">
        <f t="shared" si="4"/>
        <v>1.1327131011601198E+41</v>
      </c>
      <c r="I37" s="45">
        <v>202.24</v>
      </c>
      <c r="J37" s="45">
        <v>1</v>
      </c>
      <c r="K37" s="19">
        <f t="shared" si="5"/>
        <v>182.23589389769867</v>
      </c>
      <c r="L37" s="16">
        <f t="shared" si="6"/>
        <v>400.16426095212955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</row>
    <row r="38" spans="1:27" s="17" customFormat="1" x14ac:dyDescent="0.25">
      <c r="A38" s="45">
        <v>16.54</v>
      </c>
      <c r="B38" s="45">
        <f t="shared" si="0"/>
        <v>16540</v>
      </c>
      <c r="C38" s="16">
        <f t="shared" si="1"/>
        <v>9.440278424094636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7.7196366171785014E+40</v>
      </c>
      <c r="F38" s="15">
        <f t="shared" si="3"/>
        <v>3.9421114244670344E+40</v>
      </c>
      <c r="G38" s="15"/>
      <c r="H38" s="18">
        <f t="shared" si="4"/>
        <v>1.1661748041645536E+41</v>
      </c>
      <c r="I38" s="45">
        <v>208.57</v>
      </c>
      <c r="J38" s="45">
        <v>1</v>
      </c>
      <c r="K38" s="19">
        <f t="shared" si="5"/>
        <v>184.01425117295048</v>
      </c>
      <c r="L38" s="16">
        <f t="shared" si="6"/>
        <v>602.98480045714348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</row>
    <row r="39" spans="1:27" s="17" customFormat="1" x14ac:dyDescent="0.25">
      <c r="A39" s="45">
        <v>18.29</v>
      </c>
      <c r="B39" s="45">
        <f t="shared" si="0"/>
        <v>18290</v>
      </c>
      <c r="C39" s="16">
        <f t="shared" si="1"/>
        <v>10.439098692665713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7.8024828611473933E+40</v>
      </c>
      <c r="F39" s="15">
        <f t="shared" si="3"/>
        <v>4.1596115174014138E+40</v>
      </c>
      <c r="G39" s="15"/>
      <c r="H39" s="18">
        <f t="shared" si="4"/>
        <v>1.1962094378548807E+41</v>
      </c>
      <c r="I39" s="45">
        <v>211.17</v>
      </c>
      <c r="J39" s="45">
        <v>1</v>
      </c>
      <c r="K39" s="19">
        <f t="shared" si="5"/>
        <v>186.35033366782142</v>
      </c>
      <c r="L39" s="16">
        <f t="shared" si="6"/>
        <v>616.0158368406785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</row>
    <row r="40" spans="1:27" s="17" customFormat="1" x14ac:dyDescent="0.25">
      <c r="A40" s="45">
        <v>20.2</v>
      </c>
      <c r="B40" s="45">
        <f t="shared" si="0"/>
        <v>20200</v>
      </c>
      <c r="C40" s="16">
        <f t="shared" si="1"/>
        <v>11.529239671506145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7.8741580948512007E+40</v>
      </c>
      <c r="F40" s="15">
        <f t="shared" si="3"/>
        <v>4.3492457496257056E+40</v>
      </c>
      <c r="G40" s="15"/>
      <c r="H40" s="18">
        <f t="shared" si="4"/>
        <v>1.2223403844476905E+41</v>
      </c>
      <c r="I40" s="45">
        <v>208.53</v>
      </c>
      <c r="J40" s="45">
        <v>1</v>
      </c>
      <c r="K40" s="19">
        <f t="shared" si="5"/>
        <v>189.25607282644594</v>
      </c>
      <c r="L40" s="16">
        <f t="shared" si="6"/>
        <v>371.4842686914655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</row>
    <row r="41" spans="1:27" x14ac:dyDescent="0.25">
      <c r="A41" s="45">
        <v>22.32</v>
      </c>
      <c r="B41" s="45">
        <f t="shared" si="0"/>
        <v>22320</v>
      </c>
      <c r="C41" s="16">
        <f t="shared" si="1"/>
        <v>12.739239082575107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7.93706525088801E+40</v>
      </c>
      <c r="F41" s="15">
        <f t="shared" si="3"/>
        <v>4.5119340341153272E+40</v>
      </c>
      <c r="H41" s="18">
        <f t="shared" si="4"/>
        <v>1.2448999285003337E+41</v>
      </c>
      <c r="I41" s="45">
        <v>203.15</v>
      </c>
      <c r="J41" s="45">
        <v>1</v>
      </c>
      <c r="K41" s="19">
        <f t="shared" si="5"/>
        <v>192.81807207095369</v>
      </c>
      <c r="L41" s="16">
        <f t="shared" si="6"/>
        <v>106.74873473100729</v>
      </c>
    </row>
    <row r="42" spans="1:27" x14ac:dyDescent="0.25">
      <c r="A42" s="45">
        <v>24.64</v>
      </c>
      <c r="B42" s="45">
        <f t="shared" si="0"/>
        <v>24640</v>
      </c>
      <c r="C42" s="16">
        <f t="shared" si="1"/>
        <v>14.063389381480762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7.9910736764984138E+40</v>
      </c>
      <c r="F42" s="15">
        <f t="shared" si="3"/>
        <v>4.6446029872787749E+40</v>
      </c>
      <c r="H42" s="18">
        <f t="shared" si="4"/>
        <v>1.263567666377719E+41</v>
      </c>
      <c r="I42" s="45">
        <v>198.21</v>
      </c>
      <c r="J42" s="45">
        <v>1</v>
      </c>
      <c r="K42" s="19">
        <f t="shared" si="5"/>
        <v>197.02115622733783</v>
      </c>
      <c r="L42" s="16">
        <f t="shared" si="6"/>
        <v>1.413349515797649</v>
      </c>
    </row>
    <row r="43" spans="1:27" x14ac:dyDescent="0.25">
      <c r="A43" s="45">
        <v>27.19</v>
      </c>
      <c r="B43" s="45">
        <f t="shared" si="0"/>
        <v>27190</v>
      </c>
      <c r="C43" s="16">
        <f t="shared" si="1"/>
        <v>15.518813201398618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8.0323731806220953E+40</v>
      </c>
      <c r="F43" s="15">
        <f t="shared" si="3"/>
        <v>4.7491523773508871E+40</v>
      </c>
      <c r="H43" s="18">
        <f t="shared" si="4"/>
        <v>1.2781525557972982E+41</v>
      </c>
      <c r="I43" s="45">
        <v>195.37</v>
      </c>
      <c r="J43" s="45">
        <v>1</v>
      </c>
      <c r="K43" s="19">
        <f t="shared" si="5"/>
        <v>201.8971463649462</v>
      </c>
      <c r="L43" s="16">
        <f t="shared" si="6"/>
        <v>42.603639669430272</v>
      </c>
    </row>
    <row r="44" spans="1:27" x14ac:dyDescent="0.25">
      <c r="A44" s="45"/>
      <c r="I44" s="45"/>
      <c r="J44" s="45"/>
      <c r="L44" s="16">
        <f>SUM(L8:L43)/(COUNT(L8:L43)-4)</f>
        <v>150.63427667642452</v>
      </c>
    </row>
    <row r="45" spans="1:27" x14ac:dyDescent="0.25">
      <c r="A45" s="45"/>
      <c r="I45" s="45"/>
      <c r="J45" s="45"/>
      <c r="L45" s="16"/>
    </row>
    <row r="46" spans="1:27" ht="21" x14ac:dyDescent="0.35">
      <c r="A46" s="46" t="s">
        <v>564</v>
      </c>
      <c r="I46" s="45"/>
      <c r="J46" s="45"/>
      <c r="L46" s="16"/>
    </row>
    <row r="47" spans="1:27" x14ac:dyDescent="0.25">
      <c r="A47" s="45" t="s">
        <v>30</v>
      </c>
      <c r="D47" s="16">
        <v>0.47</v>
      </c>
      <c r="E47" s="17">
        <f>$D$47*1000</f>
        <v>470</v>
      </c>
      <c r="F47" s="17"/>
      <c r="G47" s="17"/>
      <c r="H47" s="15"/>
      <c r="K47" s="15"/>
      <c r="L47" s="17"/>
      <c r="M47" s="45"/>
    </row>
    <row r="48" spans="1:27" x14ac:dyDescent="0.25">
      <c r="A48" s="45" t="s">
        <v>16</v>
      </c>
      <c r="D48" s="16">
        <v>1.19</v>
      </c>
      <c r="E48" s="15">
        <f>D48*10000000000*SolarMass</f>
        <v>2.3670289999999998E+40</v>
      </c>
      <c r="F48" s="43"/>
      <c r="G48" s="43"/>
      <c r="H48" s="15"/>
      <c r="K48" s="15"/>
      <c r="L48" s="17"/>
      <c r="M48" s="45"/>
    </row>
    <row r="49" spans="1:27" x14ac:dyDescent="0.25">
      <c r="A49" s="45" t="s">
        <v>569</v>
      </c>
      <c r="D49" s="16">
        <v>0.8</v>
      </c>
      <c r="E49" s="15">
        <f>D49*1000</f>
        <v>800</v>
      </c>
      <c r="H49" s="15"/>
      <c r="K49" s="15"/>
      <c r="L49" s="17"/>
      <c r="M49" s="45"/>
    </row>
    <row r="50" spans="1:27" x14ac:dyDescent="0.25">
      <c r="A50" s="45" t="s">
        <v>17</v>
      </c>
      <c r="D50" s="45">
        <v>0.9</v>
      </c>
      <c r="G50" s="16"/>
      <c r="H50" s="15"/>
      <c r="K50" s="15"/>
      <c r="L50" s="17"/>
      <c r="M50" s="45"/>
    </row>
    <row r="51" spans="1:27" x14ac:dyDescent="0.25">
      <c r="A51" s="45" t="s">
        <v>570</v>
      </c>
      <c r="D51" s="16">
        <v>19.399999999999999</v>
      </c>
      <c r="E51" s="17">
        <f>D51*1000</f>
        <v>19400</v>
      </c>
      <c r="H51" s="15"/>
      <c r="K51" s="15"/>
      <c r="L51" s="17"/>
      <c r="M51" s="45"/>
    </row>
    <row r="52" spans="1:27" x14ac:dyDescent="0.25">
      <c r="A52" s="45" t="s">
        <v>571</v>
      </c>
      <c r="D52" s="16">
        <v>16.100000000000001</v>
      </c>
      <c r="G52" s="9"/>
      <c r="H52" s="15"/>
      <c r="K52" s="15"/>
      <c r="L52" s="17"/>
      <c r="M52" s="45"/>
    </row>
    <row r="53" spans="1:27" x14ac:dyDescent="0.25">
      <c r="A53" s="45"/>
      <c r="D53" s="12"/>
      <c r="H53" s="15"/>
      <c r="K53" s="15"/>
      <c r="L53" s="17"/>
      <c r="M53" s="45"/>
    </row>
    <row r="54" spans="1:27" x14ac:dyDescent="0.25">
      <c r="A54" s="17" t="s">
        <v>567</v>
      </c>
      <c r="D54" s="17">
        <f>(D50*10000000000)/(2*PI()*DiskScaleLengthPc^2)</f>
        <v>2238.1163872297784</v>
      </c>
      <c r="H54" s="15"/>
      <c r="K54" s="15"/>
      <c r="L54" s="17"/>
      <c r="M54" s="45"/>
    </row>
    <row r="55" spans="1:27" x14ac:dyDescent="0.25">
      <c r="A55" s="17" t="s">
        <v>565</v>
      </c>
      <c r="D55" s="9">
        <f>(D52*10000000000)/(4*PI()*(LCDMHaloScaleLengthPc)^3*(LN(2)-1/2))</f>
        <v>9.084948070928623E-3</v>
      </c>
      <c r="H55" s="15"/>
      <c r="K55" s="15"/>
      <c r="L55" s="17"/>
      <c r="M55" s="45"/>
    </row>
    <row r="56" spans="1:27" x14ac:dyDescent="0.25">
      <c r="A56" s="19"/>
      <c r="H56" s="15"/>
      <c r="K56" s="15"/>
      <c r="L56" s="17"/>
      <c r="M56" s="45"/>
    </row>
    <row r="57" spans="1:27" ht="45" x14ac:dyDescent="0.25">
      <c r="A57" s="25" t="s">
        <v>20</v>
      </c>
      <c r="B57" s="3" t="s">
        <v>19</v>
      </c>
      <c r="C57" s="7" t="s">
        <v>27</v>
      </c>
      <c r="D57" s="4" t="s">
        <v>649</v>
      </c>
      <c r="E57" s="4" t="s">
        <v>21</v>
      </c>
      <c r="F57" s="4" t="s">
        <v>22</v>
      </c>
      <c r="G57" s="4" t="s">
        <v>28</v>
      </c>
      <c r="H57" s="4" t="s">
        <v>23</v>
      </c>
      <c r="I57" s="7" t="s">
        <v>645</v>
      </c>
      <c r="J57" s="7" t="s">
        <v>646</v>
      </c>
      <c r="K57" s="25" t="s">
        <v>647</v>
      </c>
      <c r="L57" s="3" t="s">
        <v>648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5">
      <c r="A58" s="45">
        <v>0.09</v>
      </c>
      <c r="B58" s="45">
        <f>A58*1000</f>
        <v>90</v>
      </c>
      <c r="C58" s="16">
        <f>B58/LCDMBulgeEffectiveRadius</f>
        <v>0.19148936170212766</v>
      </c>
      <c r="D58" s="15">
        <f>A58*kpc</f>
        <v>2.777109822E+18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2.2488356876821269E+39</v>
      </c>
      <c r="F58" s="15">
        <f t="shared" ref="F58:F93" si="7">2*PI()*LCDMDiskSurfaceDensity*LCDMScaleLength*(LCDMScaleLength-EXP(-RadiusPc/LCDMScaleLength)*(RadiusPc+LCDMScaleLength))*SolarMass</f>
        <v>1.0513698762534642E+38</v>
      </c>
      <c r="G58" s="15">
        <f t="shared" ref="G58:G93" si="8">4*PI()*LCDMHaloRepresentativeDensity*LCDMHaloScaleLengthPc^3*(LN(1+RadiusPc/LCDMHaloScaleLengthPc)-RadiusPc/(RadiusPc+LCDMHaloScaleLengthPc))*SolarMass</f>
        <v>1.773229800310218E+37</v>
      </c>
      <c r="H58" s="15">
        <f t="shared" ref="H58:H93" si="9">BulgeMass+DiskMass+HaloMass</f>
        <v>2.3717049733105758E+39</v>
      </c>
      <c r="I58" s="45">
        <v>215.65</v>
      </c>
      <c r="J58" s="45">
        <v>1</v>
      </c>
      <c r="K58" s="19">
        <f t="shared" ref="K58:K93" si="10">SQRT(TotalMass*GravitationalConstant/RadiusKm)/km</f>
        <v>238.74237448451996</v>
      </c>
      <c r="L58" s="16">
        <f t="shared" ref="L58:L93" si="11">(ObservedVelocity-ModelVelocity)^2/(VelocityError)^2</f>
        <v>533.25775933330806</v>
      </c>
      <c r="M58" s="45"/>
    </row>
    <row r="59" spans="1:27" x14ac:dyDescent="0.25">
      <c r="A59" s="45">
        <v>0.19</v>
      </c>
      <c r="B59" s="45">
        <f t="shared" ref="B59:B93" si="12">A59*1000</f>
        <v>190</v>
      </c>
      <c r="C59" s="16">
        <f t="shared" ref="C59:C93" si="13">B59/LCDMBulgeEffectiveRadius</f>
        <v>0.40425531914893614</v>
      </c>
      <c r="D59" s="15">
        <f t="shared" ref="D59:D93" si="14">A59*kpc</f>
        <v>5.862787402E+18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4.7973936525617008E+39</v>
      </c>
      <c r="F59" s="15">
        <f t="shared" si="7"/>
        <v>4.3163893021550531E+38</v>
      </c>
      <c r="G59" s="15">
        <f t="shared" si="8"/>
        <v>7.8491380310534173E+37</v>
      </c>
      <c r="H59" s="15">
        <f t="shared" si="9"/>
        <v>5.3075239630877408E+39</v>
      </c>
      <c r="I59" s="45">
        <v>223.1</v>
      </c>
      <c r="J59" s="45">
        <v>1</v>
      </c>
      <c r="K59" s="19">
        <f t="shared" si="10"/>
        <v>245.80437748520529</v>
      </c>
      <c r="L59" s="16">
        <f t="shared" si="11"/>
        <v>515.48875699069731</v>
      </c>
      <c r="M59" s="45"/>
    </row>
    <row r="60" spans="1:27" x14ac:dyDescent="0.25">
      <c r="A60" s="45">
        <v>0.3</v>
      </c>
      <c r="B60" s="45">
        <f t="shared" si="12"/>
        <v>300</v>
      </c>
      <c r="C60" s="16">
        <f t="shared" si="13"/>
        <v>0.63829787234042556</v>
      </c>
      <c r="D60" s="15">
        <f t="shared" si="14"/>
        <v>9.25703274E+18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7.081818376693618E+39</v>
      </c>
      <c r="F60" s="15">
        <f t="shared" si="7"/>
        <v>9.8419708251635349E+38</v>
      </c>
      <c r="G60" s="15">
        <f t="shared" si="8"/>
        <v>1.9422784686606546E+38</v>
      </c>
      <c r="H60" s="15">
        <f t="shared" si="9"/>
        <v>8.2602433060760373E+39</v>
      </c>
      <c r="I60" s="45">
        <v>212.2</v>
      </c>
      <c r="J60" s="45">
        <v>1</v>
      </c>
      <c r="K60" s="19">
        <f t="shared" si="10"/>
        <v>244.03730711391847</v>
      </c>
      <c r="L60" s="16">
        <f t="shared" si="11"/>
        <v>1013.6141242659645</v>
      </c>
      <c r="M60" s="45"/>
    </row>
    <row r="61" spans="1:27" x14ac:dyDescent="0.25">
      <c r="A61" s="45">
        <v>0.42</v>
      </c>
      <c r="B61" s="45">
        <f t="shared" si="12"/>
        <v>420</v>
      </c>
      <c r="C61" s="16">
        <f t="shared" si="13"/>
        <v>0.8936170212765957</v>
      </c>
      <c r="D61" s="15">
        <f t="shared" si="14"/>
        <v>1.2959845836E+19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9.105900128217019E+39</v>
      </c>
      <c r="F61" s="15">
        <f t="shared" si="7"/>
        <v>1.7522034095286121E+39</v>
      </c>
      <c r="G61" s="15">
        <f t="shared" si="8"/>
        <v>3.7761184748378834E+38</v>
      </c>
      <c r="H61" s="15">
        <f t="shared" si="9"/>
        <v>1.1235715385229419E+40</v>
      </c>
      <c r="I61" s="45">
        <v>207.71</v>
      </c>
      <c r="J61" s="45">
        <v>1</v>
      </c>
      <c r="K61" s="19">
        <f t="shared" si="10"/>
        <v>240.54489865996868</v>
      </c>
      <c r="L61" s="16">
        <f t="shared" si="11"/>
        <v>1078.1305700104126</v>
      </c>
      <c r="M61" s="45"/>
    </row>
    <row r="62" spans="1:27" x14ac:dyDescent="0.25">
      <c r="A62" s="45">
        <v>0.56000000000000005</v>
      </c>
      <c r="B62" s="45">
        <f t="shared" si="12"/>
        <v>560</v>
      </c>
      <c r="C62" s="16">
        <f t="shared" si="13"/>
        <v>1.1914893617021276</v>
      </c>
      <c r="D62" s="15">
        <f t="shared" si="14"/>
        <v>1.7279794448000002E+19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1.0994169813691489E+40</v>
      </c>
      <c r="F62" s="15">
        <f t="shared" si="7"/>
        <v>2.7892052350961616E+39</v>
      </c>
      <c r="G62" s="15">
        <f t="shared" si="8"/>
        <v>6.6502620482991474E+38</v>
      </c>
      <c r="H62" s="15">
        <f t="shared" si="9"/>
        <v>1.4448401253617565E+40</v>
      </c>
      <c r="I62" s="45">
        <v>210.49</v>
      </c>
      <c r="J62" s="45">
        <v>1</v>
      </c>
      <c r="K62" s="19">
        <f t="shared" si="10"/>
        <v>236.230688168668</v>
      </c>
      <c r="L62" s="16">
        <f t="shared" si="11"/>
        <v>662.58302739660405</v>
      </c>
      <c r="M62" s="45"/>
    </row>
    <row r="63" spans="1:27" x14ac:dyDescent="0.25">
      <c r="A63" s="45">
        <v>0.7</v>
      </c>
      <c r="B63" s="45">
        <f t="shared" si="12"/>
        <v>700</v>
      </c>
      <c r="C63" s="16">
        <f t="shared" si="13"/>
        <v>1.4893617021276595</v>
      </c>
      <c r="D63" s="15">
        <f t="shared" si="14"/>
        <v>2.1599743059999998E+19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1.2517564496931914E+40</v>
      </c>
      <c r="F63" s="15">
        <f t="shared" si="7"/>
        <v>3.9094833935949589E+39</v>
      </c>
      <c r="G63" s="15">
        <f t="shared" si="8"/>
        <v>1.0294390442614665E+39</v>
      </c>
      <c r="H63" s="15">
        <f t="shared" si="9"/>
        <v>1.7456486934788341E+40</v>
      </c>
      <c r="I63" s="45">
        <v>219.35</v>
      </c>
      <c r="J63" s="45">
        <v>1</v>
      </c>
      <c r="K63" s="19">
        <f t="shared" si="10"/>
        <v>232.24685165123097</v>
      </c>
      <c r="L63" s="16">
        <f t="shared" si="11"/>
        <v>166.32878251385912</v>
      </c>
      <c r="M63" s="45"/>
    </row>
    <row r="64" spans="1:27" x14ac:dyDescent="0.25">
      <c r="A64" s="45">
        <v>0.86</v>
      </c>
      <c r="B64" s="45">
        <f t="shared" si="12"/>
        <v>860</v>
      </c>
      <c r="C64" s="16">
        <f t="shared" si="13"/>
        <v>1.8297872340425532</v>
      </c>
      <c r="D64" s="15">
        <f t="shared" si="14"/>
        <v>2.6536827187999998E+19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1.3931617549068084E+40</v>
      </c>
      <c r="F64" s="15">
        <f t="shared" si="7"/>
        <v>5.2239025573325676E+39</v>
      </c>
      <c r="G64" s="15">
        <f t="shared" si="8"/>
        <v>1.5374294022211246E+39</v>
      </c>
      <c r="H64" s="15">
        <f t="shared" si="9"/>
        <v>2.0692949508621774E+40</v>
      </c>
      <c r="I64" s="45">
        <v>228.35</v>
      </c>
      <c r="J64" s="45">
        <v>1</v>
      </c>
      <c r="K64" s="19">
        <f t="shared" si="10"/>
        <v>228.13000234858521</v>
      </c>
      <c r="L64" s="16">
        <f t="shared" si="11"/>
        <v>4.8398966628021838E-2</v>
      </c>
      <c r="M64" s="45"/>
    </row>
    <row r="65" spans="1:13" x14ac:dyDescent="0.25">
      <c r="A65" s="45">
        <v>1.04</v>
      </c>
      <c r="B65" s="45">
        <f t="shared" si="12"/>
        <v>1040</v>
      </c>
      <c r="C65" s="16">
        <f t="shared" si="13"/>
        <v>2.2127659574468086</v>
      </c>
      <c r="D65" s="15">
        <f t="shared" si="14"/>
        <v>3.2091046832E+19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1.5218415093178723E+40</v>
      </c>
      <c r="F65" s="15">
        <f t="shared" si="7"/>
        <v>6.6805751168541425E+39</v>
      </c>
      <c r="G65" s="15">
        <f t="shared" si="8"/>
        <v>2.2218901899582932E+39</v>
      </c>
      <c r="H65" s="15">
        <f t="shared" si="9"/>
        <v>2.4120880399991161E+40</v>
      </c>
      <c r="I65" s="45">
        <v>232.23</v>
      </c>
      <c r="J65" s="45">
        <v>1</v>
      </c>
      <c r="K65" s="19">
        <f t="shared" si="10"/>
        <v>223.97540962392915</v>
      </c>
      <c r="L65" s="16">
        <f t="shared" si="11"/>
        <v>68.138262276721278</v>
      </c>
      <c r="M65" s="45"/>
    </row>
    <row r="66" spans="1:13" x14ac:dyDescent="0.25">
      <c r="A66" s="45">
        <v>1.23</v>
      </c>
      <c r="B66" s="45">
        <f t="shared" si="12"/>
        <v>1230</v>
      </c>
      <c r="C66" s="16">
        <f t="shared" si="13"/>
        <v>2.6170212765957448</v>
      </c>
      <c r="D66" s="15">
        <f t="shared" si="14"/>
        <v>3.7953834233999999E+19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1.631567908540425E+40</v>
      </c>
      <c r="F66" s="15">
        <f t="shared" si="7"/>
        <v>8.1390321257929616E+39</v>
      </c>
      <c r="G66" s="15">
        <f t="shared" si="8"/>
        <v>3.0696080578678321E+39</v>
      </c>
      <c r="H66" s="15">
        <f t="shared" si="9"/>
        <v>2.7524319269065046E+40</v>
      </c>
      <c r="I66" s="45">
        <v>232.71</v>
      </c>
      <c r="J66" s="45">
        <v>1</v>
      </c>
      <c r="K66" s="19">
        <f t="shared" si="10"/>
        <v>220.00176712465242</v>
      </c>
      <c r="L66" s="16">
        <f t="shared" si="11"/>
        <v>161.49918281406528</v>
      </c>
      <c r="M66" s="45"/>
    </row>
    <row r="67" spans="1:13" x14ac:dyDescent="0.25">
      <c r="A67" s="45">
        <v>1.45</v>
      </c>
      <c r="B67" s="45">
        <f t="shared" si="12"/>
        <v>1450</v>
      </c>
      <c r="C67" s="16">
        <f t="shared" si="13"/>
        <v>3.0851063829787235</v>
      </c>
      <c r="D67" s="15">
        <f t="shared" si="14"/>
        <v>4.4742324909999997E+19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1.7340794019217018E+40</v>
      </c>
      <c r="F67" s="15">
        <f t="shared" si="7"/>
        <v>9.6826363891888572E+39</v>
      </c>
      <c r="G67" s="15">
        <f t="shared" si="8"/>
        <v>4.2056392001601328E+39</v>
      </c>
      <c r="H67" s="15">
        <f t="shared" si="9"/>
        <v>3.122906960856601E+40</v>
      </c>
      <c r="I67" s="45">
        <v>230.74</v>
      </c>
      <c r="J67" s="45">
        <v>1</v>
      </c>
      <c r="K67" s="19">
        <f t="shared" si="10"/>
        <v>215.83205871989514</v>
      </c>
      <c r="L67" s="16">
        <f t="shared" si="11"/>
        <v>222.24671321105467</v>
      </c>
      <c r="M67" s="45"/>
    </row>
    <row r="68" spans="1:13" x14ac:dyDescent="0.25">
      <c r="A68" s="45">
        <v>1.68</v>
      </c>
      <c r="B68" s="45">
        <f t="shared" si="12"/>
        <v>1680</v>
      </c>
      <c r="C68" s="16">
        <f t="shared" si="13"/>
        <v>3.5744680851063828</v>
      </c>
      <c r="D68" s="15">
        <f t="shared" si="14"/>
        <v>5.1839383344E+19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1.8203022104206385E+40</v>
      </c>
      <c r="F68" s="15">
        <f t="shared" si="7"/>
        <v>1.1106071527879625E+40</v>
      </c>
      <c r="G68" s="15">
        <f t="shared" si="8"/>
        <v>5.5631488135469449E+39</v>
      </c>
      <c r="H68" s="15">
        <f t="shared" si="9"/>
        <v>3.4872242445632955E+40</v>
      </c>
      <c r="I68" s="45">
        <v>227.39</v>
      </c>
      <c r="J68" s="45">
        <v>1</v>
      </c>
      <c r="K68" s="19">
        <f t="shared" si="10"/>
        <v>211.88769100734527</v>
      </c>
      <c r="L68" s="16">
        <f t="shared" si="11"/>
        <v>240.32158410374336</v>
      </c>
      <c r="M68" s="45"/>
    </row>
    <row r="69" spans="1:13" x14ac:dyDescent="0.25">
      <c r="A69" s="45">
        <v>1.94</v>
      </c>
      <c r="B69" s="45">
        <f t="shared" si="12"/>
        <v>1940</v>
      </c>
      <c r="C69" s="16">
        <f t="shared" si="13"/>
        <v>4.1276595744680851</v>
      </c>
      <c r="D69" s="15">
        <f t="shared" si="14"/>
        <v>5.9862145052000002E+19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1.8987803014808509E+40</v>
      </c>
      <c r="F69" s="15">
        <f t="shared" si="7"/>
        <v>1.2476951945467566E+40</v>
      </c>
      <c r="G69" s="15">
        <f t="shared" si="8"/>
        <v>7.2971665922178879E+39</v>
      </c>
      <c r="H69" s="15">
        <f t="shared" si="9"/>
        <v>3.8761921552493961E+40</v>
      </c>
      <c r="I69" s="45">
        <v>223.14</v>
      </c>
      <c r="J69" s="45">
        <v>1</v>
      </c>
      <c r="K69" s="19">
        <f t="shared" si="10"/>
        <v>207.88455095420636</v>
      </c>
      <c r="L69" s="16">
        <f t="shared" si="11"/>
        <v>232.72872558880564</v>
      </c>
      <c r="M69" s="45"/>
    </row>
    <row r="70" spans="1:13" x14ac:dyDescent="0.25">
      <c r="A70" s="45">
        <v>2.23</v>
      </c>
      <c r="B70" s="45">
        <f t="shared" si="12"/>
        <v>2230</v>
      </c>
      <c r="C70" s="16">
        <f t="shared" si="13"/>
        <v>4.7446808510638299</v>
      </c>
      <c r="D70" s="15">
        <f t="shared" si="14"/>
        <v>6.8810610034000003E+19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1.9686660772710637E+40</v>
      </c>
      <c r="F70" s="15">
        <f t="shared" si="7"/>
        <v>1.3726905573630608E+40</v>
      </c>
      <c r="G70" s="15">
        <f t="shared" si="8"/>
        <v>9.4684240871164524E+39</v>
      </c>
      <c r="H70" s="15">
        <f t="shared" si="9"/>
        <v>4.2881990433457699E+40</v>
      </c>
      <c r="I70" s="45">
        <v>218.5</v>
      </c>
      <c r="J70" s="45">
        <v>1</v>
      </c>
      <c r="K70" s="19">
        <f t="shared" si="10"/>
        <v>203.9414335902614</v>
      </c>
      <c r="L70" s="16">
        <f t="shared" si="11"/>
        <v>211.95185590676917</v>
      </c>
      <c r="M70" s="45"/>
    </row>
    <row r="71" spans="1:13" x14ac:dyDescent="0.25">
      <c r="A71" s="45">
        <v>2.54</v>
      </c>
      <c r="B71" s="45">
        <f t="shared" si="12"/>
        <v>2540</v>
      </c>
      <c r="C71" s="16">
        <f t="shared" si="13"/>
        <v>5.4042553191489358</v>
      </c>
      <c r="D71" s="15">
        <f t="shared" si="14"/>
        <v>7.8376210532000006E+19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2.0251192152978721E+40</v>
      </c>
      <c r="F71" s="15">
        <f t="shared" si="7"/>
        <v>1.4778190584743071E+40</v>
      </c>
      <c r="G71" s="15">
        <f t="shared" si="8"/>
        <v>1.2050786278808079E+40</v>
      </c>
      <c r="H71" s="15">
        <f t="shared" si="9"/>
        <v>4.7080169016529874E+40</v>
      </c>
      <c r="I71" s="45">
        <v>213.33</v>
      </c>
      <c r="J71" s="45">
        <v>1</v>
      </c>
      <c r="K71" s="19">
        <f t="shared" si="10"/>
        <v>200.22697210400074</v>
      </c>
      <c r="L71" s="16">
        <f t="shared" si="11"/>
        <v>171.68934004333519</v>
      </c>
      <c r="M71" s="45"/>
    </row>
    <row r="72" spans="1:13" x14ac:dyDescent="0.25">
      <c r="A72" s="45">
        <v>2.89</v>
      </c>
      <c r="B72" s="45">
        <f t="shared" si="12"/>
        <v>2890</v>
      </c>
      <c r="C72" s="16">
        <f t="shared" si="13"/>
        <v>6.1489361702127656</v>
      </c>
      <c r="D72" s="15">
        <f t="shared" si="14"/>
        <v>8.9176082061999997E+19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2.0804744547672339E+40</v>
      </c>
      <c r="F72" s="15">
        <f t="shared" si="7"/>
        <v>1.5673738375537751E+40</v>
      </c>
      <c r="G72" s="15">
        <f t="shared" si="8"/>
        <v>1.5271392319760954E+40</v>
      </c>
      <c r="H72" s="15">
        <f t="shared" si="9"/>
        <v>5.1749875242971046E+40</v>
      </c>
      <c r="I72" s="45">
        <v>208.13</v>
      </c>
      <c r="J72" s="45">
        <v>1</v>
      </c>
      <c r="K72" s="19">
        <f t="shared" si="10"/>
        <v>196.80048470702931</v>
      </c>
      <c r="L72" s="16">
        <f t="shared" si="11"/>
        <v>128.35791677365657</v>
      </c>
      <c r="M72" s="45"/>
    </row>
    <row r="73" spans="1:13" x14ac:dyDescent="0.25">
      <c r="A73" s="45">
        <v>3.27</v>
      </c>
      <c r="B73" s="45">
        <f t="shared" si="12"/>
        <v>3270</v>
      </c>
      <c r="C73" s="16">
        <f t="shared" si="13"/>
        <v>6.957446808510638</v>
      </c>
      <c r="D73" s="15">
        <f t="shared" si="14"/>
        <v>1.0090165686599999E+20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2.1269790202693614E+40</v>
      </c>
      <c r="F73" s="15">
        <f t="shared" si="7"/>
        <v>1.6373542845581978E+40</v>
      </c>
      <c r="G73" s="15">
        <f t="shared" si="8"/>
        <v>1.911037240815304E+40</v>
      </c>
      <c r="H73" s="15">
        <f t="shared" si="9"/>
        <v>5.6753705456428631E+40</v>
      </c>
      <c r="I73" s="45">
        <v>202.75</v>
      </c>
      <c r="J73" s="45">
        <v>1</v>
      </c>
      <c r="K73" s="19">
        <f t="shared" si="10"/>
        <v>193.75087217732943</v>
      </c>
      <c r="L73" s="16">
        <f t="shared" si="11"/>
        <v>80.984301568763613</v>
      </c>
      <c r="M73" s="45"/>
    </row>
    <row r="74" spans="1:13" x14ac:dyDescent="0.25">
      <c r="A74" s="45">
        <v>3.69</v>
      </c>
      <c r="B74" s="45">
        <f t="shared" si="12"/>
        <v>3690</v>
      </c>
      <c r="C74" s="16">
        <f t="shared" si="13"/>
        <v>7.8510638297872344</v>
      </c>
      <c r="D74" s="15">
        <f t="shared" si="14"/>
        <v>1.13861502702E+20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2.1663119915246808E+40</v>
      </c>
      <c r="F74" s="15">
        <f t="shared" si="7"/>
        <v>1.6904493525453052E+40</v>
      </c>
      <c r="G74" s="15">
        <f t="shared" si="8"/>
        <v>2.3738302705768937E+40</v>
      </c>
      <c r="H74" s="15">
        <f t="shared" si="9"/>
        <v>6.2305916146468801E+40</v>
      </c>
      <c r="I74" s="45">
        <v>197.98</v>
      </c>
      <c r="J74" s="45">
        <v>1</v>
      </c>
      <c r="K74" s="19">
        <f t="shared" si="10"/>
        <v>191.10493033111814</v>
      </c>
      <c r="L74" s="16">
        <f t="shared" si="11"/>
        <v>47.266582951979181</v>
      </c>
      <c r="M74" s="45"/>
    </row>
    <row r="75" spans="1:13" x14ac:dyDescent="0.25">
      <c r="A75" s="45">
        <v>4.1500000000000004</v>
      </c>
      <c r="B75" s="45">
        <f t="shared" si="12"/>
        <v>4150</v>
      </c>
      <c r="C75" s="16">
        <f t="shared" si="13"/>
        <v>8.8297872340425538</v>
      </c>
      <c r="D75" s="15">
        <f t="shared" si="14"/>
        <v>1.2805561957E+20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2.2004415279655318E+40</v>
      </c>
      <c r="F75" s="15">
        <f t="shared" si="7"/>
        <v>1.7283154983727088E+40</v>
      </c>
      <c r="G75" s="15">
        <f t="shared" si="8"/>
        <v>2.9234414945614813E+40</v>
      </c>
      <c r="H75" s="15">
        <f t="shared" si="9"/>
        <v>6.8521985208997222E+40</v>
      </c>
      <c r="I75" s="45">
        <v>193.87</v>
      </c>
      <c r="J75" s="45">
        <v>1</v>
      </c>
      <c r="K75" s="19">
        <f t="shared" si="10"/>
        <v>188.97804488341382</v>
      </c>
      <c r="L75" s="16">
        <f t="shared" si="11"/>
        <v>23.931224862693792</v>
      </c>
      <c r="M75" s="45"/>
    </row>
    <row r="76" spans="1:13" x14ac:dyDescent="0.25">
      <c r="A76" s="45">
        <v>4.6500000000000004</v>
      </c>
      <c r="B76" s="45">
        <f t="shared" si="12"/>
        <v>4650</v>
      </c>
      <c r="C76" s="16">
        <f t="shared" si="13"/>
        <v>9.8936170212765955</v>
      </c>
      <c r="D76" s="15">
        <f t="shared" si="14"/>
        <v>1.4348400747000001E+20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2.2295126730710635E+40</v>
      </c>
      <c r="F76" s="15">
        <f t="shared" si="7"/>
        <v>1.7537256088872547E+40</v>
      </c>
      <c r="G76" s="15">
        <f t="shared" si="8"/>
        <v>3.5672222216195867E+40</v>
      </c>
      <c r="H76" s="15">
        <f t="shared" si="9"/>
        <v>7.5504605035779044E+40</v>
      </c>
      <c r="I76" s="45">
        <v>190.64</v>
      </c>
      <c r="J76" s="45">
        <v>1</v>
      </c>
      <c r="K76" s="19">
        <f t="shared" si="10"/>
        <v>187.40478484209194</v>
      </c>
      <c r="L76" s="16">
        <f t="shared" si="11"/>
        <v>10.466617117957972</v>
      </c>
      <c r="M76" s="45"/>
    </row>
    <row r="77" spans="1:13" x14ac:dyDescent="0.25">
      <c r="A77" s="45">
        <v>5.21</v>
      </c>
      <c r="B77" s="45">
        <f t="shared" si="12"/>
        <v>5210</v>
      </c>
      <c r="C77" s="16">
        <f t="shared" si="13"/>
        <v>11.085106382978724</v>
      </c>
      <c r="D77" s="15">
        <f t="shared" si="14"/>
        <v>1.6076380191800001E+20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2.2545598688765955E+40</v>
      </c>
      <c r="F77" s="15">
        <f t="shared" si="7"/>
        <v>1.7702217135344715E+40</v>
      </c>
      <c r="G77" s="15">
        <f t="shared" si="8"/>
        <v>4.3402820089897817E+40</v>
      </c>
      <c r="H77" s="15">
        <f t="shared" si="9"/>
        <v>8.3650635914008491E+40</v>
      </c>
      <c r="I77" s="45">
        <v>187.97</v>
      </c>
      <c r="J77" s="45">
        <v>1</v>
      </c>
      <c r="K77" s="19">
        <f t="shared" si="10"/>
        <v>186.35291618868172</v>
      </c>
      <c r="L77" s="16">
        <f t="shared" si="11"/>
        <v>2.6149600528276582</v>
      </c>
      <c r="M77" s="45"/>
    </row>
    <row r="78" spans="1:13" x14ac:dyDescent="0.25">
      <c r="A78" s="45">
        <v>5.82</v>
      </c>
      <c r="B78" s="45">
        <f t="shared" si="12"/>
        <v>5820</v>
      </c>
      <c r="C78" s="16">
        <f t="shared" si="13"/>
        <v>12.382978723404255</v>
      </c>
      <c r="D78" s="15">
        <f t="shared" si="14"/>
        <v>1.7958643515600001E+20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2.275214966829149E+40</v>
      </c>
      <c r="F78" s="15">
        <f t="shared" si="7"/>
        <v>1.7799293523686312E+40</v>
      </c>
      <c r="G78" s="15">
        <f t="shared" si="8"/>
        <v>5.2385723140610135E+40</v>
      </c>
      <c r="H78" s="15">
        <f t="shared" si="9"/>
        <v>9.2937166332587929E+40</v>
      </c>
      <c r="I78" s="45">
        <v>185.51</v>
      </c>
      <c r="J78" s="45">
        <v>1</v>
      </c>
      <c r="K78" s="19">
        <f t="shared" si="10"/>
        <v>185.84618589626572</v>
      </c>
      <c r="L78" s="16">
        <f t="shared" si="11"/>
        <v>0.11302095684799368</v>
      </c>
      <c r="M78" s="45"/>
    </row>
    <row r="79" spans="1:13" x14ac:dyDescent="0.25">
      <c r="A79" s="45">
        <v>6.49</v>
      </c>
      <c r="B79" s="45">
        <f t="shared" si="12"/>
        <v>6490</v>
      </c>
      <c r="C79" s="16">
        <f t="shared" si="13"/>
        <v>13.808510638297872</v>
      </c>
      <c r="D79" s="15">
        <f t="shared" si="14"/>
        <v>2.0026047494200001E+20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2.292852858241489E+40</v>
      </c>
      <c r="F79" s="15">
        <f t="shared" si="7"/>
        <v>1.7852998443375699E+40</v>
      </c>
      <c r="G79" s="15">
        <f t="shared" si="8"/>
        <v>6.2852506036571516E+40</v>
      </c>
      <c r="H79" s="15">
        <f t="shared" si="9"/>
        <v>1.036340330623621E+41</v>
      </c>
      <c r="I79" s="45">
        <v>183.64</v>
      </c>
      <c r="J79" s="45">
        <v>1</v>
      </c>
      <c r="K79" s="19">
        <f t="shared" si="10"/>
        <v>185.84431605055065</v>
      </c>
      <c r="L79" s="16">
        <f t="shared" si="11"/>
        <v>4.859009250715256</v>
      </c>
      <c r="M79" s="45"/>
    </row>
    <row r="80" spans="1:13" x14ac:dyDescent="0.25">
      <c r="A80" s="45">
        <v>7.23</v>
      </c>
      <c r="B80" s="45">
        <f t="shared" si="12"/>
        <v>7230</v>
      </c>
      <c r="C80" s="16">
        <f t="shared" si="13"/>
        <v>15.382978723404255</v>
      </c>
      <c r="D80" s="15">
        <f t="shared" si="14"/>
        <v>2.2309448903400001E+20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2.3066893010798297E+40</v>
      </c>
      <c r="F80" s="15">
        <f t="shared" si="7"/>
        <v>1.788054063659054E+40</v>
      </c>
      <c r="G80" s="15">
        <f t="shared" si="8"/>
        <v>7.5054383144885462E+40</v>
      </c>
      <c r="H80" s="15">
        <f t="shared" si="9"/>
        <v>1.1600181679227429E+41</v>
      </c>
      <c r="I80" s="45">
        <v>182.19</v>
      </c>
      <c r="J80" s="45">
        <v>1</v>
      </c>
      <c r="K80" s="19">
        <f t="shared" si="10"/>
        <v>186.28748454986334</v>
      </c>
      <c r="L80" s="16">
        <f t="shared" si="11"/>
        <v>16.789379636368768</v>
      </c>
      <c r="M80" s="45"/>
    </row>
    <row r="81" spans="1:13" x14ac:dyDescent="0.25">
      <c r="A81" s="45">
        <v>8.0500000000000007</v>
      </c>
      <c r="B81" s="45">
        <f t="shared" si="12"/>
        <v>8050.0000000000009</v>
      </c>
      <c r="C81" s="16">
        <f t="shared" si="13"/>
        <v>17.127659574468087</v>
      </c>
      <c r="D81" s="15">
        <f t="shared" si="14"/>
        <v>2.4839704519000002E+20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2.3169144634612763E+40</v>
      </c>
      <c r="F81" s="15">
        <f t="shared" si="7"/>
        <v>1.7893453745051366E+40</v>
      </c>
      <c r="G81" s="15">
        <f t="shared" si="8"/>
        <v>8.9256469509675536E+40</v>
      </c>
      <c r="H81" s="15">
        <f t="shared" si="9"/>
        <v>1.3031906788933967E+41</v>
      </c>
      <c r="I81" s="45">
        <v>180.99</v>
      </c>
      <c r="J81" s="45">
        <v>1</v>
      </c>
      <c r="K81" s="19">
        <f t="shared" si="10"/>
        <v>187.12269938174182</v>
      </c>
      <c r="L81" s="16">
        <f t="shared" si="11"/>
        <v>37.610001706816448</v>
      </c>
      <c r="M81" s="45"/>
    </row>
    <row r="82" spans="1:13" x14ac:dyDescent="0.25">
      <c r="A82" s="45">
        <v>8.94</v>
      </c>
      <c r="B82" s="45">
        <f t="shared" si="12"/>
        <v>8940</v>
      </c>
      <c r="C82" s="16">
        <f t="shared" si="13"/>
        <v>19.021276595744681</v>
      </c>
      <c r="D82" s="15">
        <f t="shared" si="14"/>
        <v>2.7585957565199997E+20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2.3280125055582123E+40</v>
      </c>
      <c r="F82" s="15">
        <f t="shared" si="7"/>
        <v>1.7898844183571123E+40</v>
      </c>
      <c r="G82" s="15">
        <f t="shared" si="8"/>
        <v>1.0536156436810671E+41</v>
      </c>
      <c r="H82" s="15">
        <f t="shared" si="9"/>
        <v>1.4654053360725996E+41</v>
      </c>
      <c r="I82" s="45">
        <v>180.31</v>
      </c>
      <c r="J82" s="45">
        <v>1</v>
      </c>
      <c r="K82" s="19">
        <f t="shared" si="10"/>
        <v>188.29143117509011</v>
      </c>
      <c r="L82" s="16">
        <f t="shared" si="11"/>
        <v>63.703243602700269</v>
      </c>
      <c r="M82" s="45"/>
    </row>
    <row r="83" spans="1:13" x14ac:dyDescent="0.25">
      <c r="A83" s="45">
        <v>9.93</v>
      </c>
      <c r="B83" s="45">
        <f t="shared" si="12"/>
        <v>9930</v>
      </c>
      <c r="C83" s="16">
        <f t="shared" si="13"/>
        <v>21.127659574468087</v>
      </c>
      <c r="D83" s="15">
        <f t="shared" si="14"/>
        <v>3.06407783694E+20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2.3367380795246806E+40</v>
      </c>
      <c r="F83" s="15">
        <f t="shared" si="7"/>
        <v>1.790092337327326E+40</v>
      </c>
      <c r="G83" s="15">
        <f t="shared" si="8"/>
        <v>1.2398236955949198E+41</v>
      </c>
      <c r="H83" s="15">
        <f t="shared" si="9"/>
        <v>1.6525067372801206E+41</v>
      </c>
      <c r="I83" s="45">
        <v>180.93</v>
      </c>
      <c r="J83" s="45">
        <v>1</v>
      </c>
      <c r="K83" s="19">
        <f t="shared" si="10"/>
        <v>189.72188312554835</v>
      </c>
      <c r="L83" s="16">
        <f t="shared" si="11"/>
        <v>77.297208893301615</v>
      </c>
      <c r="M83" s="45"/>
    </row>
    <row r="84" spans="1:13" x14ac:dyDescent="0.25">
      <c r="A84" s="45">
        <v>11.01</v>
      </c>
      <c r="B84" s="45">
        <f t="shared" si="12"/>
        <v>11010</v>
      </c>
      <c r="C84" s="16">
        <f t="shared" si="13"/>
        <v>23.425531914893618</v>
      </c>
      <c r="D84" s="15">
        <f t="shared" si="14"/>
        <v>3.3973310155799999E+20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2.3428299056489354E+40</v>
      </c>
      <c r="F84" s="15">
        <f t="shared" si="7"/>
        <v>1.7901621335766772E+40</v>
      </c>
      <c r="G84" s="15">
        <f t="shared" si="8"/>
        <v>1.4498946523261717E+41</v>
      </c>
      <c r="H84" s="15">
        <f t="shared" si="9"/>
        <v>1.8631938562487329E+41</v>
      </c>
      <c r="I84" s="45">
        <v>183.72</v>
      </c>
      <c r="J84" s="45">
        <v>1</v>
      </c>
      <c r="K84" s="19">
        <f t="shared" si="10"/>
        <v>191.31798308200356</v>
      </c>
      <c r="L84" s="16">
        <f t="shared" si="11"/>
        <v>57.729346914412403</v>
      </c>
      <c r="M84" s="45"/>
    </row>
    <row r="85" spans="1:13" x14ac:dyDescent="0.25">
      <c r="A85" s="45">
        <v>12.2</v>
      </c>
      <c r="B85" s="45">
        <f t="shared" si="12"/>
        <v>12200</v>
      </c>
      <c r="C85" s="16">
        <f t="shared" si="13"/>
        <v>25.957446808510639</v>
      </c>
      <c r="D85" s="15">
        <f t="shared" si="14"/>
        <v>3.7645266475999999E+20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2.3485586194521277E+40</v>
      </c>
      <c r="F85" s="15">
        <f t="shared" si="7"/>
        <v>1.7901830695466733E+40</v>
      </c>
      <c r="G85" s="15">
        <f t="shared" si="8"/>
        <v>1.6880156739607961E+41</v>
      </c>
      <c r="H85" s="15">
        <f t="shared" si="9"/>
        <v>2.1018898428606763E+41</v>
      </c>
      <c r="I85" s="45">
        <v>188.64</v>
      </c>
      <c r="J85" s="45">
        <v>1</v>
      </c>
      <c r="K85" s="19">
        <f t="shared" si="10"/>
        <v>193.03919238862616</v>
      </c>
      <c r="L85" s="16">
        <f t="shared" si="11"/>
        <v>19.352893672146479</v>
      </c>
      <c r="M85" s="45"/>
    </row>
    <row r="86" spans="1:13" x14ac:dyDescent="0.25">
      <c r="A86" s="45">
        <v>13.51</v>
      </c>
      <c r="B86" s="45">
        <f t="shared" si="12"/>
        <v>13510</v>
      </c>
      <c r="C86" s="16">
        <f t="shared" si="13"/>
        <v>28.74468085106383</v>
      </c>
      <c r="D86" s="15">
        <f t="shared" si="14"/>
        <v>4.1687504105800001E+20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2.3530844796247661E+40</v>
      </c>
      <c r="F86" s="15">
        <f t="shared" si="7"/>
        <v>1.7901885164550472E+40</v>
      </c>
      <c r="G86" s="15">
        <f t="shared" si="8"/>
        <v>1.9563170057457579E+41</v>
      </c>
      <c r="H86" s="15">
        <f t="shared" si="9"/>
        <v>2.3706443053537392E+41</v>
      </c>
      <c r="I86" s="45">
        <v>195.18</v>
      </c>
      <c r="J86" s="45">
        <v>1</v>
      </c>
      <c r="K86" s="19">
        <f t="shared" si="10"/>
        <v>194.81659810135426</v>
      </c>
      <c r="L86" s="16">
        <f t="shared" si="11"/>
        <v>0.13206093993933427</v>
      </c>
      <c r="M86" s="45"/>
    </row>
    <row r="87" spans="1:13" x14ac:dyDescent="0.25">
      <c r="A87" s="45">
        <v>14.95</v>
      </c>
      <c r="B87" s="45">
        <f t="shared" si="12"/>
        <v>14950</v>
      </c>
      <c r="C87" s="16">
        <f t="shared" si="13"/>
        <v>31.808510638297872</v>
      </c>
      <c r="D87" s="15">
        <f t="shared" si="14"/>
        <v>4.6130879820999996E+20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2.3566468079074463E+40</v>
      </c>
      <c r="F87" s="15">
        <f t="shared" si="7"/>
        <v>1.7901897300946042E+40</v>
      </c>
      <c r="G87" s="15">
        <f t="shared" si="8"/>
        <v>2.2566431293662027E+41</v>
      </c>
      <c r="H87" s="15">
        <f t="shared" si="9"/>
        <v>2.6713267831664075E+41</v>
      </c>
      <c r="I87" s="45">
        <v>202.24</v>
      </c>
      <c r="J87" s="45">
        <v>1</v>
      </c>
      <c r="K87" s="19">
        <f t="shared" si="10"/>
        <v>196.59086992190856</v>
      </c>
      <c r="L87" s="16">
        <f t="shared" si="11"/>
        <v>31.912670639197465</v>
      </c>
      <c r="M87" s="45"/>
    </row>
    <row r="88" spans="1:13" x14ac:dyDescent="0.25">
      <c r="A88" s="45">
        <v>16.54</v>
      </c>
      <c r="B88" s="45">
        <f t="shared" si="12"/>
        <v>16540</v>
      </c>
      <c r="C88" s="16">
        <f t="shared" si="13"/>
        <v>35.191489361702125</v>
      </c>
      <c r="D88" s="15">
        <f t="shared" si="14"/>
        <v>5.1037107173199997E+20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2.3594331535766805E+40</v>
      </c>
      <c r="F88" s="15">
        <f t="shared" si="7"/>
        <v>1.7901899592788705E+40</v>
      </c>
      <c r="G88" s="15">
        <f t="shared" si="8"/>
        <v>2.5926113859433207E+41</v>
      </c>
      <c r="H88" s="15">
        <f t="shared" si="9"/>
        <v>3.0075736972288756E+41</v>
      </c>
      <c r="I88" s="45">
        <v>208.57</v>
      </c>
      <c r="J88" s="45">
        <v>1</v>
      </c>
      <c r="K88" s="19">
        <f t="shared" si="10"/>
        <v>198.31739903510373</v>
      </c>
      <c r="L88" s="16">
        <f t="shared" si="11"/>
        <v>105.11582654539173</v>
      </c>
      <c r="M88" s="45"/>
    </row>
    <row r="89" spans="1:13" x14ac:dyDescent="0.25">
      <c r="A89" s="45">
        <v>18.29</v>
      </c>
      <c r="B89" s="45">
        <f t="shared" si="12"/>
        <v>18290</v>
      </c>
      <c r="C89" s="16">
        <f t="shared" si="13"/>
        <v>38.914893617021278</v>
      </c>
      <c r="D89" s="15">
        <f t="shared" si="14"/>
        <v>5.6437042938199998E+20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2.3613192224288085E+40</v>
      </c>
      <c r="F89" s="15">
        <f t="shared" si="7"/>
        <v>1.7901899949701219E+40</v>
      </c>
      <c r="G89" s="15">
        <f t="shared" si="8"/>
        <v>2.9653509663163536E+41</v>
      </c>
      <c r="H89" s="15">
        <f t="shared" si="9"/>
        <v>3.3805018880562466E+41</v>
      </c>
      <c r="I89" s="45">
        <v>211.17</v>
      </c>
      <c r="J89" s="45">
        <v>1</v>
      </c>
      <c r="K89" s="19">
        <f t="shared" si="10"/>
        <v>199.94206363436533</v>
      </c>
      <c r="L89" s="16">
        <f t="shared" si="11"/>
        <v>126.0665550307413</v>
      </c>
      <c r="M89" s="45"/>
    </row>
    <row r="90" spans="1:13" x14ac:dyDescent="0.25">
      <c r="A90" s="45">
        <v>20.2</v>
      </c>
      <c r="B90" s="45">
        <f t="shared" si="12"/>
        <v>20200</v>
      </c>
      <c r="C90" s="16">
        <f t="shared" si="13"/>
        <v>42.978723404255319</v>
      </c>
      <c r="D90" s="15">
        <f t="shared" si="14"/>
        <v>6.2330687115999995E+20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2.362813673887234E+40</v>
      </c>
      <c r="F90" s="15">
        <f t="shared" si="7"/>
        <v>1.790189999491732E+40</v>
      </c>
      <c r="G90" s="15">
        <f t="shared" si="8"/>
        <v>3.3733591197537633E+41</v>
      </c>
      <c r="H90" s="15">
        <f t="shared" si="9"/>
        <v>3.7886594870916601E+41</v>
      </c>
      <c r="I90" s="45">
        <v>208.53</v>
      </c>
      <c r="J90" s="45">
        <v>1</v>
      </c>
      <c r="K90" s="19">
        <f t="shared" si="10"/>
        <v>201.41301650622475</v>
      </c>
      <c r="L90" s="16">
        <f t="shared" si="11"/>
        <v>50.651454050669379</v>
      </c>
      <c r="M90" s="45"/>
    </row>
    <row r="91" spans="1:13" x14ac:dyDescent="0.25">
      <c r="A91" s="45">
        <v>22.32</v>
      </c>
      <c r="B91" s="45">
        <f t="shared" si="12"/>
        <v>22320</v>
      </c>
      <c r="C91" s="16">
        <f t="shared" si="13"/>
        <v>47.48936170212766</v>
      </c>
      <c r="D91" s="15">
        <f t="shared" si="14"/>
        <v>6.8872323585599996E+20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2.3639733166479571E+40</v>
      </c>
      <c r="F91" s="15">
        <f t="shared" si="7"/>
        <v>1.7901899999604652E+40</v>
      </c>
      <c r="G91" s="15">
        <f t="shared" si="8"/>
        <v>3.8252954001926529E+41</v>
      </c>
      <c r="H91" s="15">
        <f t="shared" si="9"/>
        <v>4.2407117318534951E+41</v>
      </c>
      <c r="I91" s="45">
        <v>203.15</v>
      </c>
      <c r="J91" s="45">
        <v>1</v>
      </c>
      <c r="K91" s="19">
        <f t="shared" si="10"/>
        <v>202.71818643774844</v>
      </c>
      <c r="L91" s="16">
        <f t="shared" si="11"/>
        <v>0.18646295254438416</v>
      </c>
      <c r="M91" s="45"/>
    </row>
    <row r="92" spans="1:13" x14ac:dyDescent="0.25">
      <c r="A92" s="45">
        <v>24.64</v>
      </c>
      <c r="B92" s="45">
        <f t="shared" si="12"/>
        <v>24640</v>
      </c>
      <c r="C92" s="16">
        <f t="shared" si="13"/>
        <v>52.425531914893618</v>
      </c>
      <c r="D92" s="15">
        <f t="shared" si="14"/>
        <v>7.6031095571200003E+20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2.3648407572329788E+40</v>
      </c>
      <c r="F92" s="15">
        <f t="shared" si="7"/>
        <v>1.7901899999976068E+40</v>
      </c>
      <c r="G92" s="15">
        <f t="shared" si="8"/>
        <v>4.3164309915582187E+41</v>
      </c>
      <c r="H92" s="15">
        <f t="shared" si="9"/>
        <v>4.7319340672812776E+41</v>
      </c>
      <c r="I92" s="45">
        <v>198.21</v>
      </c>
      <c r="J92" s="45">
        <v>1</v>
      </c>
      <c r="K92" s="19">
        <f t="shared" si="10"/>
        <v>203.80715291984018</v>
      </c>
      <c r="L92" s="16">
        <f t="shared" si="11"/>
        <v>31.328120808075337</v>
      </c>
      <c r="M92" s="45"/>
    </row>
    <row r="93" spans="1:13" x14ac:dyDescent="0.25">
      <c r="A93" s="45">
        <v>27.19</v>
      </c>
      <c r="B93" s="45">
        <f t="shared" si="12"/>
        <v>27190</v>
      </c>
      <c r="C93" s="16">
        <f t="shared" si="13"/>
        <v>57.851063829787236</v>
      </c>
      <c r="D93" s="15">
        <f t="shared" si="14"/>
        <v>8.3899573400200007E+20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2.3654763297006383E+40</v>
      </c>
      <c r="F93" s="15">
        <f t="shared" si="7"/>
        <v>1.7901899999998914E+40</v>
      </c>
      <c r="G93" s="15">
        <f t="shared" si="8"/>
        <v>4.8499433102322843E+41</v>
      </c>
      <c r="H93" s="15">
        <f t="shared" si="9"/>
        <v>5.265509943202337E+41</v>
      </c>
      <c r="I93" s="45">
        <v>195.37</v>
      </c>
      <c r="J93" s="45">
        <v>1</v>
      </c>
      <c r="K93" s="19">
        <f t="shared" si="10"/>
        <v>204.66144982595304</v>
      </c>
      <c r="L93" s="16">
        <f t="shared" si="11"/>
        <v>86.331039868202737</v>
      </c>
      <c r="M93" s="45"/>
    </row>
    <row r="94" spans="1:13" x14ac:dyDescent="0.25">
      <c r="A94" s="45"/>
      <c r="H94" s="15"/>
      <c r="K94" s="45"/>
      <c r="L94" s="16">
        <f>SUM(L58:L93)/(COUNT(L58:L93)-6)</f>
        <v>209.36089940726399</v>
      </c>
      <c r="M94" s="45"/>
    </row>
    <row r="95" spans="1:13" x14ac:dyDescent="0.25">
      <c r="A95" s="45"/>
      <c r="H95" s="15"/>
      <c r="K95" s="45"/>
      <c r="L95" s="17"/>
      <c r="M95" s="45"/>
    </row>
    <row r="96" spans="1:13" x14ac:dyDescent="0.25">
      <c r="A96" s="45"/>
      <c r="I96" s="45"/>
      <c r="J96" s="45"/>
      <c r="L96" s="16"/>
    </row>
    <row r="97" spans="1:27" x14ac:dyDescent="0.25">
      <c r="A97" s="45"/>
      <c r="I97" s="45"/>
      <c r="J97" s="45"/>
      <c r="L97" s="16"/>
    </row>
    <row r="98" spans="1:27" x14ac:dyDescent="0.25">
      <c r="A98" s="45"/>
      <c r="I98" s="45"/>
      <c r="J98" s="45"/>
      <c r="L98" s="16"/>
    </row>
    <row r="99" spans="1:27" x14ac:dyDescent="0.25">
      <c r="A99" s="45"/>
      <c r="I99" s="45"/>
      <c r="J99" s="45"/>
      <c r="L99" s="16"/>
    </row>
    <row r="100" spans="1:27" x14ac:dyDescent="0.25">
      <c r="A100" s="45"/>
      <c r="I100" s="45"/>
      <c r="J100" s="45"/>
      <c r="L100" s="16"/>
    </row>
    <row r="101" spans="1:27" x14ac:dyDescent="0.25">
      <c r="A101" s="45"/>
      <c r="I101" s="45"/>
      <c r="J101" s="45"/>
      <c r="L101" s="16"/>
    </row>
    <row r="102" spans="1:27" x14ac:dyDescent="0.25">
      <c r="A102" s="45"/>
      <c r="I102" s="45"/>
      <c r="J102" s="45"/>
      <c r="L102" s="16"/>
    </row>
    <row r="103" spans="1:27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</row>
    <row r="104" spans="1:27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</row>
    <row r="105" spans="1:27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</row>
    <row r="106" spans="1:27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</row>
    <row r="107" spans="1:27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</row>
    <row r="108" spans="1:27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</row>
    <row r="109" spans="1:27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</row>
    <row r="110" spans="1:27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</row>
    <row r="111" spans="1:27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</row>
    <row r="112" spans="1:27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</row>
    <row r="113" spans="1:27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</row>
    <row r="114" spans="1:27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</row>
    <row r="115" spans="1:27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</row>
    <row r="116" spans="1:27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</row>
    <row r="117" spans="1:27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</row>
    <row r="118" spans="1:27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</row>
    <row r="119" spans="1:27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</row>
    <row r="120" spans="1:27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</row>
    <row r="121" spans="1:27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</row>
    <row r="122" spans="1:27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</row>
    <row r="123" spans="1:27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</row>
    <row r="124" spans="1:27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</row>
    <row r="125" spans="1:27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</row>
    <row r="126" spans="1:27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</row>
    <row r="127" spans="1:27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</row>
    <row r="128" spans="1:27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</row>
    <row r="129" spans="1:27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</row>
    <row r="130" spans="1:27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</row>
    <row r="131" spans="1:27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</row>
    <row r="132" spans="1:27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</row>
    <row r="133" spans="1:27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</row>
    <row r="134" spans="1:27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</row>
    <row r="135" spans="1:27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</row>
    <row r="136" spans="1:27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</row>
    <row r="137" spans="1:27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</row>
    <row r="138" spans="1:27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</row>
    <row r="139" spans="1:27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</row>
    <row r="140" spans="1:27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</row>
    <row r="141" spans="1:27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</row>
    <row r="142" spans="1:27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</row>
    <row r="143" spans="1:27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</row>
    <row r="144" spans="1:27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</row>
    <row r="145" spans="1:27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</row>
    <row r="146" spans="1:27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</row>
    <row r="147" spans="1:27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</row>
    <row r="148" spans="1:27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</row>
    <row r="149" spans="1:27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</row>
    <row r="150" spans="1:27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</row>
    <row r="151" spans="1:27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</row>
    <row r="152" spans="1:27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</row>
    <row r="153" spans="1:27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</row>
    <row r="154" spans="1:27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</row>
    <row r="155" spans="1:27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</row>
    <row r="156" spans="1:27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</row>
    <row r="157" spans="1:27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</row>
    <row r="158" spans="1:27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</row>
    <row r="159" spans="1:27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</row>
    <row r="160" spans="1:27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</row>
    <row r="161" spans="1:27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</row>
    <row r="162" spans="1:27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</row>
    <row r="163" spans="1:27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</row>
    <row r="164" spans="1:27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</row>
    <row r="165" spans="1:27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</row>
    <row r="166" spans="1:27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</row>
    <row r="167" spans="1:27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</row>
    <row r="168" spans="1:27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</row>
    <row r="169" spans="1:27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</row>
    <row r="170" spans="1:27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</row>
    <row r="171" spans="1:27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</row>
    <row r="172" spans="1:27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</row>
    <row r="173" spans="1:27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</row>
    <row r="174" spans="1:27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</row>
    <row r="175" spans="1:27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</row>
    <row r="176" spans="1:27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1:27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1:27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1:27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1:27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1:27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1:27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1:27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1:27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1:27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1:27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1:27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1:27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1:27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1:27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1:27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1:27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1:27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1:27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1:27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1:27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1:27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1:27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1:27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1:27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1:27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1:27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1:27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1:27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1:27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1:27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1:27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1:27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1:27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1:27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1:27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1:27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1:27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1:27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1:27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1:27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1:27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1:27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1:27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1:27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1:27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1:27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1:27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1:27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1:27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1:27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1:27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1:27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1:27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1:27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1:27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1:27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1:27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1:27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1:27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1:27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1:27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1:27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1:27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1:27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1:27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1:27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s="17" customFormat="1" x14ac:dyDescent="0.25">
      <c r="A543" s="45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s="17" customFormat="1" x14ac:dyDescent="0.25">
      <c r="A544" s="45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s="17" customFormat="1" x14ac:dyDescent="0.25">
      <c r="A545" s="45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s="17" customFormat="1" x14ac:dyDescent="0.25">
      <c r="A546" s="45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s="17" customFormat="1" x14ac:dyDescent="0.25">
      <c r="A547" s="45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s="17" customFormat="1" x14ac:dyDescent="0.25">
      <c r="A548" s="45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s="17" customFormat="1" x14ac:dyDescent="0.25">
      <c r="A549" s="45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s="17" customFormat="1" x14ac:dyDescent="0.25">
      <c r="A550" s="45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x14ac:dyDescent="0.25">
      <c r="A551" s="45"/>
      <c r="L551" s="16"/>
    </row>
    <row r="552" spans="1:27" x14ac:dyDescent="0.25">
      <c r="L552" s="16"/>
      <c r="N552" s="17"/>
      <c r="O552" s="38"/>
    </row>
    <row r="553" spans="1:27" x14ac:dyDescent="0.25">
      <c r="L553" s="16"/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C551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269.21866231119498</v>
      </c>
      <c r="E2" s="55"/>
      <c r="F2" s="53" t="s">
        <v>620</v>
      </c>
      <c r="G2" s="53">
        <v>38018797251</v>
      </c>
      <c r="H2" s="62"/>
      <c r="K2" s="51" t="s">
        <v>1</v>
      </c>
      <c r="L2" s="60" t="s">
        <v>592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2.1400224218966001E+39</v>
      </c>
      <c r="E3" s="53"/>
      <c r="F3" s="53" t="s">
        <v>621</v>
      </c>
      <c r="G3" s="53">
        <f>H42/SolarMass</f>
        <v>18118590478.392769</v>
      </c>
      <c r="H3" s="62"/>
      <c r="K3" s="51" t="s">
        <v>562</v>
      </c>
      <c r="L3" s="57">
        <v>5.2240000000000003E-3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1963.6200783976401</v>
      </c>
      <c r="E4" s="55"/>
      <c r="F4" s="53" t="s">
        <v>622</v>
      </c>
      <c r="G4" s="52">
        <f>G3/G2</f>
        <v>0.47656927068928251</v>
      </c>
      <c r="H4" s="62"/>
      <c r="K4" s="61" t="s">
        <v>614</v>
      </c>
      <c r="L4" s="52">
        <f>QEHModelChiSquare</f>
        <v>422.29169132014073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703.506914256409</v>
      </c>
      <c r="F5" s="53"/>
      <c r="G5" s="52"/>
      <c r="H5" s="62"/>
      <c r="K5" s="61" t="s">
        <v>615</v>
      </c>
      <c r="L5" s="52">
        <f>LCDMModelChiSquare</f>
        <v>318.51205276317489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2" si="0">RadiusKpc*1000</f>
        <v>90</v>
      </c>
      <c r="C8" s="16">
        <f t="shared" ref="C8:C42" si="1">IF(QESBulgeEffectiveRadius=0,0,RadiusPc/QESBulgeEffectiveRadius)</f>
        <v>0.33430074730839904</v>
      </c>
      <c r="D8" s="15">
        <f t="shared" ref="D8:D42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3.6173743030461995E+38</v>
      </c>
      <c r="F8" s="15">
        <f t="shared" ref="F8:F42" si="3">2*PI()*QESDiskSurfaceDensity*QESDiskScaleLength*(QESDiskScaleLength-EXP(-RadiusPc/QESDiskScaleLength)*(RadiusPc+QESDiskScaleLength))*SolarMass</f>
        <v>3.4539421079196757E+37</v>
      </c>
      <c r="H8" s="18">
        <f t="shared" ref="H8:H42" si="4">BulgeMass+DiskMass+HaloMass</f>
        <v>3.9627685138381672E+38</v>
      </c>
      <c r="I8" s="16">
        <v>70.650000000000006</v>
      </c>
      <c r="J8" s="45">
        <v>1</v>
      </c>
      <c r="K8" s="19">
        <f t="shared" ref="K8:K42" si="5">SQRT(TotalMass*GravitationalConstant/RadiusKm+UniverseAcceleration*RadiusKm)/km</f>
        <v>98.105967539121977</v>
      </c>
      <c r="L8" s="16">
        <f t="shared" ref="L8:L42" si="6">(ObservedVelocity-ModelVelocity)^2/(VelocityError)^2</f>
        <v>753.83015350931942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0.70574602209550907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6.9297929543933767E+38</v>
      </c>
      <c r="F9" s="15">
        <f t="shared" si="3"/>
        <v>1.4882660829889873E+38</v>
      </c>
      <c r="H9" s="18">
        <f t="shared" si="4"/>
        <v>8.4180590373823648E+38</v>
      </c>
      <c r="I9" s="16">
        <v>111.7</v>
      </c>
      <c r="J9" s="45">
        <v>1</v>
      </c>
      <c r="K9" s="19">
        <f t="shared" si="5"/>
        <v>98.978500237474236</v>
      </c>
      <c r="L9" s="16">
        <f t="shared" si="6"/>
        <v>161.83655620794315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1.1143358243613302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9.532627463017943E+38</v>
      </c>
      <c r="F10" s="15">
        <f t="shared" si="3"/>
        <v>3.575747006548734E+38</v>
      </c>
      <c r="H10" s="18">
        <f t="shared" si="4"/>
        <v>1.3108374469566676E+39</v>
      </c>
      <c r="I10" s="16">
        <v>138.80000000000001</v>
      </c>
      <c r="J10" s="45">
        <v>1</v>
      </c>
      <c r="K10" s="19">
        <f t="shared" si="5"/>
        <v>98.936169997038007</v>
      </c>
      <c r="L10" s="16">
        <f t="shared" si="6"/>
        <v>1589.1249425050537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1.5600701541058621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1.1603954173018031E+39</v>
      </c>
      <c r="F11" s="15">
        <f t="shared" si="3"/>
        <v>6.7329103428194575E+38</v>
      </c>
      <c r="H11" s="18">
        <f t="shared" si="4"/>
        <v>1.8336864515837487E+39</v>
      </c>
      <c r="I11" s="16">
        <v>129.97999999999999</v>
      </c>
      <c r="J11" s="45">
        <v>1</v>
      </c>
      <c r="K11" s="19">
        <f t="shared" si="5"/>
        <v>99.577811898101174</v>
      </c>
      <c r="L11" s="16">
        <f t="shared" si="6"/>
        <v>924.29304138323789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2.0800935388078163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1.3383893269447756E+39</v>
      </c>
      <c r="F12" s="15">
        <f t="shared" si="3"/>
        <v>1.142546885734803E+39</v>
      </c>
      <c r="H12" s="18">
        <f t="shared" si="4"/>
        <v>2.4809362126795788E+39</v>
      </c>
      <c r="I12" s="16">
        <v>104.31</v>
      </c>
      <c r="J12" s="45">
        <v>1</v>
      </c>
      <c r="K12" s="19">
        <f t="shared" si="5"/>
        <v>101.05641219481001</v>
      </c>
      <c r="L12" s="16">
        <f t="shared" si="6"/>
        <v>10.585833606081044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2.6001169235097703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1.4714192386427738E+39</v>
      </c>
      <c r="F13" s="15">
        <f t="shared" si="3"/>
        <v>1.7045702689182453E+39</v>
      </c>
      <c r="H13" s="18">
        <f t="shared" si="4"/>
        <v>3.1759895075610191E+39</v>
      </c>
      <c r="I13" s="16">
        <v>92.31</v>
      </c>
      <c r="J13" s="45">
        <v>1</v>
      </c>
      <c r="K13" s="19">
        <f t="shared" si="5"/>
        <v>102.96170895677301</v>
      </c>
      <c r="L13" s="16">
        <f t="shared" si="6"/>
        <v>113.4589036997983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3.1944293631691463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1.586702763047998E+39</v>
      </c>
      <c r="F14" s="15">
        <f t="shared" si="3"/>
        <v>2.4413225050439406E+39</v>
      </c>
      <c r="H14" s="18">
        <f t="shared" si="4"/>
        <v>4.0280252680919382E+39</v>
      </c>
      <c r="I14" s="16">
        <v>83.16</v>
      </c>
      <c r="J14" s="45">
        <v>1</v>
      </c>
      <c r="K14" s="19">
        <f t="shared" si="5"/>
        <v>105.3483883629924</v>
      </c>
      <c r="L14" s="16">
        <f t="shared" si="6"/>
        <v>492.32457814697648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3.8630308577859442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1.6846882361053217E+39</v>
      </c>
      <c r="F15" s="15">
        <f t="shared" si="3"/>
        <v>3.3671120044805286E+39</v>
      </c>
      <c r="H15" s="18">
        <f t="shared" si="4"/>
        <v>5.05180024058585E+39</v>
      </c>
      <c r="I15" s="16">
        <v>69.58</v>
      </c>
      <c r="J15" s="45">
        <v>1</v>
      </c>
      <c r="K15" s="19">
        <f t="shared" si="5"/>
        <v>108.05846347353121</v>
      </c>
      <c r="L15" s="16">
        <f t="shared" si="6"/>
        <v>1480.5921512838752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4.5687768798814536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1.7632928342964396E+39</v>
      </c>
      <c r="F16" s="15">
        <f t="shared" si="3"/>
        <v>4.4298076287121866E+39</v>
      </c>
      <c r="H16" s="18">
        <f t="shared" si="4"/>
        <v>6.1931004630086265E+39</v>
      </c>
      <c r="I16" s="16">
        <v>70.66</v>
      </c>
      <c r="J16" s="45">
        <v>1</v>
      </c>
      <c r="K16" s="19">
        <f t="shared" si="5"/>
        <v>110.79003464427018</v>
      </c>
      <c r="L16" s="16">
        <f t="shared" si="6"/>
        <v>1610.419680550325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5.3859564844130956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1.8296036868786699E+39</v>
      </c>
      <c r="F17" s="15">
        <f t="shared" si="3"/>
        <v>5.7384625544999759E+39</v>
      </c>
      <c r="H17" s="18">
        <f t="shared" si="4"/>
        <v>7.5680662413786458E+39</v>
      </c>
      <c r="I17" s="16">
        <v>95.12</v>
      </c>
      <c r="J17" s="45">
        <v>1</v>
      </c>
      <c r="K17" s="19">
        <f t="shared" si="5"/>
        <v>113.66899730982473</v>
      </c>
      <c r="L17" s="16">
        <f t="shared" si="6"/>
        <v>344.06530119988497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6.2402806164234486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1.8856996298671794E+39</v>
      </c>
      <c r="F18" s="15">
        <f t="shared" si="3"/>
        <v>7.1635463932280011E+39</v>
      </c>
      <c r="H18" s="18">
        <f t="shared" si="4"/>
        <v>9.0492460230951805E+39</v>
      </c>
      <c r="I18" s="16">
        <v>117.16</v>
      </c>
      <c r="J18" s="45">
        <v>1</v>
      </c>
      <c r="K18" s="19">
        <f t="shared" si="5"/>
        <v>116.36523347926571</v>
      </c>
      <c r="L18" s="16">
        <f t="shared" si="6"/>
        <v>0.63165382248008084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7.2060383308699345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1.9332803381084196E+39</v>
      </c>
      <c r="F19" s="15">
        <f t="shared" si="3"/>
        <v>8.8081718302308278E+39</v>
      </c>
      <c r="H19" s="18">
        <f t="shared" si="4"/>
        <v>1.0741452168339247E+40</v>
      </c>
      <c r="I19" s="16">
        <v>136.72999999999999</v>
      </c>
      <c r="J19" s="45">
        <v>1</v>
      </c>
      <c r="K19" s="19">
        <f t="shared" si="5"/>
        <v>118.99023653165906</v>
      </c>
      <c r="L19" s="16">
        <f t="shared" si="6"/>
        <v>314.69920791268322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8.2832296277525543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1.9729309808845028E+39</v>
      </c>
      <c r="F20" s="15">
        <f t="shared" si="3"/>
        <v>1.0645216102757423E+40</v>
      </c>
      <c r="G20" s="15"/>
      <c r="H20" s="18">
        <f t="shared" si="4"/>
        <v>1.2618147083641926E+40</v>
      </c>
      <c r="I20" s="16">
        <v>135.56</v>
      </c>
      <c r="J20" s="45">
        <v>1</v>
      </c>
      <c r="K20" s="19">
        <f t="shared" si="5"/>
        <v>121.44074452825652</v>
      </c>
      <c r="L20" s="16">
        <f t="shared" si="6"/>
        <v>199.35337507635836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9.4347099795925953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2.0048326951391243E+39</v>
      </c>
      <c r="F21" s="15">
        <f t="shared" si="3"/>
        <v>1.2573503042311677E+40</v>
      </c>
      <c r="G21" s="15"/>
      <c r="H21" s="18">
        <f t="shared" si="4"/>
        <v>1.4578335737450801E+40</v>
      </c>
      <c r="I21" s="16">
        <v>127.3</v>
      </c>
      <c r="J21" s="45">
        <v>1</v>
      </c>
      <c r="K21" s="19">
        <f t="shared" si="5"/>
        <v>123.58064325218271</v>
      </c>
      <c r="L21" s="16">
        <f t="shared" si="6"/>
        <v>13.833614617533984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10.73476844134748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2.0320496499088391E+39</v>
      </c>
      <c r="F22" s="15">
        <f t="shared" si="3"/>
        <v>1.4668619234625225E+40</v>
      </c>
      <c r="G22" s="15"/>
      <c r="H22" s="18">
        <f t="shared" si="4"/>
        <v>1.6700668884534063E+40</v>
      </c>
      <c r="I22" s="16">
        <v>133.11000000000001</v>
      </c>
      <c r="J22" s="45">
        <v>1</v>
      </c>
      <c r="K22" s="19">
        <f t="shared" si="5"/>
        <v>125.50281254821253</v>
      </c>
      <c r="L22" s="16">
        <f t="shared" si="6"/>
        <v>57.869300926632924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12.146260485538498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2.0540755065418617E+39</v>
      </c>
      <c r="F23" s="15">
        <f t="shared" si="3"/>
        <v>1.6811744887839327E+40</v>
      </c>
      <c r="G23" s="15"/>
      <c r="H23" s="18">
        <f t="shared" si="4"/>
        <v>1.8865820394381189E+40</v>
      </c>
      <c r="I23" s="16">
        <v>146.38</v>
      </c>
      <c r="J23" s="45">
        <v>1</v>
      </c>
      <c r="K23" s="19">
        <f t="shared" si="5"/>
        <v>127.11483249453866</v>
      </c>
      <c r="L23" s="16">
        <f t="shared" si="6"/>
        <v>371.14667901348332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13.70633063964436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2.0719126211368947E+39</v>
      </c>
      <c r="F24" s="15">
        <f t="shared" si="3"/>
        <v>1.8995247281465045E+40</v>
      </c>
      <c r="G24" s="15"/>
      <c r="H24" s="18">
        <f t="shared" si="4"/>
        <v>2.1067159902601941E+40</v>
      </c>
      <c r="I24" s="16">
        <v>152.31</v>
      </c>
      <c r="J24" s="45">
        <v>1</v>
      </c>
      <c r="K24" s="19">
        <f t="shared" si="5"/>
        <v>128.45532515715345</v>
      </c>
      <c r="L24" s="16">
        <f t="shared" si="6"/>
        <v>569.04551185793605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15.414978903665066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2.0856390759179942E+39</v>
      </c>
      <c r="F25" s="15">
        <f t="shared" si="3"/>
        <v>2.1148815236220964E+40</v>
      </c>
      <c r="G25" s="15"/>
      <c r="H25" s="18">
        <f t="shared" si="4"/>
        <v>2.323445431213896E+40</v>
      </c>
      <c r="I25" s="16">
        <v>152.12</v>
      </c>
      <c r="J25" s="45">
        <v>1</v>
      </c>
      <c r="K25" s="19">
        <f t="shared" si="5"/>
        <v>129.5344351453667</v>
      </c>
      <c r="L25" s="16">
        <f t="shared" si="6"/>
        <v>510.10773980284711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17.272205277600616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2.0954799529789077E+39</v>
      </c>
      <c r="F26" s="15">
        <f t="shared" si="3"/>
        <v>2.3207090355250276E+40</v>
      </c>
      <c r="G26" s="15"/>
      <c r="H26" s="18">
        <f t="shared" si="4"/>
        <v>2.5302570308229186E+40</v>
      </c>
      <c r="I26" s="16">
        <v>150.21</v>
      </c>
      <c r="J26" s="45">
        <v>1</v>
      </c>
      <c r="K26" s="19">
        <f t="shared" si="5"/>
        <v>130.39042497302981</v>
      </c>
      <c r="L26" s="16">
        <f t="shared" si="6"/>
        <v>392.81555424970077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19.352298816408432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2.1065017352871304E+39</v>
      </c>
      <c r="F27" s="15">
        <f t="shared" si="3"/>
        <v>2.5179824151685722E+40</v>
      </c>
      <c r="G27" s="15"/>
      <c r="H27" s="18">
        <f t="shared" si="4"/>
        <v>2.7286325886972852E+40</v>
      </c>
      <c r="I27" s="16">
        <v>147.06</v>
      </c>
      <c r="J27" s="45">
        <v>1</v>
      </c>
      <c r="K27" s="19">
        <f t="shared" si="5"/>
        <v>131.11181223107525</v>
      </c>
      <c r="L27" s="16">
        <f t="shared" si="6"/>
        <v>254.34469311288112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21.618114992609804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2.1138120452939729E+39</v>
      </c>
      <c r="F28" s="15">
        <f t="shared" si="3"/>
        <v>2.6965190981216996E+40</v>
      </c>
      <c r="G28" s="15"/>
      <c r="H28" s="18">
        <f t="shared" si="4"/>
        <v>2.9079003026510968E+40</v>
      </c>
      <c r="I28" s="16">
        <v>144.25</v>
      </c>
      <c r="J28" s="45">
        <v>1</v>
      </c>
      <c r="K28" s="19">
        <f t="shared" si="5"/>
        <v>131.74078643414308</v>
      </c>
      <c r="L28" s="16">
        <f t="shared" si="6"/>
        <v>156.48042403621892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24.106798333683439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2.1197769840229786E+39</v>
      </c>
      <c r="F29" s="15">
        <f t="shared" si="3"/>
        <v>2.8545948996416014E+40</v>
      </c>
      <c r="G29" s="15"/>
      <c r="H29" s="18">
        <f t="shared" si="4"/>
        <v>3.0665725980438991E+40</v>
      </c>
      <c r="I29" s="16">
        <v>143.19</v>
      </c>
      <c r="J29" s="45">
        <v>1</v>
      </c>
      <c r="K29" s="19">
        <f t="shared" si="5"/>
        <v>132.37332052469085</v>
      </c>
      <c r="L29" s="16">
        <f t="shared" si="6"/>
        <v>117.0005548715741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26.855493367108053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2.1246417992301288E+39</v>
      </c>
      <c r="F30" s="15">
        <f t="shared" si="3"/>
        <v>2.9905917750608545E+40</v>
      </c>
      <c r="G30" s="15"/>
      <c r="H30" s="18">
        <f t="shared" si="4"/>
        <v>3.2030559549838673E+40</v>
      </c>
      <c r="I30" s="16">
        <v>144.16</v>
      </c>
      <c r="J30" s="45">
        <v>1</v>
      </c>
      <c r="K30" s="19">
        <f t="shared" si="5"/>
        <v>133.10762814734278</v>
      </c>
      <c r="L30" s="16">
        <f t="shared" si="6"/>
        <v>122.15492356940952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29.901344620362362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2.129113277553477E+39</v>
      </c>
      <c r="F31" s="15">
        <f t="shared" si="3"/>
        <v>3.1035197242235195E+40</v>
      </c>
      <c r="G31" s="15"/>
      <c r="H31" s="18">
        <f t="shared" si="4"/>
        <v>3.316431051978867E+40</v>
      </c>
      <c r="I31" s="16">
        <v>146.01</v>
      </c>
      <c r="J31" s="45">
        <v>1</v>
      </c>
      <c r="K31" s="19">
        <f t="shared" si="5"/>
        <v>134.04801948844508</v>
      </c>
      <c r="L31" s="16">
        <f t="shared" si="6"/>
        <v>143.08897775881954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33.207207565967636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2.1317015137270735E+39</v>
      </c>
      <c r="F32" s="15">
        <f t="shared" si="3"/>
        <v>3.1917893611146686E+40</v>
      </c>
      <c r="G32" s="15"/>
      <c r="H32" s="18">
        <f t="shared" si="4"/>
        <v>3.4049595124873758E+40</v>
      </c>
      <c r="I32" s="16">
        <v>146.32</v>
      </c>
      <c r="J32" s="45">
        <v>1</v>
      </c>
      <c r="K32" s="19">
        <f t="shared" si="5"/>
        <v>135.26794396360208</v>
      </c>
      <c r="L32" s="16">
        <f t="shared" si="6"/>
        <v>122.14794263167957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36.884515786360026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2.1339303909174027E+39</v>
      </c>
      <c r="F33" s="15">
        <f t="shared" si="3"/>
        <v>3.259462956470428E+40</v>
      </c>
      <c r="G33" s="15"/>
      <c r="H33" s="18">
        <f t="shared" si="4"/>
        <v>3.4728559955621684E+40</v>
      </c>
      <c r="I33" s="16">
        <v>145.16999999999999</v>
      </c>
      <c r="J33" s="45">
        <v>1</v>
      </c>
      <c r="K33" s="19">
        <f t="shared" si="5"/>
        <v>136.88675492277352</v>
      </c>
      <c r="L33" s="16">
        <f t="shared" si="6"/>
        <v>68.612149009396518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40.896124754060814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2.1356141484437776E+39</v>
      </c>
      <c r="F34" s="15">
        <f t="shared" si="3"/>
        <v>3.307906343667046E+40</v>
      </c>
      <c r="G34" s="15"/>
      <c r="H34" s="18">
        <f t="shared" si="4"/>
        <v>3.5214677585114237E+40</v>
      </c>
      <c r="I34" s="16">
        <v>143.91999999999999</v>
      </c>
      <c r="J34" s="45">
        <v>1</v>
      </c>
      <c r="K34" s="19">
        <f t="shared" si="5"/>
        <v>138.94858607546348</v>
      </c>
      <c r="L34" s="16">
        <f t="shared" si="6"/>
        <v>24.714956409075466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45.316323524027425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2.1368505587097274E+39</v>
      </c>
      <c r="F35" s="15">
        <f t="shared" si="3"/>
        <v>3.3411722908685665E+40</v>
      </c>
      <c r="G35" s="15"/>
      <c r="H35" s="18">
        <f t="shared" si="4"/>
        <v>3.5548573467395393E+40</v>
      </c>
      <c r="I35" s="16">
        <v>143.16999999999999</v>
      </c>
      <c r="J35" s="45">
        <v>1</v>
      </c>
      <c r="K35" s="19">
        <f t="shared" si="5"/>
        <v>141.52789000862461</v>
      </c>
      <c r="L35" s="16">
        <f t="shared" si="6"/>
        <v>2.6965252237748434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50.182256623738567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2.1377559999008512E+39</v>
      </c>
      <c r="F36" s="15">
        <f t="shared" si="3"/>
        <v>3.3626940916767642E+40</v>
      </c>
      <c r="G36" s="15"/>
      <c r="H36" s="18">
        <f t="shared" si="4"/>
        <v>3.5764696916668493E+40</v>
      </c>
      <c r="I36" s="16">
        <v>142.51</v>
      </c>
      <c r="J36" s="45">
        <v>1</v>
      </c>
      <c r="K36" s="19">
        <f t="shared" si="5"/>
        <v>144.66403760322783</v>
      </c>
      <c r="L36" s="16">
        <f t="shared" si="6"/>
        <v>4.6398779961195142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55.531068580672951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2.1384200645785479E+39</v>
      </c>
      <c r="F37" s="15">
        <f t="shared" si="3"/>
        <v>3.3757388712710841E+40</v>
      </c>
      <c r="G37" s="15"/>
      <c r="H37" s="18">
        <f t="shared" si="4"/>
        <v>3.5895808777289389E+40</v>
      </c>
      <c r="I37" s="16">
        <v>142.13</v>
      </c>
      <c r="J37" s="45">
        <v>1</v>
      </c>
      <c r="K37" s="19">
        <f t="shared" si="5"/>
        <v>148.37607990697313</v>
      </c>
      <c r="L37" s="16">
        <f t="shared" si="6"/>
        <v>39.013514204293543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61.437048449788001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2.138861040118293E+39</v>
      </c>
      <c r="F38" s="15">
        <f t="shared" si="3"/>
        <v>3.3831380061824885E+40</v>
      </c>
      <c r="G38" s="15"/>
      <c r="H38" s="18">
        <f t="shared" si="4"/>
        <v>3.5970241101943179E+40</v>
      </c>
      <c r="I38" s="16">
        <v>142.22</v>
      </c>
      <c r="J38" s="45">
        <v>1</v>
      </c>
      <c r="K38" s="19">
        <f t="shared" si="5"/>
        <v>152.6927382514171</v>
      </c>
      <c r="L38" s="16">
        <f t="shared" si="6"/>
        <v>109.67824648269486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67.937340758562428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2.1391253447727964E+39</v>
      </c>
      <c r="F39" s="15">
        <f t="shared" si="3"/>
        <v>3.3870057080970511E+40</v>
      </c>
      <c r="G39" s="15"/>
      <c r="H39" s="18">
        <f t="shared" si="4"/>
        <v>3.6009182425743307E+40</v>
      </c>
      <c r="I39" s="16">
        <v>142.66</v>
      </c>
      <c r="J39" s="45">
        <v>1</v>
      </c>
      <c r="K39" s="19">
        <f t="shared" si="5"/>
        <v>157.60318512144769</v>
      </c>
      <c r="L39" s="16">
        <f t="shared" si="6"/>
        <v>223.29878157385585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75.031945506996223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2.1394138144242831E+39</v>
      </c>
      <c r="F40" s="15">
        <f t="shared" si="3"/>
        <v>3.3888531363142724E+40</v>
      </c>
      <c r="G40" s="15"/>
      <c r="H40" s="18">
        <f t="shared" si="4"/>
        <v>3.6027945177567007E+40</v>
      </c>
      <c r="I40" s="16">
        <v>143.47</v>
      </c>
      <c r="J40" s="45">
        <v>1</v>
      </c>
      <c r="K40" s="19">
        <f t="shared" si="5"/>
        <v>163.05616726999267</v>
      </c>
      <c r="L40" s="16">
        <f t="shared" si="6"/>
        <v>383.61794832813217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82.906585332482962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2.1396500285042444E+39</v>
      </c>
      <c r="F41" s="15">
        <f t="shared" si="3"/>
        <v>3.3896715536014611E+40</v>
      </c>
      <c r="H41" s="18">
        <f t="shared" si="4"/>
        <v>3.6036365564518856E+40</v>
      </c>
      <c r="I41" s="16">
        <v>145.19999999999999</v>
      </c>
      <c r="J41" s="45">
        <v>1</v>
      </c>
      <c r="K41" s="19">
        <f t="shared" si="5"/>
        <v>169.1366327991135</v>
      </c>
      <c r="L41" s="16">
        <f t="shared" si="6"/>
        <v>572.9623897595967</v>
      </c>
    </row>
    <row r="42" spans="1:29" x14ac:dyDescent="0.25">
      <c r="A42" s="16">
        <v>24.64</v>
      </c>
      <c r="B42" s="45">
        <f t="shared" si="0"/>
        <v>24640</v>
      </c>
      <c r="C42" s="16">
        <f t="shared" si="1"/>
        <v>91.524115707543913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2.1397514578994765E+39</v>
      </c>
      <c r="F42" s="15">
        <f t="shared" si="3"/>
        <v>3.3899936862671574E+40</v>
      </c>
      <c r="H42" s="18">
        <f t="shared" si="4"/>
        <v>3.6039688320571052E+40</v>
      </c>
      <c r="I42" s="16">
        <v>146.83000000000001</v>
      </c>
      <c r="J42" s="45">
        <v>1</v>
      </c>
      <c r="K42" s="19">
        <f t="shared" si="5"/>
        <v>175.75329072883457</v>
      </c>
      <c r="L42" s="16">
        <f t="shared" si="6"/>
        <v>836.55674658468718</v>
      </c>
    </row>
    <row r="43" spans="1:29" x14ac:dyDescent="0.25">
      <c r="I43" s="45"/>
      <c r="J43" s="45"/>
      <c r="L43" s="16">
        <f>SUM(L8:L42)/(COUNT(L8:L42)-4)</f>
        <v>422.29169132014073</v>
      </c>
    </row>
    <row r="44" spans="1:29" x14ac:dyDescent="0.25">
      <c r="I44" s="45"/>
      <c r="J44" s="45"/>
      <c r="L44" s="16"/>
    </row>
    <row r="45" spans="1:29" ht="21" x14ac:dyDescent="0.35">
      <c r="A45" s="48" t="s">
        <v>564</v>
      </c>
      <c r="I45" s="45"/>
      <c r="J45" s="45"/>
      <c r="L45" s="16"/>
    </row>
    <row r="46" spans="1:29" x14ac:dyDescent="0.25">
      <c r="A46" s="16" t="s">
        <v>30</v>
      </c>
      <c r="D46" s="16">
        <v>0.33</v>
      </c>
      <c r="E46" s="17">
        <f>$D$46*1000</f>
        <v>330</v>
      </c>
      <c r="F46" s="17"/>
      <c r="G46" s="17"/>
      <c r="H46" s="15"/>
      <c r="K46" s="15"/>
      <c r="L46" s="17"/>
      <c r="M46" s="45"/>
    </row>
    <row r="47" spans="1:29" x14ac:dyDescent="0.25">
      <c r="A47" s="16" t="s">
        <v>16</v>
      </c>
      <c r="D47" s="16">
        <v>0.15</v>
      </c>
      <c r="E47" s="15">
        <f>D47*10000000000*SolarMass</f>
        <v>2.98365E+39</v>
      </c>
      <c r="F47" s="43"/>
      <c r="G47" s="43"/>
      <c r="H47" s="15"/>
      <c r="K47" s="15"/>
      <c r="L47" s="17"/>
      <c r="M47" s="45"/>
    </row>
    <row r="48" spans="1:29" x14ac:dyDescent="0.25">
      <c r="A48" s="16" t="s">
        <v>569</v>
      </c>
      <c r="D48" s="16">
        <v>2.1</v>
      </c>
      <c r="E48" s="15">
        <f>D48*1000</f>
        <v>2100</v>
      </c>
      <c r="H48" s="15"/>
      <c r="K48" s="15"/>
      <c r="L48" s="17"/>
      <c r="M48" s="45"/>
    </row>
    <row r="49" spans="1:29" x14ac:dyDescent="0.25">
      <c r="A49" s="16" t="s">
        <v>17</v>
      </c>
      <c r="D49" s="45">
        <v>1.1000000000000001</v>
      </c>
      <c r="G49" s="16"/>
      <c r="H49" s="15"/>
      <c r="K49" s="15"/>
      <c r="L49" s="17"/>
      <c r="M49" s="45"/>
    </row>
    <row r="50" spans="1:29" x14ac:dyDescent="0.25">
      <c r="A50" s="16" t="s">
        <v>570</v>
      </c>
      <c r="D50" s="16">
        <v>11.9</v>
      </c>
      <c r="E50" s="17">
        <f>D50*1000</f>
        <v>11900</v>
      </c>
      <c r="H50" s="15"/>
      <c r="K50" s="15"/>
      <c r="L50" s="17"/>
      <c r="M50" s="45"/>
    </row>
    <row r="51" spans="1:29" x14ac:dyDescent="0.25">
      <c r="A51" s="16" t="s">
        <v>571</v>
      </c>
      <c r="D51" s="16">
        <v>4.5</v>
      </c>
      <c r="G51" s="9"/>
      <c r="H51" s="15"/>
      <c r="K51" s="15"/>
      <c r="L51" s="17"/>
      <c r="M51" s="45"/>
    </row>
    <row r="52" spans="1:29" x14ac:dyDescent="0.25">
      <c r="D52" s="12"/>
      <c r="H52" s="15"/>
      <c r="K52" s="15"/>
      <c r="L52" s="17"/>
      <c r="M52" s="45"/>
    </row>
    <row r="53" spans="1:29" x14ac:dyDescent="0.25">
      <c r="A53" s="16" t="s">
        <v>567</v>
      </c>
      <c r="D53" s="17">
        <f>(D49*10000000000)/(2*PI()*DiskScaleLengthPc^2)</f>
        <v>396.98511882332167</v>
      </c>
      <c r="H53" s="15"/>
      <c r="K53" s="15"/>
      <c r="L53" s="17"/>
      <c r="M53" s="45"/>
    </row>
    <row r="54" spans="1:29" x14ac:dyDescent="0.25">
      <c r="A54" s="16" t="s">
        <v>565</v>
      </c>
      <c r="D54" s="9">
        <f>(D51*10000000000)/(4*PI()*(LCDMHaloScaleLengthPc)^3*(LN(2)-1/2))</f>
        <v>1.1002044383330228E-2</v>
      </c>
      <c r="H54" s="15"/>
      <c r="K54" s="15"/>
      <c r="L54" s="17"/>
      <c r="M54" s="45"/>
    </row>
    <row r="55" spans="1:29" x14ac:dyDescent="0.25">
      <c r="H55" s="15"/>
      <c r="K55" s="15"/>
      <c r="L55" s="17"/>
      <c r="M55" s="45"/>
    </row>
    <row r="56" spans="1:29" ht="45" x14ac:dyDescent="0.25">
      <c r="A56" s="7" t="s">
        <v>20</v>
      </c>
      <c r="B56" s="3" t="s">
        <v>19</v>
      </c>
      <c r="C56" s="7" t="s">
        <v>27</v>
      </c>
      <c r="D56" s="4" t="s">
        <v>649</v>
      </c>
      <c r="E56" s="4" t="s">
        <v>21</v>
      </c>
      <c r="F56" s="4" t="s">
        <v>22</v>
      </c>
      <c r="G56" s="4" t="s">
        <v>28</v>
      </c>
      <c r="H56" s="4" t="s">
        <v>23</v>
      </c>
      <c r="I56" s="7" t="s">
        <v>645</v>
      </c>
      <c r="J56" s="7" t="s">
        <v>646</v>
      </c>
      <c r="K56" s="25" t="s">
        <v>647</v>
      </c>
      <c r="L56" s="3" t="s">
        <v>648</v>
      </c>
      <c r="M56" s="3"/>
      <c r="N56" s="3"/>
      <c r="O56" s="3"/>
      <c r="P56" s="3"/>
      <c r="Q56" s="3"/>
      <c r="R56" s="3"/>
      <c r="S56" s="3"/>
      <c r="T56" s="3"/>
      <c r="U56" s="3"/>
      <c r="V56" s="7"/>
      <c r="W56" s="7"/>
      <c r="X56" s="3"/>
      <c r="Y56" s="3"/>
      <c r="Z56" s="3"/>
      <c r="AA56" s="3"/>
      <c r="AB56" s="3"/>
      <c r="AC56" s="3"/>
    </row>
    <row r="57" spans="1:29" x14ac:dyDescent="0.25">
      <c r="A57" s="16">
        <v>0.09</v>
      </c>
      <c r="B57" s="45">
        <f>A57*1000</f>
        <v>90</v>
      </c>
      <c r="C57" s="16">
        <f>B57/LCDMBulgeEffectiveRadius</f>
        <v>0.27272727272727271</v>
      </c>
      <c r="D57" s="15">
        <f>A57*kpc</f>
        <v>2.777109822E+18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4.1196774499090902E+38</v>
      </c>
      <c r="F57" s="15">
        <f t="shared" ref="F57:F91" si="7">2*PI()*LCDMDiskSurfaceDensity*LCDMScaleLength*(LCDMScaleLength-EXP(-RadiusPc/LCDMScaleLength)*(RadiusPc+LCDMScaleLength))*SolarMass</f>
        <v>1.9528978284591863E+37</v>
      </c>
      <c r="G57" s="15">
        <f t="shared" ref="G57:G91" si="8">4*PI()*LCDMHaloRepresentativeDensity*LCDMHaloScaleLengthPc^3*(LN(1+RadiusPc/LCDMHaloScaleLengthPc)-RadiusPc/(RadiusPc+LCDMHaloScaleLengthPc))*SolarMass</f>
        <v>1.3121319979056399E+37</v>
      </c>
      <c r="H57" s="15">
        <f t="shared" ref="H57:H91" si="9">BulgeMass+DiskMass+HaloMass</f>
        <v>4.4461804325455729E+38</v>
      </c>
      <c r="I57" s="16">
        <v>70.650000000000006</v>
      </c>
      <c r="J57" s="45">
        <v>1</v>
      </c>
      <c r="K57" s="19">
        <f t="shared" ref="K57:K91" si="10">SQRT(TotalMass*GravitationalConstant/RadiusKm)/km</f>
        <v>103.36957205914017</v>
      </c>
      <c r="L57" s="16">
        <f t="shared" ref="L57:L91" si="11">(ObservedVelocity-ModelVelocity)^2/(VelocityError)^2</f>
        <v>1070.5703957332655</v>
      </c>
      <c r="M57" s="45"/>
    </row>
    <row r="58" spans="1:29" x14ac:dyDescent="0.25">
      <c r="A58" s="16">
        <v>0.19</v>
      </c>
      <c r="B58" s="45">
        <f t="shared" ref="B58:B91" si="12">A58*1000</f>
        <v>190</v>
      </c>
      <c r="C58" s="16">
        <f t="shared" ref="C58:C91" si="13">B58/LCDMBulgeEffectiveRadius</f>
        <v>0.5757575757575758</v>
      </c>
      <c r="D58" s="15">
        <f t="shared" ref="D58:D91" si="14">A58*kpc</f>
        <v>5.862787402E+18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8.2154712336363649E+38</v>
      </c>
      <c r="F58" s="15">
        <f t="shared" si="7"/>
        <v>8.433183046123856E+37</v>
      </c>
      <c r="G58" s="15">
        <f t="shared" si="8"/>
        <v>5.7834306597902105E+37</v>
      </c>
      <c r="H58" s="15">
        <f t="shared" si="9"/>
        <v>9.6371326042277711E+38</v>
      </c>
      <c r="I58" s="16">
        <v>111.7</v>
      </c>
      <c r="J58" s="45">
        <v>1</v>
      </c>
      <c r="K58" s="19">
        <f t="shared" si="10"/>
        <v>104.74120078118008</v>
      </c>
      <c r="L58" s="16">
        <f t="shared" si="11"/>
        <v>48.424886567848723</v>
      </c>
      <c r="M58" s="45"/>
    </row>
    <row r="59" spans="1:29" x14ac:dyDescent="0.25">
      <c r="A59" s="16">
        <v>0.3</v>
      </c>
      <c r="B59" s="45">
        <f t="shared" si="12"/>
        <v>300</v>
      </c>
      <c r="C59" s="16">
        <f t="shared" si="13"/>
        <v>0.90909090909090906</v>
      </c>
      <c r="D59" s="15">
        <f t="shared" si="14"/>
        <v>9.25703274E+18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1.1614969712727275E+39</v>
      </c>
      <c r="F59" s="15">
        <f t="shared" si="7"/>
        <v>2.0309984648691657E+38</v>
      </c>
      <c r="G59" s="15">
        <f t="shared" si="8"/>
        <v>1.4245156526070453E+38</v>
      </c>
      <c r="H59" s="15">
        <f t="shared" si="9"/>
        <v>1.5070483830203488E+39</v>
      </c>
      <c r="I59" s="16">
        <v>138.80000000000001</v>
      </c>
      <c r="J59" s="45">
        <v>1</v>
      </c>
      <c r="K59" s="19">
        <f t="shared" si="10"/>
        <v>104.23735959271089</v>
      </c>
      <c r="L59" s="16">
        <f t="shared" si="11"/>
        <v>1194.5761119235749</v>
      </c>
      <c r="M59" s="45"/>
    </row>
    <row r="60" spans="1:29" x14ac:dyDescent="0.25">
      <c r="A60" s="16">
        <v>0.42</v>
      </c>
      <c r="B60" s="45">
        <f t="shared" si="12"/>
        <v>420</v>
      </c>
      <c r="C60" s="16">
        <f t="shared" si="13"/>
        <v>1.2727272727272727</v>
      </c>
      <c r="D60" s="15">
        <f t="shared" si="14"/>
        <v>1.2959845836E+19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1.4418814114090907E+39</v>
      </c>
      <c r="F60" s="15">
        <f t="shared" si="7"/>
        <v>3.8340709949414116E+38</v>
      </c>
      <c r="G60" s="15">
        <f t="shared" si="8"/>
        <v>2.7557598971942101E+38</v>
      </c>
      <c r="H60" s="15">
        <f t="shared" si="9"/>
        <v>2.1008645006226528E+39</v>
      </c>
      <c r="I60" s="16">
        <v>129.97999999999999</v>
      </c>
      <c r="J60" s="45">
        <v>1</v>
      </c>
      <c r="K60" s="19">
        <f t="shared" si="10"/>
        <v>104.01472079942556</v>
      </c>
      <c r="L60" s="16">
        <f t="shared" si="11"/>
        <v>674.19572396378305</v>
      </c>
      <c r="M60" s="45"/>
    </row>
    <row r="61" spans="1:29" x14ac:dyDescent="0.25">
      <c r="A61" s="16">
        <v>0.56000000000000005</v>
      </c>
      <c r="B61" s="45">
        <f t="shared" si="12"/>
        <v>560</v>
      </c>
      <c r="C61" s="16">
        <f t="shared" si="13"/>
        <v>1.696969696969697</v>
      </c>
      <c r="D61" s="15">
        <f t="shared" si="14"/>
        <v>1.7279794448000002E+19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1.6911807392272726E+39</v>
      </c>
      <c r="F61" s="15">
        <f t="shared" si="7"/>
        <v>6.5255439408035743E+38</v>
      </c>
      <c r="G61" s="15">
        <f t="shared" si="8"/>
        <v>4.8256266047628543E+38</v>
      </c>
      <c r="H61" s="15">
        <f t="shared" si="9"/>
        <v>2.8262977937839156E+39</v>
      </c>
      <c r="I61" s="16">
        <v>104.31</v>
      </c>
      <c r="J61" s="45">
        <v>1</v>
      </c>
      <c r="K61" s="19">
        <f t="shared" si="10"/>
        <v>104.48053259834724</v>
      </c>
      <c r="L61" s="16">
        <f t="shared" si="11"/>
        <v>2.908136709905983E-2</v>
      </c>
      <c r="M61" s="45"/>
    </row>
    <row r="62" spans="1:29" x14ac:dyDescent="0.25">
      <c r="A62" s="16">
        <v>0.7</v>
      </c>
      <c r="B62" s="45">
        <f t="shared" si="12"/>
        <v>700</v>
      </c>
      <c r="C62" s="16">
        <f t="shared" si="13"/>
        <v>2.1212121212121211</v>
      </c>
      <c r="D62" s="15">
        <f t="shared" si="14"/>
        <v>2.1599743059999998E+19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1.882598161181818E+39</v>
      </c>
      <c r="F62" s="15">
        <f t="shared" si="7"/>
        <v>9.7639769535257682E+38</v>
      </c>
      <c r="G62" s="15">
        <f t="shared" si="8"/>
        <v>7.4280682322646547E+38</v>
      </c>
      <c r="H62" s="15">
        <f t="shared" si="9"/>
        <v>3.6018026797608603E+39</v>
      </c>
      <c r="I62" s="16">
        <v>92.31</v>
      </c>
      <c r="J62" s="45">
        <v>1</v>
      </c>
      <c r="K62" s="19">
        <f t="shared" si="10"/>
        <v>105.49487696401189</v>
      </c>
      <c r="L62" s="16">
        <f t="shared" si="11"/>
        <v>173.84098055613143</v>
      </c>
      <c r="M62" s="45"/>
    </row>
    <row r="63" spans="1:29" x14ac:dyDescent="0.25">
      <c r="A63" s="16">
        <v>0.86</v>
      </c>
      <c r="B63" s="45">
        <f t="shared" si="12"/>
        <v>860</v>
      </c>
      <c r="C63" s="16">
        <f t="shared" si="13"/>
        <v>2.606060606060606</v>
      </c>
      <c r="D63" s="15">
        <f t="shared" si="14"/>
        <v>2.6536827187999998E+19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2.0532755990909087E+39</v>
      </c>
      <c r="F63" s="15">
        <f t="shared" si="7"/>
        <v>1.4030312597503689E+39</v>
      </c>
      <c r="G63" s="15">
        <f t="shared" si="8"/>
        <v>1.1023795386139179E+39</v>
      </c>
      <c r="H63" s="15">
        <f t="shared" si="9"/>
        <v>4.5586863974551954E+39</v>
      </c>
      <c r="I63" s="16">
        <v>83.16</v>
      </c>
      <c r="J63" s="45">
        <v>1</v>
      </c>
      <c r="K63" s="19">
        <f t="shared" si="10"/>
        <v>107.07573506621196</v>
      </c>
      <c r="L63" s="16">
        <f t="shared" si="11"/>
        <v>571.96238375724067</v>
      </c>
      <c r="M63" s="45"/>
    </row>
    <row r="64" spans="1:29" x14ac:dyDescent="0.25">
      <c r="A64" s="16">
        <v>1.04</v>
      </c>
      <c r="B64" s="45">
        <f t="shared" si="12"/>
        <v>1040</v>
      </c>
      <c r="C64" s="16">
        <f t="shared" si="13"/>
        <v>3.1515151515151514</v>
      </c>
      <c r="D64" s="15">
        <f t="shared" si="14"/>
        <v>3.2091046832E+19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2.2019092883181817E+39</v>
      </c>
      <c r="F64" s="15">
        <f t="shared" si="7"/>
        <v>1.9421508562019513E+39</v>
      </c>
      <c r="G64" s="15">
        <f t="shared" si="8"/>
        <v>1.5821127253175865E+39</v>
      </c>
      <c r="H64" s="15">
        <f t="shared" si="9"/>
        <v>5.7261728698377192E+39</v>
      </c>
      <c r="I64" s="16">
        <v>69.58</v>
      </c>
      <c r="J64" s="45">
        <v>1</v>
      </c>
      <c r="K64" s="19">
        <f t="shared" si="10"/>
        <v>109.12794810293714</v>
      </c>
      <c r="L64" s="16">
        <f t="shared" si="11"/>
        <v>1564.0401991526094</v>
      </c>
      <c r="M64" s="45"/>
    </row>
    <row r="65" spans="1:13" x14ac:dyDescent="0.25">
      <c r="A65" s="16">
        <v>1.23</v>
      </c>
      <c r="B65" s="45">
        <f t="shared" si="12"/>
        <v>1230</v>
      </c>
      <c r="C65" s="16">
        <f t="shared" si="13"/>
        <v>3.7272727272727271</v>
      </c>
      <c r="D65" s="15">
        <f t="shared" si="14"/>
        <v>3.7953834233999999E+19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2.3240734813636366E+39</v>
      </c>
      <c r="F65" s="15">
        <f t="shared" si="7"/>
        <v>2.5647866046736856E+39</v>
      </c>
      <c r="G65" s="15">
        <f t="shared" si="8"/>
        <v>2.170081906881487E+39</v>
      </c>
      <c r="H65" s="15">
        <f t="shared" si="9"/>
        <v>7.0589419929188098E+39</v>
      </c>
      <c r="I65" s="16">
        <v>70.66</v>
      </c>
      <c r="J65" s="45">
        <v>1</v>
      </c>
      <c r="K65" s="19">
        <f t="shared" si="10"/>
        <v>111.41346530868003</v>
      </c>
      <c r="L65" s="16">
        <f t="shared" si="11"/>
        <v>1660.8449346657872</v>
      </c>
      <c r="M65" s="45"/>
    </row>
    <row r="66" spans="1:13" x14ac:dyDescent="0.25">
      <c r="A66" s="16">
        <v>1.45</v>
      </c>
      <c r="B66" s="45">
        <f t="shared" si="12"/>
        <v>1450</v>
      </c>
      <c r="C66" s="16">
        <f t="shared" si="13"/>
        <v>4.3939393939393936</v>
      </c>
      <c r="D66" s="15">
        <f t="shared" si="14"/>
        <v>4.4742324909999997E+19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2.4339477488181817E+39</v>
      </c>
      <c r="F66" s="15">
        <f t="shared" si="7"/>
        <v>3.3367429165371677E+39</v>
      </c>
      <c r="G66" s="15">
        <f t="shared" si="8"/>
        <v>2.9491308361395299E+39</v>
      </c>
      <c r="H66" s="15">
        <f t="shared" si="9"/>
        <v>8.7198215014948796E+39</v>
      </c>
      <c r="I66" s="16">
        <v>95.12</v>
      </c>
      <c r="J66" s="45">
        <v>1</v>
      </c>
      <c r="K66" s="19">
        <f t="shared" si="10"/>
        <v>114.04867073596941</v>
      </c>
      <c r="L66" s="16">
        <f t="shared" si="11"/>
        <v>358.29457583074452</v>
      </c>
      <c r="M66" s="45"/>
    </row>
    <row r="67" spans="1:13" x14ac:dyDescent="0.25">
      <c r="A67" s="16">
        <v>1.68</v>
      </c>
      <c r="B67" s="45">
        <f t="shared" si="12"/>
        <v>1680</v>
      </c>
      <c r="C67" s="16">
        <f t="shared" si="13"/>
        <v>5.0909090909090908</v>
      </c>
      <c r="D67" s="15">
        <f t="shared" si="14"/>
        <v>5.1839383344E+19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2.5216507843636361E+39</v>
      </c>
      <c r="F67" s="15">
        <f t="shared" si="7"/>
        <v>4.183647197993805E+39</v>
      </c>
      <c r="G67" s="15">
        <f t="shared" si="8"/>
        <v>3.8688604160653116E+39</v>
      </c>
      <c r="H67" s="15">
        <f t="shared" si="9"/>
        <v>1.0574158398422753E+40</v>
      </c>
      <c r="I67" s="16">
        <v>117.16</v>
      </c>
      <c r="J67" s="45">
        <v>1</v>
      </c>
      <c r="K67" s="19">
        <f t="shared" si="10"/>
        <v>116.6779248727011</v>
      </c>
      <c r="L67" s="16">
        <f t="shared" si="11"/>
        <v>0.23239642836024926</v>
      </c>
      <c r="M67" s="45"/>
    </row>
    <row r="68" spans="1:13" x14ac:dyDescent="0.25">
      <c r="A68" s="16">
        <v>1.94</v>
      </c>
      <c r="B68" s="45">
        <f t="shared" si="12"/>
        <v>1940</v>
      </c>
      <c r="C68" s="16">
        <f t="shared" si="13"/>
        <v>5.8787878787878789</v>
      </c>
      <c r="D68" s="15">
        <f t="shared" si="14"/>
        <v>5.9862145052000002E+19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2.5996488201818178E+39</v>
      </c>
      <c r="F68" s="15">
        <f t="shared" si="7"/>
        <v>5.1689632008518501E+39</v>
      </c>
      <c r="G68" s="15">
        <f t="shared" si="8"/>
        <v>5.0287044483110622E+39</v>
      </c>
      <c r="H68" s="15">
        <f t="shared" si="9"/>
        <v>1.2797316469344731E+40</v>
      </c>
      <c r="I68" s="16">
        <v>136.72999999999999</v>
      </c>
      <c r="J68" s="45">
        <v>1</v>
      </c>
      <c r="K68" s="19">
        <f t="shared" si="10"/>
        <v>119.44803825022133</v>
      </c>
      <c r="L68" s="16">
        <f t="shared" si="11"/>
        <v>298.66620192081268</v>
      </c>
      <c r="M68" s="45"/>
    </row>
    <row r="69" spans="1:13" x14ac:dyDescent="0.25">
      <c r="A69" s="16">
        <v>2.23</v>
      </c>
      <c r="B69" s="45">
        <f t="shared" si="12"/>
        <v>2230</v>
      </c>
      <c r="C69" s="16">
        <f t="shared" si="13"/>
        <v>6.7575757575757578</v>
      </c>
      <c r="D69" s="15">
        <f t="shared" si="14"/>
        <v>6.8810610034000003E+19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2.6665748020909091E+39</v>
      </c>
      <c r="F69" s="15">
        <f t="shared" si="7"/>
        <v>6.2795997147667498E+39</v>
      </c>
      <c r="G69" s="15">
        <f t="shared" si="8"/>
        <v>6.4608849025935413E+39</v>
      </c>
      <c r="H69" s="15">
        <f t="shared" si="9"/>
        <v>1.5407059419451202E+40</v>
      </c>
      <c r="I69" s="16">
        <v>135.56</v>
      </c>
      <c r="J69" s="45">
        <v>1</v>
      </c>
      <c r="K69" s="19">
        <f t="shared" si="10"/>
        <v>122.24409191783531</v>
      </c>
      <c r="L69" s="16">
        <f t="shared" si="11"/>
        <v>177.3134080526591</v>
      </c>
      <c r="M69" s="45"/>
    </row>
    <row r="70" spans="1:13" x14ac:dyDescent="0.25">
      <c r="A70" s="16">
        <v>2.54</v>
      </c>
      <c r="B70" s="45">
        <f t="shared" si="12"/>
        <v>2540</v>
      </c>
      <c r="C70" s="16">
        <f t="shared" si="13"/>
        <v>7.6969696969696972</v>
      </c>
      <c r="D70" s="15">
        <f t="shared" si="14"/>
        <v>7.8376210532000006E+19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2.7222271076818179E+39</v>
      </c>
      <c r="F70" s="15">
        <f t="shared" si="7"/>
        <v>7.4570047312869357E+39</v>
      </c>
      <c r="G70" s="15">
        <f t="shared" si="8"/>
        <v>8.1393691101673109E+39</v>
      </c>
      <c r="H70" s="15">
        <f t="shared" si="9"/>
        <v>1.8318600949136065E+40</v>
      </c>
      <c r="I70" s="16">
        <v>127.3</v>
      </c>
      <c r="J70" s="45">
        <v>1</v>
      </c>
      <c r="K70" s="19">
        <f t="shared" si="10"/>
        <v>124.89634357425938</v>
      </c>
      <c r="L70" s="16">
        <f t="shared" si="11"/>
        <v>5.7775642130041787</v>
      </c>
      <c r="M70" s="45"/>
    </row>
    <row r="71" spans="1:13" x14ac:dyDescent="0.25">
      <c r="A71" s="16">
        <v>2.89</v>
      </c>
      <c r="B71" s="45">
        <f t="shared" si="12"/>
        <v>2890</v>
      </c>
      <c r="C71" s="16">
        <f t="shared" si="13"/>
        <v>8.7575757575757578</v>
      </c>
      <c r="D71" s="15">
        <f t="shared" si="14"/>
        <v>8.9176082061999997E+19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2.7706300479090912E+39</v>
      </c>
      <c r="F71" s="15">
        <f t="shared" si="7"/>
        <v>8.7502844954749502E+39</v>
      </c>
      <c r="G71" s="15">
        <f t="shared" si="8"/>
        <v>1.0200282519362927E+40</v>
      </c>
      <c r="H71" s="15">
        <f t="shared" si="9"/>
        <v>2.1721197062746967E+40</v>
      </c>
      <c r="I71" s="16">
        <v>133.11000000000001</v>
      </c>
      <c r="J71" s="45">
        <v>1</v>
      </c>
      <c r="K71" s="19">
        <f t="shared" si="10"/>
        <v>127.50094040981976</v>
      </c>
      <c r="L71" s="16">
        <f t="shared" si="11"/>
        <v>31.46154948619305</v>
      </c>
      <c r="M71" s="45"/>
    </row>
    <row r="72" spans="1:13" x14ac:dyDescent="0.25">
      <c r="A72" s="16">
        <v>3.27</v>
      </c>
      <c r="B72" s="45">
        <f t="shared" si="12"/>
        <v>3270</v>
      </c>
      <c r="C72" s="16">
        <f t="shared" si="13"/>
        <v>9.9090909090909083</v>
      </c>
      <c r="D72" s="15">
        <f t="shared" si="14"/>
        <v>1.0090165686599999E+20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2.8108207175454547E+39</v>
      </c>
      <c r="F72" s="15">
        <f t="shared" si="7"/>
        <v>1.008923293120573E+40</v>
      </c>
      <c r="G72" s="15">
        <f t="shared" si="8"/>
        <v>1.2616492722198146E+40</v>
      </c>
      <c r="H72" s="15">
        <f t="shared" si="9"/>
        <v>2.5516546370949327E+40</v>
      </c>
      <c r="I72" s="16">
        <v>146.38</v>
      </c>
      <c r="J72" s="45">
        <v>1</v>
      </c>
      <c r="K72" s="19">
        <f t="shared" si="10"/>
        <v>129.91446274253684</v>
      </c>
      <c r="L72" s="16">
        <f t="shared" si="11"/>
        <v>271.11391717690725</v>
      </c>
      <c r="M72" s="45"/>
    </row>
    <row r="73" spans="1:13" x14ac:dyDescent="0.25">
      <c r="A73" s="16">
        <v>3.69</v>
      </c>
      <c r="B73" s="45">
        <f t="shared" si="12"/>
        <v>3690</v>
      </c>
      <c r="C73" s="16">
        <f t="shared" si="13"/>
        <v>11.181818181818182</v>
      </c>
      <c r="D73" s="15">
        <f t="shared" si="14"/>
        <v>1.13861502702E+20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2.8439338077272729E+39</v>
      </c>
      <c r="F73" s="15">
        <f t="shared" si="7"/>
        <v>1.1471528622276378E+40</v>
      </c>
      <c r="G73" s="15">
        <f t="shared" si="8"/>
        <v>1.5478949666689055E+40</v>
      </c>
      <c r="H73" s="15">
        <f t="shared" si="9"/>
        <v>2.9794412096692703E+40</v>
      </c>
      <c r="I73" s="16">
        <v>152.31</v>
      </c>
      <c r="J73" s="45">
        <v>1</v>
      </c>
      <c r="K73" s="19">
        <f t="shared" si="10"/>
        <v>132.15227948174646</v>
      </c>
      <c r="L73" s="16">
        <f t="shared" si="11"/>
        <v>406.33369649201978</v>
      </c>
      <c r="M73" s="45"/>
    </row>
    <row r="74" spans="1:13" x14ac:dyDescent="0.25">
      <c r="A74" s="16">
        <v>4.1500000000000004</v>
      </c>
      <c r="B74" s="45">
        <f t="shared" si="12"/>
        <v>4150</v>
      </c>
      <c r="C74" s="16">
        <f t="shared" si="13"/>
        <v>12.575757575757576</v>
      </c>
      <c r="D74" s="15">
        <f t="shared" si="14"/>
        <v>1.2805561957E+20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2.8712540962272729E+39</v>
      </c>
      <c r="F74" s="15">
        <f t="shared" si="7"/>
        <v>1.2854804999184484E+40</v>
      </c>
      <c r="G74" s="15">
        <f t="shared" si="8"/>
        <v>1.8816719978482357E+40</v>
      </c>
      <c r="H74" s="15">
        <f t="shared" si="9"/>
        <v>3.4542779073894115E+40</v>
      </c>
      <c r="I74" s="16">
        <v>152.12</v>
      </c>
      <c r="J74" s="45">
        <v>1</v>
      </c>
      <c r="K74" s="19">
        <f t="shared" si="10"/>
        <v>134.17605559602808</v>
      </c>
      <c r="L74" s="16">
        <f t="shared" si="11"/>
        <v>321.98514077283539</v>
      </c>
      <c r="M74" s="45"/>
    </row>
    <row r="75" spans="1:13" x14ac:dyDescent="0.25">
      <c r="A75" s="16">
        <v>4.6500000000000004</v>
      </c>
      <c r="B75" s="45">
        <f t="shared" si="12"/>
        <v>4650</v>
      </c>
      <c r="C75" s="16">
        <f t="shared" si="13"/>
        <v>14.090909090909092</v>
      </c>
      <c r="D75" s="15">
        <f t="shared" si="14"/>
        <v>1.4348400747000001E+20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2.8939669058181821E+39</v>
      </c>
      <c r="F75" s="15">
        <f t="shared" si="7"/>
        <v>1.4197968914210105E+40</v>
      </c>
      <c r="G75" s="15">
        <f t="shared" si="8"/>
        <v>2.265271477990891E+40</v>
      </c>
      <c r="H75" s="15">
        <f t="shared" si="9"/>
        <v>3.97446505999372E+40</v>
      </c>
      <c r="I75" s="16">
        <v>150.21</v>
      </c>
      <c r="J75" s="45">
        <v>1</v>
      </c>
      <c r="K75" s="19">
        <f t="shared" si="10"/>
        <v>135.96693159064495</v>
      </c>
      <c r="L75" s="16">
        <f t="shared" si="11"/>
        <v>202.8649977135681</v>
      </c>
      <c r="M75" s="45"/>
    </row>
    <row r="76" spans="1:13" x14ac:dyDescent="0.25">
      <c r="A76" s="16">
        <v>5.21</v>
      </c>
      <c r="B76" s="45">
        <f t="shared" si="12"/>
        <v>5210</v>
      </c>
      <c r="C76" s="16">
        <f t="shared" si="13"/>
        <v>15.787878787878787</v>
      </c>
      <c r="D76" s="15">
        <f t="shared" si="14"/>
        <v>1.6076380191800001E+20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2.9105827622545452E+39</v>
      </c>
      <c r="F76" s="15">
        <f t="shared" si="7"/>
        <v>1.5507987189372265E+40</v>
      </c>
      <c r="G76" s="15">
        <f t="shared" si="8"/>
        <v>2.7168091810358202E+40</v>
      </c>
      <c r="H76" s="15">
        <f t="shared" si="9"/>
        <v>4.5586661761985014E+40</v>
      </c>
      <c r="I76" s="16">
        <v>147.06</v>
      </c>
      <c r="J76" s="45">
        <v>1</v>
      </c>
      <c r="K76" s="19">
        <f t="shared" si="10"/>
        <v>137.56896352827039</v>
      </c>
      <c r="L76" s="16">
        <f t="shared" si="11"/>
        <v>90.079773307701728</v>
      </c>
      <c r="M76" s="45"/>
    </row>
    <row r="77" spans="1:13" x14ac:dyDescent="0.25">
      <c r="A77" s="16">
        <v>5.82</v>
      </c>
      <c r="B77" s="45">
        <f t="shared" si="12"/>
        <v>5820</v>
      </c>
      <c r="C77" s="16">
        <f t="shared" si="13"/>
        <v>17.636363636363637</v>
      </c>
      <c r="D77" s="15">
        <f t="shared" si="14"/>
        <v>1.7958643515600001E+20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2.9242384762363636E+39</v>
      </c>
      <c r="F77" s="15">
        <f t="shared" si="7"/>
        <v>1.6716660962676814E+40</v>
      </c>
      <c r="G77" s="15">
        <f t="shared" si="8"/>
        <v>3.230689335002281E+40</v>
      </c>
      <c r="H77" s="15">
        <f t="shared" si="9"/>
        <v>5.1947792788935987E+40</v>
      </c>
      <c r="I77" s="16">
        <v>144.25</v>
      </c>
      <c r="J77" s="45">
        <v>1</v>
      </c>
      <c r="K77" s="19">
        <f t="shared" si="10"/>
        <v>138.94486111006847</v>
      </c>
      <c r="L77" s="16">
        <f t="shared" si="11"/>
        <v>28.144498641463915</v>
      </c>
      <c r="M77" s="45"/>
    </row>
    <row r="78" spans="1:13" x14ac:dyDescent="0.25">
      <c r="A78" s="16">
        <v>6.49</v>
      </c>
      <c r="B78" s="45">
        <f t="shared" si="12"/>
        <v>6490</v>
      </c>
      <c r="C78" s="16">
        <f t="shared" si="13"/>
        <v>19.666666666666668</v>
      </c>
      <c r="D78" s="15">
        <f t="shared" si="14"/>
        <v>2.0026047494200001E+20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2.9392373752000003E+39</v>
      </c>
      <c r="F78" s="15">
        <f t="shared" si="7"/>
        <v>1.7809612591315367E+40</v>
      </c>
      <c r="G78" s="15">
        <f t="shared" si="8"/>
        <v>3.8167541736734943E+40</v>
      </c>
      <c r="H78" s="15">
        <f t="shared" si="9"/>
        <v>5.8916391703250314E+40</v>
      </c>
      <c r="I78" s="16">
        <v>143.19</v>
      </c>
      <c r="J78" s="45">
        <v>1</v>
      </c>
      <c r="K78" s="19">
        <f t="shared" si="10"/>
        <v>140.12517035487608</v>
      </c>
      <c r="L78" s="16">
        <f t="shared" si="11"/>
        <v>9.3931807536304248</v>
      </c>
      <c r="M78" s="45"/>
    </row>
    <row r="79" spans="1:13" x14ac:dyDescent="0.25">
      <c r="A79" s="16">
        <v>7.23</v>
      </c>
      <c r="B79" s="45">
        <f t="shared" si="12"/>
        <v>7230</v>
      </c>
      <c r="C79" s="16">
        <f t="shared" si="13"/>
        <v>21.90909090909091</v>
      </c>
      <c r="D79" s="15">
        <f t="shared" si="14"/>
        <v>2.2309448903400001E+20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2.9480794671818178E+39</v>
      </c>
      <c r="F79" s="15">
        <f t="shared" si="7"/>
        <v>1.8771979896184689E+40</v>
      </c>
      <c r="G79" s="15">
        <f t="shared" si="8"/>
        <v>4.484993097589132E+40</v>
      </c>
      <c r="H79" s="15">
        <f t="shared" si="9"/>
        <v>6.6569990339257827E+40</v>
      </c>
      <c r="I79" s="16">
        <v>144.16</v>
      </c>
      <c r="J79" s="45">
        <v>1</v>
      </c>
      <c r="K79" s="19">
        <f t="shared" si="10"/>
        <v>141.12063755787113</v>
      </c>
      <c r="L79" s="16">
        <f t="shared" si="11"/>
        <v>9.23772405462352</v>
      </c>
      <c r="M79" s="45"/>
    </row>
    <row r="80" spans="1:13" x14ac:dyDescent="0.25">
      <c r="A80" s="16">
        <v>8.0500000000000007</v>
      </c>
      <c r="B80" s="45">
        <f t="shared" si="12"/>
        <v>8050.0000000000009</v>
      </c>
      <c r="C80" s="16">
        <f t="shared" si="13"/>
        <v>24.393939393939398</v>
      </c>
      <c r="D80" s="15">
        <f t="shared" si="14"/>
        <v>2.4839704519000002E+20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2.9563830555454543E+39</v>
      </c>
      <c r="F80" s="15">
        <f t="shared" si="7"/>
        <v>1.9591865463782026E+40</v>
      </c>
      <c r="G80" s="15">
        <f t="shared" si="8"/>
        <v>5.2451512000764184E+40</v>
      </c>
      <c r="H80" s="15">
        <f t="shared" si="9"/>
        <v>7.4999760520091669E+40</v>
      </c>
      <c r="I80" s="16">
        <v>146.01</v>
      </c>
      <c r="J80" s="45">
        <v>1</v>
      </c>
      <c r="K80" s="19">
        <f t="shared" si="10"/>
        <v>141.95556732128864</v>
      </c>
      <c r="L80" s="16">
        <f t="shared" si="11"/>
        <v>16.438424346202495</v>
      </c>
      <c r="M80" s="45"/>
    </row>
    <row r="81" spans="1:13" x14ac:dyDescent="0.25">
      <c r="A81" s="16">
        <v>8.94</v>
      </c>
      <c r="B81" s="45">
        <f t="shared" si="12"/>
        <v>8940</v>
      </c>
      <c r="C81" s="16">
        <f t="shared" si="13"/>
        <v>27.09090909090909</v>
      </c>
      <c r="D81" s="15">
        <f t="shared" si="14"/>
        <v>2.7585957565199997E+20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2.9626879600636361E+39</v>
      </c>
      <c r="F81" s="15">
        <f t="shared" si="7"/>
        <v>2.0251008680124724E+40</v>
      </c>
      <c r="G81" s="15">
        <f t="shared" si="8"/>
        <v>6.0872488463192749E+40</v>
      </c>
      <c r="H81" s="15">
        <f t="shared" si="9"/>
        <v>8.4086185103381108E+40</v>
      </c>
      <c r="I81" s="16">
        <v>146.32</v>
      </c>
      <c r="J81" s="45">
        <v>1</v>
      </c>
      <c r="K81" s="19">
        <f t="shared" si="10"/>
        <v>142.63102291688097</v>
      </c>
      <c r="L81" s="16">
        <f t="shared" si="11"/>
        <v>13.608551919777369</v>
      </c>
      <c r="M81" s="45"/>
    </row>
    <row r="82" spans="1:13" x14ac:dyDescent="0.25">
      <c r="A82" s="16">
        <v>9.93</v>
      </c>
      <c r="B82" s="45">
        <f t="shared" si="12"/>
        <v>9930</v>
      </c>
      <c r="C82" s="16">
        <f t="shared" si="13"/>
        <v>30.09090909090909</v>
      </c>
      <c r="D82" s="15">
        <f t="shared" si="14"/>
        <v>3.06407783694E+20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2.9687388022636358E+39</v>
      </c>
      <c r="F82" s="15">
        <f t="shared" si="7"/>
        <v>2.07721933824176E+40</v>
      </c>
      <c r="G82" s="15">
        <f t="shared" si="8"/>
        <v>7.037971405398311E+40</v>
      </c>
      <c r="H82" s="15">
        <f t="shared" si="9"/>
        <v>9.4120646238664334E+40</v>
      </c>
      <c r="I82" s="16">
        <v>145.16999999999999</v>
      </c>
      <c r="J82" s="45">
        <v>1</v>
      </c>
      <c r="K82" s="19">
        <f t="shared" si="10"/>
        <v>143.18194495722074</v>
      </c>
      <c r="L82" s="16">
        <f t="shared" si="11"/>
        <v>3.952362853120011</v>
      </c>
      <c r="M82" s="45"/>
    </row>
    <row r="83" spans="1:13" x14ac:dyDescent="0.25">
      <c r="A83" s="16">
        <v>11.01</v>
      </c>
      <c r="B83" s="45">
        <f t="shared" si="12"/>
        <v>11010</v>
      </c>
      <c r="C83" s="16">
        <f t="shared" si="13"/>
        <v>33.363636363636367</v>
      </c>
      <c r="D83" s="15">
        <f t="shared" si="14"/>
        <v>3.3973310155799999E+20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2.972215025754545E+39</v>
      </c>
      <c r="F83" s="15">
        <f t="shared" si="7"/>
        <v>2.1158180499807501E+40</v>
      </c>
      <c r="G83" s="15">
        <f t="shared" si="8"/>
        <v>8.0848870982125902E+40</v>
      </c>
      <c r="H83" s="15">
        <f t="shared" si="9"/>
        <v>1.0497926650768795E+41</v>
      </c>
      <c r="I83" s="16">
        <v>143.91999999999999</v>
      </c>
      <c r="J83" s="45">
        <v>1</v>
      </c>
      <c r="K83" s="19">
        <f t="shared" si="10"/>
        <v>143.60796863716479</v>
      </c>
      <c r="L83" s="16">
        <f t="shared" si="11"/>
        <v>9.7363571392791851E-2</v>
      </c>
      <c r="M83" s="45"/>
    </row>
    <row r="84" spans="1:13" x14ac:dyDescent="0.25">
      <c r="A84" s="16">
        <v>12.2</v>
      </c>
      <c r="B84" s="45">
        <f t="shared" si="12"/>
        <v>12200</v>
      </c>
      <c r="C84" s="16">
        <f t="shared" si="13"/>
        <v>36.969696969696969</v>
      </c>
      <c r="D84" s="15">
        <f t="shared" si="14"/>
        <v>3.7645266475999999E+20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2.9752107911818176E+39</v>
      </c>
      <c r="F84" s="15">
        <f t="shared" si="7"/>
        <v>2.1433291000138926E+40</v>
      </c>
      <c r="G84" s="15">
        <f t="shared" si="8"/>
        <v>9.2430102729535691E+40</v>
      </c>
      <c r="H84" s="15">
        <f t="shared" si="9"/>
        <v>1.1683860452085644E+41</v>
      </c>
      <c r="I84" s="16">
        <v>143.16999999999999</v>
      </c>
      <c r="J84" s="45">
        <v>1</v>
      </c>
      <c r="K84" s="19">
        <f t="shared" si="10"/>
        <v>143.92415782103683</v>
      </c>
      <c r="L84" s="16">
        <f t="shared" si="11"/>
        <v>0.56875401903103651</v>
      </c>
      <c r="M84" s="45"/>
    </row>
    <row r="85" spans="1:13" x14ac:dyDescent="0.25">
      <c r="A85" s="16">
        <v>13.51</v>
      </c>
      <c r="B85" s="45">
        <f t="shared" si="12"/>
        <v>13510</v>
      </c>
      <c r="C85" s="16">
        <f t="shared" si="13"/>
        <v>40.939393939393938</v>
      </c>
      <c r="D85" s="15">
        <f t="shared" si="14"/>
        <v>4.1687504105800001E+20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2.9775212212454544E+39</v>
      </c>
      <c r="F85" s="15">
        <f t="shared" si="7"/>
        <v>2.1618720366923645E+40</v>
      </c>
      <c r="G85" s="15">
        <f t="shared" si="8"/>
        <v>1.0516254920403614E+41</v>
      </c>
      <c r="H85" s="15">
        <f t="shared" si="9"/>
        <v>1.2975879079220524E+41</v>
      </c>
      <c r="I85" s="16">
        <v>142.51</v>
      </c>
      <c r="J85" s="45">
        <v>1</v>
      </c>
      <c r="K85" s="19">
        <f t="shared" si="10"/>
        <v>144.13224521837972</v>
      </c>
      <c r="L85" s="16">
        <f t="shared" si="11"/>
        <v>2.631679548555903</v>
      </c>
      <c r="M85" s="45"/>
    </row>
    <row r="86" spans="1:13" x14ac:dyDescent="0.25">
      <c r="A86" s="16">
        <v>14.95</v>
      </c>
      <c r="B86" s="45">
        <f t="shared" si="12"/>
        <v>14950</v>
      </c>
      <c r="C86" s="16">
        <f t="shared" si="13"/>
        <v>45.303030303030305</v>
      </c>
      <c r="D86" s="15">
        <f t="shared" si="14"/>
        <v>4.6130879820999996E+20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2.9792242525E+39</v>
      </c>
      <c r="F86" s="15">
        <f t="shared" si="7"/>
        <v>2.173628926901714E+40</v>
      </c>
      <c r="G86" s="15">
        <f t="shared" si="8"/>
        <v>1.190683270847893E+41</v>
      </c>
      <c r="H86" s="15">
        <f t="shared" si="9"/>
        <v>1.4378384060630644E+41</v>
      </c>
      <c r="I86" s="16">
        <v>142.13</v>
      </c>
      <c r="J86" s="45">
        <v>1</v>
      </c>
      <c r="K86" s="19">
        <f t="shared" si="10"/>
        <v>144.22975810618439</v>
      </c>
      <c r="L86" s="16">
        <f t="shared" si="11"/>
        <v>4.4089841044870814</v>
      </c>
      <c r="M86" s="45"/>
    </row>
    <row r="87" spans="1:13" x14ac:dyDescent="0.25">
      <c r="A87" s="16">
        <v>16.54</v>
      </c>
      <c r="B87" s="45">
        <f t="shared" si="12"/>
        <v>16540</v>
      </c>
      <c r="C87" s="16">
        <f t="shared" si="13"/>
        <v>50.121212121212125</v>
      </c>
      <c r="D87" s="15">
        <f t="shared" si="14"/>
        <v>5.1037107173199997E+20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2.9804791937727271E+39</v>
      </c>
      <c r="F87" s="15">
        <f t="shared" si="7"/>
        <v>2.1806362254754726E+40</v>
      </c>
      <c r="G87" s="15">
        <f t="shared" si="8"/>
        <v>1.3424672684983212E+41</v>
      </c>
      <c r="H87" s="15">
        <f t="shared" si="9"/>
        <v>1.5903356829835957E+41</v>
      </c>
      <c r="I87" s="16">
        <v>142.22</v>
      </c>
      <c r="J87" s="45">
        <v>1</v>
      </c>
      <c r="K87" s="19">
        <f t="shared" si="10"/>
        <v>144.2105657677557</v>
      </c>
      <c r="L87" s="16">
        <f t="shared" si="11"/>
        <v>3.9623520757608288</v>
      </c>
      <c r="M87" s="45"/>
    </row>
    <row r="88" spans="1:13" x14ac:dyDescent="0.25">
      <c r="A88" s="16">
        <v>18.29</v>
      </c>
      <c r="B88" s="45">
        <f t="shared" si="12"/>
        <v>18290</v>
      </c>
      <c r="C88" s="16">
        <f t="shared" si="13"/>
        <v>55.424242424242422</v>
      </c>
      <c r="D88" s="15">
        <f t="shared" si="14"/>
        <v>5.6437042938199998E+20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2.9814032211363635E+39</v>
      </c>
      <c r="F88" s="15">
        <f t="shared" si="7"/>
        <v>2.1845045070089469E+40</v>
      </c>
      <c r="G88" s="15">
        <f t="shared" si="8"/>
        <v>1.5067965967570945E+41</v>
      </c>
      <c r="H88" s="15">
        <f t="shared" si="9"/>
        <v>1.7550610796693527E+41</v>
      </c>
      <c r="I88" s="16">
        <v>142.66</v>
      </c>
      <c r="J88" s="45">
        <v>1</v>
      </c>
      <c r="K88" s="19">
        <f t="shared" si="10"/>
        <v>144.06540235603259</v>
      </c>
      <c r="L88" s="16">
        <f t="shared" si="11"/>
        <v>1.9751557823419714</v>
      </c>
      <c r="M88" s="45"/>
    </row>
    <row r="89" spans="1:13" x14ac:dyDescent="0.25">
      <c r="A89" s="16">
        <v>20.2</v>
      </c>
      <c r="B89" s="45">
        <f t="shared" si="12"/>
        <v>20200</v>
      </c>
      <c r="C89" s="16">
        <f t="shared" si="13"/>
        <v>61.212121212121211</v>
      </c>
      <c r="D89" s="15">
        <f t="shared" si="14"/>
        <v>6.2330687115999995E+20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2.9820180338636364E+39</v>
      </c>
      <c r="F89" s="15">
        <f t="shared" si="7"/>
        <v>2.1864660416920659E+40</v>
      </c>
      <c r="G89" s="15">
        <f t="shared" si="8"/>
        <v>1.682396001983825E+41</v>
      </c>
      <c r="H89" s="15">
        <f t="shared" si="9"/>
        <v>1.9308627864916678E+41</v>
      </c>
      <c r="I89" s="16">
        <v>143.47</v>
      </c>
      <c r="J89" s="45">
        <v>1</v>
      </c>
      <c r="K89" s="19">
        <f t="shared" si="10"/>
        <v>143.78727494788549</v>
      </c>
      <c r="L89" s="16">
        <f t="shared" si="11"/>
        <v>0.10066339255574289</v>
      </c>
      <c r="M89" s="45"/>
    </row>
    <row r="90" spans="1:13" x14ac:dyDescent="0.25">
      <c r="A90" s="16">
        <v>22.32</v>
      </c>
      <c r="B90" s="45">
        <f t="shared" si="12"/>
        <v>22320</v>
      </c>
      <c r="C90" s="16">
        <f t="shared" si="13"/>
        <v>67.63636363636364</v>
      </c>
      <c r="D90" s="15">
        <f t="shared" si="14"/>
        <v>6.8872323585599996E+20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2.9823822199909088E+39</v>
      </c>
      <c r="F90" s="15">
        <f t="shared" si="7"/>
        <v>2.1873939077503299E+40</v>
      </c>
      <c r="G90" s="15">
        <f t="shared" si="8"/>
        <v>1.8723432690754178E+41</v>
      </c>
      <c r="H90" s="15">
        <f t="shared" si="9"/>
        <v>2.1209064820503599E+41</v>
      </c>
      <c r="I90" s="16">
        <v>145.19999999999999</v>
      </c>
      <c r="J90" s="45">
        <v>1</v>
      </c>
      <c r="K90" s="19">
        <f t="shared" si="10"/>
        <v>143.3620148708616</v>
      </c>
      <c r="L90" s="16">
        <f t="shared" si="11"/>
        <v>3.3781893349338592</v>
      </c>
      <c r="M90" s="45"/>
    </row>
    <row r="91" spans="1:13" x14ac:dyDescent="0.25">
      <c r="A91" s="16">
        <v>24.64</v>
      </c>
      <c r="B91" s="45">
        <f t="shared" si="12"/>
        <v>24640</v>
      </c>
      <c r="C91" s="16">
        <f t="shared" si="13"/>
        <v>74.666666666666671</v>
      </c>
      <c r="D91" s="15">
        <f t="shared" si="14"/>
        <v>7.6031095571200003E+20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2.9827807632999995E+39</v>
      </c>
      <c r="F91" s="15">
        <f t="shared" si="7"/>
        <v>2.1877865041363981E+40</v>
      </c>
      <c r="G91" s="15">
        <f t="shared" si="8"/>
        <v>2.0740168242980772E+41</v>
      </c>
      <c r="H91" s="15">
        <f t="shared" si="9"/>
        <v>2.3226232823447168E+41</v>
      </c>
      <c r="I91" s="16">
        <v>146.83000000000001</v>
      </c>
      <c r="J91" s="45">
        <v>1</v>
      </c>
      <c r="K91" s="19">
        <f t="shared" si="10"/>
        <v>142.78726248044094</v>
      </c>
      <c r="L91" s="16">
        <f t="shared" si="11"/>
        <v>16.343726652050609</v>
      </c>
      <c r="M91" s="45"/>
    </row>
    <row r="92" spans="1:13" x14ac:dyDescent="0.25">
      <c r="H92" s="15"/>
      <c r="K92" s="45"/>
      <c r="L92" s="16">
        <f>SUM(L57:L91)/(COUNT(L57:L91)-6)</f>
        <v>318.51205276317489</v>
      </c>
      <c r="M92" s="45"/>
    </row>
    <row r="93" spans="1:13" x14ac:dyDescent="0.25">
      <c r="H93" s="15"/>
      <c r="K93" s="45"/>
      <c r="L93" s="17"/>
      <c r="M93" s="45"/>
    </row>
    <row r="94" spans="1:13" x14ac:dyDescent="0.25">
      <c r="I94" s="45"/>
      <c r="J94" s="45"/>
      <c r="L94" s="16"/>
    </row>
    <row r="95" spans="1:13" x14ac:dyDescent="0.25">
      <c r="I95" s="45"/>
      <c r="J95" s="45"/>
      <c r="L95" s="16"/>
    </row>
    <row r="96" spans="1:13" x14ac:dyDescent="0.25">
      <c r="I96" s="45"/>
      <c r="J96" s="45"/>
      <c r="L96" s="16"/>
    </row>
    <row r="97" spans="1:29" x14ac:dyDescent="0.25">
      <c r="I97" s="45"/>
      <c r="J97" s="45"/>
      <c r="L97" s="16"/>
    </row>
    <row r="98" spans="1:29" x14ac:dyDescent="0.25">
      <c r="I98" s="45"/>
      <c r="J98" s="45"/>
      <c r="L98" s="16"/>
    </row>
    <row r="99" spans="1:29" x14ac:dyDescent="0.25">
      <c r="I99" s="45"/>
      <c r="J99" s="45"/>
      <c r="L99" s="16"/>
    </row>
    <row r="100" spans="1:29" x14ac:dyDescent="0.25">
      <c r="I100" s="45"/>
      <c r="J100" s="45"/>
      <c r="L100" s="16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x14ac:dyDescent="0.25">
      <c r="L549" s="16"/>
    </row>
    <row r="550" spans="1:29" x14ac:dyDescent="0.25">
      <c r="L550" s="16"/>
      <c r="N550" s="17"/>
      <c r="O550" s="38"/>
    </row>
    <row r="551" spans="1:29" x14ac:dyDescent="0.25">
      <c r="L551" s="16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C551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1719.2917547582799</v>
      </c>
      <c r="E2" s="55"/>
      <c r="F2" s="53" t="s">
        <v>620</v>
      </c>
      <c r="G2" s="53">
        <v>103752453028</v>
      </c>
      <c r="H2" s="62"/>
      <c r="K2" s="51" t="s">
        <v>1</v>
      </c>
      <c r="L2" s="60" t="s">
        <v>580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5.8158840646077696E+40</v>
      </c>
      <c r="E3" s="53"/>
      <c r="F3" s="53" t="s">
        <v>621</v>
      </c>
      <c r="G3" s="53">
        <f>H42/SolarMass</f>
        <v>222041664271.66425</v>
      </c>
      <c r="H3" s="62"/>
      <c r="K3" s="51" t="s">
        <v>562</v>
      </c>
      <c r="L3" s="57">
        <v>5.2399999999999999E-3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6443.2274951626596</v>
      </c>
      <c r="E4" s="55"/>
      <c r="F4" s="53" t="s">
        <v>622</v>
      </c>
      <c r="G4" s="52">
        <f>G3/G2</f>
        <v>2.1401100194878397</v>
      </c>
      <c r="H4" s="62"/>
      <c r="K4" s="61" t="s">
        <v>614</v>
      </c>
      <c r="L4" s="52">
        <f>QEHModelChiSquare</f>
        <v>108.74222032782559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829.81765932293399</v>
      </c>
      <c r="F5" s="53"/>
      <c r="G5" s="52"/>
      <c r="H5" s="62"/>
      <c r="K5" s="61" t="s">
        <v>615</v>
      </c>
      <c r="L5" s="52">
        <f>LCDMModelChiSquare</f>
        <v>347.86285024319608</v>
      </c>
      <c r="M5" s="55"/>
    </row>
    <row r="6" spans="1:13" ht="20.100000000000001" customHeight="1" x14ac:dyDescent="0.25">
      <c r="A6" s="45"/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2" si="0">RadiusKpc*1000</f>
        <v>90</v>
      </c>
      <c r="C8" s="16">
        <f t="shared" ref="C8:C42" si="1">IF(QESBulgeEffectiveRadius=0,0,RadiusPc/QESBulgeEffectiveRadius)</f>
        <v>5.2347136401322041E-2</v>
      </c>
      <c r="D8" s="15">
        <f t="shared" ref="D8:D42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1.0912495921947028E+39</v>
      </c>
      <c r="F8" s="15">
        <f t="shared" ref="F8:F42" si="3">2*PI()*QESDiskSurfaceDensity*QESDiskScaleLength*(QESDiskScaleLength-EXP(-RadiusPc/QESDiskScaleLength)*(RadiusPc+QESDiskScaleLength))*SolarMass</f>
        <v>4.1613317678516615E+37</v>
      </c>
      <c r="H8" s="18">
        <f t="shared" ref="H8:H42" si="4">BulgeMass+DiskMass+HaloMass</f>
        <v>1.1328629098732194E+39</v>
      </c>
      <c r="I8" s="45">
        <v>135.84</v>
      </c>
      <c r="J8" s="45">
        <v>1</v>
      </c>
      <c r="K8" s="19">
        <f t="shared" ref="K8:K42" si="5">SQRT(TotalMass*GravitationalConstant/RadiusKm+UniverseAcceleration*RadiusKm)/km</f>
        <v>165.30807896053204</v>
      </c>
      <c r="L8" s="16">
        <f t="shared" ref="L8:L42" si="6">(ObservedVelocity-ModelVelocity)^2/(VelocityError)^2</f>
        <v>868.36767762415104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0.11051062129167986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2.9050404695223444E+39</v>
      </c>
      <c r="F9" s="15">
        <f t="shared" si="3"/>
        <v>1.8355622755879811E+38</v>
      </c>
      <c r="H9" s="18">
        <f t="shared" si="4"/>
        <v>3.0885966970811425E+39</v>
      </c>
      <c r="I9" s="45">
        <v>188</v>
      </c>
      <c r="J9" s="45">
        <v>1</v>
      </c>
      <c r="K9" s="19">
        <f t="shared" si="5"/>
        <v>188.07913451203413</v>
      </c>
      <c r="L9" s="16">
        <f t="shared" si="6"/>
        <v>6.2622709948799392E-3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0.17449045467107346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4.9754009380415375E+39</v>
      </c>
      <c r="F10" s="15">
        <f t="shared" si="3"/>
        <v>4.524569137078633E+38</v>
      </c>
      <c r="H10" s="18">
        <f t="shared" si="4"/>
        <v>5.4278578517494005E+39</v>
      </c>
      <c r="I10" s="45">
        <v>211.89</v>
      </c>
      <c r="J10" s="45">
        <v>1</v>
      </c>
      <c r="K10" s="19">
        <f t="shared" si="5"/>
        <v>198.67313047005413</v>
      </c>
      <c r="L10" s="16">
        <f t="shared" si="6"/>
        <v>174.68564017161111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0.24428663653950286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7.1584576599077105E+39</v>
      </c>
      <c r="F11" s="15">
        <f t="shared" si="3"/>
        <v>8.7592362604558936E+38</v>
      </c>
      <c r="H11" s="18">
        <f t="shared" si="4"/>
        <v>8.0343812859533001E+39</v>
      </c>
      <c r="I11" s="45">
        <v>220.42</v>
      </c>
      <c r="J11" s="45">
        <v>1</v>
      </c>
      <c r="K11" s="19">
        <f t="shared" si="5"/>
        <v>204.56824736919393</v>
      </c>
      <c r="L11" s="16">
        <f t="shared" si="6"/>
        <v>251.27806146826688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0.3257155153860038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9.5894303919635276E+39</v>
      </c>
      <c r="F12" s="15">
        <f t="shared" si="3"/>
        <v>1.5349449851511283E+39</v>
      </c>
      <c r="H12" s="18">
        <f t="shared" si="4"/>
        <v>1.1124375377114657E+40</v>
      </c>
      <c r="I12" s="45">
        <v>222.29</v>
      </c>
      <c r="J12" s="45">
        <v>1</v>
      </c>
      <c r="K12" s="19">
        <f t="shared" si="5"/>
        <v>208.79769801756581</v>
      </c>
      <c r="L12" s="16">
        <f t="shared" si="6"/>
        <v>182.04221278519745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0.40714439423250476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1.1861451871180587E+40</v>
      </c>
      <c r="F13" s="15">
        <f t="shared" si="3"/>
        <v>2.3641414762198099E+39</v>
      </c>
      <c r="H13" s="18">
        <f t="shared" si="4"/>
        <v>1.4225593347400397E+40</v>
      </c>
      <c r="I13" s="45">
        <v>221.44</v>
      </c>
      <c r="J13" s="45">
        <v>1</v>
      </c>
      <c r="K13" s="19">
        <f t="shared" si="5"/>
        <v>211.52578691574931</v>
      </c>
      <c r="L13" s="16">
        <f t="shared" si="6"/>
        <v>98.29162107992758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0.50020597005707723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1.4246754843057872E+40</v>
      </c>
      <c r="F14" s="15">
        <f t="shared" si="3"/>
        <v>3.5104089742495563E+39</v>
      </c>
      <c r="H14" s="18">
        <f t="shared" si="4"/>
        <v>1.7757163817307429E+40</v>
      </c>
      <c r="I14" s="45">
        <v>219.57</v>
      </c>
      <c r="J14" s="45">
        <v>1</v>
      </c>
      <c r="K14" s="19">
        <f t="shared" si="5"/>
        <v>213.60575365016882</v>
      </c>
      <c r="L14" s="16">
        <f t="shared" si="6"/>
        <v>35.572234521474449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0.60490024285972133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1.6685905688954898E+40</v>
      </c>
      <c r="F15" s="15">
        <f t="shared" si="3"/>
        <v>5.0401034408761279E+39</v>
      </c>
      <c r="H15" s="18">
        <f t="shared" si="4"/>
        <v>2.1726009129831026E+40</v>
      </c>
      <c r="I15" s="45">
        <v>217.39</v>
      </c>
      <c r="J15" s="45">
        <v>1</v>
      </c>
      <c r="K15" s="19">
        <f t="shared" si="5"/>
        <v>215.30102014457154</v>
      </c>
      <c r="L15" s="16">
        <f t="shared" si="6"/>
        <v>4.3638368363858602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0.7154108641514012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1.9022571821795145E+40</v>
      </c>
      <c r="F16" s="15">
        <f t="shared" si="3"/>
        <v>6.914679121595043E+39</v>
      </c>
      <c r="H16" s="18">
        <f t="shared" si="4"/>
        <v>2.593725094339019E+40</v>
      </c>
      <c r="I16" s="45">
        <v>213.98</v>
      </c>
      <c r="J16" s="45">
        <v>1</v>
      </c>
      <c r="K16" s="19">
        <f t="shared" si="5"/>
        <v>216.78097489702299</v>
      </c>
      <c r="L16" s="16">
        <f t="shared" si="6"/>
        <v>7.8454603737529851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0.84337053091018843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2.1465898075177555E+40</v>
      </c>
      <c r="F17" s="15">
        <f t="shared" si="3"/>
        <v>9.3969230294074524E+39</v>
      </c>
      <c r="H17" s="18">
        <f t="shared" si="4"/>
        <v>3.0862821104585007E+40</v>
      </c>
      <c r="I17" s="45">
        <v>212.6</v>
      </c>
      <c r="J17" s="45">
        <v>1</v>
      </c>
      <c r="K17" s="19">
        <f t="shared" si="5"/>
        <v>218.33171178600975</v>
      </c>
      <c r="L17" s="16">
        <f t="shared" si="6"/>
        <v>32.852519997883121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0.97714654615801144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2.3775661457710981E+40</v>
      </c>
      <c r="F18" s="15">
        <f t="shared" si="3"/>
        <v>1.2323826537764774E+40</v>
      </c>
      <c r="H18" s="18">
        <f t="shared" si="4"/>
        <v>3.6099487995475755E+40</v>
      </c>
      <c r="I18" s="45">
        <v>213.67</v>
      </c>
      <c r="J18" s="45">
        <v>1</v>
      </c>
      <c r="K18" s="19">
        <f t="shared" si="5"/>
        <v>219.92452933097121</v>
      </c>
      <c r="L18" s="16">
        <f t="shared" si="6"/>
        <v>39.119137151979338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1.1283716068729417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2.610787800746315E+40</v>
      </c>
      <c r="F19" s="15">
        <f t="shared" si="3"/>
        <v>1.6007582356549694E+40</v>
      </c>
      <c r="H19" s="18">
        <f t="shared" si="4"/>
        <v>4.2115460364012846E+40</v>
      </c>
      <c r="I19" s="45">
        <v>216.36</v>
      </c>
      <c r="J19" s="45">
        <v>1</v>
      </c>
      <c r="K19" s="19">
        <f t="shared" si="5"/>
        <v>221.67051515056073</v>
      </c>
      <c r="L19" s="16">
        <f t="shared" si="6"/>
        <v>28.201571164334929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1.2970457130549795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2.8430483464178389E+40</v>
      </c>
      <c r="F20" s="15">
        <f t="shared" si="3"/>
        <v>2.0542793163979294E+40</v>
      </c>
      <c r="G20" s="15"/>
      <c r="H20" s="18">
        <f t="shared" si="4"/>
        <v>4.8973276628157681E+40</v>
      </c>
      <c r="I20" s="45">
        <v>219.72</v>
      </c>
      <c r="J20" s="45">
        <v>1</v>
      </c>
      <c r="K20" s="19">
        <f t="shared" si="5"/>
        <v>223.62787976671569</v>
      </c>
      <c r="L20" s="16">
        <f t="shared" si="6"/>
        <v>15.271524271105914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1.4773525162150887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3.0616324319065067E+40</v>
      </c>
      <c r="F21" s="15">
        <f t="shared" si="3"/>
        <v>2.5836111248850319E+40</v>
      </c>
      <c r="G21" s="15"/>
      <c r="H21" s="18">
        <f t="shared" si="4"/>
        <v>5.6452435567915386E+40</v>
      </c>
      <c r="I21" s="45">
        <v>221.74</v>
      </c>
      <c r="J21" s="45">
        <v>1</v>
      </c>
      <c r="K21" s="19">
        <f t="shared" si="5"/>
        <v>225.67635725151942</v>
      </c>
      <c r="L21" s="16">
        <f t="shared" si="6"/>
        <v>15.494908411589449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1.680924713331341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3.2800942567095877E+40</v>
      </c>
      <c r="F22" s="15">
        <f t="shared" si="3"/>
        <v>3.2299452812958122E+40</v>
      </c>
      <c r="G22" s="15"/>
      <c r="H22" s="18">
        <f t="shared" si="4"/>
        <v>6.5100395380053999E+40</v>
      </c>
      <c r="I22" s="45">
        <v>223.38</v>
      </c>
      <c r="J22" s="45">
        <v>1</v>
      </c>
      <c r="K22" s="19">
        <f t="shared" si="5"/>
        <v>227.97824909984286</v>
      </c>
      <c r="L22" s="16">
        <f t="shared" si="6"/>
        <v>21.143894784205674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1.9019459559147007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3.4884640342277211E+40</v>
      </c>
      <c r="F23" s="15">
        <f t="shared" si="3"/>
        <v>3.9821758754057632E+40</v>
      </c>
      <c r="G23" s="15"/>
      <c r="H23" s="18">
        <f t="shared" si="4"/>
        <v>7.4706399096334842E+40</v>
      </c>
      <c r="I23" s="45">
        <v>225.71</v>
      </c>
      <c r="J23" s="45">
        <v>1</v>
      </c>
      <c r="K23" s="19">
        <f t="shared" si="5"/>
        <v>230.4204827182208</v>
      </c>
      <c r="L23" s="16">
        <f t="shared" si="6"/>
        <v>22.188647438656709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2.1462325924542038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3.6888071068452484E+40</v>
      </c>
      <c r="F24" s="15">
        <f t="shared" si="3"/>
        <v>4.8650046317612157E+40</v>
      </c>
      <c r="G24" s="15"/>
      <c r="H24" s="18">
        <f t="shared" si="4"/>
        <v>8.5538117386064641E+40</v>
      </c>
      <c r="I24" s="45">
        <v>229.67</v>
      </c>
      <c r="J24" s="45">
        <v>1</v>
      </c>
      <c r="K24" s="19">
        <f t="shared" si="5"/>
        <v>233.00412158229088</v>
      </c>
      <c r="L24" s="16">
        <f t="shared" si="6"/>
        <v>11.116366725497913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2.4137846229498496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3.8803462926593206E+40</v>
      </c>
      <c r="F25" s="15">
        <f t="shared" si="3"/>
        <v>5.8822629744178774E+40</v>
      </c>
      <c r="G25" s="15"/>
      <c r="H25" s="18">
        <f t="shared" si="4"/>
        <v>9.7626092670771975E+40</v>
      </c>
      <c r="I25" s="45">
        <v>234.95</v>
      </c>
      <c r="J25" s="45">
        <v>1</v>
      </c>
      <c r="K25" s="19">
        <f t="shared" si="5"/>
        <v>235.69270790524521</v>
      </c>
      <c r="L25" s="16">
        <f t="shared" si="6"/>
        <v>0.5516150325137511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2.7046020474016386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4.0604494790556366E+40</v>
      </c>
      <c r="F26" s="15">
        <f t="shared" si="3"/>
        <v>7.0342756790994657E+40</v>
      </c>
      <c r="G26" s="15"/>
      <c r="H26" s="18">
        <f t="shared" si="4"/>
        <v>1.1094725158155102E+41</v>
      </c>
      <c r="I26" s="45">
        <v>239.89</v>
      </c>
      <c r="J26" s="45">
        <v>1</v>
      </c>
      <c r="K26" s="19">
        <f t="shared" si="5"/>
        <v>238.40892855767294</v>
      </c>
      <c r="L26" s="16">
        <f t="shared" si="6"/>
        <v>2.1935726172767271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3.0303175627876424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4.2339037363168189E+40</v>
      </c>
      <c r="F27" s="15">
        <f t="shared" si="3"/>
        <v>8.3657578658998951E+40</v>
      </c>
      <c r="G27" s="15"/>
      <c r="H27" s="18">
        <f t="shared" si="4"/>
        <v>1.2599661602216714E+41</v>
      </c>
      <c r="I27" s="45">
        <v>243.27</v>
      </c>
      <c r="J27" s="45">
        <v>1</v>
      </c>
      <c r="K27" s="19">
        <f t="shared" si="5"/>
        <v>241.18396451851345</v>
      </c>
      <c r="L27" s="16">
        <f t="shared" si="6"/>
        <v>4.3515440300208708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3.3851148206188251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4.3959036967156571E+40</v>
      </c>
      <c r="F28" s="15">
        <f t="shared" si="3"/>
        <v>9.8474182581757779E+40</v>
      </c>
      <c r="G28" s="15"/>
      <c r="H28" s="18">
        <f t="shared" si="4"/>
        <v>1.4243321954891435E+41</v>
      </c>
      <c r="I28" s="45">
        <v>244.95</v>
      </c>
      <c r="J28" s="45">
        <v>1</v>
      </c>
      <c r="K28" s="19">
        <f t="shared" si="5"/>
        <v>243.88963130603383</v>
      </c>
      <c r="L28" s="16">
        <f t="shared" si="6"/>
        <v>1.1243817671434877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3.7748101693842226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4.5474001586936647E+40</v>
      </c>
      <c r="F29" s="15">
        <f t="shared" si="3"/>
        <v>1.149194476626323E+41</v>
      </c>
      <c r="G29" s="15"/>
      <c r="H29" s="18">
        <f t="shared" si="4"/>
        <v>1.6039344924956894E+41</v>
      </c>
      <c r="I29" s="45">
        <v>246.07</v>
      </c>
      <c r="J29" s="45">
        <v>1</v>
      </c>
      <c r="K29" s="19">
        <f t="shared" si="5"/>
        <v>246.48944972309619</v>
      </c>
      <c r="L29" s="16">
        <f t="shared" si="6"/>
        <v>0.17593807020547289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4.2052199575728704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4.6892732375601324E+40</v>
      </c>
      <c r="F30" s="15">
        <f t="shared" si="3"/>
        <v>1.3306536156791217E+41</v>
      </c>
      <c r="G30" s="15"/>
      <c r="H30" s="18">
        <f t="shared" si="4"/>
        <v>1.7995809394351348E+41</v>
      </c>
      <c r="I30" s="45">
        <v>250.72</v>
      </c>
      <c r="J30" s="45">
        <v>1</v>
      </c>
      <c r="K30" s="19">
        <f t="shared" si="5"/>
        <v>248.94084470753316</v>
      </c>
      <c r="L30" s="16">
        <f t="shared" si="6"/>
        <v>3.165393554712765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4.6821605336738052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4.8214451217959188E+40</v>
      </c>
      <c r="F31" s="15">
        <f t="shared" si="3"/>
        <v>1.5290638536561432E+41</v>
      </c>
      <c r="G31" s="15"/>
      <c r="H31" s="18">
        <f t="shared" si="4"/>
        <v>2.0112083658357353E+41</v>
      </c>
      <c r="I31" s="45">
        <v>259.70999999999998</v>
      </c>
      <c r="J31" s="45">
        <v>1</v>
      </c>
      <c r="K31" s="19">
        <f t="shared" si="5"/>
        <v>251.19003354880161</v>
      </c>
      <c r="L31" s="16">
        <f t="shared" si="6"/>
        <v>72.589828329545767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5.1998155491979894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4.9363472191596736E+40</v>
      </c>
      <c r="F32" s="15">
        <f t="shared" si="3"/>
        <v>1.7387661778179887E+41</v>
      </c>
      <c r="G32" s="15"/>
      <c r="H32" s="18">
        <f t="shared" si="4"/>
        <v>2.2324008997339562E+41</v>
      </c>
      <c r="I32" s="45">
        <v>267.58</v>
      </c>
      <c r="J32" s="45">
        <v>1</v>
      </c>
      <c r="K32" s="19">
        <f t="shared" si="5"/>
        <v>253.11994866753895</v>
      </c>
      <c r="L32" s="16">
        <f t="shared" si="6"/>
        <v>209.09308453740815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5.775634049612532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5.0474635101570144E+40</v>
      </c>
      <c r="F33" s="15">
        <f t="shared" si="3"/>
        <v>1.9626847198086074E+41</v>
      </c>
      <c r="G33" s="15"/>
      <c r="H33" s="18">
        <f t="shared" si="4"/>
        <v>2.467431070824309E+41</v>
      </c>
      <c r="I33" s="45">
        <v>270.88</v>
      </c>
      <c r="J33" s="45">
        <v>1</v>
      </c>
      <c r="K33" s="19">
        <f t="shared" si="5"/>
        <v>254.79077598200826</v>
      </c>
      <c r="L33" s="16">
        <f t="shared" si="6"/>
        <v>258.86312950112227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6.4037996864283961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5.147827026959171E+40</v>
      </c>
      <c r="F34" s="15">
        <f t="shared" si="3"/>
        <v>2.1935506983133561E+41</v>
      </c>
      <c r="G34" s="15"/>
      <c r="H34" s="18">
        <f t="shared" si="4"/>
        <v>2.708333401009273E+41</v>
      </c>
      <c r="I34" s="45">
        <v>269.94</v>
      </c>
      <c r="J34" s="45">
        <v>1</v>
      </c>
      <c r="K34" s="19">
        <f t="shared" si="5"/>
        <v>256.1135624346411</v>
      </c>
      <c r="L34" s="16">
        <f t="shared" si="6"/>
        <v>191.17037574876778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7.095945156623654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5.2423027103684697E+40</v>
      </c>
      <c r="F35" s="15">
        <f t="shared" si="3"/>
        <v>2.429994562611692E+41</v>
      </c>
      <c r="G35" s="15"/>
      <c r="H35" s="18">
        <f t="shared" si="4"/>
        <v>2.954224833648539E+41</v>
      </c>
      <c r="I35" s="45">
        <v>267.74</v>
      </c>
      <c r="J35" s="45">
        <v>1</v>
      </c>
      <c r="K35" s="19">
        <f t="shared" si="5"/>
        <v>257.10474295794023</v>
      </c>
      <c r="L35" s="16">
        <f t="shared" si="6"/>
        <v>113.10869235068208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7.8578868086873417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5.3234409909284801E+40</v>
      </c>
      <c r="F36" s="15">
        <f t="shared" si="3"/>
        <v>2.6675098245016042E+41</v>
      </c>
      <c r="G36" s="15"/>
      <c r="H36" s="18">
        <f t="shared" si="4"/>
        <v>3.1998539235944524E+41</v>
      </c>
      <c r="I36" s="45">
        <v>266.63</v>
      </c>
      <c r="J36" s="45">
        <v>1</v>
      </c>
      <c r="K36" s="19">
        <f t="shared" si="5"/>
        <v>257.74174583663887</v>
      </c>
      <c r="L36" s="16">
        <f t="shared" si="6"/>
        <v>79.001062072506386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8.6954409911084944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5.3955629322943169E+40</v>
      </c>
      <c r="F37" s="15">
        <f t="shared" si="3"/>
        <v>2.9010293265528523E+41</v>
      </c>
      <c r="G37" s="15"/>
      <c r="H37" s="18">
        <f t="shared" si="4"/>
        <v>3.4405856197822839E+41</v>
      </c>
      <c r="I37" s="45">
        <v>268.39</v>
      </c>
      <c r="J37" s="45">
        <v>1</v>
      </c>
      <c r="K37" s="19">
        <f t="shared" si="5"/>
        <v>258.06887020875888</v>
      </c>
      <c r="L37" s="16">
        <f t="shared" si="6"/>
        <v>106.52572016764466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s="17" customFormat="1" x14ac:dyDescent="0.25">
      <c r="A38" s="45">
        <v>16.54</v>
      </c>
      <c r="B38" s="45">
        <f t="shared" si="0"/>
        <v>16540</v>
      </c>
      <c r="C38" s="16">
        <f t="shared" si="1"/>
        <v>9.6202404008651836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5.4604164095713455E+40</v>
      </c>
      <c r="F38" s="15">
        <f t="shared" si="3"/>
        <v>3.1266060255737362E+41</v>
      </c>
      <c r="G38" s="15"/>
      <c r="H38" s="18">
        <f t="shared" si="4"/>
        <v>3.6726476665308704E+41</v>
      </c>
      <c r="I38" s="45">
        <v>269.64</v>
      </c>
      <c r="J38" s="45">
        <v>1</v>
      </c>
      <c r="K38" s="19">
        <f t="shared" si="5"/>
        <v>258.14372258546666</v>
      </c>
      <c r="L38" s="16">
        <f t="shared" si="6"/>
        <v>132.16439439190901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s="17" customFormat="1" x14ac:dyDescent="0.25">
      <c r="A39" s="45">
        <v>18.29</v>
      </c>
      <c r="B39" s="45">
        <f t="shared" si="0"/>
        <v>18290</v>
      </c>
      <c r="C39" s="16">
        <f t="shared" si="1"/>
        <v>10.638101386446445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5.51750183207863E+40</v>
      </c>
      <c r="F39" s="15">
        <f t="shared" si="3"/>
        <v>3.3385882541925131E+41</v>
      </c>
      <c r="G39" s="15"/>
      <c r="H39" s="18">
        <f t="shared" si="4"/>
        <v>3.8903384374003762E+41</v>
      </c>
      <c r="I39" s="45">
        <v>269.02999999999997</v>
      </c>
      <c r="J39" s="45">
        <v>1</v>
      </c>
      <c r="K39" s="19">
        <f t="shared" si="5"/>
        <v>258.04346569965656</v>
      </c>
      <c r="L39" s="16">
        <f t="shared" si="6"/>
        <v>120.70393593262222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s="17" customFormat="1" x14ac:dyDescent="0.25">
      <c r="A40" s="45">
        <v>20.2</v>
      </c>
      <c r="B40" s="45">
        <f t="shared" si="0"/>
        <v>20200</v>
      </c>
      <c r="C40" s="16">
        <f t="shared" si="1"/>
        <v>11.74902394785228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5.5669965645237653E+40</v>
      </c>
      <c r="F40" s="15">
        <f t="shared" si="3"/>
        <v>3.531127532299313E+41</v>
      </c>
      <c r="G40" s="15"/>
      <c r="H40" s="18">
        <f t="shared" si="4"/>
        <v>4.0878271887516892E+41</v>
      </c>
      <c r="I40" s="45">
        <v>267.83</v>
      </c>
      <c r="J40" s="45">
        <v>1</v>
      </c>
      <c r="K40" s="19">
        <f t="shared" si="5"/>
        <v>257.87625077397013</v>
      </c>
      <c r="L40" s="16">
        <f t="shared" si="6"/>
        <v>99.07712365468997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spans="1:29" x14ac:dyDescent="0.25">
      <c r="A41" s="45">
        <v>22.32</v>
      </c>
      <c r="B41" s="45">
        <f t="shared" si="0"/>
        <v>22320</v>
      </c>
      <c r="C41" s="16">
        <f t="shared" si="1"/>
        <v>12.982089827527865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5.610502638470215E+40</v>
      </c>
      <c r="F41" s="15">
        <f t="shared" si="3"/>
        <v>3.7039083380839987E+41</v>
      </c>
      <c r="H41" s="18">
        <f t="shared" si="4"/>
        <v>4.2649586019310205E+41</v>
      </c>
      <c r="I41" s="45">
        <v>256.95999999999998</v>
      </c>
      <c r="J41" s="45">
        <v>1</v>
      </c>
      <c r="K41" s="19">
        <f t="shared" si="5"/>
        <v>257.76873414904173</v>
      </c>
      <c r="L41" s="16">
        <f t="shared" si="6"/>
        <v>0.65405092382629049</v>
      </c>
    </row>
    <row r="42" spans="1:29" x14ac:dyDescent="0.25">
      <c r="A42" s="45">
        <v>24.64</v>
      </c>
      <c r="B42" s="45">
        <f t="shared" si="0"/>
        <v>24640</v>
      </c>
      <c r="C42" s="16">
        <f t="shared" si="1"/>
        <v>14.331482676984168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5.6466377733410902E+40</v>
      </c>
      <c r="F42" s="15">
        <f t="shared" si="3"/>
        <v>3.851966966693564E+41</v>
      </c>
      <c r="H42" s="18">
        <f t="shared" si="4"/>
        <v>4.4166307440276734E+41</v>
      </c>
      <c r="I42" s="45">
        <v>244.88</v>
      </c>
      <c r="J42" s="45">
        <v>1</v>
      </c>
      <c r="K42" s="19">
        <f t="shared" si="5"/>
        <v>257.86666278929965</v>
      </c>
      <c r="L42" s="16">
        <f t="shared" si="6"/>
        <v>168.65341040298037</v>
      </c>
    </row>
    <row r="43" spans="1:29" x14ac:dyDescent="0.25">
      <c r="A43" s="45"/>
      <c r="I43" s="45"/>
      <c r="J43" s="45"/>
      <c r="L43" s="16">
        <f>SUM(L8:L42)/(COUNT(L8:L42)-4)</f>
        <v>108.74222032782559</v>
      </c>
    </row>
    <row r="44" spans="1:29" x14ac:dyDescent="0.25">
      <c r="A44" s="45"/>
      <c r="I44" s="45"/>
      <c r="J44" s="45"/>
      <c r="L44" s="16"/>
    </row>
    <row r="45" spans="1:29" ht="21" x14ac:dyDescent="0.35">
      <c r="A45" s="46" t="s">
        <v>564</v>
      </c>
      <c r="I45" s="45"/>
      <c r="J45" s="45"/>
      <c r="L45" s="16"/>
    </row>
    <row r="46" spans="1:29" x14ac:dyDescent="0.25">
      <c r="A46" s="45" t="s">
        <v>30</v>
      </c>
      <c r="D46" s="16">
        <v>1.32</v>
      </c>
      <c r="E46" s="17">
        <f>$D$46*1000</f>
        <v>1320</v>
      </c>
      <c r="F46" s="17"/>
      <c r="G46" s="17"/>
      <c r="H46" s="15"/>
      <c r="K46" s="15"/>
      <c r="L46" s="17"/>
      <c r="M46" s="45"/>
    </row>
    <row r="47" spans="1:29" x14ac:dyDescent="0.25">
      <c r="A47" s="45" t="s">
        <v>16</v>
      </c>
      <c r="D47" s="16">
        <v>2.76</v>
      </c>
      <c r="E47" s="15">
        <f>D47*10000000000*SolarMass</f>
        <v>5.4899159999999987E+40</v>
      </c>
      <c r="F47" s="43"/>
      <c r="G47" s="43"/>
      <c r="H47" s="15"/>
      <c r="K47" s="15"/>
      <c r="L47" s="17"/>
      <c r="M47" s="45"/>
    </row>
    <row r="48" spans="1:29" x14ac:dyDescent="0.25">
      <c r="A48" s="45" t="s">
        <v>569</v>
      </c>
      <c r="D48" s="16">
        <v>7.6</v>
      </c>
      <c r="E48" s="15">
        <f>D48*1000</f>
        <v>7600</v>
      </c>
      <c r="H48" s="15"/>
      <c r="K48" s="15"/>
      <c r="L48" s="17"/>
      <c r="M48" s="45"/>
    </row>
    <row r="49" spans="1:29" x14ac:dyDescent="0.25">
      <c r="A49" s="45" t="s">
        <v>17</v>
      </c>
      <c r="D49" s="45">
        <v>16.8</v>
      </c>
      <c r="G49" s="16"/>
      <c r="H49" s="15"/>
      <c r="K49" s="15"/>
      <c r="L49" s="17"/>
      <c r="M49" s="45"/>
    </row>
    <row r="50" spans="1:29" x14ac:dyDescent="0.25">
      <c r="A50" s="45" t="s">
        <v>570</v>
      </c>
      <c r="D50" s="16">
        <v>7.1</v>
      </c>
      <c r="E50" s="17">
        <f>D50*1000</f>
        <v>7100</v>
      </c>
      <c r="H50" s="15"/>
      <c r="K50" s="15"/>
      <c r="L50" s="17"/>
      <c r="M50" s="45"/>
    </row>
    <row r="51" spans="1:29" x14ac:dyDescent="0.25">
      <c r="A51" s="45" t="s">
        <v>571</v>
      </c>
      <c r="D51" s="16">
        <v>4.2</v>
      </c>
      <c r="G51" s="9"/>
      <c r="H51" s="15"/>
      <c r="K51" s="15"/>
      <c r="L51" s="17"/>
      <c r="M51" s="45"/>
    </row>
    <row r="52" spans="1:29" x14ac:dyDescent="0.25">
      <c r="A52" s="45"/>
      <c r="D52" s="12"/>
      <c r="H52" s="15"/>
      <c r="K52" s="15"/>
      <c r="L52" s="17"/>
      <c r="M52" s="45"/>
    </row>
    <row r="53" spans="1:29" x14ac:dyDescent="0.25">
      <c r="A53" s="17" t="s">
        <v>567</v>
      </c>
      <c r="D53" s="17">
        <f>(D49*10000000000)/(2*PI()*DiskScaleLengthPc^2)</f>
        <v>462.91603946396151</v>
      </c>
      <c r="H53" s="15"/>
      <c r="K53" s="15"/>
      <c r="L53" s="17"/>
      <c r="M53" s="45"/>
    </row>
    <row r="54" spans="1:29" x14ac:dyDescent="0.25">
      <c r="A54" s="17" t="s">
        <v>565</v>
      </c>
      <c r="D54" s="9">
        <f>(D51*10000000000)/(4*PI()*(LCDMHaloScaleLengthPc)^3*(LN(2)-1/2))</f>
        <v>4.8347720998340817E-2</v>
      </c>
      <c r="H54" s="15"/>
      <c r="K54" s="15"/>
      <c r="L54" s="17"/>
      <c r="M54" s="45"/>
    </row>
    <row r="55" spans="1:29" x14ac:dyDescent="0.25">
      <c r="A55" s="19"/>
      <c r="H55" s="15"/>
      <c r="K55" s="15"/>
      <c r="L55" s="17"/>
      <c r="M55" s="45"/>
    </row>
    <row r="56" spans="1:29" ht="45" x14ac:dyDescent="0.25">
      <c r="A56" s="25" t="s">
        <v>20</v>
      </c>
      <c r="B56" s="3" t="s">
        <v>19</v>
      </c>
      <c r="C56" s="7" t="s">
        <v>27</v>
      </c>
      <c r="D56" s="4" t="s">
        <v>649</v>
      </c>
      <c r="E56" s="4" t="s">
        <v>21</v>
      </c>
      <c r="F56" s="4" t="s">
        <v>22</v>
      </c>
      <c r="G56" s="4" t="s">
        <v>28</v>
      </c>
      <c r="H56" s="4" t="s">
        <v>23</v>
      </c>
      <c r="I56" s="7" t="s">
        <v>645</v>
      </c>
      <c r="J56" s="7" t="s">
        <v>646</v>
      </c>
      <c r="K56" s="25" t="s">
        <v>647</v>
      </c>
      <c r="L56" s="3" t="s">
        <v>648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x14ac:dyDescent="0.25">
      <c r="A57" s="45">
        <v>0.09</v>
      </c>
      <c r="B57" s="45">
        <f>A57*1000</f>
        <v>90</v>
      </c>
      <c r="C57" s="16">
        <f>B57/LCDMBulgeEffectiveRadius</f>
        <v>6.8181818181818177E-2</v>
      </c>
      <c r="D57" s="15">
        <f>A57*kpc</f>
        <v>2.777109822E+18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1.4748809058981813E+39</v>
      </c>
      <c r="F57" s="15">
        <f t="shared" ref="F57:F91" si="7">2*PI()*LCDMDiskSurfaceDensity*LCDMScaleLength*(LCDMScaleLength-EXP(-RadiusPc/LCDMScaleLength)*(RadiusPc+LCDMScaleLength))*SolarMass</f>
        <v>2.3246993264237078E+37</v>
      </c>
      <c r="G57" s="15">
        <f t="shared" ref="G57:G91" si="8">4*PI()*LCDMHaloRepresentativeDensity*LCDMHaloScaleLengthPc^3*(LN(1+RadiusPc/LCDMHaloScaleLengthPc)-RadiusPc/(RadiusPc+LCDMHaloScaleLengthPc))*SolarMass</f>
        <v>3.4171022602492875E+37</v>
      </c>
      <c r="H57" s="15">
        <f t="shared" ref="H57:H91" si="9">BulgeMass+DiskMass+HaloMass</f>
        <v>1.5322989217649114E+39</v>
      </c>
      <c r="I57" s="45">
        <v>135.84</v>
      </c>
      <c r="J57" s="45">
        <v>1</v>
      </c>
      <c r="K57" s="19">
        <f t="shared" ref="K57:K91" si="10">SQRT(TotalMass*GravitationalConstant/RadiusKm)/km</f>
        <v>191.89821048477035</v>
      </c>
      <c r="L57" s="16">
        <f t="shared" ref="L57:L91" si="11">(ObservedVelocity-ModelVelocity)^2/(VelocityError)^2</f>
        <v>3142.5229627548156</v>
      </c>
      <c r="M57" s="45"/>
    </row>
    <row r="58" spans="1:29" x14ac:dyDescent="0.25">
      <c r="A58" s="45">
        <v>0.19</v>
      </c>
      <c r="B58" s="45">
        <f t="shared" ref="B58:B91" si="12">A58*1000</f>
        <v>190</v>
      </c>
      <c r="C58" s="16">
        <f t="shared" ref="C58:C91" si="13">B58/LCDMBulgeEffectiveRadius</f>
        <v>0.14393939393939395</v>
      </c>
      <c r="D58" s="15">
        <f t="shared" ref="D58:D91" si="14">A58*kpc</f>
        <v>5.862787402E+18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3.7633307635563628E+39</v>
      </c>
      <c r="F58" s="15">
        <f t="shared" si="7"/>
        <v>1.0270349612117027E+38</v>
      </c>
      <c r="G58" s="15">
        <f t="shared" si="8"/>
        <v>1.4950956137190677E+38</v>
      </c>
      <c r="H58" s="15">
        <f t="shared" si="9"/>
        <v>4.0155438210494398E+39</v>
      </c>
      <c r="I58" s="45">
        <v>188</v>
      </c>
      <c r="J58" s="45">
        <v>1</v>
      </c>
      <c r="K58" s="19">
        <f t="shared" si="10"/>
        <v>213.80399500379599</v>
      </c>
      <c r="L58" s="16">
        <f t="shared" si="11"/>
        <v>665.84615815592838</v>
      </c>
      <c r="M58" s="45"/>
    </row>
    <row r="59" spans="1:29" x14ac:dyDescent="0.25">
      <c r="A59" s="45">
        <v>0.3</v>
      </c>
      <c r="B59" s="45">
        <f t="shared" si="12"/>
        <v>300</v>
      </c>
      <c r="C59" s="16">
        <f t="shared" si="13"/>
        <v>0.22727272727272727</v>
      </c>
      <c r="D59" s="15">
        <f t="shared" si="14"/>
        <v>9.25703274E+18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6.2649224508872707E+39</v>
      </c>
      <c r="F59" s="15">
        <f t="shared" si="7"/>
        <v>2.5359533278225281E+38</v>
      </c>
      <c r="G59" s="15">
        <f t="shared" si="8"/>
        <v>3.6534864019181403E+38</v>
      </c>
      <c r="H59" s="15">
        <f t="shared" si="9"/>
        <v>6.8838664238613373E+39</v>
      </c>
      <c r="I59" s="45">
        <v>211.89</v>
      </c>
      <c r="J59" s="45">
        <v>1</v>
      </c>
      <c r="K59" s="19">
        <f t="shared" si="10"/>
        <v>222.77990862212991</v>
      </c>
      <c r="L59" s="16">
        <f t="shared" si="11"/>
        <v>118.59010979833964</v>
      </c>
      <c r="M59" s="45"/>
    </row>
    <row r="60" spans="1:29" x14ac:dyDescent="0.25">
      <c r="A60" s="45">
        <v>0.42</v>
      </c>
      <c r="B60" s="45">
        <f t="shared" si="12"/>
        <v>420</v>
      </c>
      <c r="C60" s="16">
        <f t="shared" si="13"/>
        <v>0.31818181818181818</v>
      </c>
      <c r="D60" s="15">
        <f t="shared" si="14"/>
        <v>1.2959845836E+19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8.8519904667272718E+39</v>
      </c>
      <c r="F60" s="15">
        <f t="shared" si="7"/>
        <v>4.9186272293205831E+38</v>
      </c>
      <c r="G60" s="15">
        <f t="shared" si="8"/>
        <v>7.0082616748990287E+38</v>
      </c>
      <c r="H60" s="15">
        <f t="shared" si="9"/>
        <v>1.0044679357149233E+40</v>
      </c>
      <c r="I60" s="45">
        <v>220.42</v>
      </c>
      <c r="J60" s="45">
        <v>1</v>
      </c>
      <c r="K60" s="19">
        <f t="shared" si="10"/>
        <v>227.43841770482899</v>
      </c>
      <c r="L60" s="16">
        <f t="shared" si="11"/>
        <v>49.258187079457244</v>
      </c>
      <c r="M60" s="45"/>
    </row>
    <row r="61" spans="1:29" x14ac:dyDescent="0.25">
      <c r="A61" s="45">
        <v>0.56000000000000005</v>
      </c>
      <c r="B61" s="45">
        <f t="shared" si="12"/>
        <v>560</v>
      </c>
      <c r="C61" s="16">
        <f t="shared" si="13"/>
        <v>0.42424242424242425</v>
      </c>
      <c r="D61" s="15">
        <f t="shared" si="14"/>
        <v>1.7279794448000002E+19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1.1610407078981814E+40</v>
      </c>
      <c r="F61" s="15">
        <f t="shared" si="7"/>
        <v>8.6380700332837914E+38</v>
      </c>
      <c r="G61" s="15">
        <f t="shared" si="8"/>
        <v>1.215477858607876E+39</v>
      </c>
      <c r="H61" s="15">
        <f t="shared" si="9"/>
        <v>1.3689691940918071E+40</v>
      </c>
      <c r="I61" s="45">
        <v>222.29</v>
      </c>
      <c r="J61" s="45">
        <v>1</v>
      </c>
      <c r="K61" s="19">
        <f t="shared" si="10"/>
        <v>229.9446214977944</v>
      </c>
      <c r="L61" s="16">
        <f t="shared" si="11"/>
        <v>58.593230274496321</v>
      </c>
      <c r="M61" s="45"/>
    </row>
    <row r="62" spans="1:29" x14ac:dyDescent="0.25">
      <c r="A62" s="45">
        <v>0.7</v>
      </c>
      <c r="B62" s="45">
        <f t="shared" si="12"/>
        <v>700</v>
      </c>
      <c r="C62" s="16">
        <f t="shared" si="13"/>
        <v>0.53030303030303028</v>
      </c>
      <c r="D62" s="15">
        <f t="shared" si="14"/>
        <v>2.1599743059999998E+19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1.4112810608436358E+40</v>
      </c>
      <c r="F62" s="15">
        <f t="shared" si="7"/>
        <v>1.333338291626944E+39</v>
      </c>
      <c r="G62" s="15">
        <f t="shared" si="8"/>
        <v>1.8535522661600597E+39</v>
      </c>
      <c r="H62" s="15">
        <f t="shared" si="9"/>
        <v>1.729970116622336E+40</v>
      </c>
      <c r="I62" s="45">
        <v>221.44</v>
      </c>
      <c r="J62" s="45">
        <v>1</v>
      </c>
      <c r="K62" s="19">
        <f t="shared" si="10"/>
        <v>231.20153447121743</v>
      </c>
      <c r="L62" s="16">
        <f t="shared" si="11"/>
        <v>95.287555232766167</v>
      </c>
      <c r="M62" s="45"/>
    </row>
    <row r="63" spans="1:29" x14ac:dyDescent="0.25">
      <c r="A63" s="45">
        <v>0.86</v>
      </c>
      <c r="B63" s="45">
        <f t="shared" si="12"/>
        <v>860</v>
      </c>
      <c r="C63" s="16">
        <f t="shared" si="13"/>
        <v>0.65151515151515149</v>
      </c>
      <c r="D63" s="15">
        <f t="shared" si="14"/>
        <v>2.6536827187999998E+19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1.6691939873018183E+40</v>
      </c>
      <c r="F63" s="15">
        <f t="shared" si="7"/>
        <v>1.9847156722138823E+39</v>
      </c>
      <c r="G63" s="15">
        <f t="shared" si="8"/>
        <v>2.7223583695816489E+39</v>
      </c>
      <c r="H63" s="15">
        <f t="shared" si="9"/>
        <v>2.1399013914813716E+40</v>
      </c>
      <c r="I63" s="45">
        <v>219.57</v>
      </c>
      <c r="J63" s="45">
        <v>1</v>
      </c>
      <c r="K63" s="19">
        <f t="shared" si="10"/>
        <v>231.98937052335202</v>
      </c>
      <c r="L63" s="16">
        <f t="shared" si="11"/>
        <v>154.24076419630526</v>
      </c>
      <c r="M63" s="45"/>
    </row>
    <row r="64" spans="1:29" x14ac:dyDescent="0.25">
      <c r="A64" s="45">
        <v>1.04</v>
      </c>
      <c r="B64" s="45">
        <f t="shared" si="12"/>
        <v>1040</v>
      </c>
      <c r="C64" s="16">
        <f t="shared" si="13"/>
        <v>0.78787878787878785</v>
      </c>
      <c r="D64" s="15">
        <f t="shared" si="14"/>
        <v>3.2091046832E+19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1.9298718350909086E+40</v>
      </c>
      <c r="F64" s="15">
        <f t="shared" si="7"/>
        <v>2.8574774677451826E+39</v>
      </c>
      <c r="G64" s="15">
        <f t="shared" si="8"/>
        <v>3.8630529956992745E+39</v>
      </c>
      <c r="H64" s="15">
        <f t="shared" si="9"/>
        <v>2.6019248814353545E+40</v>
      </c>
      <c r="I64" s="45">
        <v>217.39</v>
      </c>
      <c r="J64" s="45">
        <v>1</v>
      </c>
      <c r="K64" s="19">
        <f t="shared" si="10"/>
        <v>232.62218943027474</v>
      </c>
      <c r="L64" s="16">
        <f t="shared" si="11"/>
        <v>232.01959483977404</v>
      </c>
      <c r="M64" s="45"/>
    </row>
    <row r="65" spans="1:13" x14ac:dyDescent="0.25">
      <c r="A65" s="45">
        <v>1.23</v>
      </c>
      <c r="B65" s="45">
        <f t="shared" si="12"/>
        <v>1230</v>
      </c>
      <c r="C65" s="16">
        <f t="shared" si="13"/>
        <v>0.93181818181818177</v>
      </c>
      <c r="D65" s="15">
        <f t="shared" si="14"/>
        <v>3.7953834233999999E+19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2.1729386977963637E+40</v>
      </c>
      <c r="F65" s="15">
        <f t="shared" si="7"/>
        <v>3.9316883524631239E+39</v>
      </c>
      <c r="G65" s="15">
        <f t="shared" si="8"/>
        <v>5.237784640706139E+39</v>
      </c>
      <c r="H65" s="15">
        <f t="shared" si="9"/>
        <v>3.0898859971132901E+40</v>
      </c>
      <c r="I65" s="45">
        <v>213.98</v>
      </c>
      <c r="J65" s="45">
        <v>1</v>
      </c>
      <c r="K65" s="19">
        <f t="shared" si="10"/>
        <v>233.09829878151626</v>
      </c>
      <c r="L65" s="16">
        <f t="shared" si="11"/>
        <v>365.50934829932663</v>
      </c>
      <c r="M65" s="45"/>
    </row>
    <row r="66" spans="1:13" x14ac:dyDescent="0.25">
      <c r="A66" s="45">
        <v>1.45</v>
      </c>
      <c r="B66" s="45">
        <f t="shared" si="12"/>
        <v>1450</v>
      </c>
      <c r="C66" s="16">
        <f t="shared" si="13"/>
        <v>1.0984848484848484</v>
      </c>
      <c r="D66" s="15">
        <f t="shared" si="14"/>
        <v>4.4742324909999997E+19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2.4238403360781807E+40</v>
      </c>
      <c r="F66" s="15">
        <f t="shared" si="7"/>
        <v>5.3610309937207172E+39</v>
      </c>
      <c r="G66" s="15">
        <f t="shared" si="8"/>
        <v>7.0268409613297253E+39</v>
      </c>
      <c r="H66" s="15">
        <f t="shared" si="9"/>
        <v>3.6626275315832248E+40</v>
      </c>
      <c r="I66" s="45">
        <v>212.6</v>
      </c>
      <c r="J66" s="45">
        <v>1</v>
      </c>
      <c r="K66" s="19">
        <f t="shared" si="10"/>
        <v>233.73987542349511</v>
      </c>
      <c r="L66" s="16">
        <f t="shared" si="11"/>
        <v>446.89433292089268</v>
      </c>
      <c r="M66" s="45"/>
    </row>
    <row r="67" spans="1:13" x14ac:dyDescent="0.25">
      <c r="A67" s="45">
        <v>1.68</v>
      </c>
      <c r="B67" s="45">
        <f t="shared" si="12"/>
        <v>1680</v>
      </c>
      <c r="C67" s="16">
        <f t="shared" si="13"/>
        <v>1.2727272727272727</v>
      </c>
      <c r="D67" s="15">
        <f t="shared" si="14"/>
        <v>5.1839383344E+19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2.6530617969927267E+40</v>
      </c>
      <c r="F67" s="15">
        <f t="shared" si="7"/>
        <v>7.055392578340547E+39</v>
      </c>
      <c r="G67" s="15">
        <f t="shared" si="8"/>
        <v>9.0994463290560277E+39</v>
      </c>
      <c r="H67" s="15">
        <f t="shared" si="9"/>
        <v>4.2685456877323843E+40</v>
      </c>
      <c r="I67" s="45">
        <v>213.67</v>
      </c>
      <c r="J67" s="45">
        <v>1</v>
      </c>
      <c r="K67" s="19">
        <f t="shared" si="10"/>
        <v>234.42598947506897</v>
      </c>
      <c r="L67" s="16">
        <f t="shared" si="11"/>
        <v>430.81109908917455</v>
      </c>
      <c r="M67" s="45"/>
    </row>
    <row r="68" spans="1:13" x14ac:dyDescent="0.25">
      <c r="A68" s="45">
        <v>1.94</v>
      </c>
      <c r="B68" s="45">
        <f t="shared" si="12"/>
        <v>1940</v>
      </c>
      <c r="C68" s="16">
        <f t="shared" si="13"/>
        <v>1.4696969696969697</v>
      </c>
      <c r="D68" s="15">
        <f t="shared" si="14"/>
        <v>5.9862145052000002E+19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2.8816203089599999E+40</v>
      </c>
      <c r="F68" s="15">
        <f t="shared" si="7"/>
        <v>9.2002739213286855E+39</v>
      </c>
      <c r="G68" s="15">
        <f t="shared" si="8"/>
        <v>1.166217711921076E+40</v>
      </c>
      <c r="H68" s="15">
        <f t="shared" si="9"/>
        <v>4.9678654130139445E+40</v>
      </c>
      <c r="I68" s="45">
        <v>216.36</v>
      </c>
      <c r="J68" s="45">
        <v>1</v>
      </c>
      <c r="K68" s="19">
        <f t="shared" si="10"/>
        <v>235.34472981595553</v>
      </c>
      <c r="L68" s="16">
        <f t="shared" si="11"/>
        <v>360.41996618483046</v>
      </c>
      <c r="M68" s="45"/>
    </row>
    <row r="69" spans="1:13" x14ac:dyDescent="0.25">
      <c r="A69" s="45">
        <v>2.23</v>
      </c>
      <c r="B69" s="45">
        <f t="shared" si="12"/>
        <v>2230</v>
      </c>
      <c r="C69" s="16">
        <f t="shared" si="13"/>
        <v>1.6893939393939394</v>
      </c>
      <c r="D69" s="15">
        <f t="shared" si="14"/>
        <v>6.8810610034000003E+19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3.1044443541236365E+40</v>
      </c>
      <c r="F69" s="15">
        <f t="shared" si="7"/>
        <v>1.1858131710859605E+40</v>
      </c>
      <c r="G69" s="15">
        <f t="shared" si="8"/>
        <v>1.4760691525743994E+40</v>
      </c>
      <c r="H69" s="15">
        <f t="shared" si="9"/>
        <v>5.7663266777839964E+40</v>
      </c>
      <c r="I69" s="45">
        <v>219.72</v>
      </c>
      <c r="J69" s="45">
        <v>1</v>
      </c>
      <c r="K69" s="19">
        <f t="shared" si="10"/>
        <v>236.49263562364328</v>
      </c>
      <c r="L69" s="16">
        <f t="shared" si="11"/>
        <v>281.32130576350767</v>
      </c>
      <c r="M69" s="45"/>
    </row>
    <row r="70" spans="1:13" x14ac:dyDescent="0.25">
      <c r="A70" s="45">
        <v>2.54</v>
      </c>
      <c r="B70" s="45">
        <f t="shared" si="12"/>
        <v>2540</v>
      </c>
      <c r="C70" s="16">
        <f t="shared" si="13"/>
        <v>1.9242424242424243</v>
      </c>
      <c r="D70" s="15">
        <f t="shared" si="14"/>
        <v>7.8376210532000006E+19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3.3109733304327265E+40</v>
      </c>
      <c r="F70" s="15">
        <f t="shared" si="7"/>
        <v>1.4982329480411E+40</v>
      </c>
      <c r="G70" s="15">
        <f t="shared" si="8"/>
        <v>1.8313741526720784E+40</v>
      </c>
      <c r="H70" s="15">
        <f t="shared" si="9"/>
        <v>6.6405804311459051E+40</v>
      </c>
      <c r="I70" s="45">
        <v>221.74</v>
      </c>
      <c r="J70" s="45">
        <v>1</v>
      </c>
      <c r="K70" s="19">
        <f t="shared" si="10"/>
        <v>237.79712184169961</v>
      </c>
      <c r="L70" s="16">
        <f t="shared" si="11"/>
        <v>257.83116183918628</v>
      </c>
      <c r="M70" s="45"/>
    </row>
    <row r="71" spans="1:13" x14ac:dyDescent="0.25">
      <c r="A71" s="45">
        <v>2.89</v>
      </c>
      <c r="B71" s="45">
        <f t="shared" si="12"/>
        <v>2890</v>
      </c>
      <c r="C71" s="16">
        <f t="shared" si="13"/>
        <v>2.1893939393939394</v>
      </c>
      <c r="D71" s="15">
        <f t="shared" si="14"/>
        <v>8.9176082061999997E+19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3.5132401355927256E+40</v>
      </c>
      <c r="F71" s="15">
        <f t="shared" si="7"/>
        <v>1.8826955273268086E+40</v>
      </c>
      <c r="G71" s="15">
        <f t="shared" si="8"/>
        <v>2.2578358186843546E+40</v>
      </c>
      <c r="H71" s="15">
        <f t="shared" si="9"/>
        <v>7.6537714816038891E+40</v>
      </c>
      <c r="I71" s="45">
        <v>223.38</v>
      </c>
      <c r="J71" s="45">
        <v>1</v>
      </c>
      <c r="K71" s="19">
        <f t="shared" si="10"/>
        <v>239.33667641887106</v>
      </c>
      <c r="L71" s="16">
        <f t="shared" si="11"/>
        <v>254.61552233655604</v>
      </c>
      <c r="M71" s="45"/>
    </row>
    <row r="72" spans="1:13" x14ac:dyDescent="0.25">
      <c r="A72" s="45">
        <v>3.27</v>
      </c>
      <c r="B72" s="45">
        <f t="shared" si="12"/>
        <v>3270</v>
      </c>
      <c r="C72" s="16">
        <f t="shared" si="13"/>
        <v>2.4772727272727271</v>
      </c>
      <c r="D72" s="15">
        <f t="shared" si="14"/>
        <v>1.0090165686599999E+20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3.7020025791981809E+40</v>
      </c>
      <c r="F72" s="15">
        <f t="shared" si="7"/>
        <v>2.334022622574093E+40</v>
      </c>
      <c r="G72" s="15">
        <f t="shared" si="8"/>
        <v>2.7461216259569657E+40</v>
      </c>
      <c r="H72" s="15">
        <f t="shared" si="9"/>
        <v>8.782146827729241E+40</v>
      </c>
      <c r="I72" s="45">
        <v>225.71</v>
      </c>
      <c r="J72" s="45">
        <v>1</v>
      </c>
      <c r="K72" s="19">
        <f t="shared" si="10"/>
        <v>241.01657029943618</v>
      </c>
      <c r="L72" s="16">
        <f t="shared" si="11"/>
        <v>234.2910943315816</v>
      </c>
      <c r="M72" s="45"/>
    </row>
    <row r="73" spans="1:13" x14ac:dyDescent="0.25">
      <c r="A73" s="45">
        <v>3.69</v>
      </c>
      <c r="B73" s="45">
        <f t="shared" si="12"/>
        <v>3690</v>
      </c>
      <c r="C73" s="16">
        <f t="shared" si="13"/>
        <v>2.7954545454545454</v>
      </c>
      <c r="D73" s="15">
        <f t="shared" si="14"/>
        <v>1.13861502702E+20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3.8811510153599994E+40</v>
      </c>
      <c r="F73" s="15">
        <f t="shared" si="7"/>
        <v>2.8687346036447445E+40</v>
      </c>
      <c r="G73" s="15">
        <f t="shared" si="8"/>
        <v>3.3106670766761311E+40</v>
      </c>
      <c r="H73" s="15">
        <f t="shared" si="9"/>
        <v>1.0060552695680875E+41</v>
      </c>
      <c r="I73" s="45">
        <v>229.67</v>
      </c>
      <c r="J73" s="45">
        <v>1</v>
      </c>
      <c r="K73" s="19">
        <f t="shared" si="10"/>
        <v>242.83885056431234</v>
      </c>
      <c r="L73" s="16">
        <f t="shared" si="11"/>
        <v>173.41862518518971</v>
      </c>
      <c r="M73" s="45"/>
    </row>
    <row r="74" spans="1:13" x14ac:dyDescent="0.25">
      <c r="A74" s="45">
        <v>4.1500000000000004</v>
      </c>
      <c r="B74" s="45">
        <f t="shared" si="12"/>
        <v>4150</v>
      </c>
      <c r="C74" s="16">
        <f t="shared" si="13"/>
        <v>3.143939393939394</v>
      </c>
      <c r="D74" s="15">
        <f t="shared" si="14"/>
        <v>1.2805561957E+20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4.0481692325781809E+40</v>
      </c>
      <c r="F74" s="15">
        <f t="shared" si="7"/>
        <v>3.4913032854391397E+40</v>
      </c>
      <c r="G74" s="15">
        <f t="shared" si="8"/>
        <v>3.9526636909945931E+40</v>
      </c>
      <c r="H74" s="15">
        <f t="shared" si="9"/>
        <v>1.1492136209011914E+41</v>
      </c>
      <c r="I74" s="45">
        <v>234.95</v>
      </c>
      <c r="J74" s="45">
        <v>1</v>
      </c>
      <c r="K74" s="19">
        <f t="shared" si="10"/>
        <v>244.73538462042427</v>
      </c>
      <c r="L74" s="16">
        <f t="shared" si="11"/>
        <v>95.753752169636059</v>
      </c>
      <c r="M74" s="45"/>
    </row>
    <row r="75" spans="1:13" x14ac:dyDescent="0.25">
      <c r="A75" s="45">
        <v>4.6500000000000004</v>
      </c>
      <c r="B75" s="45">
        <f t="shared" si="12"/>
        <v>4650</v>
      </c>
      <c r="C75" s="16">
        <f t="shared" si="13"/>
        <v>3.5227272727272729</v>
      </c>
      <c r="D75" s="15">
        <f t="shared" si="14"/>
        <v>1.4348400747000001E+20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4.2026754321490898E+40</v>
      </c>
      <c r="F75" s="15">
        <f t="shared" si="7"/>
        <v>4.2043786530581099E+40</v>
      </c>
      <c r="G75" s="15">
        <f t="shared" si="8"/>
        <v>4.6719338203343636E+40</v>
      </c>
      <c r="H75" s="15">
        <f t="shared" si="9"/>
        <v>1.3078987905541563E+41</v>
      </c>
      <c r="I75" s="45">
        <v>239.89</v>
      </c>
      <c r="J75" s="45">
        <v>1</v>
      </c>
      <c r="K75" s="19">
        <f t="shared" si="10"/>
        <v>246.64994569738013</v>
      </c>
      <c r="L75" s="16">
        <f t="shared" si="11"/>
        <v>45.696865831528356</v>
      </c>
      <c r="M75" s="45"/>
    </row>
    <row r="76" spans="1:13" x14ac:dyDescent="0.25">
      <c r="A76" s="45">
        <v>5.21</v>
      </c>
      <c r="B76" s="45">
        <f t="shared" si="12"/>
        <v>5210</v>
      </c>
      <c r="C76" s="16">
        <f t="shared" si="13"/>
        <v>3.9469696969696968</v>
      </c>
      <c r="D76" s="15">
        <f t="shared" si="14"/>
        <v>1.6076380191800001E+20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4.3487604332981812E+40</v>
      </c>
      <c r="F76" s="15">
        <f t="shared" si="7"/>
        <v>5.0389220766011211E+40</v>
      </c>
      <c r="G76" s="15">
        <f t="shared" si="8"/>
        <v>5.4967812353767671E+40</v>
      </c>
      <c r="H76" s="15">
        <f t="shared" si="9"/>
        <v>1.488446374527607E+41</v>
      </c>
      <c r="I76" s="45">
        <v>243.27</v>
      </c>
      <c r="J76" s="45">
        <v>1</v>
      </c>
      <c r="K76" s="19">
        <f t="shared" si="10"/>
        <v>248.58113473982277</v>
      </c>
      <c r="L76" s="16">
        <f t="shared" si="11"/>
        <v>28.208152224552201</v>
      </c>
      <c r="M76" s="45"/>
    </row>
    <row r="77" spans="1:13" x14ac:dyDescent="0.25">
      <c r="A77" s="45">
        <v>5.82</v>
      </c>
      <c r="B77" s="45">
        <f t="shared" si="12"/>
        <v>5820</v>
      </c>
      <c r="C77" s="16">
        <f t="shared" si="13"/>
        <v>4.4090909090909092</v>
      </c>
      <c r="D77" s="15">
        <f t="shared" si="14"/>
        <v>1.7958643515600001E+20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4.4824714965054529E+40</v>
      </c>
      <c r="F77" s="15">
        <f t="shared" si="7"/>
        <v>5.9805081719668273E+40</v>
      </c>
      <c r="G77" s="15">
        <f t="shared" si="8"/>
        <v>6.4108628403427776E+40</v>
      </c>
      <c r="H77" s="15">
        <f t="shared" si="9"/>
        <v>1.6873842508815058E+41</v>
      </c>
      <c r="I77" s="45">
        <v>244.95</v>
      </c>
      <c r="J77" s="45">
        <v>1</v>
      </c>
      <c r="K77" s="19">
        <f t="shared" si="10"/>
        <v>250.41822615185822</v>
      </c>
      <c r="L77" s="16">
        <f t="shared" si="11"/>
        <v>29.901497247866292</v>
      </c>
      <c r="M77" s="45"/>
    </row>
    <row r="78" spans="1:13" x14ac:dyDescent="0.25">
      <c r="A78" s="45">
        <v>6.49</v>
      </c>
      <c r="B78" s="45">
        <f t="shared" si="12"/>
        <v>6490</v>
      </c>
      <c r="C78" s="16">
        <f t="shared" si="13"/>
        <v>4.916666666666667</v>
      </c>
      <c r="D78" s="15">
        <f t="shared" si="14"/>
        <v>2.0026047494200001E+20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4.6051153881399983E+40</v>
      </c>
      <c r="F78" s="15">
        <f t="shared" si="7"/>
        <v>7.0415033639167734E+40</v>
      </c>
      <c r="G78" s="15">
        <f t="shared" si="8"/>
        <v>7.4258017987720076E+40</v>
      </c>
      <c r="H78" s="15">
        <f t="shared" si="9"/>
        <v>1.907242055082878E+41</v>
      </c>
      <c r="I78" s="45">
        <v>246.07</v>
      </c>
      <c r="J78" s="45">
        <v>1</v>
      </c>
      <c r="K78" s="19">
        <f t="shared" si="10"/>
        <v>252.11633800653485</v>
      </c>
      <c r="L78" s="16">
        <f t="shared" si="11"/>
        <v>36.558203289267858</v>
      </c>
      <c r="M78" s="45"/>
    </row>
    <row r="79" spans="1:13" x14ac:dyDescent="0.25">
      <c r="A79" s="45">
        <v>7.23</v>
      </c>
      <c r="B79" s="45">
        <f t="shared" si="12"/>
        <v>7230</v>
      </c>
      <c r="C79" s="16">
        <f t="shared" si="13"/>
        <v>5.4772727272727275</v>
      </c>
      <c r="D79" s="15">
        <f t="shared" si="14"/>
        <v>2.2309448903400001E+20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4.7102156709327268E+40</v>
      </c>
      <c r="F79" s="15">
        <f t="shared" si="7"/>
        <v>8.231862327066083E+40</v>
      </c>
      <c r="G79" s="15">
        <f t="shared" si="8"/>
        <v>8.5522042207535754E+40</v>
      </c>
      <c r="H79" s="15">
        <f t="shared" si="9"/>
        <v>2.1494282218752388E+41</v>
      </c>
      <c r="I79" s="45">
        <v>250.72</v>
      </c>
      <c r="J79" s="45">
        <v>1</v>
      </c>
      <c r="K79" s="19">
        <f t="shared" si="10"/>
        <v>253.57869139550033</v>
      </c>
      <c r="L79" s="16">
        <f t="shared" si="11"/>
        <v>8.1721164947076232</v>
      </c>
      <c r="M79" s="45"/>
    </row>
    <row r="80" spans="1:13" x14ac:dyDescent="0.25">
      <c r="A80" s="45">
        <v>8.0500000000000007</v>
      </c>
      <c r="B80" s="45">
        <f t="shared" si="12"/>
        <v>8050.0000000000009</v>
      </c>
      <c r="C80" s="16">
        <f t="shared" si="13"/>
        <v>6.0984848484848495</v>
      </c>
      <c r="D80" s="15">
        <f t="shared" si="14"/>
        <v>2.4839704519000002E+20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4.8185716402745442E+40</v>
      </c>
      <c r="F80" s="15">
        <f t="shared" si="7"/>
        <v>9.5575984556236571E+40</v>
      </c>
      <c r="G80" s="15">
        <f t="shared" si="8"/>
        <v>9.7991094754937729E+40</v>
      </c>
      <c r="H80" s="15">
        <f t="shared" si="9"/>
        <v>2.4175279571391975E+41</v>
      </c>
      <c r="I80" s="45">
        <v>259.70999999999998</v>
      </c>
      <c r="J80" s="45">
        <v>1</v>
      </c>
      <c r="K80" s="19">
        <f t="shared" si="10"/>
        <v>254.86385269826337</v>
      </c>
      <c r="L80" s="16">
        <f t="shared" si="11"/>
        <v>23.485143670129002</v>
      </c>
      <c r="M80" s="45"/>
    </row>
    <row r="81" spans="1:13" x14ac:dyDescent="0.25">
      <c r="A81" s="45">
        <v>8.94</v>
      </c>
      <c r="B81" s="45">
        <f t="shared" si="12"/>
        <v>8940</v>
      </c>
      <c r="C81" s="16">
        <f t="shared" si="13"/>
        <v>6.7727272727272725</v>
      </c>
      <c r="D81" s="15">
        <f t="shared" si="14"/>
        <v>2.7585957565199997E+20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4.9085189231018171E+40</v>
      </c>
      <c r="F81" s="15">
        <f t="shared" si="7"/>
        <v>1.0987340576579822E+41</v>
      </c>
      <c r="G81" s="15">
        <f t="shared" si="8"/>
        <v>1.1143485827200569E+41</v>
      </c>
      <c r="H81" s="15">
        <f t="shared" si="9"/>
        <v>2.7039345326882207E+41</v>
      </c>
      <c r="I81" s="45">
        <v>267.58</v>
      </c>
      <c r="J81" s="45">
        <v>1</v>
      </c>
      <c r="K81" s="19">
        <f t="shared" si="10"/>
        <v>255.77009117962456</v>
      </c>
      <c r="L81" s="16">
        <f t="shared" si="11"/>
        <v>139.47394634558128</v>
      </c>
      <c r="M81" s="45"/>
    </row>
    <row r="82" spans="1:13" x14ac:dyDescent="0.25">
      <c r="A82" s="45">
        <v>9.93</v>
      </c>
      <c r="B82" s="45">
        <f t="shared" si="12"/>
        <v>9930</v>
      </c>
      <c r="C82" s="16">
        <f t="shared" si="13"/>
        <v>7.5227272727272725</v>
      </c>
      <c r="D82" s="15">
        <f t="shared" si="14"/>
        <v>3.06407783694E+20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4.9913829665809081E+40</v>
      </c>
      <c r="F82" s="15">
        <f t="shared" si="7"/>
        <v>1.2548237659502059E+41</v>
      </c>
      <c r="G82" s="15">
        <f t="shared" si="8"/>
        <v>1.2620962280575819E+41</v>
      </c>
      <c r="H82" s="15">
        <f t="shared" si="9"/>
        <v>3.0160582906658786E+41</v>
      </c>
      <c r="I82" s="45">
        <v>270.88</v>
      </c>
      <c r="J82" s="45">
        <v>1</v>
      </c>
      <c r="K82" s="19">
        <f t="shared" si="10"/>
        <v>256.31007203874208</v>
      </c>
      <c r="L82" s="16">
        <f t="shared" si="11"/>
        <v>212.28280079624531</v>
      </c>
      <c r="M82" s="45"/>
    </row>
    <row r="83" spans="1:13" x14ac:dyDescent="0.25">
      <c r="A83" s="45">
        <v>11.01</v>
      </c>
      <c r="B83" s="45">
        <f t="shared" si="12"/>
        <v>11010</v>
      </c>
      <c r="C83" s="16">
        <f t="shared" si="13"/>
        <v>8.3409090909090917</v>
      </c>
      <c r="D83" s="15">
        <f t="shared" si="14"/>
        <v>3.3973310155799999E+20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5.0657289063027262E+40</v>
      </c>
      <c r="F83" s="15">
        <f t="shared" si="7"/>
        <v>1.4197334147252929E+41</v>
      </c>
      <c r="G83" s="15">
        <f t="shared" si="8"/>
        <v>1.4205109712486871E+41</v>
      </c>
      <c r="H83" s="15">
        <f t="shared" si="9"/>
        <v>3.3468172766042527E+41</v>
      </c>
      <c r="I83" s="45">
        <v>269.94</v>
      </c>
      <c r="J83" s="45">
        <v>1</v>
      </c>
      <c r="K83" s="19">
        <f t="shared" si="10"/>
        <v>256.41461375150971</v>
      </c>
      <c r="L83" s="16">
        <f t="shared" si="11"/>
        <v>182.93607317085031</v>
      </c>
      <c r="M83" s="45"/>
    </row>
    <row r="84" spans="1:13" x14ac:dyDescent="0.25">
      <c r="A84" s="45">
        <v>12.2</v>
      </c>
      <c r="B84" s="45">
        <f t="shared" si="12"/>
        <v>12200</v>
      </c>
      <c r="C84" s="16">
        <f t="shared" si="13"/>
        <v>9.2424242424242422</v>
      </c>
      <c r="D84" s="15">
        <f t="shared" si="14"/>
        <v>3.7645266475999999E+20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5.1314311396436354E+40</v>
      </c>
      <c r="F84" s="15">
        <f t="shared" si="7"/>
        <v>1.593208416177726E+41</v>
      </c>
      <c r="G84" s="15">
        <f t="shared" si="8"/>
        <v>1.5912219023498825E+41</v>
      </c>
      <c r="H84" s="15">
        <f t="shared" si="9"/>
        <v>3.6975734324919722E+41</v>
      </c>
      <c r="I84" s="45">
        <v>267.74</v>
      </c>
      <c r="J84" s="45">
        <v>1</v>
      </c>
      <c r="K84" s="19">
        <f t="shared" si="10"/>
        <v>256.03475392287913</v>
      </c>
      <c r="L84" s="16">
        <f t="shared" si="11"/>
        <v>137.01278572595365</v>
      </c>
      <c r="M84" s="45"/>
    </row>
    <row r="85" spans="1:13" x14ac:dyDescent="0.25">
      <c r="A85" s="45">
        <v>13.51</v>
      </c>
      <c r="B85" s="45">
        <f t="shared" si="12"/>
        <v>13510</v>
      </c>
      <c r="C85" s="16">
        <f t="shared" si="13"/>
        <v>10.234848484848484</v>
      </c>
      <c r="D85" s="15">
        <f t="shared" si="14"/>
        <v>4.1687504105800001E+20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5.1887758076799994E+40</v>
      </c>
      <c r="F85" s="15">
        <f t="shared" si="7"/>
        <v>1.7726807348640442E+41</v>
      </c>
      <c r="G85" s="15">
        <f t="shared" si="8"/>
        <v>1.7741334000629681E+41</v>
      </c>
      <c r="H85" s="15">
        <f t="shared" si="9"/>
        <v>4.0656917156950118E+41</v>
      </c>
      <c r="I85" s="45">
        <v>266.63</v>
      </c>
      <c r="J85" s="45">
        <v>1</v>
      </c>
      <c r="K85" s="19">
        <f t="shared" si="10"/>
        <v>255.12908967408313</v>
      </c>
      <c r="L85" s="16">
        <f t="shared" si="11"/>
        <v>132.27093832478113</v>
      </c>
      <c r="M85" s="45"/>
    </row>
    <row r="86" spans="1:13" x14ac:dyDescent="0.25">
      <c r="A86" s="45">
        <v>14.95</v>
      </c>
      <c r="B86" s="45">
        <f t="shared" si="12"/>
        <v>14950</v>
      </c>
      <c r="C86" s="16">
        <f t="shared" si="13"/>
        <v>11.325757575757576</v>
      </c>
      <c r="D86" s="15">
        <f t="shared" si="14"/>
        <v>4.6130879820999996E+20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5.2384566361609071E+40</v>
      </c>
      <c r="F86" s="15">
        <f t="shared" si="7"/>
        <v>1.9549452886149455E+41</v>
      </c>
      <c r="G86" s="15">
        <f t="shared" si="8"/>
        <v>1.9689399035274094E+41</v>
      </c>
      <c r="H86" s="15">
        <f t="shared" si="9"/>
        <v>4.4477308557584455E+41</v>
      </c>
      <c r="I86" s="45">
        <v>268.39</v>
      </c>
      <c r="J86" s="45">
        <v>1</v>
      </c>
      <c r="K86" s="19">
        <f t="shared" si="10"/>
        <v>253.66998587802686</v>
      </c>
      <c r="L86" s="16">
        <f t="shared" si="11"/>
        <v>216.67881575108814</v>
      </c>
      <c r="M86" s="45"/>
    </row>
    <row r="87" spans="1:13" x14ac:dyDescent="0.25">
      <c r="A87" s="45">
        <v>16.54</v>
      </c>
      <c r="B87" s="45">
        <f t="shared" si="12"/>
        <v>16540</v>
      </c>
      <c r="C87" s="16">
        <f t="shared" si="13"/>
        <v>12.530303030303031</v>
      </c>
      <c r="D87" s="15">
        <f t="shared" si="14"/>
        <v>5.1037107173199997E+20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5.281660195567272E+40</v>
      </c>
      <c r="F87" s="15">
        <f t="shared" si="7"/>
        <v>2.1374075550681352E+41</v>
      </c>
      <c r="G87" s="15">
        <f t="shared" si="8"/>
        <v>2.1764274806092899E+41</v>
      </c>
      <c r="H87" s="15">
        <f t="shared" si="9"/>
        <v>4.8420010552341525E+41</v>
      </c>
      <c r="I87" s="45">
        <v>269.64</v>
      </c>
      <c r="J87" s="45">
        <v>1</v>
      </c>
      <c r="K87" s="19">
        <f t="shared" si="10"/>
        <v>251.63156508031614</v>
      </c>
      <c r="L87" s="16">
        <f t="shared" si="11"/>
        <v>324.30372825648868</v>
      </c>
      <c r="M87" s="45"/>
    </row>
    <row r="88" spans="1:13" x14ac:dyDescent="0.25">
      <c r="A88" s="45">
        <v>18.29</v>
      </c>
      <c r="B88" s="45">
        <f t="shared" si="12"/>
        <v>18290</v>
      </c>
      <c r="C88" s="16">
        <f t="shared" si="13"/>
        <v>13.856060606060606</v>
      </c>
      <c r="D88" s="15">
        <f t="shared" si="14"/>
        <v>5.6437042938199998E+20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5.3191276245590892E+40</v>
      </c>
      <c r="F88" s="15">
        <f t="shared" si="7"/>
        <v>2.315751691181473E+41</v>
      </c>
      <c r="G88" s="15">
        <f t="shared" si="8"/>
        <v>2.3957833316897778E+41</v>
      </c>
      <c r="H88" s="15">
        <f t="shared" si="9"/>
        <v>5.2434477853271593E+41</v>
      </c>
      <c r="I88" s="45">
        <v>269.02999999999997</v>
      </c>
      <c r="J88" s="45">
        <v>1</v>
      </c>
      <c r="K88" s="19">
        <f t="shared" si="10"/>
        <v>249.01301840617344</v>
      </c>
      <c r="L88" s="16">
        <f t="shared" si="11"/>
        <v>400.67955212759006</v>
      </c>
      <c r="M88" s="45"/>
    </row>
    <row r="89" spans="1:13" x14ac:dyDescent="0.25">
      <c r="A89" s="45">
        <v>20.2</v>
      </c>
      <c r="B89" s="45">
        <f t="shared" si="12"/>
        <v>20200</v>
      </c>
      <c r="C89" s="16">
        <f t="shared" si="13"/>
        <v>15.303030303030303</v>
      </c>
      <c r="D89" s="15">
        <f t="shared" si="14"/>
        <v>6.2330687115999995E+20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5.3488817215709079E+40</v>
      </c>
      <c r="F89" s="15">
        <f t="shared" si="7"/>
        <v>2.4848709795376349E+41</v>
      </c>
      <c r="G89" s="15">
        <f t="shared" si="8"/>
        <v>2.6248818100607652E+41</v>
      </c>
      <c r="H89" s="15">
        <f t="shared" si="9"/>
        <v>5.6446409617554913E+41</v>
      </c>
      <c r="I89" s="45">
        <v>267.83</v>
      </c>
      <c r="J89" s="45">
        <v>1</v>
      </c>
      <c r="K89" s="19">
        <f t="shared" si="10"/>
        <v>245.84586513605277</v>
      </c>
      <c r="L89" s="16">
        <f t="shared" si="11"/>
        <v>483.30218571621958</v>
      </c>
      <c r="M89" s="45"/>
    </row>
    <row r="90" spans="1:13" x14ac:dyDescent="0.25">
      <c r="A90" s="45">
        <v>22.32</v>
      </c>
      <c r="B90" s="45">
        <f t="shared" si="12"/>
        <v>22320</v>
      </c>
      <c r="C90" s="16">
        <f t="shared" si="13"/>
        <v>16.90909090909091</v>
      </c>
      <c r="D90" s="15">
        <f t="shared" si="14"/>
        <v>6.8872323585599996E+20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5.370712954808726E+40</v>
      </c>
      <c r="F90" s="15">
        <f t="shared" si="7"/>
        <v>2.6440026954083614E+41</v>
      </c>
      <c r="G90" s="15">
        <f t="shared" si="8"/>
        <v>2.8673034024021301E+41</v>
      </c>
      <c r="H90" s="15">
        <f t="shared" si="9"/>
        <v>6.0483773932913643E+41</v>
      </c>
      <c r="I90" s="45">
        <v>256.95999999999998</v>
      </c>
      <c r="J90" s="45">
        <v>1</v>
      </c>
      <c r="K90" s="19">
        <f t="shared" si="10"/>
        <v>242.09887823976894</v>
      </c>
      <c r="L90" s="16">
        <f t="shared" si="11"/>
        <v>220.85293997241263</v>
      </c>
      <c r="M90" s="45"/>
    </row>
    <row r="91" spans="1:13" x14ac:dyDescent="0.25">
      <c r="A91" s="45">
        <v>24.64</v>
      </c>
      <c r="B91" s="45">
        <f t="shared" si="12"/>
        <v>24640</v>
      </c>
      <c r="C91" s="16">
        <f t="shared" si="13"/>
        <v>18.666666666666668</v>
      </c>
      <c r="D91" s="15">
        <f t="shared" si="14"/>
        <v>7.6031095571200003E+20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5.3946037383519986E+40</v>
      </c>
      <c r="F91" s="15">
        <f t="shared" si="7"/>
        <v>2.7876763282232507E+41</v>
      </c>
      <c r="G91" s="15">
        <f t="shared" si="8"/>
        <v>3.1193094329872169E+41</v>
      </c>
      <c r="H91" s="15">
        <f t="shared" si="9"/>
        <v>6.4464461350456669E+41</v>
      </c>
      <c r="I91" s="45">
        <v>244.88</v>
      </c>
      <c r="J91" s="45">
        <v>1</v>
      </c>
      <c r="K91" s="19">
        <f t="shared" si="10"/>
        <v>237.88127571227022</v>
      </c>
      <c r="L91" s="16">
        <f t="shared" si="11"/>
        <v>48.982141655658602</v>
      </c>
      <c r="M91" s="45"/>
    </row>
    <row r="92" spans="1:13" x14ac:dyDescent="0.25">
      <c r="A92" s="45"/>
      <c r="H92" s="15"/>
      <c r="K92" s="45"/>
      <c r="L92" s="16">
        <f>SUM(L57:L91)/(COUNT(L57:L91)-6)</f>
        <v>347.86285024319608</v>
      </c>
      <c r="M92" s="45"/>
    </row>
    <row r="93" spans="1:13" x14ac:dyDescent="0.25">
      <c r="A93" s="45"/>
      <c r="H93" s="15"/>
      <c r="K93" s="45"/>
      <c r="L93" s="17"/>
      <c r="M93" s="45"/>
    </row>
    <row r="94" spans="1:13" x14ac:dyDescent="0.25">
      <c r="A94" s="45"/>
      <c r="I94" s="45"/>
      <c r="J94" s="45"/>
      <c r="L94" s="16"/>
    </row>
    <row r="95" spans="1:13" x14ac:dyDescent="0.25">
      <c r="A95" s="45"/>
      <c r="I95" s="45"/>
      <c r="J95" s="45"/>
      <c r="L95" s="16"/>
    </row>
    <row r="96" spans="1:13" x14ac:dyDescent="0.25">
      <c r="A96" s="45"/>
      <c r="I96" s="45"/>
      <c r="J96" s="45"/>
      <c r="L96" s="16"/>
    </row>
    <row r="97" spans="1:29" x14ac:dyDescent="0.25">
      <c r="A97" s="45"/>
      <c r="I97" s="45"/>
      <c r="J97" s="45"/>
      <c r="L97" s="16"/>
    </row>
    <row r="98" spans="1:29" x14ac:dyDescent="0.25">
      <c r="A98" s="45"/>
      <c r="I98" s="45"/>
      <c r="J98" s="45"/>
      <c r="L98" s="16"/>
    </row>
    <row r="99" spans="1:29" x14ac:dyDescent="0.25">
      <c r="A99" s="45"/>
      <c r="I99" s="45"/>
      <c r="J99" s="45"/>
      <c r="L99" s="16"/>
    </row>
    <row r="100" spans="1:29" x14ac:dyDescent="0.25">
      <c r="A100" s="45"/>
      <c r="I100" s="45"/>
      <c r="J100" s="45"/>
      <c r="L100" s="16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45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45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45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45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s="17" customFormat="1" x14ac:dyDescent="0.25">
      <c r="A539" s="45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s="17" customFormat="1" x14ac:dyDescent="0.25">
      <c r="A540" s="45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s="17" customFormat="1" x14ac:dyDescent="0.25">
      <c r="A541" s="45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s="17" customFormat="1" x14ac:dyDescent="0.25">
      <c r="A542" s="45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s="17" customFormat="1" x14ac:dyDescent="0.25">
      <c r="A543" s="45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spans="1:29" s="17" customFormat="1" x14ac:dyDescent="0.25">
      <c r="A544" s="45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spans="1:29" s="17" customFormat="1" x14ac:dyDescent="0.25">
      <c r="A545" s="45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</row>
    <row r="546" spans="1:29" s="17" customFormat="1" x14ac:dyDescent="0.25">
      <c r="A546" s="45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</row>
    <row r="547" spans="1:29" s="17" customFormat="1" x14ac:dyDescent="0.25">
      <c r="A547" s="45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</row>
    <row r="548" spans="1:29" s="17" customFormat="1" x14ac:dyDescent="0.25">
      <c r="A548" s="45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</row>
    <row r="549" spans="1:29" x14ac:dyDescent="0.25">
      <c r="A549" s="45"/>
      <c r="L549" s="16"/>
    </row>
    <row r="550" spans="1:29" x14ac:dyDescent="0.25">
      <c r="L550" s="16"/>
      <c r="N550" s="17"/>
      <c r="O550" s="38"/>
    </row>
    <row r="551" spans="1:29" x14ac:dyDescent="0.25">
      <c r="L551" s="16"/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C537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449.45289717464902</v>
      </c>
      <c r="E2" s="55"/>
      <c r="F2" s="53" t="s">
        <v>620</v>
      </c>
      <c r="G2" s="53">
        <v>26302581416</v>
      </c>
      <c r="H2" s="62"/>
      <c r="K2" s="51" t="s">
        <v>1</v>
      </c>
      <c r="L2" s="60" t="s">
        <v>581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1.88933595970145E+40</v>
      </c>
      <c r="E3" s="53"/>
      <c r="F3" s="53" t="s">
        <v>621</v>
      </c>
      <c r="G3" s="53">
        <f>H35/SolarMass</f>
        <v>64606085010.407272</v>
      </c>
      <c r="H3" s="62"/>
      <c r="K3" s="51" t="s">
        <v>562</v>
      </c>
      <c r="L3" s="57">
        <v>5.7910000000000001E-3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4094.6492754680598</v>
      </c>
      <c r="E4" s="55"/>
      <c r="F4" s="53" t="s">
        <v>622</v>
      </c>
      <c r="G4" s="52">
        <f>G3/G2</f>
        <v>2.4562640445286124</v>
      </c>
      <c r="H4" s="62"/>
      <c r="K4" s="61" t="s">
        <v>614</v>
      </c>
      <c r="L4" s="52">
        <f>QEHModelChiSquare</f>
        <v>433.35409194658081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656.51472018227696</v>
      </c>
      <c r="F5" s="53"/>
      <c r="G5" s="52"/>
      <c r="H5" s="62"/>
      <c r="K5" s="61" t="s">
        <v>615</v>
      </c>
      <c r="L5" s="52">
        <f>LCDMModelChiSquare</f>
        <v>502.74690880484519</v>
      </c>
      <c r="M5" s="55"/>
    </row>
    <row r="6" spans="1:13" ht="20.100000000000001" customHeight="1" x14ac:dyDescent="0.25">
      <c r="A6" s="45"/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35" si="0">RadiusKpc*1000</f>
        <v>90</v>
      </c>
      <c r="C8" s="16">
        <f t="shared" ref="C8:C35" si="1">IF(QESBulgeEffectiveRadius=0,0,RadiusPc/QESBulgeEffectiveRadius)</f>
        <v>0.20024345279729652</v>
      </c>
      <c r="D8" s="15">
        <f t="shared" ref="D8:D35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1.8868858518324244E+39</v>
      </c>
      <c r="F8" s="15">
        <f t="shared" ref="F8:F35" si="3">2*PI()*QESDiskSurfaceDensity*QESDiskScaleLength*(QESDiskScaleLength-EXP(-RadiusPc/QESDiskScaleLength)*(RadiusPc+QESDiskScaleLength))*SolarMass</f>
        <v>3.2747486881787023E+37</v>
      </c>
      <c r="H8" s="18">
        <f t="shared" ref="H8:H35" si="4">BulgeMass+DiskMass+HaloMass</f>
        <v>1.9196333387142114E+39</v>
      </c>
      <c r="I8" s="45">
        <v>166.17</v>
      </c>
      <c r="J8" s="45">
        <v>1</v>
      </c>
      <c r="K8" s="19">
        <f t="shared" ref="K8:K35" si="5">SQRT(TotalMass*GravitationalConstant/RadiusKm+UniverseAcceleration*RadiusKm)/km</f>
        <v>215.02277854703823</v>
      </c>
      <c r="L8" s="16">
        <f t="shared" ref="L8:L35" si="6">(ObservedVelocity-ModelVelocity)^2/(VelocityError)^2</f>
        <v>2386.5939717659599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0.42273617812762598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3.983137884571779E+39</v>
      </c>
      <c r="F9" s="15">
        <f t="shared" si="3"/>
        <v>1.4359834267424996E+38</v>
      </c>
      <c r="H9" s="18">
        <f t="shared" si="4"/>
        <v>4.1267362272460288E+39</v>
      </c>
      <c r="I9" s="45">
        <v>235.07</v>
      </c>
      <c r="J9" s="45">
        <v>1</v>
      </c>
      <c r="K9" s="19">
        <f t="shared" si="5"/>
        <v>217.23658476229079</v>
      </c>
      <c r="L9" s="16">
        <f t="shared" si="6"/>
        <v>318.03069904055883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0.66747817599098846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5.8554011585930475E+39</v>
      </c>
      <c r="F10" s="15">
        <f t="shared" si="3"/>
        <v>3.5167836744906837E+38</v>
      </c>
      <c r="H10" s="18">
        <f t="shared" si="4"/>
        <v>6.2070795260421157E+39</v>
      </c>
      <c r="I10" s="45">
        <v>250.2</v>
      </c>
      <c r="J10" s="45">
        <v>1</v>
      </c>
      <c r="K10" s="19">
        <f t="shared" si="5"/>
        <v>212.34170223925389</v>
      </c>
      <c r="L10" s="16">
        <f t="shared" si="6"/>
        <v>1433.250709341313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0.93446944638738383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7.4924609665622938E+39</v>
      </c>
      <c r="F11" s="15">
        <f t="shared" si="3"/>
        <v>6.7605051210007769E+38</v>
      </c>
      <c r="H11" s="18">
        <f t="shared" si="4"/>
        <v>8.1685114786623711E+39</v>
      </c>
      <c r="I11" s="45">
        <v>244.15</v>
      </c>
      <c r="J11" s="45">
        <v>1</v>
      </c>
      <c r="K11" s="19">
        <f t="shared" si="5"/>
        <v>206.24963859911114</v>
      </c>
      <c r="L11" s="16">
        <f t="shared" si="6"/>
        <v>1436.4373943179869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1.245959261849845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9.0143553427653525E+39</v>
      </c>
      <c r="F12" s="15">
        <f t="shared" si="3"/>
        <v>1.1750512959881854E+39</v>
      </c>
      <c r="H12" s="18">
        <f t="shared" si="4"/>
        <v>1.0189406638753538E+40</v>
      </c>
      <c r="I12" s="45">
        <v>224.01</v>
      </c>
      <c r="J12" s="45">
        <v>1</v>
      </c>
      <c r="K12" s="19">
        <f t="shared" si="5"/>
        <v>199.96322694803675</v>
      </c>
      <c r="L12" s="16">
        <f t="shared" si="6"/>
        <v>578.24729421262555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1.5574490773123062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1.0235348932129447E+40</v>
      </c>
      <c r="F13" s="15">
        <f t="shared" si="3"/>
        <v>1.7951707730686483E+39</v>
      </c>
      <c r="H13" s="18">
        <f t="shared" si="4"/>
        <v>1.2030519705198095E+40</v>
      </c>
      <c r="I13" s="45">
        <v>196.62</v>
      </c>
      <c r="J13" s="45">
        <v>1</v>
      </c>
      <c r="K13" s="19">
        <f t="shared" si="5"/>
        <v>194.83486723703859</v>
      </c>
      <c r="L13" s="16">
        <f t="shared" si="6"/>
        <v>3.1866989813982394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1.9134374378408334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1.13645321594445E+40</v>
      </c>
      <c r="F14" s="15">
        <f t="shared" si="3"/>
        <v>2.6410398451957166E+39</v>
      </c>
      <c r="H14" s="18">
        <f t="shared" si="4"/>
        <v>1.4005572004640216E+40</v>
      </c>
      <c r="I14" s="45">
        <v>175.6</v>
      </c>
      <c r="J14" s="45">
        <v>1</v>
      </c>
      <c r="K14" s="19">
        <f t="shared" si="5"/>
        <v>190.24213125211773</v>
      </c>
      <c r="L14" s="16">
        <f t="shared" si="6"/>
        <v>214.39200760424288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2.3139243434354264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1.2383978455074309E+40</v>
      </c>
      <c r="F15" s="15">
        <f t="shared" si="3"/>
        <v>3.752899023962604E+39</v>
      </c>
      <c r="H15" s="18">
        <f t="shared" si="4"/>
        <v>1.6136877479036912E+40</v>
      </c>
      <c r="I15" s="45">
        <v>164.58</v>
      </c>
      <c r="J15" s="45">
        <v>1</v>
      </c>
      <c r="K15" s="19">
        <f t="shared" si="5"/>
        <v>186.36155538328185</v>
      </c>
      <c r="L15" s="16">
        <f t="shared" si="6"/>
        <v>474.43615491497417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2.7366605215630524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1.3249322450385348E+40</v>
      </c>
      <c r="F16" s="15">
        <f t="shared" si="3"/>
        <v>5.0932102155688682E+39</v>
      </c>
      <c r="H16" s="18">
        <f t="shared" si="4"/>
        <v>1.8342532665954216E+40</v>
      </c>
      <c r="I16" s="45">
        <v>159.28</v>
      </c>
      <c r="J16" s="45">
        <v>1</v>
      </c>
      <c r="K16" s="19">
        <f t="shared" si="5"/>
        <v>183.40905809818628</v>
      </c>
      <c r="L16" s="16">
        <f t="shared" si="6"/>
        <v>582.21144470564877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3.2261445172897774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1.4054779903684176E+40</v>
      </c>
      <c r="F17" s="15">
        <f t="shared" si="3"/>
        <v>6.835882367107712E+39</v>
      </c>
      <c r="H17" s="18">
        <f t="shared" si="4"/>
        <v>2.0890662270791888E+40</v>
      </c>
      <c r="I17" s="45">
        <v>157.21</v>
      </c>
      <c r="J17" s="45">
        <v>1</v>
      </c>
      <c r="K17" s="19">
        <f t="shared" si="5"/>
        <v>181.0899295731777</v>
      </c>
      <c r="L17" s="16">
        <f t="shared" si="6"/>
        <v>570.25103641992644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3.7378777855495353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1.4729187535541986E+40</v>
      </c>
      <c r="F18" s="15">
        <f t="shared" si="3"/>
        <v>8.8500303080219527E+39</v>
      </c>
      <c r="H18" s="18">
        <f t="shared" si="4"/>
        <v>2.357921784356394E+40</v>
      </c>
      <c r="I18" s="45">
        <v>158.04</v>
      </c>
      <c r="J18" s="45">
        <v>1</v>
      </c>
      <c r="K18" s="19">
        <f t="shared" si="5"/>
        <v>179.57597804939661</v>
      </c>
      <c r="L18" s="16">
        <f t="shared" si="6"/>
        <v>463.79835054409295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4.3163588714083918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1.5340366146296247E+40</v>
      </c>
      <c r="F19" s="15">
        <f t="shared" si="3"/>
        <v>1.1330306021456544E+40</v>
      </c>
      <c r="H19" s="18">
        <f t="shared" si="4"/>
        <v>2.6670672167752791E+40</v>
      </c>
      <c r="I19" s="45">
        <v>163.89</v>
      </c>
      <c r="J19" s="45">
        <v>1</v>
      </c>
      <c r="K19" s="19">
        <f t="shared" si="5"/>
        <v>178.65692079497114</v>
      </c>
      <c r="L19" s="16">
        <f t="shared" si="6"/>
        <v>218.06194976495158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4.9615877748663468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1.5882042132529638E+40</v>
      </c>
      <c r="F20" s="15">
        <f t="shared" si="3"/>
        <v>1.4310029127537022E+40</v>
      </c>
      <c r="G20" s="15"/>
      <c r="H20" s="18">
        <f t="shared" si="4"/>
        <v>3.0192071260066658E+40</v>
      </c>
      <c r="I20" s="45">
        <v>173</v>
      </c>
      <c r="J20" s="45">
        <v>1</v>
      </c>
      <c r="K20" s="19">
        <f t="shared" si="5"/>
        <v>178.30636084699282</v>
      </c>
      <c r="L20" s="16">
        <f t="shared" si="6"/>
        <v>28.157465438498324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5.6513152233903687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1.6319151426895859E+40</v>
      </c>
      <c r="F21" s="15">
        <f t="shared" si="3"/>
        <v>1.7696256266516733E+40</v>
      </c>
      <c r="G21" s="15"/>
      <c r="H21" s="18">
        <f t="shared" si="4"/>
        <v>3.4015407693412594E+40</v>
      </c>
      <c r="I21" s="45">
        <v>179.74</v>
      </c>
      <c r="J21" s="45">
        <v>1</v>
      </c>
      <c r="K21" s="19">
        <f t="shared" si="5"/>
        <v>178.39198248966832</v>
      </c>
      <c r="L21" s="16">
        <f t="shared" si="6"/>
        <v>1.817151208160839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6.4300397620465217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1.6735170491986968E+40</v>
      </c>
      <c r="F22" s="15">
        <f t="shared" si="3"/>
        <v>2.1711284557605979E+40</v>
      </c>
      <c r="G22" s="15"/>
      <c r="H22" s="18">
        <f t="shared" si="4"/>
        <v>3.8446455049592945E+40</v>
      </c>
      <c r="I22" s="45">
        <v>188.13</v>
      </c>
      <c r="J22" s="45">
        <v>1</v>
      </c>
      <c r="K22" s="19">
        <f t="shared" si="5"/>
        <v>178.95767275718364</v>
      </c>
      <c r="L22" s="16">
        <f t="shared" si="6"/>
        <v>84.131587049311008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7.2755121183017737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1.7092154110458142E+40</v>
      </c>
      <c r="F23" s="15">
        <f t="shared" si="3"/>
        <v>2.6234838397576384E+40</v>
      </c>
      <c r="G23" s="15"/>
      <c r="H23" s="18">
        <f t="shared" si="4"/>
        <v>4.3326992508034526E+40</v>
      </c>
      <c r="I23" s="45">
        <v>195.83</v>
      </c>
      <c r="J23" s="45">
        <v>1</v>
      </c>
      <c r="K23" s="19">
        <f t="shared" si="5"/>
        <v>179.82735401695172</v>
      </c>
      <c r="L23" s="16">
        <f t="shared" si="6"/>
        <v>256.08467845877175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8.2099815646891567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1.7398680228982282E+40</v>
      </c>
      <c r="F24" s="15">
        <f t="shared" si="3"/>
        <v>3.1358132612362874E+40</v>
      </c>
      <c r="G24" s="15"/>
      <c r="H24" s="18">
        <f t="shared" si="4"/>
        <v>4.8756812841345161E+40</v>
      </c>
      <c r="I24" s="45">
        <v>201.06</v>
      </c>
      <c r="J24" s="45">
        <v>1</v>
      </c>
      <c r="K24" s="19">
        <f t="shared" si="5"/>
        <v>180.91786722835988</v>
      </c>
      <c r="L24" s="16">
        <f t="shared" si="6"/>
        <v>405.70551259037893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9.2334481012086727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1.7657770456901988E+40</v>
      </c>
      <c r="F25" s="15">
        <f t="shared" si="3"/>
        <v>3.703495674421768E+40</v>
      </c>
      <c r="G25" s="15"/>
      <c r="H25" s="18">
        <f t="shared" si="4"/>
        <v>5.4692727201119671E+40</v>
      </c>
      <c r="I25" s="45">
        <v>201.76</v>
      </c>
      <c r="J25" s="45">
        <v>1</v>
      </c>
      <c r="K25" s="19">
        <f t="shared" si="5"/>
        <v>182.13945824642107</v>
      </c>
      <c r="L25" s="16">
        <f t="shared" si="6"/>
        <v>384.96565870393374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10.345911727860321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1.7875461393789383E+40</v>
      </c>
      <c r="F26" s="15">
        <f t="shared" si="3"/>
        <v>4.3195086938214028E+40</v>
      </c>
      <c r="G26" s="15"/>
      <c r="H26" s="18">
        <f t="shared" si="4"/>
        <v>6.1070548332003411E+40</v>
      </c>
      <c r="I26" s="45">
        <v>198.52</v>
      </c>
      <c r="J26" s="45">
        <v>1</v>
      </c>
      <c r="K26" s="19">
        <f t="shared" si="5"/>
        <v>183.40921991043044</v>
      </c>
      <c r="L26" s="16">
        <f t="shared" si="6"/>
        <v>228.33567491533225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11.591870989710165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1.8063718220770406E+40</v>
      </c>
      <c r="F27" s="15">
        <f t="shared" si="3"/>
        <v>4.9987074054869793E+40</v>
      </c>
      <c r="G27" s="15"/>
      <c r="H27" s="18">
        <f t="shared" si="4"/>
        <v>6.8050792275640199E+40</v>
      </c>
      <c r="I27" s="45">
        <v>193.98</v>
      </c>
      <c r="J27" s="45">
        <v>1</v>
      </c>
      <c r="K27" s="19">
        <f t="shared" si="5"/>
        <v>184.69867729143922</v>
      </c>
      <c r="L27" s="16">
        <f t="shared" si="6"/>
        <v>86.142951220445738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12.949076614225175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1.8222544145335441E+40</v>
      </c>
      <c r="F28" s="15">
        <f t="shared" si="3"/>
        <v>5.7162024002518795E+40</v>
      </c>
      <c r="G28" s="15"/>
      <c r="H28" s="18">
        <f t="shared" si="4"/>
        <v>7.5384568147854239E+40</v>
      </c>
      <c r="I28" s="45">
        <v>189.94</v>
      </c>
      <c r="J28" s="45">
        <v>1</v>
      </c>
      <c r="K28" s="19">
        <f t="shared" si="5"/>
        <v>185.91517912231188</v>
      </c>
      <c r="L28" s="16">
        <f t="shared" si="6"/>
        <v>16.199183097474123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14.439777873938382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1.8351692946503533E+40</v>
      </c>
      <c r="F29" s="15">
        <f t="shared" si="3"/>
        <v>6.4685179929288364E+40</v>
      </c>
      <c r="G29" s="15"/>
      <c r="H29" s="18">
        <f t="shared" si="4"/>
        <v>8.3036872875791899E+40</v>
      </c>
      <c r="I29" s="45">
        <v>188.34</v>
      </c>
      <c r="J29" s="45">
        <v>1</v>
      </c>
      <c r="K29" s="19">
        <f t="shared" si="5"/>
        <v>187.01985427722147</v>
      </c>
      <c r="L29" s="16">
        <f t="shared" si="6"/>
        <v>1.7427847293704581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16.08622404138282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1.8444632684697353E+40</v>
      </c>
      <c r="F30" s="15">
        <f t="shared" si="3"/>
        <v>7.2482108258529053E+40</v>
      </c>
      <c r="G30" s="15"/>
      <c r="H30" s="18">
        <f t="shared" si="4"/>
        <v>9.0926740943226406E+40</v>
      </c>
      <c r="I30" s="45">
        <v>192.56</v>
      </c>
      <c r="J30" s="45">
        <v>1</v>
      </c>
      <c r="K30" s="19">
        <f t="shared" si="5"/>
        <v>187.98133790234849</v>
      </c>
      <c r="L30" s="16">
        <f t="shared" si="6"/>
        <v>20.964146604470585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17.910664389091526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1.85299799281975E+40</v>
      </c>
      <c r="F31" s="15">
        <f t="shared" si="3"/>
        <v>8.0436506898674856E+40</v>
      </c>
      <c r="G31" s="15"/>
      <c r="H31" s="18">
        <f t="shared" si="4"/>
        <v>9.8966486826872361E+40</v>
      </c>
      <c r="I31" s="45">
        <v>198.19</v>
      </c>
      <c r="J31" s="45">
        <v>1</v>
      </c>
      <c r="K31" s="19">
        <f t="shared" si="5"/>
        <v>188.80940872892879</v>
      </c>
      <c r="L31" s="16">
        <f t="shared" si="6"/>
        <v>87.995492594897399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19.890849644531453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1.8622612911996438E+40</v>
      </c>
      <c r="F32" s="15">
        <f t="shared" si="3"/>
        <v>8.8228557894442794E+40</v>
      </c>
      <c r="G32" s="15"/>
      <c r="H32" s="18">
        <f t="shared" si="4"/>
        <v>1.0685117080643923E+41</v>
      </c>
      <c r="I32" s="45">
        <v>197.93</v>
      </c>
      <c r="J32" s="45">
        <v>1</v>
      </c>
      <c r="K32" s="19">
        <f t="shared" si="5"/>
        <v>189.50159416781773</v>
      </c>
      <c r="L32" s="16">
        <f t="shared" si="6"/>
        <v>71.03802487196424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22.093527625301718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1.8672019183761716E+40</v>
      </c>
      <c r="F33" s="15">
        <f t="shared" si="3"/>
        <v>9.5882482919624346E+40</v>
      </c>
      <c r="G33" s="15"/>
      <c r="H33" s="18">
        <f t="shared" si="4"/>
        <v>1.1455450210338607E+41</v>
      </c>
      <c r="I33" s="45">
        <v>192.66</v>
      </c>
      <c r="J33" s="45">
        <v>1</v>
      </c>
      <c r="K33" s="19">
        <f t="shared" si="5"/>
        <v>190.06689507649168</v>
      </c>
      <c r="L33" s="16">
        <f t="shared" si="6"/>
        <v>6.7241931443230945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24.496449058869274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1.8722866353536812E+40</v>
      </c>
      <c r="F34" s="15">
        <f t="shared" si="3"/>
        <v>1.0308088087645841E+41</v>
      </c>
      <c r="G34" s="15"/>
      <c r="H34" s="18">
        <f t="shared" si="4"/>
        <v>1.2180374722999523E+41</v>
      </c>
      <c r="I34" s="45">
        <v>186.34</v>
      </c>
      <c r="J34" s="45">
        <v>1</v>
      </c>
      <c r="K34" s="19">
        <f t="shared" si="5"/>
        <v>190.57069944126596</v>
      </c>
      <c r="L34" s="16">
        <f t="shared" si="6"/>
        <v>17.898817762328061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27.144112490300195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1.8761311283794601E+40</v>
      </c>
      <c r="F35" s="15">
        <f t="shared" si="3"/>
        <v>1.097466524104065E+41</v>
      </c>
      <c r="G35" s="15"/>
      <c r="H35" s="18">
        <f t="shared" si="4"/>
        <v>1.285079636942011E+41</v>
      </c>
      <c r="I35" s="45">
        <v>186.21</v>
      </c>
      <c r="J35" s="45">
        <v>1</v>
      </c>
      <c r="K35" s="19">
        <f t="shared" si="5"/>
        <v>191.07797419000954</v>
      </c>
      <c r="L35" s="16">
        <f t="shared" si="6"/>
        <v>23.697172714598974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x14ac:dyDescent="0.25">
      <c r="A36" s="45"/>
      <c r="I36" s="45"/>
      <c r="J36" s="45"/>
      <c r="L36" s="16">
        <f>SUM(L8:L35)/(COUNT(L8:L35)-4)</f>
        <v>433.35409194658081</v>
      </c>
    </row>
    <row r="37" spans="1:29" x14ac:dyDescent="0.25">
      <c r="A37" s="45"/>
      <c r="I37" s="45"/>
      <c r="J37" s="45"/>
      <c r="L37" s="16"/>
    </row>
    <row r="38" spans="1:29" ht="21" x14ac:dyDescent="0.35">
      <c r="A38" s="46" t="s">
        <v>564</v>
      </c>
      <c r="I38" s="45"/>
      <c r="J38" s="45"/>
      <c r="L38" s="16"/>
    </row>
    <row r="39" spans="1:29" x14ac:dyDescent="0.25">
      <c r="A39" s="45" t="s">
        <v>30</v>
      </c>
      <c r="D39" s="16">
        <v>0.41</v>
      </c>
      <c r="E39" s="17">
        <f>$D$39*1000</f>
        <v>410</v>
      </c>
      <c r="F39" s="17"/>
      <c r="G39" s="17"/>
      <c r="H39" s="15"/>
      <c r="K39" s="15"/>
      <c r="L39" s="17"/>
      <c r="M39" s="45"/>
    </row>
    <row r="40" spans="1:29" x14ac:dyDescent="0.25">
      <c r="A40" s="45" t="s">
        <v>16</v>
      </c>
      <c r="D40" s="16">
        <v>0.94</v>
      </c>
      <c r="E40" s="15">
        <f>D40*10000000000*SolarMass</f>
        <v>1.8697539999999999E+40</v>
      </c>
      <c r="F40" s="43"/>
      <c r="G40" s="43"/>
      <c r="H40" s="15"/>
      <c r="K40" s="15"/>
      <c r="L40" s="17"/>
      <c r="M40" s="45"/>
    </row>
    <row r="41" spans="1:29" x14ac:dyDescent="0.25">
      <c r="A41" s="45" t="s">
        <v>569</v>
      </c>
      <c r="D41" s="16">
        <v>2.6</v>
      </c>
      <c r="E41" s="15">
        <f>D41*1000</f>
        <v>2600</v>
      </c>
      <c r="H41" s="15"/>
      <c r="K41" s="15"/>
      <c r="L41" s="17"/>
      <c r="M41" s="45"/>
    </row>
    <row r="42" spans="1:29" x14ac:dyDescent="0.25">
      <c r="A42" s="45" t="s">
        <v>17</v>
      </c>
      <c r="D42" s="45">
        <v>1.7</v>
      </c>
      <c r="G42" s="16"/>
      <c r="H42" s="15"/>
      <c r="K42" s="15"/>
      <c r="L42" s="17"/>
      <c r="M42" s="45"/>
    </row>
    <row r="43" spans="1:29" x14ac:dyDescent="0.25">
      <c r="A43" s="45" t="s">
        <v>570</v>
      </c>
      <c r="D43" s="16">
        <v>12.2</v>
      </c>
      <c r="E43" s="17">
        <f>D43*1000</f>
        <v>12200</v>
      </c>
      <c r="H43" s="15"/>
      <c r="K43" s="15"/>
      <c r="L43" s="17"/>
      <c r="M43" s="45"/>
    </row>
    <row r="44" spans="1:29" x14ac:dyDescent="0.25">
      <c r="A44" s="45" t="s">
        <v>571</v>
      </c>
      <c r="D44" s="16">
        <v>7.4</v>
      </c>
      <c r="G44" s="9"/>
      <c r="H44" s="15"/>
      <c r="K44" s="15"/>
      <c r="L44" s="17"/>
      <c r="M44" s="45"/>
    </row>
    <row r="45" spans="1:29" x14ac:dyDescent="0.25">
      <c r="A45" s="45"/>
      <c r="D45" s="12"/>
      <c r="H45" s="15"/>
      <c r="K45" s="15"/>
      <c r="L45" s="17"/>
      <c r="M45" s="45"/>
    </row>
    <row r="46" spans="1:29" x14ac:dyDescent="0.25">
      <c r="A46" s="17" t="s">
        <v>567</v>
      </c>
      <c r="D46" s="17">
        <f>(D42*10000000000)/(2*PI()*DiskScaleLengthPc^2)</f>
        <v>400.2417207932279</v>
      </c>
      <c r="H46" s="15"/>
      <c r="K46" s="15"/>
      <c r="L46" s="17"/>
      <c r="M46" s="45"/>
    </row>
    <row r="47" spans="1:29" x14ac:dyDescent="0.25">
      <c r="A47" s="17" t="s">
        <v>565</v>
      </c>
      <c r="D47" s="9">
        <f>(D44*10000000000)/(4*PI()*(LCDMHaloScaleLengthPc)^3*(LN(2)-1/2))</f>
        <v>1.6790127370079198E-2</v>
      </c>
      <c r="H47" s="15"/>
      <c r="K47" s="15"/>
      <c r="L47" s="17"/>
      <c r="M47" s="45"/>
    </row>
    <row r="48" spans="1:29" x14ac:dyDescent="0.25">
      <c r="A48" s="19"/>
      <c r="H48" s="15"/>
      <c r="K48" s="15"/>
      <c r="L48" s="17"/>
      <c r="M48" s="45"/>
    </row>
    <row r="49" spans="1:29" ht="45" x14ac:dyDescent="0.25">
      <c r="A49" s="25" t="s">
        <v>20</v>
      </c>
      <c r="B49" s="3" t="s">
        <v>19</v>
      </c>
      <c r="C49" s="7" t="s">
        <v>27</v>
      </c>
      <c r="D49" s="4" t="s">
        <v>649</v>
      </c>
      <c r="E49" s="4" t="s">
        <v>21</v>
      </c>
      <c r="F49" s="4" t="s">
        <v>22</v>
      </c>
      <c r="G49" s="4" t="s">
        <v>28</v>
      </c>
      <c r="H49" s="4" t="s">
        <v>23</v>
      </c>
      <c r="I49" s="7" t="s">
        <v>645</v>
      </c>
      <c r="J49" s="7" t="s">
        <v>646</v>
      </c>
      <c r="K49" s="25" t="s">
        <v>647</v>
      </c>
      <c r="L49" s="3" t="s">
        <v>648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x14ac:dyDescent="0.25">
      <c r="A50" s="45">
        <v>0.09</v>
      </c>
      <c r="B50" s="45">
        <f>A50*1000</f>
        <v>90</v>
      </c>
      <c r="C50" s="16">
        <f>B50/LCDMBulgeEffectiveRadius</f>
        <v>0.21951219512195122</v>
      </c>
      <c r="D50" s="15">
        <f>A50*kpc</f>
        <v>2.777109822E+18</v>
      </c>
      <c r="E50" s="15">
        <f>FORECAST($C50, OFFSET('De Vaucouleurs Deprojection'!$F$3:$F$126, MATCH($C50, 'De Vaucouleurs Deprojection'!$A$3:$A$126,1)-1,0,2), OFFSET('De Vaucouleurs Deprojection'!$A$3:$A$126, MATCH($C50, 'De Vaucouleurs Deprojection'!$A$3:$A$126,1)-1,0,2))*LCDMTotalBulgeMass</f>
        <v>2.0572246567912191E+39</v>
      </c>
      <c r="F50" s="15">
        <f t="shared" ref="F50:F77" si="7">2*PI()*LCDMDiskSurfaceDensity*LCDMScaleLength*(LCDMScaleLength-EXP(-RadiusPc/LCDMScaleLength)*(RadiusPc+LCDMScaleLength))*SolarMass</f>
        <v>1.9797309057746387E+37</v>
      </c>
      <c r="G50" s="15">
        <f t="shared" ref="G50:G77" si="8">4*PI()*LCDMHaloRepresentativeDensity*LCDMHaloScaleLengthPc^3*(LN(1+RadiusPc/LCDMHaloScaleLengthPc)-RadiusPc/(RadiusPc+LCDMHaloScaleLengthPc))*SolarMass</f>
        <v>2.0534207806261881E+37</v>
      </c>
      <c r="H50" s="15">
        <f t="shared" ref="H50:H77" si="9">BulgeMass+DiskMass+HaloMass</f>
        <v>2.0975561736552272E+39</v>
      </c>
      <c r="I50" s="45">
        <v>166.17</v>
      </c>
      <c r="J50" s="45">
        <v>1</v>
      </c>
      <c r="K50" s="19">
        <f t="shared" ref="K50:K77" si="10">SQRT(TotalMass*GravitationalConstant/RadiusKm)/km</f>
        <v>224.5204877260945</v>
      </c>
      <c r="L50" s="16">
        <f t="shared" ref="L50:L77" si="11">(ObservedVelocity-ModelVelocity)^2/(VelocityError)^2</f>
        <v>3404.7794178731065</v>
      </c>
      <c r="M50" s="45"/>
    </row>
    <row r="51" spans="1:29" x14ac:dyDescent="0.25">
      <c r="A51" s="45">
        <v>0.19</v>
      </c>
      <c r="B51" s="45">
        <f t="shared" ref="B51:B77" si="12">A51*1000</f>
        <v>190</v>
      </c>
      <c r="C51" s="16">
        <f t="shared" ref="C51:C77" si="13">B51/LCDMBulgeEffectiveRadius</f>
        <v>0.46341463414634149</v>
      </c>
      <c r="D51" s="15">
        <f t="shared" ref="D51:D77" si="14">A51*kpc</f>
        <v>5.862787402E+18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4.2771215598829266E+39</v>
      </c>
      <c r="F51" s="15">
        <f t="shared" si="7"/>
        <v>8.600877144987926E+37</v>
      </c>
      <c r="G51" s="15">
        <f t="shared" si="8"/>
        <v>9.0532207619750872E+37</v>
      </c>
      <c r="H51" s="15">
        <f t="shared" si="9"/>
        <v>4.4536625389525569E+39</v>
      </c>
      <c r="I51" s="45">
        <v>235.07</v>
      </c>
      <c r="J51" s="45">
        <v>1</v>
      </c>
      <c r="K51" s="19">
        <f t="shared" si="10"/>
        <v>225.16572607353552</v>
      </c>
      <c r="L51" s="16">
        <f t="shared" si="11"/>
        <v>98.09464201044392</v>
      </c>
      <c r="M51" s="45"/>
    </row>
    <row r="52" spans="1:29" x14ac:dyDescent="0.25">
      <c r="A52" s="45">
        <v>0.3</v>
      </c>
      <c r="B52" s="45">
        <f t="shared" si="12"/>
        <v>300</v>
      </c>
      <c r="C52" s="16">
        <f t="shared" si="13"/>
        <v>0.73170731707317072</v>
      </c>
      <c r="D52" s="15">
        <f t="shared" si="14"/>
        <v>9.25703274E+18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6.2183913701951219E+39</v>
      </c>
      <c r="F52" s="15">
        <f t="shared" si="7"/>
        <v>2.0850934221270741E+38</v>
      </c>
      <c r="G52" s="15">
        <f t="shared" si="8"/>
        <v>2.2305484484678265E+38</v>
      </c>
      <c r="H52" s="15">
        <f t="shared" si="9"/>
        <v>6.6499555572546115E+39</v>
      </c>
      <c r="I52" s="45">
        <v>250.2</v>
      </c>
      <c r="J52" s="45">
        <v>1</v>
      </c>
      <c r="K52" s="19">
        <f t="shared" si="10"/>
        <v>218.96221394281716</v>
      </c>
      <c r="L52" s="16">
        <f t="shared" si="11"/>
        <v>975.79927775432611</v>
      </c>
      <c r="M52" s="45"/>
    </row>
    <row r="53" spans="1:29" x14ac:dyDescent="0.25">
      <c r="A53" s="45">
        <v>0.42</v>
      </c>
      <c r="B53" s="45">
        <f t="shared" si="12"/>
        <v>420</v>
      </c>
      <c r="C53" s="16">
        <f t="shared" si="13"/>
        <v>1.024390243902439</v>
      </c>
      <c r="D53" s="15">
        <f t="shared" si="14"/>
        <v>1.2959845836E+19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7.887288186839023E+39</v>
      </c>
      <c r="F53" s="15">
        <f t="shared" si="7"/>
        <v>3.9643709842289822E+38</v>
      </c>
      <c r="G53" s="15">
        <f t="shared" si="8"/>
        <v>4.3164017615614555E+38</v>
      </c>
      <c r="H53" s="15">
        <f t="shared" si="9"/>
        <v>8.7153654614180666E+39</v>
      </c>
      <c r="I53" s="45">
        <v>244.15</v>
      </c>
      <c r="J53" s="45">
        <v>1</v>
      </c>
      <c r="K53" s="19">
        <f t="shared" si="10"/>
        <v>211.85493640305367</v>
      </c>
      <c r="L53" s="16">
        <f t="shared" si="11"/>
        <v>1042.9711327308084</v>
      </c>
      <c r="M53" s="45"/>
    </row>
    <row r="54" spans="1:29" x14ac:dyDescent="0.25">
      <c r="A54" s="45">
        <v>0.56000000000000005</v>
      </c>
      <c r="B54" s="45">
        <f t="shared" si="12"/>
        <v>560</v>
      </c>
      <c r="C54" s="16">
        <f t="shared" si="13"/>
        <v>1.3658536585365855</v>
      </c>
      <c r="D54" s="15">
        <f t="shared" si="14"/>
        <v>1.7279794448000002E+19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9.4165645438146321E+39</v>
      </c>
      <c r="F54" s="15">
        <f t="shared" si="7"/>
        <v>6.8031428964829101E+38</v>
      </c>
      <c r="G54" s="15">
        <f t="shared" si="8"/>
        <v>7.5611860727195799E+38</v>
      </c>
      <c r="H54" s="15">
        <f t="shared" si="9"/>
        <v>1.085299744073488E+40</v>
      </c>
      <c r="I54" s="45">
        <v>224.01</v>
      </c>
      <c r="J54" s="45">
        <v>1</v>
      </c>
      <c r="K54" s="19">
        <f t="shared" si="10"/>
        <v>204.73932556524147</v>
      </c>
      <c r="L54" s="16">
        <f t="shared" si="11"/>
        <v>371.35889317045553</v>
      </c>
      <c r="M54" s="45"/>
    </row>
    <row r="55" spans="1:29" x14ac:dyDescent="0.25">
      <c r="A55" s="45">
        <v>0.7</v>
      </c>
      <c r="B55" s="45">
        <f t="shared" si="12"/>
        <v>700</v>
      </c>
      <c r="C55" s="16">
        <f t="shared" si="13"/>
        <v>1.7073170731707317</v>
      </c>
      <c r="D55" s="15">
        <f t="shared" si="14"/>
        <v>2.1599743059999998E+19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1.0630718946156096E+40</v>
      </c>
      <c r="F55" s="15">
        <f t="shared" si="7"/>
        <v>1.0262646180925982E+39</v>
      </c>
      <c r="G55" s="15">
        <f t="shared" si="8"/>
        <v>1.1642994424632532E+39</v>
      </c>
      <c r="H55" s="15">
        <f t="shared" si="9"/>
        <v>1.2821283006711946E+40</v>
      </c>
      <c r="I55" s="45">
        <v>196.62</v>
      </c>
      <c r="J55" s="45">
        <v>1</v>
      </c>
      <c r="K55" s="19">
        <f t="shared" si="10"/>
        <v>199.03852966799798</v>
      </c>
      <c r="L55" s="16">
        <f t="shared" si="11"/>
        <v>5.8492857549863846</v>
      </c>
      <c r="M55" s="45"/>
    </row>
    <row r="56" spans="1:29" x14ac:dyDescent="0.25">
      <c r="A56" s="45">
        <v>0.86</v>
      </c>
      <c r="B56" s="45">
        <f t="shared" si="12"/>
        <v>860</v>
      </c>
      <c r="C56" s="16">
        <f t="shared" si="13"/>
        <v>2.0975609756097562</v>
      </c>
      <c r="D56" s="15">
        <f t="shared" si="14"/>
        <v>2.6536827187999998E+19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1.1739072634351217E+40</v>
      </c>
      <c r="F56" s="15">
        <f t="shared" si="7"/>
        <v>1.4883226735183022E+39</v>
      </c>
      <c r="G56" s="15">
        <f t="shared" si="8"/>
        <v>1.7285845649063244E+39</v>
      </c>
      <c r="H56" s="15">
        <f t="shared" si="9"/>
        <v>1.4955979872775842E+40</v>
      </c>
      <c r="I56" s="45">
        <v>175.6</v>
      </c>
      <c r="J56" s="45">
        <v>1</v>
      </c>
      <c r="K56" s="19">
        <f t="shared" si="10"/>
        <v>193.94502419651354</v>
      </c>
      <c r="L56" s="16">
        <f t="shared" si="11"/>
        <v>336.53991277066757</v>
      </c>
      <c r="M56" s="45"/>
    </row>
    <row r="57" spans="1:29" x14ac:dyDescent="0.25">
      <c r="A57" s="45">
        <v>1.04</v>
      </c>
      <c r="B57" s="45">
        <f t="shared" si="12"/>
        <v>1040</v>
      </c>
      <c r="C57" s="16">
        <f t="shared" si="13"/>
        <v>2.5365853658536586</v>
      </c>
      <c r="D57" s="15">
        <f t="shared" si="14"/>
        <v>3.2091046832E+19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1.2729048092468294E+40</v>
      </c>
      <c r="F57" s="15">
        <f t="shared" si="7"/>
        <v>2.0813602350461303E+39</v>
      </c>
      <c r="G57" s="15">
        <f t="shared" si="8"/>
        <v>2.4819004792285078E+39</v>
      </c>
      <c r="H57" s="15">
        <f t="shared" si="9"/>
        <v>1.7292308806742933E+40</v>
      </c>
      <c r="I57" s="45">
        <v>164.58</v>
      </c>
      <c r="J57" s="45">
        <v>1</v>
      </c>
      <c r="K57" s="19">
        <f t="shared" si="10"/>
        <v>189.64013385213659</v>
      </c>
      <c r="L57" s="16">
        <f t="shared" si="11"/>
        <v>628.0103086870015</v>
      </c>
      <c r="M57" s="45"/>
    </row>
    <row r="58" spans="1:29" x14ac:dyDescent="0.25">
      <c r="A58" s="45">
        <v>1.23</v>
      </c>
      <c r="B58" s="45">
        <f t="shared" si="12"/>
        <v>1230</v>
      </c>
      <c r="C58" s="16">
        <f t="shared" si="13"/>
        <v>3</v>
      </c>
      <c r="D58" s="15">
        <f t="shared" si="14"/>
        <v>3.7953834233999999E+19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1.3563943417599998E+40</v>
      </c>
      <c r="F58" s="15">
        <f t="shared" si="7"/>
        <v>2.7779478880011037E+39</v>
      </c>
      <c r="G58" s="15">
        <f t="shared" si="8"/>
        <v>3.4057744869259647E+39</v>
      </c>
      <c r="H58" s="15">
        <f t="shared" si="9"/>
        <v>1.9747665792527065E+40</v>
      </c>
      <c r="I58" s="45">
        <v>159.28</v>
      </c>
      <c r="J58" s="45">
        <v>1</v>
      </c>
      <c r="K58" s="19">
        <f t="shared" si="10"/>
        <v>186.34843944340221</v>
      </c>
      <c r="L58" s="16">
        <f t="shared" si="11"/>
        <v>732.70041390113272</v>
      </c>
      <c r="M58" s="45"/>
    </row>
    <row r="59" spans="1:29" x14ac:dyDescent="0.25">
      <c r="A59" s="45">
        <v>1.45</v>
      </c>
      <c r="B59" s="45">
        <f t="shared" si="12"/>
        <v>1450</v>
      </c>
      <c r="C59" s="16">
        <f t="shared" si="13"/>
        <v>3.5365853658536586</v>
      </c>
      <c r="D59" s="15">
        <f t="shared" si="14"/>
        <v>4.4742324909999997E+19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1.4330975793282925E+40</v>
      </c>
      <c r="F59" s="15">
        <f t="shared" si="7"/>
        <v>3.6579509387461579E+39</v>
      </c>
      <c r="G59" s="15">
        <f t="shared" si="8"/>
        <v>4.6307450317606584E+39</v>
      </c>
      <c r="H59" s="15">
        <f t="shared" si="9"/>
        <v>2.2619671763789744E+40</v>
      </c>
      <c r="I59" s="45">
        <v>157.21</v>
      </c>
      <c r="J59" s="45">
        <v>1</v>
      </c>
      <c r="K59" s="19">
        <f t="shared" si="10"/>
        <v>183.68748996768755</v>
      </c>
      <c r="L59" s="16">
        <f t="shared" si="11"/>
        <v>701.05747498899461</v>
      </c>
      <c r="M59" s="45"/>
    </row>
    <row r="60" spans="1:29" x14ac:dyDescent="0.25">
      <c r="A60" s="45">
        <v>1.68</v>
      </c>
      <c r="B60" s="45">
        <f t="shared" si="12"/>
        <v>1680</v>
      </c>
      <c r="C60" s="16">
        <f t="shared" si="13"/>
        <v>4.0975609756097562</v>
      </c>
      <c r="D60" s="15">
        <f t="shared" si="14"/>
        <v>5.1839383344E+19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1.4968785365687806E+40</v>
      </c>
      <c r="F60" s="15">
        <f t="shared" si="7"/>
        <v>4.6434586816380711E+39</v>
      </c>
      <c r="G60" s="15">
        <f t="shared" si="8"/>
        <v>6.0779906400767309E+39</v>
      </c>
      <c r="H60" s="15">
        <f t="shared" si="9"/>
        <v>2.5690234687402607E+40</v>
      </c>
      <c r="I60" s="45">
        <v>158.04</v>
      </c>
      <c r="J60" s="45">
        <v>1</v>
      </c>
      <c r="K60" s="19">
        <f t="shared" si="10"/>
        <v>181.86529295681689</v>
      </c>
      <c r="L60" s="16">
        <f t="shared" si="11"/>
        <v>567.64458447814877</v>
      </c>
      <c r="M60" s="45"/>
    </row>
    <row r="61" spans="1:29" x14ac:dyDescent="0.25">
      <c r="A61" s="45">
        <v>1.94</v>
      </c>
      <c r="B61" s="45">
        <f t="shared" si="12"/>
        <v>1940</v>
      </c>
      <c r="C61" s="16">
        <f t="shared" si="13"/>
        <v>4.7317073170731705</v>
      </c>
      <c r="D61" s="15">
        <f t="shared" si="14"/>
        <v>5.9862145052000002E+19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1.5540474052126828E+40</v>
      </c>
      <c r="F61" s="15">
        <f t="shared" si="7"/>
        <v>5.8160207321580109E+39</v>
      </c>
      <c r="G61" s="15">
        <f t="shared" si="8"/>
        <v>7.9044920302424051E+39</v>
      </c>
      <c r="H61" s="15">
        <f t="shared" si="9"/>
        <v>2.9260986814527244E+40</v>
      </c>
      <c r="I61" s="45">
        <v>163.89</v>
      </c>
      <c r="J61" s="45">
        <v>1</v>
      </c>
      <c r="K61" s="19">
        <f t="shared" si="10"/>
        <v>180.61925673954272</v>
      </c>
      <c r="L61" s="16">
        <f t="shared" si="11"/>
        <v>279.86803105753597</v>
      </c>
      <c r="M61" s="45"/>
    </row>
    <row r="62" spans="1:29" x14ac:dyDescent="0.25">
      <c r="A62" s="45">
        <v>2.23</v>
      </c>
      <c r="B62" s="45">
        <f t="shared" si="12"/>
        <v>2230</v>
      </c>
      <c r="C62" s="16">
        <f t="shared" si="13"/>
        <v>5.4390243902439028</v>
      </c>
      <c r="D62" s="15">
        <f t="shared" si="14"/>
        <v>6.8810610034000003E+19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1.6018310208517072E+40</v>
      </c>
      <c r="F62" s="15">
        <f t="shared" si="7"/>
        <v>7.1713834210547775E+39</v>
      </c>
      <c r="G62" s="15">
        <f t="shared" si="8"/>
        <v>1.0161763780565504E+40</v>
      </c>
      <c r="H62" s="15">
        <f t="shared" si="9"/>
        <v>3.3351457410137356E+40</v>
      </c>
      <c r="I62" s="45">
        <v>173</v>
      </c>
      <c r="J62" s="45">
        <v>1</v>
      </c>
      <c r="K62" s="19">
        <f t="shared" si="10"/>
        <v>179.85619791455744</v>
      </c>
      <c r="L62" s="16">
        <f t="shared" si="11"/>
        <v>47.007449843581803</v>
      </c>
      <c r="M62" s="45"/>
    </row>
    <row r="63" spans="1:29" x14ac:dyDescent="0.25">
      <c r="A63" s="45">
        <v>2.54</v>
      </c>
      <c r="B63" s="45">
        <f t="shared" si="12"/>
        <v>2540</v>
      </c>
      <c r="C63" s="16">
        <f t="shared" si="13"/>
        <v>6.1951219512195124</v>
      </c>
      <c r="D63" s="15">
        <f t="shared" si="14"/>
        <v>7.8376210532000006E+19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1.6454984414653658E+40</v>
      </c>
      <c r="F63" s="15">
        <f t="shared" si="7"/>
        <v>8.6481891367956229E+39</v>
      </c>
      <c r="G63" s="15">
        <f t="shared" si="8"/>
        <v>1.2809570059183449E+40</v>
      </c>
      <c r="H63" s="15">
        <f t="shared" si="9"/>
        <v>3.791274361063273E+40</v>
      </c>
      <c r="I63" s="45">
        <v>179.74</v>
      </c>
      <c r="J63" s="45">
        <v>1</v>
      </c>
      <c r="K63" s="19">
        <f t="shared" si="10"/>
        <v>179.67852765830145</v>
      </c>
      <c r="L63" s="16">
        <f t="shared" si="11"/>
        <v>3.7788487939046655E-3</v>
      </c>
      <c r="M63" s="45"/>
    </row>
    <row r="64" spans="1:29" x14ac:dyDescent="0.25">
      <c r="A64" s="45">
        <v>2.89</v>
      </c>
      <c r="B64" s="45">
        <f t="shared" si="12"/>
        <v>2890</v>
      </c>
      <c r="C64" s="16">
        <f t="shared" si="13"/>
        <v>7.0487804878048781</v>
      </c>
      <c r="D64" s="15">
        <f t="shared" si="14"/>
        <v>8.9176082061999997E+19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1.6837381030282925E+40</v>
      </c>
      <c r="F64" s="15">
        <f t="shared" si="7"/>
        <v>1.0320021043216865E+40</v>
      </c>
      <c r="G64" s="15">
        <f t="shared" si="8"/>
        <v>1.606367903049485E+40</v>
      </c>
      <c r="H64" s="15">
        <f t="shared" si="9"/>
        <v>4.322108110399464E+40</v>
      </c>
      <c r="I64" s="45">
        <v>188.13</v>
      </c>
      <c r="J64" s="45">
        <v>1</v>
      </c>
      <c r="K64" s="19">
        <f t="shared" si="10"/>
        <v>179.85367780765191</v>
      </c>
      <c r="L64" s="16">
        <f t="shared" si="11"/>
        <v>68.497509031553491</v>
      </c>
      <c r="M64" s="45"/>
    </row>
    <row r="65" spans="1:13" x14ac:dyDescent="0.25">
      <c r="A65" s="45">
        <v>3.27</v>
      </c>
      <c r="B65" s="45">
        <f t="shared" si="12"/>
        <v>3270</v>
      </c>
      <c r="C65" s="16">
        <f t="shared" si="13"/>
        <v>7.975609756097561</v>
      </c>
      <c r="D65" s="15">
        <f t="shared" si="14"/>
        <v>1.0090165686599999E+20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1.7154682844458537E+40</v>
      </c>
      <c r="F65" s="15">
        <f t="shared" si="7"/>
        <v>1.2109616401863816E+40</v>
      </c>
      <c r="G65" s="15">
        <f t="shared" si="8"/>
        <v>1.9882528779306137E+40</v>
      </c>
      <c r="H65" s="15">
        <f t="shared" si="9"/>
        <v>4.9146828025628487E+40</v>
      </c>
      <c r="I65" s="45">
        <v>195.83</v>
      </c>
      <c r="J65" s="45">
        <v>1</v>
      </c>
      <c r="K65" s="19">
        <f t="shared" si="10"/>
        <v>180.29940847574082</v>
      </c>
      <c r="L65" s="16">
        <f t="shared" si="11"/>
        <v>241.1992730933915</v>
      </c>
      <c r="M65" s="45"/>
    </row>
    <row r="66" spans="1:13" x14ac:dyDescent="0.25">
      <c r="A66" s="45">
        <v>3.69</v>
      </c>
      <c r="B66" s="45">
        <f t="shared" si="12"/>
        <v>3690</v>
      </c>
      <c r="C66" s="16">
        <f t="shared" si="13"/>
        <v>9</v>
      </c>
      <c r="D66" s="15">
        <f t="shared" si="14"/>
        <v>1.13861502702E+20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1.7426481230799998E+40</v>
      </c>
      <c r="F66" s="15">
        <f t="shared" si="7"/>
        <v>1.4025932561485122E+40</v>
      </c>
      <c r="G66" s="15">
        <f t="shared" si="8"/>
        <v>2.4411298323341331E+40</v>
      </c>
      <c r="H66" s="15">
        <f t="shared" si="9"/>
        <v>5.5863712115626459E+40</v>
      </c>
      <c r="I66" s="45">
        <v>201.06</v>
      </c>
      <c r="J66" s="45">
        <v>1</v>
      </c>
      <c r="K66" s="19">
        <f t="shared" si="10"/>
        <v>180.95564844342587</v>
      </c>
      <c r="L66" s="16">
        <f t="shared" si="11"/>
        <v>404.18495151032465</v>
      </c>
      <c r="M66" s="45"/>
    </row>
    <row r="67" spans="1:13" x14ac:dyDescent="0.25">
      <c r="A67" s="45">
        <v>4.1500000000000004</v>
      </c>
      <c r="B67" s="45">
        <f t="shared" si="12"/>
        <v>4150</v>
      </c>
      <c r="C67" s="16">
        <f t="shared" si="13"/>
        <v>10.121951219512194</v>
      </c>
      <c r="D67" s="15">
        <f t="shared" si="14"/>
        <v>1.2805561957E+20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1.7653341675882927E+40</v>
      </c>
      <c r="F67" s="15">
        <f t="shared" si="7"/>
        <v>1.6022274502433341E+40</v>
      </c>
      <c r="G67" s="15">
        <f t="shared" si="8"/>
        <v>2.9697695028763262E+40</v>
      </c>
      <c r="H67" s="15">
        <f t="shared" si="9"/>
        <v>6.3373311207079526E+40</v>
      </c>
      <c r="I67" s="45">
        <v>201.76</v>
      </c>
      <c r="J67" s="45">
        <v>1</v>
      </c>
      <c r="K67" s="19">
        <f t="shared" si="10"/>
        <v>181.73960626249161</v>
      </c>
      <c r="L67" s="16">
        <f t="shared" si="11"/>
        <v>400.81616540486499</v>
      </c>
      <c r="M67" s="45"/>
    </row>
    <row r="68" spans="1:13" x14ac:dyDescent="0.25">
      <c r="A68" s="45">
        <v>4.6500000000000004</v>
      </c>
      <c r="B68" s="45">
        <f t="shared" si="12"/>
        <v>4650</v>
      </c>
      <c r="C68" s="16">
        <f t="shared" si="13"/>
        <v>11.341463414634147</v>
      </c>
      <c r="D68" s="15">
        <f t="shared" si="14"/>
        <v>1.4348400747000001E+20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1.7843208354019511E+40</v>
      </c>
      <c r="F68" s="15">
        <f t="shared" si="7"/>
        <v>1.8047621853708227E+40</v>
      </c>
      <c r="G68" s="15">
        <f t="shared" si="8"/>
        <v>3.5779845378182848E+40</v>
      </c>
      <c r="H68" s="15">
        <f t="shared" si="9"/>
        <v>7.1670675585910591E+40</v>
      </c>
      <c r="I68" s="45">
        <v>198.52</v>
      </c>
      <c r="J68" s="45">
        <v>1</v>
      </c>
      <c r="K68" s="19">
        <f t="shared" si="10"/>
        <v>182.58483535666673</v>
      </c>
      <c r="L68" s="16">
        <f t="shared" si="11"/>
        <v>253.92947221013907</v>
      </c>
      <c r="M68" s="45"/>
    </row>
    <row r="69" spans="1:13" x14ac:dyDescent="0.25">
      <c r="A69" s="45">
        <v>5.21</v>
      </c>
      <c r="B69" s="45">
        <f t="shared" si="12"/>
        <v>5210</v>
      </c>
      <c r="C69" s="16">
        <f t="shared" si="13"/>
        <v>12.707317073170731</v>
      </c>
      <c r="D69" s="15">
        <f t="shared" si="14"/>
        <v>1.6076380191800001E+20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1.8007459402356097E+40</v>
      </c>
      <c r="F69" s="15">
        <f t="shared" si="7"/>
        <v>2.0120902622261814E+40</v>
      </c>
      <c r="G69" s="15">
        <f t="shared" si="8"/>
        <v>4.2947339602338011E+40</v>
      </c>
      <c r="H69" s="15">
        <f t="shared" si="9"/>
        <v>8.1075701626955924E+40</v>
      </c>
      <c r="I69" s="45">
        <v>193.98</v>
      </c>
      <c r="J69" s="45">
        <v>1</v>
      </c>
      <c r="K69" s="19">
        <f t="shared" si="10"/>
        <v>183.46233969278492</v>
      </c>
      <c r="L69" s="16">
        <f t="shared" si="11"/>
        <v>110.62117833796734</v>
      </c>
      <c r="M69" s="45"/>
    </row>
    <row r="70" spans="1:13" x14ac:dyDescent="0.25">
      <c r="A70" s="45">
        <v>5.82</v>
      </c>
      <c r="B70" s="45">
        <f t="shared" si="12"/>
        <v>5820</v>
      </c>
      <c r="C70" s="16">
        <f t="shared" si="13"/>
        <v>14.195121951219512</v>
      </c>
      <c r="D70" s="15">
        <f t="shared" si="14"/>
        <v>1.7958643515600001E+20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1.8143281069141465E+40</v>
      </c>
      <c r="F70" s="15">
        <f t="shared" si="7"/>
        <v>2.2138734899996557E+40</v>
      </c>
      <c r="G70" s="15">
        <f t="shared" si="8"/>
        <v>5.1114027783852081E+40</v>
      </c>
      <c r="H70" s="15">
        <f t="shared" si="9"/>
        <v>9.1396043752990094E+40</v>
      </c>
      <c r="I70" s="45">
        <v>189.94</v>
      </c>
      <c r="J70" s="45">
        <v>1</v>
      </c>
      <c r="K70" s="19">
        <f t="shared" si="10"/>
        <v>184.29885525271328</v>
      </c>
      <c r="L70" s="16">
        <f t="shared" si="11"/>
        <v>31.822514059840515</v>
      </c>
      <c r="M70" s="45"/>
    </row>
    <row r="71" spans="1:13" x14ac:dyDescent="0.25">
      <c r="A71" s="45">
        <v>6.49</v>
      </c>
      <c r="B71" s="45">
        <f t="shared" si="12"/>
        <v>6490</v>
      </c>
      <c r="C71" s="16">
        <f t="shared" si="13"/>
        <v>15.829268292682928</v>
      </c>
      <c r="D71" s="15">
        <f t="shared" si="14"/>
        <v>2.0026047494200001E+20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1.824156810843317E+40</v>
      </c>
      <c r="F71" s="15">
        <f t="shared" si="7"/>
        <v>2.4073101354252409E+40</v>
      </c>
      <c r="G71" s="15">
        <f t="shared" si="8"/>
        <v>6.0439074455862444E+40</v>
      </c>
      <c r="H71" s="15">
        <f t="shared" si="9"/>
        <v>1.0275374391854803E+41</v>
      </c>
      <c r="I71" s="45">
        <v>188.34</v>
      </c>
      <c r="J71" s="45">
        <v>1</v>
      </c>
      <c r="K71" s="19">
        <f t="shared" si="10"/>
        <v>185.0533325358692</v>
      </c>
      <c r="L71" s="16">
        <f t="shared" si="11"/>
        <v>10.80218301977599</v>
      </c>
      <c r="M71" s="45"/>
    </row>
    <row r="72" spans="1:13" x14ac:dyDescent="0.25">
      <c r="A72" s="45">
        <v>7.23</v>
      </c>
      <c r="B72" s="45">
        <f t="shared" si="12"/>
        <v>7230</v>
      </c>
      <c r="C72" s="16">
        <f t="shared" si="13"/>
        <v>17.634146341463413</v>
      </c>
      <c r="D72" s="15">
        <f t="shared" si="14"/>
        <v>2.2309448903400001E+20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1.8325125134505363E+40</v>
      </c>
      <c r="F72" s="15">
        <f t="shared" si="7"/>
        <v>2.5889449900614273E+40</v>
      </c>
      <c r="G72" s="15">
        <f t="shared" si="8"/>
        <v>7.1084681335631957E+40</v>
      </c>
      <c r="H72" s="15">
        <f t="shared" si="9"/>
        <v>1.1529925637075159E+41</v>
      </c>
      <c r="I72" s="45">
        <v>192.56</v>
      </c>
      <c r="J72" s="45">
        <v>1</v>
      </c>
      <c r="K72" s="19">
        <f t="shared" si="10"/>
        <v>185.72250641268099</v>
      </c>
      <c r="L72" s="16">
        <f t="shared" si="11"/>
        <v>46.751318556628675</v>
      </c>
      <c r="M72" s="45"/>
    </row>
    <row r="73" spans="1:13" x14ac:dyDescent="0.25">
      <c r="A73" s="45">
        <v>8.0500000000000007</v>
      </c>
      <c r="B73" s="45">
        <f t="shared" si="12"/>
        <v>8050.0000000000009</v>
      </c>
      <c r="C73" s="16">
        <f t="shared" si="13"/>
        <v>19.634146341463417</v>
      </c>
      <c r="D73" s="15">
        <f t="shared" si="14"/>
        <v>2.4839704519000002E+20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1.8417715352585365E+40</v>
      </c>
      <c r="F73" s="15">
        <f t="shared" si="7"/>
        <v>2.7550880015560559E+40</v>
      </c>
      <c r="G73" s="15">
        <f t="shared" si="8"/>
        <v>8.3209859019435225E+40</v>
      </c>
      <c r="H73" s="15">
        <f t="shared" si="9"/>
        <v>1.2917845438758115E+41</v>
      </c>
      <c r="I73" s="45">
        <v>198.19</v>
      </c>
      <c r="J73" s="45">
        <v>1</v>
      </c>
      <c r="K73" s="19">
        <f t="shared" si="10"/>
        <v>186.30200692298919</v>
      </c>
      <c r="L73" s="16">
        <f t="shared" si="11"/>
        <v>141.32437939905682</v>
      </c>
      <c r="M73" s="45"/>
    </row>
    <row r="74" spans="1:13" x14ac:dyDescent="0.25">
      <c r="A74" s="45">
        <v>8.94</v>
      </c>
      <c r="B74" s="45">
        <f t="shared" si="12"/>
        <v>8940</v>
      </c>
      <c r="C74" s="16">
        <f t="shared" si="13"/>
        <v>21.804878048780488</v>
      </c>
      <c r="D74" s="15">
        <f t="shared" si="14"/>
        <v>2.7585957565199997E+20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1.8472448980653655E+40</v>
      </c>
      <c r="F74" s="15">
        <f t="shared" si="7"/>
        <v>2.8994854388327984E+40</v>
      </c>
      <c r="G74" s="15">
        <f t="shared" si="8"/>
        <v>9.6659078025307323E+40</v>
      </c>
      <c r="H74" s="15">
        <f t="shared" si="9"/>
        <v>1.4412638139428896E+41</v>
      </c>
      <c r="I74" s="45">
        <v>197.93</v>
      </c>
      <c r="J74" s="45">
        <v>1</v>
      </c>
      <c r="K74" s="19">
        <f t="shared" si="10"/>
        <v>186.73400572376386</v>
      </c>
      <c r="L74" s="16">
        <f t="shared" si="11"/>
        <v>125.35028783351261</v>
      </c>
      <c r="M74" s="45"/>
    </row>
    <row r="75" spans="1:13" x14ac:dyDescent="0.25">
      <c r="A75" s="45">
        <v>9.93</v>
      </c>
      <c r="B75" s="45">
        <f t="shared" si="12"/>
        <v>9930</v>
      </c>
      <c r="C75" s="16">
        <f t="shared" si="13"/>
        <v>24.219512195121951</v>
      </c>
      <c r="D75" s="15">
        <f t="shared" si="14"/>
        <v>3.06407783694E+20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1.852301442541463E+40</v>
      </c>
      <c r="F75" s="15">
        <f t="shared" si="7"/>
        <v>3.0238577282005998E+40</v>
      </c>
      <c r="G75" s="15">
        <f t="shared" si="8"/>
        <v>1.1186255605694594E+41</v>
      </c>
      <c r="H75" s="15">
        <f t="shared" si="9"/>
        <v>1.6062414776436657E+41</v>
      </c>
      <c r="I75" s="45">
        <v>192.66</v>
      </c>
      <c r="J75" s="45">
        <v>1</v>
      </c>
      <c r="K75" s="19">
        <f t="shared" si="10"/>
        <v>187.0472060646664</v>
      </c>
      <c r="L75" s="16">
        <f t="shared" si="11"/>
        <v>31.503455760517628</v>
      </c>
      <c r="M75" s="45"/>
    </row>
    <row r="76" spans="1:13" x14ac:dyDescent="0.25">
      <c r="A76" s="45">
        <v>11.01</v>
      </c>
      <c r="B76" s="45">
        <f t="shared" si="12"/>
        <v>11010</v>
      </c>
      <c r="C76" s="16">
        <f t="shared" si="13"/>
        <v>26.853658536585368</v>
      </c>
      <c r="D76" s="15">
        <f t="shared" si="14"/>
        <v>3.3973310155799999E+20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1.8563134785879022E+40</v>
      </c>
      <c r="F76" s="15">
        <f t="shared" si="7"/>
        <v>3.1250687007801596E+40</v>
      </c>
      <c r="G76" s="15">
        <f t="shared" si="8"/>
        <v>1.2862579602365331E+41</v>
      </c>
      <c r="H76" s="15">
        <f t="shared" si="9"/>
        <v>1.7843961781733393E+41</v>
      </c>
      <c r="I76" s="45">
        <v>186.34</v>
      </c>
      <c r="J76" s="45">
        <v>1</v>
      </c>
      <c r="K76" s="19">
        <f t="shared" si="10"/>
        <v>187.22869672983867</v>
      </c>
      <c r="L76" s="16">
        <f t="shared" si="11"/>
        <v>0.78978187762594732</v>
      </c>
      <c r="M76" s="45"/>
    </row>
    <row r="77" spans="1:13" x14ac:dyDescent="0.25">
      <c r="A77" s="45">
        <v>12.2</v>
      </c>
      <c r="B77" s="45">
        <f t="shared" si="12"/>
        <v>12200</v>
      </c>
      <c r="C77" s="16">
        <f t="shared" si="13"/>
        <v>29.756097560975611</v>
      </c>
      <c r="D77" s="15">
        <f t="shared" si="14"/>
        <v>3.7645266475999999E+20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1.8600362956131707E+40</v>
      </c>
      <c r="F77" s="15">
        <f t="shared" si="7"/>
        <v>3.2050488827678549E+40</v>
      </c>
      <c r="G77" s="15">
        <f t="shared" si="8"/>
        <v>1.4719340000000003E+41</v>
      </c>
      <c r="H77" s="15">
        <f t="shared" si="9"/>
        <v>1.9784425178381031E+41</v>
      </c>
      <c r="I77" s="45">
        <v>186.21</v>
      </c>
      <c r="J77" s="45">
        <v>1</v>
      </c>
      <c r="K77" s="19">
        <f t="shared" si="10"/>
        <v>187.28467192268795</v>
      </c>
      <c r="L77" s="16">
        <f t="shared" si="11"/>
        <v>1.1549197414137951</v>
      </c>
      <c r="M77" s="45"/>
    </row>
    <row r="78" spans="1:13" x14ac:dyDescent="0.25">
      <c r="A78" s="45"/>
      <c r="H78" s="15"/>
      <c r="K78" s="45"/>
      <c r="L78" s="16">
        <f>SUM(L50:L77)/(COUNT(L50:L77)-6)</f>
        <v>502.74690880484519</v>
      </c>
      <c r="M78" s="45"/>
    </row>
    <row r="79" spans="1:13" x14ac:dyDescent="0.25">
      <c r="A79" s="45"/>
      <c r="H79" s="15"/>
      <c r="K79" s="45"/>
      <c r="L79" s="17"/>
      <c r="M79" s="45"/>
    </row>
    <row r="80" spans="1:13" x14ac:dyDescent="0.25">
      <c r="A80" s="45"/>
      <c r="I80" s="45"/>
      <c r="J80" s="45"/>
      <c r="L80" s="16"/>
    </row>
    <row r="81" spans="1:29" x14ac:dyDescent="0.25">
      <c r="A81" s="45"/>
      <c r="I81" s="45"/>
      <c r="J81" s="45"/>
      <c r="L81" s="16"/>
    </row>
    <row r="82" spans="1:29" x14ac:dyDescent="0.25">
      <c r="A82" s="45"/>
      <c r="I82" s="45"/>
      <c r="J82" s="45"/>
      <c r="L82" s="16"/>
    </row>
    <row r="83" spans="1:29" x14ac:dyDescent="0.25">
      <c r="A83" s="45"/>
      <c r="I83" s="45"/>
      <c r="J83" s="45"/>
      <c r="L83" s="16"/>
    </row>
    <row r="84" spans="1:29" x14ac:dyDescent="0.25">
      <c r="A84" s="45"/>
      <c r="I84" s="45"/>
      <c r="J84" s="45"/>
      <c r="L84" s="16"/>
    </row>
    <row r="85" spans="1:29" x14ac:dyDescent="0.25">
      <c r="A85" s="45"/>
      <c r="I85" s="45"/>
      <c r="J85" s="45"/>
      <c r="L85" s="16"/>
    </row>
    <row r="86" spans="1:29" x14ac:dyDescent="0.25">
      <c r="A86" s="45"/>
      <c r="I86" s="45"/>
      <c r="J86" s="45"/>
      <c r="L86" s="16"/>
    </row>
    <row r="87" spans="1:29" s="17" customFormat="1" x14ac:dyDescent="0.25">
      <c r="A87" s="45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spans="1:29" s="17" customFormat="1" x14ac:dyDescent="0.25">
      <c r="A88" s="45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spans="1:29" s="17" customFormat="1" x14ac:dyDescent="0.25">
      <c r="A89" s="45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spans="1:29" s="17" customFormat="1" x14ac:dyDescent="0.25">
      <c r="A90" s="45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spans="1:29" s="17" customFormat="1" x14ac:dyDescent="0.25">
      <c r="A91" s="45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spans="1:29" s="17" customFormat="1" x14ac:dyDescent="0.25">
      <c r="A92" s="45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spans="1:29" s="17" customFormat="1" x14ac:dyDescent="0.25">
      <c r="A93" s="45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spans="1:29" s="17" customFormat="1" x14ac:dyDescent="0.25">
      <c r="A94" s="45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spans="1:29" s="17" customFormat="1" x14ac:dyDescent="0.25">
      <c r="A95" s="45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spans="1:29" s="17" customFormat="1" x14ac:dyDescent="0.25">
      <c r="A96" s="45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spans="1:29" s="17" customFormat="1" x14ac:dyDescent="0.25">
      <c r="A97" s="45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spans="1:29" s="17" customFormat="1" x14ac:dyDescent="0.25">
      <c r="A98" s="45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spans="1:29" s="17" customFormat="1" x14ac:dyDescent="0.25">
      <c r="A99" s="45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45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45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45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45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45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45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45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45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45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45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45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45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45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45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45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45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45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45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45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45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45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45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45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45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45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45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45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45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45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45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45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45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45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45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45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45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45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45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45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45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45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45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45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45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45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45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45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45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45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45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45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45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45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45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45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45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45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45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45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45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45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45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45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45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45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45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45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45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45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45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45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45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45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45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45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45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45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45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45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45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45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45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45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45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45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45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45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45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45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45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45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45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45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45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45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45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45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45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45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45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45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45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45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45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45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45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45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45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45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45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45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45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45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45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45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45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45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45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45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45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45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45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45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45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45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45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45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45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45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45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45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45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45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45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45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45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45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45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45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45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45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45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45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45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45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45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45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45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45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45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45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45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45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45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45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45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45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45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45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45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45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45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45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45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45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45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45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45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45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45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45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45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45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45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45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45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45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45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45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45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45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45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45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45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45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45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45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45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45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45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45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45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45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45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45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45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45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45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45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45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45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45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45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45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45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45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45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45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45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45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45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45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45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45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45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45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45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45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45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45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45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45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45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45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45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45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45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45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45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45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45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45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45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45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45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45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45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45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45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45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45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45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45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45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45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45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45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45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45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45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45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45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45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45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45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45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45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45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45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45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45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45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45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45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45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45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45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45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45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45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45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45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45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45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45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45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45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45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45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45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45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45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45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45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45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45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45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45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45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45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45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45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45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45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45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45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45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45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45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45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45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45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45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45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45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45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45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45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45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45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45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45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45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45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45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45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45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45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45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45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45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45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45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45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45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45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45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45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45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45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45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45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45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45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45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45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45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45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45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45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45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45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45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45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45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45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45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45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45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45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45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45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45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45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45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45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45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45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45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45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45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45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45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45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45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45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45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45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45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45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45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45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45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45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45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45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45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45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45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45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45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45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45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45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45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45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45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45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45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45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45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45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45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45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45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45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45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45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45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45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45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45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45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45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45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45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45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45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45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45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45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45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45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45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45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45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45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45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45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45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45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45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45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45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45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45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45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45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45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45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45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45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45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45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45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x14ac:dyDescent="0.25">
      <c r="A535" s="45"/>
      <c r="L535" s="16"/>
    </row>
    <row r="536" spans="1:29" x14ac:dyDescent="0.25">
      <c r="L536" s="16"/>
      <c r="N536" s="17"/>
      <c r="O536" s="38"/>
    </row>
    <row r="537" spans="1:29" x14ac:dyDescent="0.25">
      <c r="L537" s="16"/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C557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16384" width="8.85546875" style="45"/>
  </cols>
  <sheetData>
    <row r="1" spans="1:13" ht="18.75" x14ac:dyDescent="0.3">
      <c r="A1" s="47" t="s">
        <v>613</v>
      </c>
    </row>
    <row r="2" spans="1:13" s="51" customFormat="1" ht="20.100000000000001" customHeight="1" x14ac:dyDescent="0.25">
      <c r="A2" s="52" t="s">
        <v>617</v>
      </c>
      <c r="C2" s="52"/>
      <c r="D2" s="56">
        <v>1686.764623328</v>
      </c>
      <c r="E2" s="55"/>
      <c r="F2" s="53" t="s">
        <v>620</v>
      </c>
      <c r="G2" s="53">
        <v>42461797375</v>
      </c>
      <c r="H2" s="62"/>
      <c r="K2" s="51" t="s">
        <v>1</v>
      </c>
      <c r="L2" s="60" t="s">
        <v>582</v>
      </c>
      <c r="M2" s="55"/>
    </row>
    <row r="3" spans="1:13" s="51" customFormat="1" ht="20.100000000000001" customHeight="1" x14ac:dyDescent="0.25">
      <c r="A3" s="52" t="s">
        <v>616</v>
      </c>
      <c r="C3" s="52"/>
      <c r="D3" s="53">
        <v>3.15306107809175E+40</v>
      </c>
      <c r="E3" s="53"/>
      <c r="F3" s="53" t="s">
        <v>621</v>
      </c>
      <c r="G3" s="53">
        <f>H45/SolarMass</f>
        <v>137277827026.65269</v>
      </c>
      <c r="H3" s="62"/>
      <c r="K3" s="51" t="s">
        <v>562</v>
      </c>
      <c r="L3" s="57">
        <v>4.1029999999999999E-3</v>
      </c>
      <c r="M3" s="55"/>
    </row>
    <row r="4" spans="1:13" s="51" customFormat="1" ht="20.100000000000001" customHeight="1" x14ac:dyDescent="0.25">
      <c r="A4" s="52" t="s">
        <v>618</v>
      </c>
      <c r="C4" s="52"/>
      <c r="D4" s="58">
        <v>3035.4628836152401</v>
      </c>
      <c r="E4" s="55"/>
      <c r="F4" s="53" t="s">
        <v>622</v>
      </c>
      <c r="G4" s="52">
        <f>G3/G2</f>
        <v>3.2329725897914301</v>
      </c>
      <c r="H4" s="62"/>
      <c r="K4" s="61" t="s">
        <v>614</v>
      </c>
      <c r="L4" s="52">
        <f>QEHModelChiSquare</f>
        <v>532.37908007493832</v>
      </c>
      <c r="M4" s="55"/>
    </row>
    <row r="5" spans="1:13" s="51" customFormat="1" ht="20.100000000000001" customHeight="1" x14ac:dyDescent="0.25">
      <c r="A5" s="52" t="s">
        <v>619</v>
      </c>
      <c r="C5" s="52"/>
      <c r="D5" s="59">
        <v>2101.9759601503101</v>
      </c>
      <c r="F5" s="53"/>
      <c r="G5" s="52"/>
      <c r="H5" s="62"/>
      <c r="K5" s="61" t="s">
        <v>615</v>
      </c>
      <c r="L5" s="52">
        <f>LCDMModelChiSquare</f>
        <v>551.69186058181617</v>
      </c>
      <c r="M5" s="55"/>
    </row>
    <row r="6" spans="1:13" ht="20.100000000000001" customHeight="1" x14ac:dyDescent="0.25">
      <c r="D6" s="20"/>
      <c r="E6" s="45"/>
      <c r="I6" s="45"/>
      <c r="J6" s="45"/>
    </row>
    <row r="7" spans="1:1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</row>
    <row r="8" spans="1:13" x14ac:dyDescent="0.25">
      <c r="A8" s="45">
        <v>0.09</v>
      </c>
      <c r="B8" s="45">
        <f t="shared" ref="B8:B45" si="0">RadiusKpc*1000</f>
        <v>90</v>
      </c>
      <c r="C8" s="16">
        <f t="shared" ref="C8:C45" si="1">IF(QESBulgeEffectiveRadius=0,0,RadiusPc/QESBulgeEffectiveRadius)</f>
        <v>5.3356585000241048E-2</v>
      </c>
      <c r="D8" s="15">
        <f t="shared" ref="D8:D45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6.0759504853065882E+38</v>
      </c>
      <c r="F8" s="15">
        <f t="shared" ref="F8:F45" si="3">2*PI()*QESDiskSurfaceDensity*QESDiskScaleLength*(QESDiskScaleLength-EXP(-RadiusPc/QESDiskScaleLength)*(RadiusPc+QESDiskScaleLength))*SolarMass</f>
        <v>1.0431468698956932E+38</v>
      </c>
      <c r="H8" s="18">
        <f t="shared" ref="H8:H45" si="4">BulgeMass+DiskMass+HaloMass</f>
        <v>7.1190973552022816E+38</v>
      </c>
      <c r="I8" s="45">
        <v>72.13</v>
      </c>
      <c r="J8" s="45">
        <v>1</v>
      </c>
      <c r="K8" s="19">
        <f t="shared" ref="K8:K45" si="5">SQRT(TotalMass*GravitationalConstant/RadiusKm+UniverseAcceleration*RadiusKm)/km</f>
        <v>131.18771940074134</v>
      </c>
      <c r="L8" s="16">
        <f t="shared" ref="L8:L45" si="6">(ObservedVelocity-ModelVelocity)^2/(VelocityError)^2</f>
        <v>3487.814220816701</v>
      </c>
    </row>
    <row r="9" spans="1:13" x14ac:dyDescent="0.25">
      <c r="A9" s="45">
        <v>0.19</v>
      </c>
      <c r="B9" s="45">
        <f t="shared" si="0"/>
        <v>190</v>
      </c>
      <c r="C9" s="16">
        <f t="shared" si="1"/>
        <v>0.11264167944495332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1.6123439666626491E+39</v>
      </c>
      <c r="F9" s="15">
        <f t="shared" si="3"/>
        <v>4.5484788719644939E+38</v>
      </c>
      <c r="H9" s="18">
        <f t="shared" si="4"/>
        <v>2.0671918538590985E+39</v>
      </c>
      <c r="I9" s="45">
        <v>125.49</v>
      </c>
      <c r="J9" s="45">
        <v>1</v>
      </c>
      <c r="K9" s="19">
        <f t="shared" si="5"/>
        <v>154.09832007466665</v>
      </c>
      <c r="L9" s="16">
        <f t="shared" si="6"/>
        <v>818.4359774945749</v>
      </c>
    </row>
    <row r="10" spans="1:13" x14ac:dyDescent="0.25">
      <c r="A10" s="45">
        <v>0.3</v>
      </c>
      <c r="B10" s="45">
        <f t="shared" si="0"/>
        <v>300</v>
      </c>
      <c r="C10" s="16">
        <f t="shared" si="1"/>
        <v>0.1778552833341368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2.7564274241564185E+39</v>
      </c>
      <c r="F10" s="15">
        <f t="shared" si="3"/>
        <v>1.1070835090548196E+39</v>
      </c>
      <c r="H10" s="18">
        <f t="shared" si="4"/>
        <v>3.8635109332112381E+39</v>
      </c>
      <c r="I10" s="45">
        <v>163.49</v>
      </c>
      <c r="J10" s="45">
        <v>1</v>
      </c>
      <c r="K10" s="19">
        <f t="shared" si="5"/>
        <v>167.90615857573979</v>
      </c>
      <c r="L10" s="16">
        <f t="shared" si="6"/>
        <v>19.502456566080053</v>
      </c>
    </row>
    <row r="11" spans="1:13" x14ac:dyDescent="0.25">
      <c r="A11" s="45">
        <v>0.42</v>
      </c>
      <c r="B11" s="45">
        <f t="shared" si="0"/>
        <v>420</v>
      </c>
      <c r="C11" s="16">
        <f t="shared" si="1"/>
        <v>0.24899739666779155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3.9592214775204214E+39</v>
      </c>
      <c r="F11" s="15">
        <f t="shared" si="3"/>
        <v>2.1139980537541423E+39</v>
      </c>
      <c r="H11" s="18">
        <f t="shared" si="4"/>
        <v>6.0732195312745634E+39</v>
      </c>
      <c r="I11" s="45">
        <v>193.37</v>
      </c>
      <c r="J11" s="45">
        <v>1</v>
      </c>
      <c r="K11" s="19">
        <f t="shared" si="5"/>
        <v>178.18122486353789</v>
      </c>
      <c r="L11" s="16">
        <f t="shared" si="6"/>
        <v>230.69889014600966</v>
      </c>
    </row>
    <row r="12" spans="1:13" x14ac:dyDescent="0.25">
      <c r="A12" s="45">
        <v>0.56000000000000005</v>
      </c>
      <c r="B12" s="45">
        <f t="shared" si="0"/>
        <v>560</v>
      </c>
      <c r="C12" s="16">
        <f t="shared" si="1"/>
        <v>0.33199652889038872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5.2946303063125643E+39</v>
      </c>
      <c r="F12" s="15">
        <f t="shared" si="3"/>
        <v>3.6459446880266286E+39</v>
      </c>
      <c r="H12" s="18">
        <f t="shared" si="4"/>
        <v>8.9405749943391935E+39</v>
      </c>
      <c r="I12" s="45">
        <v>212.88</v>
      </c>
      <c r="J12" s="45">
        <v>1</v>
      </c>
      <c r="K12" s="19">
        <f t="shared" si="5"/>
        <v>187.51494285377765</v>
      </c>
      <c r="L12" s="16">
        <f t="shared" si="6"/>
        <v>643.38612403112506</v>
      </c>
    </row>
    <row r="13" spans="1:13" x14ac:dyDescent="0.25">
      <c r="A13" s="45">
        <v>0.7</v>
      </c>
      <c r="B13" s="45">
        <f t="shared" si="0"/>
        <v>700</v>
      </c>
      <c r="C13" s="16">
        <f t="shared" si="1"/>
        <v>0.41499566111298591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6.5397667384320814E+39</v>
      </c>
      <c r="F13" s="15">
        <f t="shared" si="3"/>
        <v>5.5272699537217583E+39</v>
      </c>
      <c r="H13" s="18">
        <f t="shared" si="4"/>
        <v>1.206703669215384E+40</v>
      </c>
      <c r="I13" s="45">
        <v>227.21</v>
      </c>
      <c r="J13" s="45">
        <v>1</v>
      </c>
      <c r="K13" s="19">
        <f t="shared" si="5"/>
        <v>195.12421406181002</v>
      </c>
      <c r="L13" s="16">
        <f t="shared" si="6"/>
        <v>1029.4976592713501</v>
      </c>
    </row>
    <row r="14" spans="1:13" x14ac:dyDescent="0.25">
      <c r="A14" s="45">
        <v>0.86</v>
      </c>
      <c r="B14" s="45">
        <f t="shared" si="0"/>
        <v>860</v>
      </c>
      <c r="C14" s="16">
        <f t="shared" si="1"/>
        <v>0.50985181222452558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7.8461528247711811E+39</v>
      </c>
      <c r="F14" s="15">
        <f t="shared" si="3"/>
        <v>8.0608827476092836E+39</v>
      </c>
      <c r="H14" s="18">
        <f t="shared" si="4"/>
        <v>1.5907035572380465E+40</v>
      </c>
      <c r="I14" s="45">
        <v>236.83</v>
      </c>
      <c r="J14" s="45">
        <v>1</v>
      </c>
      <c r="K14" s="19">
        <f t="shared" si="5"/>
        <v>202.42109098041732</v>
      </c>
      <c r="L14" s="16">
        <f t="shared" si="6"/>
        <v>1183.9730199179194</v>
      </c>
    </row>
    <row r="15" spans="1:13" x14ac:dyDescent="0.25">
      <c r="A15" s="45">
        <v>1.04</v>
      </c>
      <c r="B15" s="45">
        <f t="shared" si="0"/>
        <v>1040</v>
      </c>
      <c r="C15" s="16">
        <f t="shared" si="1"/>
        <v>0.61656498222500766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9.1814805474618247E+39</v>
      </c>
      <c r="F15" s="15">
        <f t="shared" si="3"/>
        <v>1.1343326486063801E+40</v>
      </c>
      <c r="H15" s="18">
        <f t="shared" si="4"/>
        <v>2.0524807033525626E+40</v>
      </c>
      <c r="I15" s="45">
        <v>242.42</v>
      </c>
      <c r="J15" s="45">
        <v>1</v>
      </c>
      <c r="K15" s="19">
        <f t="shared" si="5"/>
        <v>209.41907739410919</v>
      </c>
      <c r="L15" s="16">
        <f t="shared" si="6"/>
        <v>1089.060892839994</v>
      </c>
    </row>
    <row r="16" spans="1:13" x14ac:dyDescent="0.25">
      <c r="A16" s="45">
        <v>1.23</v>
      </c>
      <c r="B16" s="45">
        <f t="shared" si="0"/>
        <v>1230</v>
      </c>
      <c r="C16" s="16">
        <f t="shared" si="1"/>
        <v>0.72920666166996095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1.0459785967720942E+40</v>
      </c>
      <c r="F16" s="15">
        <f t="shared" si="3"/>
        <v>1.523840967789597E+40</v>
      </c>
      <c r="H16" s="18">
        <f t="shared" si="4"/>
        <v>2.569819564561691E+40</v>
      </c>
      <c r="I16" s="45">
        <v>245.12</v>
      </c>
      <c r="J16" s="45">
        <v>1</v>
      </c>
      <c r="K16" s="19">
        <f t="shared" si="5"/>
        <v>215.80921839666306</v>
      </c>
      <c r="L16" s="16">
        <f t="shared" si="6"/>
        <v>859.12191819851569</v>
      </c>
    </row>
    <row r="17" spans="1:29" x14ac:dyDescent="0.25">
      <c r="A17" s="45">
        <v>1.45</v>
      </c>
      <c r="B17" s="45">
        <f t="shared" si="0"/>
        <v>1450</v>
      </c>
      <c r="C17" s="16">
        <f t="shared" si="1"/>
        <v>0.85963386944832798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1.1796934602655978E+40</v>
      </c>
      <c r="F17" s="15">
        <f t="shared" si="3"/>
        <v>2.0215062767107761E+40</v>
      </c>
      <c r="H17" s="18">
        <f t="shared" si="4"/>
        <v>3.2011997369763739E+40</v>
      </c>
      <c r="I17" s="45">
        <v>245.57</v>
      </c>
      <c r="J17" s="45">
        <v>1</v>
      </c>
      <c r="K17" s="19">
        <f t="shared" si="5"/>
        <v>222.22270034137586</v>
      </c>
      <c r="L17" s="16">
        <f t="shared" si="6"/>
        <v>545.09640134959079</v>
      </c>
    </row>
    <row r="18" spans="1:29" x14ac:dyDescent="0.25">
      <c r="A18" s="45">
        <v>1.68</v>
      </c>
      <c r="B18" s="45">
        <f t="shared" si="0"/>
        <v>1680</v>
      </c>
      <c r="C18" s="16">
        <f t="shared" si="1"/>
        <v>0.99598958667116622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1.3060288409758271E+40</v>
      </c>
      <c r="F18" s="15">
        <f t="shared" si="3"/>
        <v>2.5857893343230822E+40</v>
      </c>
      <c r="H18" s="18">
        <f t="shared" si="4"/>
        <v>3.8918181752989095E+40</v>
      </c>
      <c r="I18" s="45">
        <v>244.51</v>
      </c>
      <c r="J18" s="45">
        <v>1</v>
      </c>
      <c r="K18" s="19">
        <f t="shared" si="5"/>
        <v>228.02573536414724</v>
      </c>
      <c r="L18" s="16">
        <f t="shared" si="6"/>
        <v>271.73098058482572</v>
      </c>
    </row>
    <row r="19" spans="1:29" x14ac:dyDescent="0.25">
      <c r="A19" s="45">
        <v>1.94</v>
      </c>
      <c r="B19" s="45">
        <f t="shared" si="0"/>
        <v>1940</v>
      </c>
      <c r="C19" s="16">
        <f t="shared" si="1"/>
        <v>1.1501308322274182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1.432348192038591E+40</v>
      </c>
      <c r="F19" s="15">
        <f t="shared" si="3"/>
        <v>3.2663083961264898E+40</v>
      </c>
      <c r="H19" s="18">
        <f t="shared" si="4"/>
        <v>4.6986565881650805E+40</v>
      </c>
      <c r="I19" s="45">
        <v>242</v>
      </c>
      <c r="J19" s="45">
        <v>1</v>
      </c>
      <c r="K19" s="19">
        <f t="shared" si="5"/>
        <v>233.59934303354837</v>
      </c>
      <c r="L19" s="16">
        <f t="shared" si="6"/>
        <v>70.571037467992383</v>
      </c>
    </row>
    <row r="20" spans="1:29" s="17" customFormat="1" x14ac:dyDescent="0.25">
      <c r="A20" s="45">
        <v>2.23</v>
      </c>
      <c r="B20" s="45">
        <f t="shared" si="0"/>
        <v>2230</v>
      </c>
      <c r="C20" s="16">
        <f t="shared" si="1"/>
        <v>1.3220576061170837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1.5583838503186001E+40</v>
      </c>
      <c r="F20" s="15">
        <f t="shared" si="3"/>
        <v>4.0649353422626282E+40</v>
      </c>
      <c r="G20" s="15"/>
      <c r="H20" s="18">
        <f t="shared" si="4"/>
        <v>5.6233191925812285E+40</v>
      </c>
      <c r="I20" s="45">
        <v>238.92</v>
      </c>
      <c r="J20" s="45">
        <v>1</v>
      </c>
      <c r="K20" s="19">
        <f t="shared" si="5"/>
        <v>238.85344259242436</v>
      </c>
      <c r="L20" s="16">
        <f t="shared" si="6"/>
        <v>4.4298885031884856E-3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45">
        <v>2.54</v>
      </c>
      <c r="B21" s="45">
        <f t="shared" si="0"/>
        <v>2540</v>
      </c>
      <c r="C21" s="16">
        <f t="shared" si="1"/>
        <v>1.5058413988956918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1.6776064225872734E+40</v>
      </c>
      <c r="F21" s="15">
        <f t="shared" si="3"/>
        <v>4.9496271158576207E+40</v>
      </c>
      <c r="G21" s="15"/>
      <c r="H21" s="18">
        <f t="shared" si="4"/>
        <v>6.6272335384448944E+40</v>
      </c>
      <c r="I21" s="45">
        <v>235.96</v>
      </c>
      <c r="J21" s="45">
        <v>1</v>
      </c>
      <c r="K21" s="19">
        <f t="shared" si="5"/>
        <v>243.4992731332373</v>
      </c>
      <c r="L21" s="16">
        <f t="shared" si="6"/>
        <v>56.840639377553586</v>
      </c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45">
        <v>2.89</v>
      </c>
      <c r="B22" s="45">
        <f t="shared" si="0"/>
        <v>2890</v>
      </c>
      <c r="C22" s="16">
        <f t="shared" si="1"/>
        <v>1.7133392294521848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1.7958584460965666E+40</v>
      </c>
      <c r="F22" s="15">
        <f t="shared" si="3"/>
        <v>5.9695322514668758E+40</v>
      </c>
      <c r="G22" s="15"/>
      <c r="H22" s="18">
        <f t="shared" si="4"/>
        <v>7.7653906975634425E+40</v>
      </c>
      <c r="I22" s="45">
        <v>233.94</v>
      </c>
      <c r="J22" s="45">
        <v>1</v>
      </c>
      <c r="K22" s="19">
        <f t="shared" si="5"/>
        <v>247.72833924134414</v>
      </c>
      <c r="L22" s="16">
        <f t="shared" si="6"/>
        <v>190.1182990343909</v>
      </c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45">
        <v>3.27</v>
      </c>
      <c r="B23" s="45">
        <f t="shared" si="0"/>
        <v>3270</v>
      </c>
      <c r="C23" s="16">
        <f t="shared" si="1"/>
        <v>1.9386225883420913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1.9082928108277394E+40</v>
      </c>
      <c r="F23" s="15">
        <f t="shared" si="3"/>
        <v>7.0834582461881758E+40</v>
      </c>
      <c r="G23" s="15"/>
      <c r="H23" s="18">
        <f t="shared" si="4"/>
        <v>8.9917510570159147E+40</v>
      </c>
      <c r="I23" s="45">
        <v>232.94</v>
      </c>
      <c r="J23" s="45">
        <v>1</v>
      </c>
      <c r="K23" s="19">
        <f t="shared" si="5"/>
        <v>251.30638262595755</v>
      </c>
      <c r="L23" s="16">
        <f t="shared" si="6"/>
        <v>337.32401076307553</v>
      </c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45">
        <v>3.69</v>
      </c>
      <c r="B24" s="45">
        <f t="shared" si="0"/>
        <v>3690</v>
      </c>
      <c r="C24" s="16">
        <f t="shared" si="1"/>
        <v>2.1876199850098828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2.0170471932704052E+40</v>
      </c>
      <c r="F24" s="15">
        <f t="shared" si="3"/>
        <v>8.3028368337546962E+40</v>
      </c>
      <c r="G24" s="15"/>
      <c r="H24" s="18">
        <f t="shared" si="4"/>
        <v>1.0319884027025101E+41</v>
      </c>
      <c r="I24" s="45">
        <v>233.98</v>
      </c>
      <c r="J24" s="45">
        <v>1</v>
      </c>
      <c r="K24" s="19">
        <f t="shared" si="5"/>
        <v>254.24966060306409</v>
      </c>
      <c r="L24" s="16">
        <f t="shared" si="6"/>
        <v>410.85914096340878</v>
      </c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45">
        <v>4.1500000000000004</v>
      </c>
      <c r="B25" s="45">
        <f t="shared" si="0"/>
        <v>4150</v>
      </c>
      <c r="C25" s="16">
        <f t="shared" si="1"/>
        <v>2.4603314194555592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2.1201977840797063E+40</v>
      </c>
      <c r="F25" s="15">
        <f t="shared" si="3"/>
        <v>9.6042986770065663E+40</v>
      </c>
      <c r="G25" s="15"/>
      <c r="H25" s="18">
        <f t="shared" si="4"/>
        <v>1.1724496461086273E+41</v>
      </c>
      <c r="I25" s="45">
        <v>236.39</v>
      </c>
      <c r="J25" s="45">
        <v>1</v>
      </c>
      <c r="K25" s="19">
        <f t="shared" si="5"/>
        <v>256.46858392767064</v>
      </c>
      <c r="L25" s="16">
        <f t="shared" si="6"/>
        <v>403.14953254051414</v>
      </c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45">
        <v>4.6500000000000004</v>
      </c>
      <c r="B26" s="45">
        <f t="shared" si="0"/>
        <v>4650</v>
      </c>
      <c r="C26" s="16">
        <f t="shared" si="1"/>
        <v>2.7567568916791205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2.2172769045854524E+40</v>
      </c>
      <c r="F26" s="15">
        <f t="shared" si="3"/>
        <v>1.0960038835575584E+41</v>
      </c>
      <c r="G26" s="15"/>
      <c r="H26" s="18">
        <f t="shared" si="4"/>
        <v>1.3177315740161036E+41</v>
      </c>
      <c r="I26" s="45">
        <v>240.5</v>
      </c>
      <c r="J26" s="45">
        <v>1</v>
      </c>
      <c r="K26" s="19">
        <f t="shared" si="5"/>
        <v>257.92610029590037</v>
      </c>
      <c r="L26" s="16">
        <f t="shared" si="6"/>
        <v>303.66897152277892</v>
      </c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45">
        <v>5.21</v>
      </c>
      <c r="B27" s="45">
        <f t="shared" si="0"/>
        <v>5210</v>
      </c>
      <c r="C27" s="16">
        <f t="shared" si="1"/>
        <v>3.0887534205695095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2.3108915892858729E+40</v>
      </c>
      <c r="F27" s="15">
        <f t="shared" si="3"/>
        <v>1.2388944594161674E+41</v>
      </c>
      <c r="G27" s="15"/>
      <c r="H27" s="18">
        <f t="shared" si="4"/>
        <v>1.4699836183447547E+41</v>
      </c>
      <c r="I27" s="45">
        <v>244.88</v>
      </c>
      <c r="J27" s="45">
        <v>1</v>
      </c>
      <c r="K27" s="19">
        <f t="shared" si="5"/>
        <v>258.62819127255767</v>
      </c>
      <c r="L27" s="16">
        <f t="shared" si="6"/>
        <v>189.01276326683106</v>
      </c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45">
        <v>5.82</v>
      </c>
      <c r="B28" s="45">
        <f t="shared" si="0"/>
        <v>5820</v>
      </c>
      <c r="C28" s="16">
        <f t="shared" si="1"/>
        <v>3.4503924966822543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2.3978798411548951E+40</v>
      </c>
      <c r="F28" s="15">
        <f t="shared" si="3"/>
        <v>1.3825144135486811E+41</v>
      </c>
      <c r="G28" s="15"/>
      <c r="H28" s="18">
        <f t="shared" si="4"/>
        <v>1.6223023976641705E+41</v>
      </c>
      <c r="I28" s="45">
        <v>247.07</v>
      </c>
      <c r="J28" s="45">
        <v>1</v>
      </c>
      <c r="K28" s="19">
        <f t="shared" si="5"/>
        <v>258.53324618337632</v>
      </c>
      <c r="L28" s="16">
        <f t="shared" si="6"/>
        <v>131.40601306069195</v>
      </c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45">
        <v>6.49</v>
      </c>
      <c r="B29" s="45">
        <f t="shared" si="0"/>
        <v>6490</v>
      </c>
      <c r="C29" s="16">
        <f t="shared" si="1"/>
        <v>3.8476026294618264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2.4792728533323829E+40</v>
      </c>
      <c r="F29" s="15">
        <f t="shared" si="3"/>
        <v>1.5251279818699676E+41</v>
      </c>
      <c r="G29" s="15"/>
      <c r="H29" s="18">
        <f t="shared" si="4"/>
        <v>1.7730552672032059E+41</v>
      </c>
      <c r="I29" s="45">
        <v>247.47</v>
      </c>
      <c r="J29" s="45">
        <v>1</v>
      </c>
      <c r="K29" s="19">
        <f t="shared" si="5"/>
        <v>257.66904386635525</v>
      </c>
      <c r="L29" s="16">
        <f t="shared" si="6"/>
        <v>104.02049578783873</v>
      </c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45">
        <v>7.23</v>
      </c>
      <c r="B30" s="45">
        <f t="shared" si="0"/>
        <v>7230</v>
      </c>
      <c r="C30" s="16">
        <f t="shared" si="1"/>
        <v>4.2863123283526976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2.5553642699696366E+40</v>
      </c>
      <c r="F30" s="15">
        <f t="shared" si="3"/>
        <v>1.6643341606928348E+41</v>
      </c>
      <c r="G30" s="15"/>
      <c r="H30" s="18">
        <f t="shared" si="4"/>
        <v>1.9198705876897986E+41</v>
      </c>
      <c r="I30" s="45">
        <v>246.81</v>
      </c>
      <c r="J30" s="45">
        <v>1</v>
      </c>
      <c r="K30" s="19">
        <f t="shared" si="5"/>
        <v>256.06663456322678</v>
      </c>
      <c r="L30" s="16">
        <f t="shared" si="6"/>
        <v>85.685283437124681</v>
      </c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45">
        <v>8.0500000000000007</v>
      </c>
      <c r="B31" s="45">
        <f t="shared" si="0"/>
        <v>8050.0000000000009</v>
      </c>
      <c r="C31" s="16">
        <f t="shared" si="1"/>
        <v>4.7724501027993389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2.6261416095281733E+40</v>
      </c>
      <c r="F31" s="15">
        <f t="shared" si="3"/>
        <v>1.7972448325077491E+41</v>
      </c>
      <c r="G31" s="15"/>
      <c r="H31" s="18">
        <f t="shared" si="4"/>
        <v>2.0598589934605665E+41</v>
      </c>
      <c r="I31" s="45">
        <v>246.73</v>
      </c>
      <c r="J31" s="45">
        <v>1</v>
      </c>
      <c r="K31" s="19">
        <f t="shared" si="5"/>
        <v>253.77865757680254</v>
      </c>
      <c r="L31" s="16">
        <f t="shared" si="6"/>
        <v>49.68357363501606</v>
      </c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45">
        <v>8.94</v>
      </c>
      <c r="B32" s="45">
        <f t="shared" si="0"/>
        <v>8940</v>
      </c>
      <c r="C32" s="16">
        <f t="shared" si="1"/>
        <v>5.3000874433572776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2.6867135744742062E+40</v>
      </c>
      <c r="F32" s="15">
        <f t="shared" si="3"/>
        <v>1.9183187742459617E+41</v>
      </c>
      <c r="G32" s="15"/>
      <c r="H32" s="18">
        <f t="shared" si="4"/>
        <v>2.1869901316933824E+41</v>
      </c>
      <c r="I32" s="45">
        <v>248.77</v>
      </c>
      <c r="J32" s="45">
        <v>1</v>
      </c>
      <c r="K32" s="19">
        <f t="shared" si="5"/>
        <v>250.94033404474155</v>
      </c>
      <c r="L32" s="16">
        <f t="shared" si="6"/>
        <v>4.7103498657641607</v>
      </c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45">
        <v>9.93</v>
      </c>
      <c r="B33" s="45">
        <f t="shared" si="0"/>
        <v>9930</v>
      </c>
      <c r="C33" s="16">
        <f t="shared" si="1"/>
        <v>5.8870098783599287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2.7481165583125939E+40</v>
      </c>
      <c r="F33" s="15">
        <f t="shared" si="3"/>
        <v>2.0281250892080005E+41</v>
      </c>
      <c r="G33" s="15"/>
      <c r="H33" s="18">
        <f t="shared" si="4"/>
        <v>2.3029367450392597E+41</v>
      </c>
      <c r="I33" s="45">
        <v>251.27</v>
      </c>
      <c r="J33" s="45">
        <v>1</v>
      </c>
      <c r="K33" s="19">
        <f t="shared" si="5"/>
        <v>247.65979643424961</v>
      </c>
      <c r="L33" s="16">
        <f t="shared" si="6"/>
        <v>13.033569786156875</v>
      </c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spans="1:29" s="17" customFormat="1" x14ac:dyDescent="0.25">
      <c r="A34" s="45">
        <v>11.01</v>
      </c>
      <c r="B34" s="45">
        <f t="shared" si="0"/>
        <v>11010</v>
      </c>
      <c r="C34" s="16">
        <f t="shared" si="1"/>
        <v>6.527288898362821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2.8003379735620762E+40</v>
      </c>
      <c r="F34" s="15">
        <f t="shared" si="3"/>
        <v>2.1227085744122866E+41</v>
      </c>
      <c r="G34" s="15"/>
      <c r="H34" s="18">
        <f t="shared" si="4"/>
        <v>2.4027423717684942E+41</v>
      </c>
      <c r="I34" s="45">
        <v>253.62</v>
      </c>
      <c r="J34" s="45">
        <v>1</v>
      </c>
      <c r="K34" s="19">
        <f t="shared" si="5"/>
        <v>244.1122696776186</v>
      </c>
      <c r="L34" s="16">
        <f t="shared" si="6"/>
        <v>90.396935883130823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spans="1:29" s="17" customFormat="1" x14ac:dyDescent="0.25">
      <c r="A35" s="45">
        <v>12.2</v>
      </c>
      <c r="B35" s="45">
        <f t="shared" si="0"/>
        <v>12200</v>
      </c>
      <c r="C35" s="16">
        <f t="shared" si="1"/>
        <v>7.2327815222548972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2.8499958775591068E+40</v>
      </c>
      <c r="F35" s="15">
        <f t="shared" si="3"/>
        <v>2.2022533431834374E+41</v>
      </c>
      <c r="G35" s="15"/>
      <c r="H35" s="18">
        <f t="shared" si="4"/>
        <v>2.4872529309393479E+41</v>
      </c>
      <c r="I35" s="45">
        <v>256.52</v>
      </c>
      <c r="J35" s="45">
        <v>1</v>
      </c>
      <c r="K35" s="19">
        <f t="shared" si="5"/>
        <v>240.46614134770206</v>
      </c>
      <c r="L35" s="16">
        <f t="shared" si="6"/>
        <v>257.72637762796074</v>
      </c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spans="1:29" s="17" customFormat="1" x14ac:dyDescent="0.25">
      <c r="A36" s="45">
        <v>13.51</v>
      </c>
      <c r="B36" s="45">
        <f t="shared" si="0"/>
        <v>13510</v>
      </c>
      <c r="C36" s="16">
        <f t="shared" si="1"/>
        <v>8.0094162594806289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2.8947076880942487E+40</v>
      </c>
      <c r="F36" s="15">
        <f t="shared" si="3"/>
        <v>2.2665772496797997E+41</v>
      </c>
      <c r="G36" s="15"/>
      <c r="H36" s="18">
        <f t="shared" si="4"/>
        <v>2.5560480184892246E+41</v>
      </c>
      <c r="I36" s="45">
        <v>258.68</v>
      </c>
      <c r="J36" s="45">
        <v>1</v>
      </c>
      <c r="K36" s="19">
        <f t="shared" si="5"/>
        <v>236.90422766060061</v>
      </c>
      <c r="L36" s="16">
        <f t="shared" si="6"/>
        <v>474.18426097735181</v>
      </c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spans="1:29" s="17" customFormat="1" x14ac:dyDescent="0.25">
      <c r="A37" s="45">
        <v>14.95</v>
      </c>
      <c r="B37" s="45">
        <f t="shared" si="0"/>
        <v>14950</v>
      </c>
      <c r="C37" s="16">
        <f t="shared" si="1"/>
        <v>8.8631216194844846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2.9326349407561096E+40</v>
      </c>
      <c r="F37" s="15">
        <f t="shared" si="3"/>
        <v>2.3163997201453635E+41</v>
      </c>
      <c r="G37" s="15"/>
      <c r="H37" s="18">
        <f t="shared" si="4"/>
        <v>2.6096632142209743E+41</v>
      </c>
      <c r="I37" s="45">
        <v>259.73</v>
      </c>
      <c r="J37" s="45">
        <v>1</v>
      </c>
      <c r="K37" s="19">
        <f t="shared" si="5"/>
        <v>233.61935026945588</v>
      </c>
      <c r="L37" s="16">
        <f t="shared" si="6"/>
        <v>681.76602935116478</v>
      </c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spans="1:29" s="17" customFormat="1" x14ac:dyDescent="0.25">
      <c r="A38" s="45">
        <v>16.54</v>
      </c>
      <c r="B38" s="45">
        <f t="shared" si="0"/>
        <v>16540</v>
      </c>
      <c r="C38" s="16">
        <f t="shared" si="1"/>
        <v>9.8057546211554101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2.9668149504941748E+40</v>
      </c>
      <c r="F38" s="15">
        <f t="shared" si="3"/>
        <v>2.353412747376133E+41</v>
      </c>
      <c r="G38" s="15"/>
      <c r="H38" s="18">
        <f t="shared" si="4"/>
        <v>2.6500942424255503E+41</v>
      </c>
      <c r="I38" s="45">
        <v>260.35000000000002</v>
      </c>
      <c r="J38" s="45">
        <v>1</v>
      </c>
      <c r="K38" s="19">
        <f t="shared" si="5"/>
        <v>230.7950076240472</v>
      </c>
      <c r="L38" s="16">
        <f t="shared" si="6"/>
        <v>873.49757434262938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spans="1:29" s="17" customFormat="1" x14ac:dyDescent="0.25">
      <c r="A39" s="45">
        <v>18.29</v>
      </c>
      <c r="B39" s="45">
        <f t="shared" si="0"/>
        <v>18290</v>
      </c>
      <c r="C39" s="16">
        <f t="shared" si="1"/>
        <v>10.843243773937875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2.9969862738086986E+40</v>
      </c>
      <c r="F39" s="15">
        <f t="shared" si="3"/>
        <v>2.3794567337526177E+41</v>
      </c>
      <c r="G39" s="15"/>
      <c r="H39" s="18">
        <f t="shared" si="4"/>
        <v>2.6791553611334877E+41</v>
      </c>
      <c r="I39" s="45">
        <v>259.41000000000003</v>
      </c>
      <c r="J39" s="45">
        <v>1</v>
      </c>
      <c r="K39" s="19">
        <f t="shared" si="5"/>
        <v>228.61175075850667</v>
      </c>
      <c r="L39" s="16">
        <f t="shared" si="6"/>
        <v>948.53215634114576</v>
      </c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spans="1:29" s="17" customFormat="1" x14ac:dyDescent="0.25">
      <c r="A40" s="45">
        <v>20.2</v>
      </c>
      <c r="B40" s="45">
        <f t="shared" si="0"/>
        <v>20200</v>
      </c>
      <c r="C40" s="16">
        <f t="shared" si="1"/>
        <v>11.975589077831879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3.0232067927750847E+40</v>
      </c>
      <c r="F40" s="15">
        <f t="shared" si="3"/>
        <v>2.3966855236587908E+41</v>
      </c>
      <c r="G40" s="15"/>
      <c r="H40" s="18">
        <f t="shared" si="4"/>
        <v>2.6990062029362994E+41</v>
      </c>
      <c r="I40" s="45">
        <v>256.99</v>
      </c>
      <c r="J40" s="45">
        <v>1</v>
      </c>
      <c r="K40" s="19">
        <f t="shared" si="5"/>
        <v>227.2208434715009</v>
      </c>
      <c r="L40" s="16">
        <f t="shared" si="6"/>
        <v>886.20268041828115</v>
      </c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spans="1:29" x14ac:dyDescent="0.25">
      <c r="A41" s="45">
        <v>22.32</v>
      </c>
      <c r="B41" s="45">
        <f t="shared" si="0"/>
        <v>22320</v>
      </c>
      <c r="C41" s="16">
        <f t="shared" si="1"/>
        <v>13.23243308005978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3.045552272125547E+40</v>
      </c>
      <c r="F41" s="15">
        <f t="shared" si="3"/>
        <v>2.4075974900135933E+41</v>
      </c>
      <c r="H41" s="18">
        <f t="shared" si="4"/>
        <v>2.712152717226148E+41</v>
      </c>
      <c r="I41" s="45">
        <v>253.26</v>
      </c>
      <c r="J41" s="45">
        <v>1</v>
      </c>
      <c r="K41" s="19">
        <f t="shared" si="5"/>
        <v>226.7095895808605</v>
      </c>
      <c r="L41" s="16">
        <f t="shared" si="6"/>
        <v>704.92429342475111</v>
      </c>
    </row>
    <row r="42" spans="1:29" x14ac:dyDescent="0.25">
      <c r="A42" s="45">
        <v>24.64</v>
      </c>
      <c r="B42" s="45">
        <f t="shared" si="0"/>
        <v>24640</v>
      </c>
      <c r="C42" s="16">
        <f t="shared" si="1"/>
        <v>14.607847271177103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3.064772946793447E+40</v>
      </c>
      <c r="F42" s="15">
        <f t="shared" si="3"/>
        <v>2.4139667266813465E+41</v>
      </c>
      <c r="H42" s="18">
        <f t="shared" si="4"/>
        <v>2.7204440213606911E+41</v>
      </c>
      <c r="I42" s="45">
        <v>247.54</v>
      </c>
      <c r="J42" s="45">
        <v>1</v>
      </c>
      <c r="K42" s="19">
        <f t="shared" si="5"/>
        <v>227.16938966705484</v>
      </c>
      <c r="L42" s="16">
        <f t="shared" si="6"/>
        <v>414.96176533669166</v>
      </c>
    </row>
    <row r="43" spans="1:29" x14ac:dyDescent="0.25">
      <c r="A43" s="45">
        <v>27.19</v>
      </c>
      <c r="B43" s="45">
        <f t="shared" si="0"/>
        <v>27190</v>
      </c>
      <c r="C43" s="16">
        <f t="shared" si="1"/>
        <v>16.119617179517267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3.0784349712523246E+40</v>
      </c>
      <c r="F43" s="15">
        <f t="shared" si="3"/>
        <v>2.4174463583730934E+41</v>
      </c>
      <c r="H43" s="18">
        <f t="shared" si="4"/>
        <v>2.725289855498326E+41</v>
      </c>
      <c r="I43" s="45">
        <v>239.9</v>
      </c>
      <c r="J43" s="45">
        <v>1</v>
      </c>
      <c r="K43" s="19">
        <f t="shared" si="5"/>
        <v>228.63553718618599</v>
      </c>
      <c r="L43" s="16">
        <f t="shared" si="6"/>
        <v>126.88812248379888</v>
      </c>
    </row>
    <row r="44" spans="1:29" x14ac:dyDescent="0.25">
      <c r="A44" s="45">
        <v>30</v>
      </c>
      <c r="B44" s="45">
        <f t="shared" si="0"/>
        <v>30000</v>
      </c>
      <c r="C44" s="16">
        <f t="shared" si="1"/>
        <v>17.78552833341368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3.0914407050287452E+40</v>
      </c>
      <c r="F44" s="15">
        <f t="shared" si="3"/>
        <v>2.4192059496617206E+41</v>
      </c>
      <c r="H44" s="18">
        <f t="shared" si="4"/>
        <v>2.7283500201645949E+41</v>
      </c>
      <c r="I44" s="45">
        <v>230.62</v>
      </c>
      <c r="J44" s="45">
        <v>1</v>
      </c>
      <c r="K44" s="19">
        <f t="shared" si="5"/>
        <v>231.14397989298337</v>
      </c>
      <c r="L44" s="16">
        <f t="shared" si="6"/>
        <v>0.27455492825085609</v>
      </c>
    </row>
    <row r="45" spans="1:29" x14ac:dyDescent="0.25">
      <c r="A45" s="45">
        <v>33.090000000000003</v>
      </c>
      <c r="B45" s="45">
        <f t="shared" si="0"/>
        <v>33090</v>
      </c>
      <c r="C45" s="16">
        <f t="shared" si="1"/>
        <v>19.61743775175529</v>
      </c>
      <c r="D45" s="15">
        <f t="shared" si="2"/>
        <v>1.0210507112220002E+21</v>
      </c>
      <c r="E45" s="15">
        <f>IF($C45=0,0,FORECAST($C45, OFFSET('De Vaucouleurs Deprojection'!$F$2:$F$127, MATCH($C45, 'De Vaucouleurs Deprojection'!$A$2:$A$127,1)-1,0,2), OFFSET('De Vaucouleurs Deprojection'!$A$2:$A$127, MATCH($C45, 'De Vaucouleurs Deprojection'!$A$2:$A$127,1)-1,0,2))*QESTotalBulgeMass)</f>
        <v>3.1057423838077981E+40</v>
      </c>
      <c r="F45" s="15">
        <f t="shared" si="3"/>
        <v>2.4200190190063688E+41</v>
      </c>
      <c r="H45" s="18">
        <f t="shared" si="4"/>
        <v>2.7305932573871487E+41</v>
      </c>
      <c r="I45" s="45">
        <v>224.06</v>
      </c>
      <c r="J45" s="45">
        <v>1</v>
      </c>
      <c r="K45" s="19">
        <f t="shared" si="5"/>
        <v>234.69613274731049</v>
      </c>
      <c r="L45" s="16">
        <f t="shared" si="6"/>
        <v>113.12731981841046</v>
      </c>
    </row>
    <row r="46" spans="1:29" x14ac:dyDescent="0.25">
      <c r="I46" s="45"/>
      <c r="J46" s="45"/>
      <c r="L46" s="16">
        <f>SUM(L8:L45)/(COUNT(L8:L45)-4)</f>
        <v>532.37908007493832</v>
      </c>
    </row>
    <row r="47" spans="1:29" x14ac:dyDescent="0.25">
      <c r="I47" s="45"/>
      <c r="J47" s="45"/>
      <c r="L47" s="16"/>
    </row>
    <row r="48" spans="1:29" ht="21" x14ac:dyDescent="0.35">
      <c r="A48" s="48" t="s">
        <v>564</v>
      </c>
      <c r="I48" s="45"/>
      <c r="J48" s="45"/>
      <c r="L48" s="16"/>
    </row>
    <row r="49" spans="1:29" x14ac:dyDescent="0.25">
      <c r="A49" s="16" t="s">
        <v>30</v>
      </c>
      <c r="D49" s="16">
        <v>3.05</v>
      </c>
      <c r="E49" s="17">
        <f>$D$49*1000</f>
        <v>3050</v>
      </c>
      <c r="F49" s="17"/>
      <c r="G49" s="17"/>
      <c r="H49" s="15"/>
      <c r="K49" s="15"/>
      <c r="L49" s="17"/>
      <c r="M49" s="45"/>
    </row>
    <row r="50" spans="1:29" x14ac:dyDescent="0.25">
      <c r="A50" s="16" t="s">
        <v>16</v>
      </c>
      <c r="D50" s="16">
        <v>6.4</v>
      </c>
      <c r="E50" s="15">
        <f>D50*10000000000*SolarMass</f>
        <v>1.2730239999999999E+41</v>
      </c>
      <c r="F50" s="43"/>
      <c r="G50" s="43"/>
      <c r="H50" s="15"/>
      <c r="K50" s="15"/>
      <c r="L50" s="17"/>
      <c r="M50" s="45"/>
    </row>
    <row r="51" spans="1:29" x14ac:dyDescent="0.25">
      <c r="A51" s="16" t="s">
        <v>569</v>
      </c>
      <c r="D51" s="16">
        <v>4</v>
      </c>
      <c r="E51" s="15">
        <f>D51*1000</f>
        <v>4000</v>
      </c>
      <c r="H51" s="15"/>
      <c r="K51" s="15"/>
      <c r="L51" s="17"/>
      <c r="M51" s="45"/>
    </row>
    <row r="52" spans="1:29" x14ac:dyDescent="0.25">
      <c r="A52" s="16" t="s">
        <v>17</v>
      </c>
      <c r="D52" s="45">
        <v>4.5999999999999996</v>
      </c>
      <c r="G52" s="16"/>
      <c r="H52" s="15"/>
      <c r="K52" s="15"/>
      <c r="L52" s="17"/>
      <c r="M52" s="45"/>
    </row>
    <row r="53" spans="1:29" x14ac:dyDescent="0.25">
      <c r="A53" s="16" t="s">
        <v>570</v>
      </c>
      <c r="D53" s="16">
        <v>19.2</v>
      </c>
      <c r="E53" s="17">
        <f>D53*1000</f>
        <v>19200</v>
      </c>
      <c r="H53" s="15"/>
      <c r="K53" s="15"/>
      <c r="L53" s="17"/>
      <c r="M53" s="45"/>
    </row>
    <row r="54" spans="1:29" x14ac:dyDescent="0.25">
      <c r="A54" s="16" t="s">
        <v>571</v>
      </c>
      <c r="D54" s="16">
        <v>16.3</v>
      </c>
      <c r="G54" s="9"/>
      <c r="H54" s="15"/>
      <c r="K54" s="15"/>
      <c r="L54" s="17"/>
      <c r="M54" s="45"/>
    </row>
    <row r="55" spans="1:29" x14ac:dyDescent="0.25">
      <c r="D55" s="12"/>
      <c r="H55" s="15"/>
      <c r="K55" s="15"/>
      <c r="L55" s="17"/>
      <c r="M55" s="45"/>
    </row>
    <row r="56" spans="1:29" x14ac:dyDescent="0.25">
      <c r="A56" s="16" t="s">
        <v>567</v>
      </c>
      <c r="D56" s="17">
        <f>(D52*10000000000)/(2*PI()*DiskScaleLengthPc^2)</f>
        <v>457.57046138919912</v>
      </c>
      <c r="H56" s="15"/>
      <c r="K56" s="15"/>
      <c r="L56" s="17"/>
      <c r="M56" s="45"/>
    </row>
    <row r="57" spans="1:29" x14ac:dyDescent="0.25">
      <c r="A57" s="16" t="s">
        <v>565</v>
      </c>
      <c r="D57" s="9">
        <f>(D54*10000000000)/(4*PI()*(LCDMHaloScaleLengthPc)^3*(LN(2)-1/2))</f>
        <v>9.4882404345849013E-3</v>
      </c>
      <c r="H57" s="15"/>
      <c r="K57" s="15"/>
      <c r="L57" s="17"/>
      <c r="M57" s="45"/>
    </row>
    <row r="58" spans="1:29" x14ac:dyDescent="0.25">
      <c r="H58" s="15"/>
      <c r="K58" s="15"/>
      <c r="L58" s="17"/>
      <c r="M58" s="45"/>
    </row>
    <row r="59" spans="1:29" ht="45" x14ac:dyDescent="0.25">
      <c r="A59" s="7" t="s">
        <v>20</v>
      </c>
      <c r="B59" s="3" t="s">
        <v>19</v>
      </c>
      <c r="C59" s="7" t="s">
        <v>27</v>
      </c>
      <c r="D59" s="4" t="s">
        <v>649</v>
      </c>
      <c r="E59" s="4" t="s">
        <v>21</v>
      </c>
      <c r="F59" s="4" t="s">
        <v>22</v>
      </c>
      <c r="G59" s="4" t="s">
        <v>28</v>
      </c>
      <c r="H59" s="4" t="s">
        <v>23</v>
      </c>
      <c r="I59" s="7" t="s">
        <v>645</v>
      </c>
      <c r="J59" s="7" t="s">
        <v>646</v>
      </c>
      <c r="K59" s="25" t="s">
        <v>647</v>
      </c>
      <c r="L59" s="3" t="s">
        <v>648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x14ac:dyDescent="0.25">
      <c r="A60" s="45">
        <v>0.09</v>
      </c>
      <c r="B60" s="45">
        <f>A60*1000</f>
        <v>90</v>
      </c>
      <c r="C60" s="16">
        <f>B60/LCDMBulgeEffectiveRadius</f>
        <v>2.9508196721311476E-2</v>
      </c>
      <c r="D60" s="15">
        <f>A60*kpc</f>
        <v>2.777109822E+18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1.0477853593704918E+39</v>
      </c>
      <c r="F60" s="15">
        <f t="shared" ref="F60:F97" si="7">2*PI()*LCDMDiskSurfaceDensity*LCDMScaleLength*(LCDMScaleLength-EXP(-RadiusPc/LCDMScaleLength)*(RadiusPc+LCDMScaleLength))*SolarMass</f>
        <v>2.2816088133982454E+37</v>
      </c>
      <c r="G60" s="15">
        <f t="shared" ref="G60:G97" si="8">4*PI()*LCDMHaloRepresentativeDensity*LCDMHaloScaleLengthPc^3*(LN(1+RadiusPc/LCDMHaloScaleLengthPc)-RadiusPc/(RadiusPc+LCDMHaloScaleLengthPc))*SolarMass</f>
        <v>1.8327359056312756E+37</v>
      </c>
      <c r="H60" s="15">
        <f t="shared" ref="H60:H97" si="9">BulgeMass+DiskMass+HaloMass</f>
        <v>1.0889288065607871E+39</v>
      </c>
      <c r="I60" s="45">
        <v>72.13</v>
      </c>
      <c r="J60" s="45">
        <v>1</v>
      </c>
      <c r="K60" s="19">
        <f t="shared" ref="K60:K97" si="10">SQRT(TotalMass*GravitationalConstant/RadiusKm)/km</f>
        <v>161.77034817663372</v>
      </c>
      <c r="L60" s="16">
        <f t="shared" ref="L60:L97" si="11">(ObservedVelocity-ModelVelocity)^2/(VelocityError)^2</f>
        <v>8035.3920212281209</v>
      </c>
      <c r="M60" s="45"/>
    </row>
    <row r="61" spans="1:29" x14ac:dyDescent="0.25">
      <c r="A61" s="45">
        <v>0.19</v>
      </c>
      <c r="B61" s="45">
        <f t="shared" ref="B61:B97" si="12">A61*1000</f>
        <v>190</v>
      </c>
      <c r="C61" s="16">
        <f t="shared" ref="C61:C97" si="13">B61/LCDMBulgeEffectiveRadius</f>
        <v>6.2295081967213117E-2</v>
      </c>
      <c r="D61" s="15">
        <f t="shared" ref="D61:D97" si="14">A61*kpc</f>
        <v>5.862787402E+18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3.0298033807737709E+39</v>
      </c>
      <c r="F61" s="15">
        <f t="shared" si="7"/>
        <v>1.0001065927085437E+38</v>
      </c>
      <c r="G61" s="15">
        <f t="shared" si="8"/>
        <v>8.1119665359367073E+37</v>
      </c>
      <c r="H61" s="15">
        <f t="shared" si="9"/>
        <v>3.2109337054039926E+39</v>
      </c>
      <c r="I61" s="45">
        <v>125.49</v>
      </c>
      <c r="J61" s="45">
        <v>1</v>
      </c>
      <c r="K61" s="19">
        <f t="shared" si="10"/>
        <v>191.18741469823917</v>
      </c>
      <c r="L61" s="16">
        <f t="shared" si="11"/>
        <v>4316.1502980324121</v>
      </c>
      <c r="M61" s="45"/>
    </row>
    <row r="62" spans="1:29" x14ac:dyDescent="0.25">
      <c r="A62" s="45">
        <v>0.3</v>
      </c>
      <c r="B62" s="45">
        <f t="shared" si="12"/>
        <v>300</v>
      </c>
      <c r="C62" s="16">
        <f t="shared" si="13"/>
        <v>9.8360655737704916E-2</v>
      </c>
      <c r="D62" s="15">
        <f t="shared" si="14"/>
        <v>9.25703274E+18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5.4993217691278684E+39</v>
      </c>
      <c r="F62" s="15">
        <f t="shared" si="7"/>
        <v>2.4482757995464241E+38</v>
      </c>
      <c r="G62" s="15">
        <f t="shared" si="8"/>
        <v>2.0071612312985325E+38</v>
      </c>
      <c r="H62" s="15">
        <f t="shared" si="9"/>
        <v>5.9448654722123635E+39</v>
      </c>
      <c r="I62" s="45">
        <v>163.49</v>
      </c>
      <c r="J62" s="45">
        <v>1</v>
      </c>
      <c r="K62" s="19">
        <f t="shared" si="10"/>
        <v>207.02882622021764</v>
      </c>
      <c r="L62" s="16">
        <f t="shared" si="11"/>
        <v>1895.6293886343101</v>
      </c>
      <c r="M62" s="45"/>
    </row>
    <row r="63" spans="1:29" x14ac:dyDescent="0.25">
      <c r="A63" s="45">
        <v>0.42</v>
      </c>
      <c r="B63" s="45">
        <f t="shared" si="12"/>
        <v>420</v>
      </c>
      <c r="C63" s="16">
        <f t="shared" si="13"/>
        <v>0.13770491803278689</v>
      </c>
      <c r="D63" s="15">
        <f t="shared" si="14"/>
        <v>1.2959845836E+19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8.2849695813245893E+39</v>
      </c>
      <c r="F63" s="15">
        <f t="shared" si="7"/>
        <v>4.7043113464558874E+38</v>
      </c>
      <c r="G63" s="15">
        <f t="shared" si="8"/>
        <v>3.9019374899558158E+38</v>
      </c>
      <c r="H63" s="15">
        <f t="shared" si="9"/>
        <v>9.1455944649657591E+39</v>
      </c>
      <c r="I63" s="45">
        <v>193.37</v>
      </c>
      <c r="J63" s="45">
        <v>1</v>
      </c>
      <c r="K63" s="19">
        <f t="shared" si="10"/>
        <v>217.02099799928467</v>
      </c>
      <c r="L63" s="16">
        <f t="shared" si="11"/>
        <v>559.36970636216745</v>
      </c>
      <c r="M63" s="45"/>
    </row>
    <row r="64" spans="1:29" x14ac:dyDescent="0.25">
      <c r="A64" s="45">
        <v>0.56000000000000005</v>
      </c>
      <c r="B64" s="45">
        <f t="shared" si="12"/>
        <v>560</v>
      </c>
      <c r="C64" s="16">
        <f t="shared" si="13"/>
        <v>0.18360655737704917</v>
      </c>
      <c r="D64" s="15">
        <f t="shared" si="14"/>
        <v>1.7279794448000002E+19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1.1536231138832786E+40</v>
      </c>
      <c r="F64" s="15">
        <f t="shared" si="7"/>
        <v>8.172299612942528E+38</v>
      </c>
      <c r="G64" s="15">
        <f t="shared" si="8"/>
        <v>6.8711887671682668E+38</v>
      </c>
      <c r="H64" s="15">
        <f t="shared" si="9"/>
        <v>1.3040579976843865E+40</v>
      </c>
      <c r="I64" s="45">
        <v>212.88</v>
      </c>
      <c r="J64" s="45">
        <v>1</v>
      </c>
      <c r="K64" s="19">
        <f t="shared" si="10"/>
        <v>224.42687980166073</v>
      </c>
      <c r="L64" s="16">
        <f t="shared" si="11"/>
        <v>133.3304331540007</v>
      </c>
      <c r="M64" s="45"/>
    </row>
    <row r="65" spans="1:13" x14ac:dyDescent="0.25">
      <c r="A65" s="45">
        <v>0.7</v>
      </c>
      <c r="B65" s="45">
        <f t="shared" si="12"/>
        <v>700</v>
      </c>
      <c r="C65" s="16">
        <f t="shared" si="13"/>
        <v>0.22950819672131148</v>
      </c>
      <c r="D65" s="15">
        <f t="shared" si="14"/>
        <v>2.1599743059999998E+19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1.4677353164170489E+40</v>
      </c>
      <c r="F65" s="15">
        <f t="shared" si="7"/>
        <v>1.2478579613497555E+39</v>
      </c>
      <c r="G65" s="15">
        <f t="shared" si="8"/>
        <v>1.0635372747015134E+39</v>
      </c>
      <c r="H65" s="15">
        <f t="shared" si="9"/>
        <v>1.698874840022176E+40</v>
      </c>
      <c r="I65" s="45">
        <v>227.21</v>
      </c>
      <c r="J65" s="45">
        <v>1</v>
      </c>
      <c r="K65" s="19">
        <f t="shared" si="10"/>
        <v>229.1142512651565</v>
      </c>
      <c r="L65" s="16">
        <f t="shared" si="11"/>
        <v>3.6261728808500893</v>
      </c>
      <c r="M65" s="45"/>
    </row>
    <row r="66" spans="1:13" x14ac:dyDescent="0.25">
      <c r="A66" s="45">
        <v>0.86</v>
      </c>
      <c r="B66" s="45">
        <f t="shared" si="12"/>
        <v>860</v>
      </c>
      <c r="C66" s="16">
        <f t="shared" si="13"/>
        <v>0.28196721311475409</v>
      </c>
      <c r="D66" s="15">
        <f t="shared" si="14"/>
        <v>2.6536827187999998E+19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1.819727704571803E+40</v>
      </c>
      <c r="F66" s="15">
        <f t="shared" si="7"/>
        <v>1.8347436688758676E+39</v>
      </c>
      <c r="G66" s="15">
        <f t="shared" si="8"/>
        <v>1.5881846591799089E+39</v>
      </c>
      <c r="H66" s="15">
        <f t="shared" si="9"/>
        <v>2.1620205373773807E+40</v>
      </c>
      <c r="I66" s="45">
        <v>236.83</v>
      </c>
      <c r="J66" s="45">
        <v>1</v>
      </c>
      <c r="K66" s="19">
        <f t="shared" si="10"/>
        <v>233.18527016073722</v>
      </c>
      <c r="L66" s="16">
        <f t="shared" si="11"/>
        <v>13.284055601212595</v>
      </c>
      <c r="M66" s="45"/>
    </row>
    <row r="67" spans="1:13" x14ac:dyDescent="0.25">
      <c r="A67" s="45">
        <v>1.04</v>
      </c>
      <c r="B67" s="45">
        <f t="shared" si="12"/>
        <v>1040</v>
      </c>
      <c r="C67" s="16">
        <f t="shared" si="13"/>
        <v>0.34098360655737703</v>
      </c>
      <c r="D67" s="15">
        <f t="shared" si="14"/>
        <v>3.2091046832E+19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2.1929820978360656E+40</v>
      </c>
      <c r="F67" s="15">
        <f t="shared" si="7"/>
        <v>2.6054228077042068E+39</v>
      </c>
      <c r="G67" s="15">
        <f t="shared" si="8"/>
        <v>2.294970746970873E+39</v>
      </c>
      <c r="H67" s="15">
        <f t="shared" si="9"/>
        <v>2.6830214533035739E+40</v>
      </c>
      <c r="I67" s="45">
        <v>242.42</v>
      </c>
      <c r="J67" s="45">
        <v>1</v>
      </c>
      <c r="K67" s="19">
        <f t="shared" si="10"/>
        <v>236.21954820115107</v>
      </c>
      <c r="L67" s="16">
        <f t="shared" si="11"/>
        <v>38.445602509848769</v>
      </c>
      <c r="M67" s="45"/>
    </row>
    <row r="68" spans="1:13" x14ac:dyDescent="0.25">
      <c r="A68" s="45">
        <v>1.23</v>
      </c>
      <c r="B68" s="45">
        <f t="shared" si="12"/>
        <v>1230</v>
      </c>
      <c r="C68" s="16">
        <f t="shared" si="13"/>
        <v>0.40327868852459015</v>
      </c>
      <c r="D68" s="15">
        <f t="shared" si="14"/>
        <v>3.7953834233999999E+19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2.574630519186885E+40</v>
      </c>
      <c r="F68" s="15">
        <f t="shared" si="7"/>
        <v>3.5334609726234714E+39</v>
      </c>
      <c r="G68" s="15">
        <f t="shared" si="8"/>
        <v>3.1701826333151251E+39</v>
      </c>
      <c r="H68" s="15">
        <f t="shared" si="9"/>
        <v>3.2449948797807447E+40</v>
      </c>
      <c r="I68" s="45">
        <v>245.12</v>
      </c>
      <c r="J68" s="45">
        <v>1</v>
      </c>
      <c r="K68" s="19">
        <f t="shared" si="10"/>
        <v>238.87730116853152</v>
      </c>
      <c r="L68" s="16">
        <f t="shared" si="11"/>
        <v>38.971288700418022</v>
      </c>
      <c r="M68" s="45"/>
    </row>
    <row r="69" spans="1:13" x14ac:dyDescent="0.25">
      <c r="A69" s="45">
        <v>1.45</v>
      </c>
      <c r="B69" s="45">
        <f t="shared" si="12"/>
        <v>1450</v>
      </c>
      <c r="C69" s="16">
        <f t="shared" si="13"/>
        <v>0.47540983606557374</v>
      </c>
      <c r="D69" s="15">
        <f t="shared" si="14"/>
        <v>4.4742324909999997E+19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2.97939371729836E+40</v>
      </c>
      <c r="F69" s="15">
        <f t="shared" si="7"/>
        <v>4.7386665262791396E+39</v>
      </c>
      <c r="G69" s="15">
        <f t="shared" si="8"/>
        <v>4.342830457795137E+39</v>
      </c>
      <c r="H69" s="15">
        <f t="shared" si="9"/>
        <v>3.887543415705788E+40</v>
      </c>
      <c r="I69" s="45">
        <v>245.57</v>
      </c>
      <c r="J69" s="45">
        <v>1</v>
      </c>
      <c r="K69" s="19">
        <f t="shared" si="10"/>
        <v>240.80974429228931</v>
      </c>
      <c r="L69" s="16">
        <f t="shared" si="11"/>
        <v>22.660034402792142</v>
      </c>
      <c r="M69" s="45"/>
    </row>
    <row r="70" spans="1:13" x14ac:dyDescent="0.25">
      <c r="A70" s="45">
        <v>1.68</v>
      </c>
      <c r="B70" s="45">
        <f t="shared" si="12"/>
        <v>1680</v>
      </c>
      <c r="C70" s="16">
        <f t="shared" si="13"/>
        <v>0.55081967213114758</v>
      </c>
      <c r="D70" s="15">
        <f t="shared" si="14"/>
        <v>5.1839383344E+19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3.3775831029508195E+40</v>
      </c>
      <c r="F70" s="15">
        <f t="shared" si="7"/>
        <v>6.1298129105074731E+39</v>
      </c>
      <c r="G70" s="15">
        <f t="shared" si="8"/>
        <v>5.7438030314296389E+39</v>
      </c>
      <c r="H70" s="15">
        <f t="shared" si="9"/>
        <v>4.5649446971445303E+40</v>
      </c>
      <c r="I70" s="45">
        <v>244.51</v>
      </c>
      <c r="J70" s="45">
        <v>1</v>
      </c>
      <c r="K70" s="19">
        <f t="shared" si="10"/>
        <v>242.42843112540356</v>
      </c>
      <c r="L70" s="16">
        <f t="shared" si="11"/>
        <v>4.3329289796886403</v>
      </c>
      <c r="M70" s="45"/>
    </row>
    <row r="71" spans="1:13" x14ac:dyDescent="0.25">
      <c r="A71" s="45">
        <v>1.94</v>
      </c>
      <c r="B71" s="45">
        <f t="shared" si="12"/>
        <v>1940</v>
      </c>
      <c r="C71" s="16">
        <f t="shared" si="13"/>
        <v>0.63606557377049178</v>
      </c>
      <c r="D71" s="15">
        <f t="shared" si="14"/>
        <v>5.9862145052000002E+19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3.7982570141377061E+40</v>
      </c>
      <c r="F71" s="15">
        <f t="shared" si="7"/>
        <v>7.8404841811329232E+39</v>
      </c>
      <c r="G71" s="15">
        <f t="shared" si="8"/>
        <v>7.5329400634932661E+39</v>
      </c>
      <c r="H71" s="15">
        <f t="shared" si="9"/>
        <v>5.3355994386003247E+40</v>
      </c>
      <c r="I71" s="45">
        <v>242</v>
      </c>
      <c r="J71" s="45">
        <v>1</v>
      </c>
      <c r="K71" s="19">
        <f t="shared" si="10"/>
        <v>243.89964919917267</v>
      </c>
      <c r="L71" s="16">
        <f t="shared" si="11"/>
        <v>3.6086670799173719</v>
      </c>
      <c r="M71" s="45"/>
    </row>
    <row r="72" spans="1:13" x14ac:dyDescent="0.25">
      <c r="A72" s="45">
        <v>2.23</v>
      </c>
      <c r="B72" s="45">
        <f t="shared" si="12"/>
        <v>2230</v>
      </c>
      <c r="C72" s="16">
        <f t="shared" si="13"/>
        <v>0.73114754098360657</v>
      </c>
      <c r="D72" s="15">
        <f t="shared" si="14"/>
        <v>6.8810610034000003E+19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4.2313940389770494E+40</v>
      </c>
      <c r="F72" s="15">
        <f t="shared" si="7"/>
        <v>9.8923670456479319E+39</v>
      </c>
      <c r="G72" s="15">
        <f t="shared" si="8"/>
        <v>9.7726695219391304E+39</v>
      </c>
      <c r="H72" s="15">
        <f t="shared" si="9"/>
        <v>6.1978976957357553E+40</v>
      </c>
      <c r="I72" s="45">
        <v>238.92</v>
      </c>
      <c r="J72" s="45">
        <v>1</v>
      </c>
      <c r="K72" s="19">
        <f t="shared" si="10"/>
        <v>245.18291364640811</v>
      </c>
      <c r="L72" s="16">
        <f t="shared" si="11"/>
        <v>39.224087342365088</v>
      </c>
      <c r="M72" s="45"/>
    </row>
    <row r="73" spans="1:13" x14ac:dyDescent="0.25">
      <c r="A73" s="45">
        <v>2.54</v>
      </c>
      <c r="B73" s="45">
        <f t="shared" si="12"/>
        <v>2540</v>
      </c>
      <c r="C73" s="16">
        <f t="shared" si="13"/>
        <v>0.83278688524590161</v>
      </c>
      <c r="D73" s="15">
        <f t="shared" si="14"/>
        <v>7.8376210532000006E+19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4.6567677043409825E+40</v>
      </c>
      <c r="F73" s="15">
        <f t="shared" si="7"/>
        <v>1.2220139131303714E+40</v>
      </c>
      <c r="G73" s="15">
        <f t="shared" si="8"/>
        <v>1.2435779329205334E+40</v>
      </c>
      <c r="H73" s="15">
        <f t="shared" si="9"/>
        <v>7.1223595503918881E+40</v>
      </c>
      <c r="I73" s="45">
        <v>235.96</v>
      </c>
      <c r="J73" s="45">
        <v>1</v>
      </c>
      <c r="K73" s="19">
        <f t="shared" si="10"/>
        <v>246.27227379901254</v>
      </c>
      <c r="L73" s="16">
        <f t="shared" si="11"/>
        <v>106.34299090580032</v>
      </c>
      <c r="M73" s="45"/>
    </row>
    <row r="74" spans="1:13" x14ac:dyDescent="0.25">
      <c r="A74" s="45">
        <v>2.89</v>
      </c>
      <c r="B74" s="45">
        <f t="shared" si="12"/>
        <v>2890</v>
      </c>
      <c r="C74" s="16">
        <f t="shared" si="13"/>
        <v>0.94754098360655736</v>
      </c>
      <c r="D74" s="15">
        <f t="shared" si="14"/>
        <v>8.9176082061999997E+19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5.0961028952131152E+40</v>
      </c>
      <c r="F74" s="15">
        <f t="shared" si="7"/>
        <v>1.4974907748107149E+40</v>
      </c>
      <c r="G74" s="15">
        <f t="shared" si="8"/>
        <v>1.5756171792700483E+40</v>
      </c>
      <c r="H74" s="15">
        <f t="shared" si="9"/>
        <v>8.1692108492938782E+40</v>
      </c>
      <c r="I74" s="45">
        <v>233.94</v>
      </c>
      <c r="J74" s="45">
        <v>1</v>
      </c>
      <c r="K74" s="19">
        <f t="shared" si="10"/>
        <v>247.26438278482729</v>
      </c>
      <c r="L74" s="16">
        <f t="shared" si="11"/>
        <v>177.53917659660192</v>
      </c>
      <c r="M74" s="45"/>
    </row>
    <row r="75" spans="1:13" x14ac:dyDescent="0.25">
      <c r="A75" s="45">
        <v>3.27</v>
      </c>
      <c r="B75" s="45">
        <f t="shared" si="12"/>
        <v>3270</v>
      </c>
      <c r="C75" s="16">
        <f t="shared" si="13"/>
        <v>1.0721311475409836</v>
      </c>
      <c r="D75" s="15">
        <f t="shared" si="14"/>
        <v>1.0090165686599999E+20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5.53142701702295E+40</v>
      </c>
      <c r="F75" s="15">
        <f t="shared" si="7"/>
        <v>1.8072048883514585E+40</v>
      </c>
      <c r="G75" s="15">
        <f t="shared" si="8"/>
        <v>1.9712925633855159E+40</v>
      </c>
      <c r="H75" s="15">
        <f t="shared" si="9"/>
        <v>9.3099244687599236E+40</v>
      </c>
      <c r="I75" s="45">
        <v>232.94</v>
      </c>
      <c r="J75" s="45">
        <v>1</v>
      </c>
      <c r="K75" s="19">
        <f t="shared" si="10"/>
        <v>248.15305948740678</v>
      </c>
      <c r="L75" s="16">
        <f t="shared" si="11"/>
        <v>231.43717896737746</v>
      </c>
      <c r="M75" s="45"/>
    </row>
    <row r="76" spans="1:13" x14ac:dyDescent="0.25">
      <c r="A76" s="45">
        <v>3.69</v>
      </c>
      <c r="B76" s="45">
        <f t="shared" si="12"/>
        <v>3690</v>
      </c>
      <c r="C76" s="16">
        <f t="shared" si="13"/>
        <v>1.2098360655737705</v>
      </c>
      <c r="D76" s="15">
        <f t="shared" si="14"/>
        <v>1.13861502702E+20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5.968285028406557E+40</v>
      </c>
      <c r="F76" s="15">
        <f t="shared" si="7"/>
        <v>2.1571722143972029E+40</v>
      </c>
      <c r="G76" s="15">
        <f t="shared" si="8"/>
        <v>2.4481336960738054E+40</v>
      </c>
      <c r="H76" s="15">
        <f t="shared" si="9"/>
        <v>1.0573590938877566E+41</v>
      </c>
      <c r="I76" s="45">
        <v>233.98</v>
      </c>
      <c r="J76" s="45">
        <v>1</v>
      </c>
      <c r="K76" s="19">
        <f t="shared" si="10"/>
        <v>248.9536516414928</v>
      </c>
      <c r="L76" s="16">
        <f t="shared" si="11"/>
        <v>224.21024348078026</v>
      </c>
      <c r="M76" s="45"/>
    </row>
    <row r="77" spans="1:13" x14ac:dyDescent="0.25">
      <c r="A77" s="45">
        <v>4.1500000000000004</v>
      </c>
      <c r="B77" s="45">
        <f t="shared" si="12"/>
        <v>4150</v>
      </c>
      <c r="C77" s="16">
        <f t="shared" si="13"/>
        <v>1.360655737704918</v>
      </c>
      <c r="D77" s="15">
        <f t="shared" si="14"/>
        <v>1.2805561957E+20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6.3971042062688514E+40</v>
      </c>
      <c r="F77" s="15">
        <f t="shared" si="7"/>
        <v>2.5439668988261527E+40</v>
      </c>
      <c r="G77" s="15">
        <f t="shared" si="8"/>
        <v>3.0142400616555634E+40</v>
      </c>
      <c r="H77" s="15">
        <f t="shared" si="9"/>
        <v>1.1955311166750568E+41</v>
      </c>
      <c r="I77" s="45">
        <v>236.39</v>
      </c>
      <c r="J77" s="45">
        <v>1</v>
      </c>
      <c r="K77" s="19">
        <f t="shared" si="10"/>
        <v>249.61853228500195</v>
      </c>
      <c r="L77" s="16">
        <f t="shared" si="11"/>
        <v>174.9940664153392</v>
      </c>
      <c r="M77" s="45"/>
    </row>
    <row r="78" spans="1:13" x14ac:dyDescent="0.25">
      <c r="A78" s="45">
        <v>4.6500000000000004</v>
      </c>
      <c r="B78" s="45">
        <f t="shared" si="12"/>
        <v>4650</v>
      </c>
      <c r="C78" s="16">
        <f t="shared" si="13"/>
        <v>1.5245901639344261</v>
      </c>
      <c r="D78" s="15">
        <f t="shared" si="14"/>
        <v>1.4348400747000001E+20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6.8180055922360664E+40</v>
      </c>
      <c r="F78" s="15">
        <f t="shared" si="7"/>
        <v>2.9625307073483431E+40</v>
      </c>
      <c r="G78" s="15">
        <f t="shared" si="8"/>
        <v>3.677110968169261E+40</v>
      </c>
      <c r="H78" s="15">
        <f t="shared" si="9"/>
        <v>1.3457647267753669E+41</v>
      </c>
      <c r="I78" s="45">
        <v>240.5</v>
      </c>
      <c r="J78" s="45">
        <v>1</v>
      </c>
      <c r="K78" s="19">
        <f t="shared" si="10"/>
        <v>250.19494197737504</v>
      </c>
      <c r="L78" s="16">
        <f t="shared" si="11"/>
        <v>93.991899944668603</v>
      </c>
      <c r="M78" s="45"/>
    </row>
    <row r="79" spans="1:13" x14ac:dyDescent="0.25">
      <c r="A79" s="45">
        <v>5.21</v>
      </c>
      <c r="B79" s="45">
        <f t="shared" si="12"/>
        <v>5210</v>
      </c>
      <c r="C79" s="16">
        <f t="shared" si="13"/>
        <v>1.7081967213114755</v>
      </c>
      <c r="D79" s="15">
        <f t="shared" si="14"/>
        <v>1.6076380191800001E+20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7.2397918342295077E+40</v>
      </c>
      <c r="F79" s="15">
        <f t="shared" si="7"/>
        <v>3.4226181187151454E+40</v>
      </c>
      <c r="G79" s="15">
        <f t="shared" si="8"/>
        <v>4.4728007365672877E+40</v>
      </c>
      <c r="H79" s="15">
        <f t="shared" si="9"/>
        <v>1.513521068951194E+41</v>
      </c>
      <c r="I79" s="45">
        <v>244.88</v>
      </c>
      <c r="J79" s="45">
        <v>1</v>
      </c>
      <c r="K79" s="19">
        <f t="shared" si="10"/>
        <v>250.66621616689869</v>
      </c>
      <c r="L79" s="16">
        <f t="shared" si="11"/>
        <v>33.480297530079852</v>
      </c>
      <c r="M79" s="45"/>
    </row>
    <row r="80" spans="1:13" x14ac:dyDescent="0.25">
      <c r="A80" s="45">
        <v>5.82</v>
      </c>
      <c r="B80" s="45">
        <f t="shared" si="12"/>
        <v>5820</v>
      </c>
      <c r="C80" s="16">
        <f t="shared" si="13"/>
        <v>1.9081967213114754</v>
      </c>
      <c r="D80" s="15">
        <f t="shared" si="14"/>
        <v>1.7958643515600001E+20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7.647530986806556E+40</v>
      </c>
      <c r="F80" s="15">
        <f t="shared" si="7"/>
        <v>3.9070094953025355E+40</v>
      </c>
      <c r="G80" s="15">
        <f t="shared" si="8"/>
        <v>5.3970273393090931E+40</v>
      </c>
      <c r="H80" s="15">
        <f t="shared" si="9"/>
        <v>1.6951567821418184E+41</v>
      </c>
      <c r="I80" s="45">
        <v>247.07</v>
      </c>
      <c r="J80" s="45">
        <v>1</v>
      </c>
      <c r="K80" s="19">
        <f t="shared" si="10"/>
        <v>250.99430929652243</v>
      </c>
      <c r="L80" s="16">
        <f t="shared" si="11"/>
        <v>15.400203454772431</v>
      </c>
      <c r="M80" s="45"/>
    </row>
    <row r="81" spans="1:13" x14ac:dyDescent="0.25">
      <c r="A81" s="45">
        <v>6.49</v>
      </c>
      <c r="B81" s="45">
        <f t="shared" si="12"/>
        <v>6490</v>
      </c>
      <c r="C81" s="16">
        <f t="shared" si="13"/>
        <v>2.1278688524590166</v>
      </c>
      <c r="D81" s="15">
        <f t="shared" si="14"/>
        <v>2.0026047494200001E+20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8.043570840131147E+40</v>
      </c>
      <c r="F81" s="15">
        <f t="shared" si="7"/>
        <v>4.413037084837043E+40</v>
      </c>
      <c r="G81" s="15">
        <f t="shared" si="8"/>
        <v>6.4734901661179225E+40</v>
      </c>
      <c r="H81" s="15">
        <f t="shared" si="9"/>
        <v>1.8930098091086112E+41</v>
      </c>
      <c r="I81" s="45">
        <v>247.47</v>
      </c>
      <c r="J81" s="45">
        <v>1</v>
      </c>
      <c r="K81" s="19">
        <f t="shared" si="10"/>
        <v>251.17390367738253</v>
      </c>
      <c r="L81" s="16">
        <f t="shared" si="11"/>
        <v>13.718902451327809</v>
      </c>
      <c r="M81" s="45"/>
    </row>
    <row r="82" spans="1:13" x14ac:dyDescent="0.25">
      <c r="A82" s="45">
        <v>7.23</v>
      </c>
      <c r="B82" s="45">
        <f t="shared" si="12"/>
        <v>7230</v>
      </c>
      <c r="C82" s="16">
        <f t="shared" si="13"/>
        <v>2.3704918032786884</v>
      </c>
      <c r="D82" s="15">
        <f t="shared" si="14"/>
        <v>2.2309448903400001E+20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8.429445283777048E+40</v>
      </c>
      <c r="F82" s="15">
        <f t="shared" si="7"/>
        <v>4.935351462261514E+40</v>
      </c>
      <c r="G82" s="15">
        <f t="shared" si="8"/>
        <v>7.7278687620442229E+40</v>
      </c>
      <c r="H82" s="15">
        <f t="shared" si="9"/>
        <v>2.1092665508082787E+41</v>
      </c>
      <c r="I82" s="45">
        <v>246.81</v>
      </c>
      <c r="J82" s="45">
        <v>1</v>
      </c>
      <c r="K82" s="19">
        <f t="shared" si="10"/>
        <v>251.19848492901502</v>
      </c>
      <c r="L82" s="16">
        <f t="shared" si="11"/>
        <v>19.258799972191976</v>
      </c>
      <c r="M82" s="45"/>
    </row>
    <row r="83" spans="1:13" x14ac:dyDescent="0.25">
      <c r="A83" s="45">
        <v>8.0500000000000007</v>
      </c>
      <c r="B83" s="45">
        <f t="shared" si="12"/>
        <v>8050.0000000000009</v>
      </c>
      <c r="C83" s="16">
        <f t="shared" si="13"/>
        <v>2.6393442622950825</v>
      </c>
      <c r="D83" s="15">
        <f t="shared" si="14"/>
        <v>2.4839704519000002E+20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8.8036913836065566E+40</v>
      </c>
      <c r="F83" s="15">
        <f t="shared" si="7"/>
        <v>5.4658240474930629E+40</v>
      </c>
      <c r="G83" s="15">
        <f t="shared" si="8"/>
        <v>9.1872271761960624E+40</v>
      </c>
      <c r="H83" s="15">
        <f t="shared" si="9"/>
        <v>2.3456742607295682E+41</v>
      </c>
      <c r="I83" s="45">
        <v>246.73</v>
      </c>
      <c r="J83" s="45">
        <v>1</v>
      </c>
      <c r="K83" s="19">
        <f t="shared" si="10"/>
        <v>251.04775527828221</v>
      </c>
      <c r="L83" s="16">
        <f t="shared" si="11"/>
        <v>18.643010643133973</v>
      </c>
      <c r="M83" s="45"/>
    </row>
    <row r="84" spans="1:13" x14ac:dyDescent="0.25">
      <c r="A84" s="45">
        <v>8.94</v>
      </c>
      <c r="B84" s="45">
        <f t="shared" si="12"/>
        <v>8940</v>
      </c>
      <c r="C84" s="16">
        <f t="shared" si="13"/>
        <v>2.9311475409836065</v>
      </c>
      <c r="D84" s="15">
        <f t="shared" si="14"/>
        <v>2.7585957565199997E+20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9.1578049219147535E+40</v>
      </c>
      <c r="F84" s="15">
        <f t="shared" si="7"/>
        <v>5.9829146650509582E+40</v>
      </c>
      <c r="G84" s="15">
        <f t="shared" si="8"/>
        <v>1.0841377072405875E+41</v>
      </c>
      <c r="H84" s="15">
        <f t="shared" si="9"/>
        <v>2.5982096659371587E+41</v>
      </c>
      <c r="I84" s="45">
        <v>248.77</v>
      </c>
      <c r="J84" s="45">
        <v>1</v>
      </c>
      <c r="K84" s="19">
        <f t="shared" si="10"/>
        <v>250.7198788099806</v>
      </c>
      <c r="L84" s="16">
        <f t="shared" si="11"/>
        <v>3.802027373611319</v>
      </c>
      <c r="M84" s="45"/>
    </row>
    <row r="85" spans="1:13" x14ac:dyDescent="0.25">
      <c r="A85" s="45">
        <v>9.93</v>
      </c>
      <c r="B85" s="45">
        <f t="shared" si="12"/>
        <v>9930</v>
      </c>
      <c r="C85" s="16">
        <f t="shared" si="13"/>
        <v>3.2557377049180327</v>
      </c>
      <c r="D85" s="15">
        <f t="shared" si="14"/>
        <v>3.06407783694E+20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9.4990024839344275E+40</v>
      </c>
      <c r="F85" s="15">
        <f t="shared" si="7"/>
        <v>6.4880961479955713E+40</v>
      </c>
      <c r="G85" s="15">
        <f t="shared" si="8"/>
        <v>1.2753015241838587E+41</v>
      </c>
      <c r="H85" s="15">
        <f t="shared" si="9"/>
        <v>2.8740113873768585E+41</v>
      </c>
      <c r="I85" s="45">
        <v>251.27</v>
      </c>
      <c r="J85" s="45">
        <v>1</v>
      </c>
      <c r="K85" s="19">
        <f t="shared" si="10"/>
        <v>250.20158096619795</v>
      </c>
      <c r="L85" s="16">
        <f t="shared" si="11"/>
        <v>1.1415192317905243</v>
      </c>
      <c r="M85" s="45"/>
    </row>
    <row r="86" spans="1:13" x14ac:dyDescent="0.25">
      <c r="A86" s="45">
        <v>11.01</v>
      </c>
      <c r="B86" s="45">
        <f t="shared" si="12"/>
        <v>11010</v>
      </c>
      <c r="C86" s="16">
        <f t="shared" si="13"/>
        <v>3.6098360655737705</v>
      </c>
      <c r="D86" s="15">
        <f t="shared" si="14"/>
        <v>3.3973310155799999E+20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9.8199589643540975E+40</v>
      </c>
      <c r="F86" s="15">
        <f t="shared" si="7"/>
        <v>6.9603870272618301E+40</v>
      </c>
      <c r="G86" s="15">
        <f t="shared" si="8"/>
        <v>1.4908590517984496E+41</v>
      </c>
      <c r="H86" s="15">
        <f t="shared" si="9"/>
        <v>3.1688936509600422E+41</v>
      </c>
      <c r="I86" s="45">
        <v>253.62</v>
      </c>
      <c r="J86" s="45">
        <v>1</v>
      </c>
      <c r="K86" s="19">
        <f t="shared" si="10"/>
        <v>249.50577620353459</v>
      </c>
      <c r="L86" s="16">
        <f t="shared" si="11"/>
        <v>16.926837447402253</v>
      </c>
      <c r="M86" s="45"/>
    </row>
    <row r="87" spans="1:13" x14ac:dyDescent="0.25">
      <c r="A87" s="45">
        <v>12.2</v>
      </c>
      <c r="B87" s="45">
        <f t="shared" si="12"/>
        <v>12200</v>
      </c>
      <c r="C87" s="16">
        <f t="shared" si="13"/>
        <v>4</v>
      </c>
      <c r="D87" s="15">
        <f t="shared" si="14"/>
        <v>3.7645266475999999E+20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1.01228322432E+41</v>
      </c>
      <c r="F87" s="15">
        <f t="shared" si="7"/>
        <v>7.3948835118854241E+40</v>
      </c>
      <c r="G87" s="15">
        <f t="shared" si="8"/>
        <v>1.7350787801413724E+41</v>
      </c>
      <c r="H87" s="15">
        <f t="shared" si="9"/>
        <v>3.4868503556499149E+41</v>
      </c>
      <c r="I87" s="45">
        <v>256.52</v>
      </c>
      <c r="J87" s="45">
        <v>1</v>
      </c>
      <c r="K87" s="19">
        <f t="shared" si="10"/>
        <v>248.63208437278178</v>
      </c>
      <c r="L87" s="16">
        <f t="shared" si="11"/>
        <v>62.219212942113181</v>
      </c>
      <c r="M87" s="45"/>
    </row>
    <row r="88" spans="1:13" x14ac:dyDescent="0.25">
      <c r="A88" s="45">
        <v>13.51</v>
      </c>
      <c r="B88" s="45">
        <f t="shared" si="12"/>
        <v>13510</v>
      </c>
      <c r="C88" s="16">
        <f t="shared" si="13"/>
        <v>4.4295081967213115</v>
      </c>
      <c r="D88" s="15">
        <f t="shared" si="14"/>
        <v>4.1687504105800001E+20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1.0406482859645902E+41</v>
      </c>
      <c r="F88" s="15">
        <f t="shared" si="7"/>
        <v>7.7827262925774089E+40</v>
      </c>
      <c r="G88" s="15">
        <f t="shared" si="8"/>
        <v>2.0101134599799684E+41</v>
      </c>
      <c r="H88" s="15">
        <f t="shared" si="9"/>
        <v>3.8290343752022996E+41</v>
      </c>
      <c r="I88" s="45">
        <v>258.68</v>
      </c>
      <c r="J88" s="45">
        <v>1</v>
      </c>
      <c r="K88" s="19">
        <f t="shared" si="10"/>
        <v>247.59244562914708</v>
      </c>
      <c r="L88" s="16">
        <f t="shared" si="11"/>
        <v>122.93386192661987</v>
      </c>
      <c r="M88" s="45"/>
    </row>
    <row r="89" spans="1:13" x14ac:dyDescent="0.25">
      <c r="A89" s="45">
        <v>14.95</v>
      </c>
      <c r="B89" s="45">
        <f t="shared" si="12"/>
        <v>14950</v>
      </c>
      <c r="C89" s="16">
        <f t="shared" si="13"/>
        <v>4.9016393442622954</v>
      </c>
      <c r="D89" s="15">
        <f t="shared" si="14"/>
        <v>4.6130879820999996E+20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1.0670933769862294E+41</v>
      </c>
      <c r="F89" s="15">
        <f t="shared" si="7"/>
        <v>8.1176025024846017E+40</v>
      </c>
      <c r="G89" s="15">
        <f t="shared" si="8"/>
        <v>2.3178197204017842E+41</v>
      </c>
      <c r="H89" s="15">
        <f t="shared" si="9"/>
        <v>4.1966733476364738E+41</v>
      </c>
      <c r="I89" s="45">
        <v>259.73</v>
      </c>
      <c r="J89" s="45">
        <v>1</v>
      </c>
      <c r="K89" s="19">
        <f t="shared" si="10"/>
        <v>246.40664673585781</v>
      </c>
      <c r="L89" s="16">
        <f t="shared" si="11"/>
        <v>177.51174220112895</v>
      </c>
      <c r="M89" s="45"/>
    </row>
    <row r="90" spans="1:13" x14ac:dyDescent="0.25">
      <c r="A90" s="45">
        <v>16.54</v>
      </c>
      <c r="B90" s="45">
        <f t="shared" si="12"/>
        <v>16540</v>
      </c>
      <c r="C90" s="16">
        <f t="shared" si="13"/>
        <v>5.4229508196721312</v>
      </c>
      <c r="D90" s="15">
        <f t="shared" si="14"/>
        <v>5.1037107173199997E+20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1.0899294240986228E+41</v>
      </c>
      <c r="F90" s="15">
        <f t="shared" si="7"/>
        <v>8.397982282525123E+40</v>
      </c>
      <c r="G90" s="15">
        <f t="shared" si="8"/>
        <v>2.6618666111857779E+41</v>
      </c>
      <c r="H90" s="15">
        <f t="shared" si="9"/>
        <v>4.591594263536913E+41</v>
      </c>
      <c r="I90" s="45">
        <v>260.35000000000002</v>
      </c>
      <c r="J90" s="45">
        <v>1</v>
      </c>
      <c r="K90" s="19">
        <f t="shared" si="10"/>
        <v>245.03855979065403</v>
      </c>
      <c r="L90" s="16">
        <f t="shared" si="11"/>
        <v>234.44020128437714</v>
      </c>
      <c r="M90" s="45"/>
    </row>
    <row r="91" spans="1:13" x14ac:dyDescent="0.25">
      <c r="A91" s="45">
        <v>18.29</v>
      </c>
      <c r="B91" s="45">
        <f t="shared" si="12"/>
        <v>18290</v>
      </c>
      <c r="C91" s="16">
        <f t="shared" si="13"/>
        <v>5.9967213114754099</v>
      </c>
      <c r="D91" s="15">
        <f t="shared" si="14"/>
        <v>5.6437042938199998E+20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1.1141648793641965E+41</v>
      </c>
      <c r="F91" s="15">
        <f t="shared" si="7"/>
        <v>8.6230512160557579E+40</v>
      </c>
      <c r="G91" s="15">
        <f t="shared" si="8"/>
        <v>3.0433710288196429E+41</v>
      </c>
      <c r="H91" s="15">
        <f t="shared" si="9"/>
        <v>5.0198410297894149E+41</v>
      </c>
      <c r="I91" s="45">
        <v>259.41000000000003</v>
      </c>
      <c r="J91" s="45">
        <v>1</v>
      </c>
      <c r="K91" s="19">
        <f t="shared" si="10"/>
        <v>243.64559322711327</v>
      </c>
      <c r="L91" s="16">
        <f t="shared" si="11"/>
        <v>248.51652090103789</v>
      </c>
      <c r="M91" s="45"/>
    </row>
    <row r="92" spans="1:13" x14ac:dyDescent="0.25">
      <c r="A92" s="45">
        <v>20.2</v>
      </c>
      <c r="B92" s="45">
        <f t="shared" si="12"/>
        <v>20200</v>
      </c>
      <c r="C92" s="16">
        <f t="shared" si="13"/>
        <v>6.6229508196721314</v>
      </c>
      <c r="D92" s="15">
        <f t="shared" si="14"/>
        <v>6.2330687115999995E+20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1.1335740293455736E+41</v>
      </c>
      <c r="F92" s="15">
        <f t="shared" si="7"/>
        <v>8.7950607524542899E+40</v>
      </c>
      <c r="G92" s="15">
        <f t="shared" si="8"/>
        <v>3.4607575135173862E+41</v>
      </c>
      <c r="H92" s="15">
        <f t="shared" si="9"/>
        <v>5.4738376181083892E+41</v>
      </c>
      <c r="I92" s="45">
        <v>256.99</v>
      </c>
      <c r="J92" s="45">
        <v>1</v>
      </c>
      <c r="K92" s="19">
        <f t="shared" si="10"/>
        <v>242.0977213074913</v>
      </c>
      <c r="L92" s="16">
        <f t="shared" si="11"/>
        <v>221.77996465534895</v>
      </c>
      <c r="M92" s="45"/>
    </row>
    <row r="93" spans="1:13" x14ac:dyDescent="0.25">
      <c r="A93" s="45">
        <v>22.32</v>
      </c>
      <c r="B93" s="45">
        <f t="shared" si="12"/>
        <v>22320</v>
      </c>
      <c r="C93" s="16">
        <f t="shared" si="13"/>
        <v>7.3180327868852455</v>
      </c>
      <c r="D93" s="15">
        <f t="shared" si="14"/>
        <v>6.8872323585599996E+20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1.1526508991937048E+41</v>
      </c>
      <c r="F93" s="15">
        <f t="shared" si="7"/>
        <v>8.9227286230974332E+40</v>
      </c>
      <c r="G93" s="15">
        <f t="shared" si="8"/>
        <v>3.9228437060171577E+41</v>
      </c>
      <c r="H93" s="15">
        <f t="shared" si="9"/>
        <v>5.9677674675206059E+41</v>
      </c>
      <c r="I93" s="45">
        <v>253.26</v>
      </c>
      <c r="J93" s="45">
        <v>1</v>
      </c>
      <c r="K93" s="19">
        <f t="shared" si="10"/>
        <v>240.48017690331739</v>
      </c>
      <c r="L93" s="16">
        <f t="shared" si="11"/>
        <v>163.32387838250219</v>
      </c>
      <c r="M93" s="45"/>
    </row>
    <row r="94" spans="1:13" x14ac:dyDescent="0.25">
      <c r="A94" s="45">
        <v>24.64</v>
      </c>
      <c r="B94" s="45">
        <f t="shared" si="12"/>
        <v>24640</v>
      </c>
      <c r="C94" s="16">
        <f t="shared" si="13"/>
        <v>8.0786885245901647</v>
      </c>
      <c r="D94" s="15">
        <f t="shared" si="14"/>
        <v>7.6031095571200003E+20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1.1699583491588196E+41</v>
      </c>
      <c r="F94" s="15">
        <f t="shared" si="7"/>
        <v>9.011479956478381E+40</v>
      </c>
      <c r="G94" s="15">
        <f t="shared" si="8"/>
        <v>4.4247527714357094E+41</v>
      </c>
      <c r="H94" s="15">
        <f t="shared" si="9"/>
        <v>6.4958591162423671E+41</v>
      </c>
      <c r="I94" s="45">
        <v>247.54</v>
      </c>
      <c r="J94" s="45">
        <v>1</v>
      </c>
      <c r="K94" s="19">
        <f t="shared" si="10"/>
        <v>238.79123321590208</v>
      </c>
      <c r="L94" s="16">
        <f t="shared" si="11"/>
        <v>76.540920242534881</v>
      </c>
      <c r="M94" s="45"/>
    </row>
    <row r="95" spans="1:13" x14ac:dyDescent="0.25">
      <c r="A95" s="45">
        <v>27.19</v>
      </c>
      <c r="B95" s="45">
        <f t="shared" si="12"/>
        <v>27190</v>
      </c>
      <c r="C95" s="16">
        <f t="shared" si="13"/>
        <v>8.914754098360655</v>
      </c>
      <c r="D95" s="15">
        <f t="shared" si="14"/>
        <v>8.3899573400200007E+20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1.1849547805712787E+41</v>
      </c>
      <c r="F95" s="15">
        <f t="shared" si="7"/>
        <v>9.070197654030044E+40</v>
      </c>
      <c r="G95" s="15">
        <f t="shared" si="8"/>
        <v>4.9696937954483148E+41</v>
      </c>
      <c r="H95" s="15">
        <f t="shared" si="9"/>
        <v>7.0616683414225979E+41</v>
      </c>
      <c r="I95" s="45">
        <v>239.9</v>
      </c>
      <c r="J95" s="45">
        <v>1</v>
      </c>
      <c r="K95" s="19">
        <f t="shared" si="10"/>
        <v>237.01153667120681</v>
      </c>
      <c r="L95" s="16">
        <f t="shared" si="11"/>
        <v>8.3432204017830554</v>
      </c>
      <c r="M95" s="45"/>
    </row>
    <row r="96" spans="1:13" x14ac:dyDescent="0.25">
      <c r="A96" s="45">
        <v>30</v>
      </c>
      <c r="B96" s="45">
        <f t="shared" si="12"/>
        <v>30000</v>
      </c>
      <c r="C96" s="16">
        <f t="shared" si="13"/>
        <v>9.8360655737704921</v>
      </c>
      <c r="D96" s="15">
        <f t="shared" si="14"/>
        <v>9.2570327399999996E+20</v>
      </c>
      <c r="E96" s="15">
        <f>FORECAST($C96, OFFSET('De Vaucouleurs Deprojection'!$F$3:$F$126, MATCH($C96, 'De Vaucouleurs Deprojection'!$A$3:$A$126,1)-1,0,2), OFFSET('De Vaucouleurs Deprojection'!$A$3:$A$126, MATCH($C96, 'De Vaucouleurs Deprojection'!$A$3:$A$126,1)-1,0,2))*LCDMTotalBulgeMass</f>
        <v>1.1982553353232786E+41</v>
      </c>
      <c r="F96" s="15">
        <f t="shared" si="7"/>
        <v>9.1068445212821528E+40</v>
      </c>
      <c r="G96" s="15">
        <f t="shared" si="8"/>
        <v>5.5600910523078509E+41</v>
      </c>
      <c r="H96" s="15">
        <f t="shared" si="9"/>
        <v>7.6690308397593442E+41</v>
      </c>
      <c r="I96" s="45">
        <v>230.62</v>
      </c>
      <c r="J96" s="45">
        <v>1</v>
      </c>
      <c r="K96" s="19">
        <f t="shared" si="10"/>
        <v>235.14191257012229</v>
      </c>
      <c r="L96" s="16">
        <f t="shared" si="11"/>
        <v>20.447693291829903</v>
      </c>
      <c r="M96" s="45"/>
    </row>
    <row r="97" spans="1:29" x14ac:dyDescent="0.25">
      <c r="A97" s="45">
        <v>33.090000000000003</v>
      </c>
      <c r="B97" s="45">
        <f t="shared" si="12"/>
        <v>33090</v>
      </c>
      <c r="C97" s="16">
        <f t="shared" si="13"/>
        <v>10.849180327868853</v>
      </c>
      <c r="D97" s="15">
        <f t="shared" si="14"/>
        <v>1.0210507112220002E+21</v>
      </c>
      <c r="E97" s="15">
        <f>FORECAST($C97, OFFSET('De Vaucouleurs Deprojection'!$F$3:$F$126, MATCH($C97, 'De Vaucouleurs Deprojection'!$A$3:$A$126,1)-1,0,2), OFFSET('De Vaucouleurs Deprojection'!$A$3:$A$126, MATCH($C97, 'De Vaucouleurs Deprojection'!$A$3:$A$126,1)-1,0,2))*LCDMTotalBulgeMass</f>
        <v>1.2100765109718032E+41</v>
      </c>
      <c r="F97" s="15">
        <f t="shared" si="7"/>
        <v>9.1281874412191805E+40</v>
      </c>
      <c r="G97" s="15">
        <f t="shared" si="8"/>
        <v>6.1954645218017144E+41</v>
      </c>
      <c r="H97" s="15">
        <f t="shared" si="9"/>
        <v>8.3183597768954359E+41</v>
      </c>
      <c r="I97" s="45">
        <v>224.06</v>
      </c>
      <c r="J97" s="45">
        <v>1</v>
      </c>
      <c r="K97" s="19">
        <f t="shared" si="10"/>
        <v>233.17978525327499</v>
      </c>
      <c r="L97" s="16">
        <f t="shared" si="11"/>
        <v>83.170483065851855</v>
      </c>
      <c r="M97" s="45"/>
    </row>
    <row r="98" spans="1:29" x14ac:dyDescent="0.25">
      <c r="H98" s="15"/>
      <c r="K98" s="45"/>
      <c r="L98" s="16">
        <f>SUM(L60:L97)/(COUNT(L60:L97)-6)</f>
        <v>551.69186058181617</v>
      </c>
      <c r="M98" s="45"/>
    </row>
    <row r="99" spans="1:29" x14ac:dyDescent="0.25">
      <c r="H99" s="15"/>
      <c r="K99" s="45"/>
      <c r="L99" s="17"/>
      <c r="M99" s="45"/>
    </row>
    <row r="100" spans="1:29" x14ac:dyDescent="0.25">
      <c r="I100" s="45"/>
      <c r="J100" s="45"/>
      <c r="L100" s="16"/>
    </row>
    <row r="101" spans="1:29" x14ac:dyDescent="0.25">
      <c r="I101" s="45"/>
      <c r="J101" s="45"/>
      <c r="L101" s="16"/>
    </row>
    <row r="102" spans="1:29" x14ac:dyDescent="0.25">
      <c r="I102" s="45"/>
      <c r="J102" s="45"/>
      <c r="L102" s="16"/>
    </row>
    <row r="103" spans="1:29" x14ac:dyDescent="0.25">
      <c r="I103" s="45"/>
      <c r="J103" s="45"/>
      <c r="L103" s="16"/>
    </row>
    <row r="104" spans="1:29" x14ac:dyDescent="0.25">
      <c r="I104" s="45"/>
      <c r="J104" s="45"/>
      <c r="L104" s="16"/>
    </row>
    <row r="105" spans="1:29" x14ac:dyDescent="0.25">
      <c r="I105" s="45"/>
      <c r="J105" s="45"/>
      <c r="L105" s="16"/>
    </row>
    <row r="106" spans="1:29" x14ac:dyDescent="0.25">
      <c r="I106" s="45"/>
      <c r="J106" s="45"/>
      <c r="L106" s="16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45"/>
      <c r="J145" s="4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45"/>
      <c r="J146" s="4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</row>
    <row r="551" spans="1:29" s="17" customFormat="1" x14ac:dyDescent="0.25">
      <c r="A551" s="16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</row>
    <row r="552" spans="1:29" s="17" customFormat="1" x14ac:dyDescent="0.25">
      <c r="A552" s="16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</row>
    <row r="553" spans="1:29" s="17" customFormat="1" x14ac:dyDescent="0.25">
      <c r="A553" s="16"/>
      <c r="B553" s="45"/>
      <c r="C553" s="16"/>
      <c r="D553" s="15"/>
      <c r="E553" s="15"/>
      <c r="F553" s="15"/>
      <c r="G553" s="15"/>
      <c r="H553" s="18"/>
      <c r="I553" s="15"/>
      <c r="J553" s="15"/>
      <c r="K553" s="19"/>
      <c r="L553" s="16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</row>
    <row r="554" spans="1:29" s="17" customFormat="1" x14ac:dyDescent="0.25">
      <c r="A554" s="16"/>
      <c r="B554" s="45"/>
      <c r="C554" s="16"/>
      <c r="D554" s="15"/>
      <c r="E554" s="15"/>
      <c r="F554" s="15"/>
      <c r="G554" s="15"/>
      <c r="H554" s="18"/>
      <c r="I554" s="15"/>
      <c r="J554" s="15"/>
      <c r="K554" s="19"/>
      <c r="L554" s="16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</row>
    <row r="555" spans="1:29" x14ac:dyDescent="0.25">
      <c r="L555" s="16"/>
    </row>
    <row r="556" spans="1:29" x14ac:dyDescent="0.25">
      <c r="L556" s="16"/>
      <c r="N556" s="17"/>
      <c r="O556" s="38"/>
    </row>
    <row r="557" spans="1:29" x14ac:dyDescent="0.25">
      <c r="L557" s="16"/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C53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2895.9070332338301</v>
      </c>
      <c r="E2" s="55"/>
      <c r="F2" s="53" t="s">
        <v>620</v>
      </c>
      <c r="G2" s="53">
        <v>31332739902</v>
      </c>
      <c r="H2" s="62"/>
      <c r="K2" s="51" t="s">
        <v>1</v>
      </c>
      <c r="L2" s="60" t="s">
        <v>593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2.4619393082345898E+40</v>
      </c>
      <c r="E3" s="53"/>
      <c r="F3" s="53" t="s">
        <v>621</v>
      </c>
      <c r="G3" s="53">
        <f>H36/SolarMass</f>
        <v>139702886969.89206</v>
      </c>
      <c r="H3" s="62"/>
      <c r="K3" s="51" t="s">
        <v>562</v>
      </c>
      <c r="L3" s="57">
        <v>-7.8399999999999997E-4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9">
        <v>30000</v>
      </c>
      <c r="E4" s="55"/>
      <c r="F4" s="53" t="s">
        <v>622</v>
      </c>
      <c r="G4" s="52">
        <f>G3/G2</f>
        <v>4.4586872200402325</v>
      </c>
      <c r="H4" s="62"/>
      <c r="K4" s="61" t="s">
        <v>614</v>
      </c>
      <c r="L4" s="52">
        <f>QEHModelChiSquare</f>
        <v>461.51623429457317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303.06568425281102</v>
      </c>
      <c r="F5" s="53"/>
      <c r="G5" s="52"/>
      <c r="H5" s="62"/>
      <c r="K5" s="61" t="s">
        <v>615</v>
      </c>
      <c r="L5" s="52">
        <f>LCDMModelChiSquare</f>
        <v>892.14890570275941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36" si="0">RadiusKpc*1000</f>
        <v>90</v>
      </c>
      <c r="C8" s="16">
        <f t="shared" ref="C8:C36" si="1">IF(QESBulgeEffectiveRadius=0,0,RadiusPc/QESBulgeEffectiveRadius)</f>
        <v>3.1078345736637102E-2</v>
      </c>
      <c r="D8" s="15">
        <f t="shared" ref="D8:D36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2.1900817261279067E+38</v>
      </c>
      <c r="F8" s="15">
        <f t="shared" ref="F8:F36" si="3">2*PI()*QESDiskSurfaceDensity*QESDiskScaleLength*(QESDiskScaleLength-EXP(-RadiusPc/QESDiskScaleLength)*(RadiusPc+QESDiskScaleLength))*SolarMass</f>
        <v>1.5309457205318286E+37</v>
      </c>
      <c r="H8" s="18">
        <f t="shared" ref="H8:H36" si="4">BulgeMass+DiskMass+HaloMass</f>
        <v>2.3431762981810894E+38</v>
      </c>
      <c r="I8" s="16">
        <v>40.85</v>
      </c>
      <c r="J8" s="45">
        <v>1</v>
      </c>
      <c r="K8" s="19">
        <f t="shared" ref="K8:K36" si="5">SQRT(TotalMass*GravitationalConstant/RadiusKm+UniverseAcceleration*RadiusKm)/km</f>
        <v>75.713283035823352</v>
      </c>
      <c r="L8" s="16">
        <f t="shared" ref="L8:L36" si="6">(ObservedVelocity-ModelVelocity)^2/(VelocityError)^2</f>
        <v>1215.4485040359282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6.5609840999567209E-2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6.2843571620577644E+38</v>
      </c>
      <c r="F9" s="15">
        <f t="shared" si="3"/>
        <v>6.8079640340409054E+37</v>
      </c>
      <c r="H9" s="18">
        <f t="shared" si="4"/>
        <v>6.9651535654618556E+38</v>
      </c>
      <c r="I9" s="16">
        <v>61.48</v>
      </c>
      <c r="J9" s="45">
        <v>1</v>
      </c>
      <c r="K9" s="19">
        <f t="shared" si="5"/>
        <v>90.237381161997845</v>
      </c>
      <c r="L9" s="16">
        <f t="shared" si="6"/>
        <v>826.98697129642869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0.10359448578879034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1.1350025679021473E+39</v>
      </c>
      <c r="F10" s="15">
        <f t="shared" si="3"/>
        <v>1.6931353391894464E+38</v>
      </c>
      <c r="H10" s="18">
        <f t="shared" si="4"/>
        <v>1.304316101821092E+39</v>
      </c>
      <c r="I10" s="16">
        <v>97.07</v>
      </c>
      <c r="J10" s="45">
        <v>1</v>
      </c>
      <c r="K10" s="19">
        <f t="shared" si="5"/>
        <v>98.698270148267568</v>
      </c>
      <c r="L10" s="16">
        <f t="shared" si="6"/>
        <v>2.65126367573931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0.14503228010430647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1.7026270180166489E+39</v>
      </c>
      <c r="F11" s="15">
        <f t="shared" si="3"/>
        <v>3.3097164325824783E+38</v>
      </c>
      <c r="H11" s="18">
        <f t="shared" si="4"/>
        <v>2.0335986612748966E+39</v>
      </c>
      <c r="I11" s="16">
        <v>127.62</v>
      </c>
      <c r="J11" s="45">
        <v>1</v>
      </c>
      <c r="K11" s="19">
        <f t="shared" si="5"/>
        <v>104.61955547456439</v>
      </c>
      <c r="L11" s="16">
        <f t="shared" si="6"/>
        <v>529.02044836764094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0.19337637347240863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2.364855543150234E+39</v>
      </c>
      <c r="F12" s="15">
        <f t="shared" si="3"/>
        <v>5.8656880441260795E+38</v>
      </c>
      <c r="H12" s="18">
        <f t="shared" si="4"/>
        <v>2.9514243475628418E+39</v>
      </c>
      <c r="I12" s="16">
        <v>143.99</v>
      </c>
      <c r="J12" s="45">
        <v>1</v>
      </c>
      <c r="K12" s="19">
        <f t="shared" si="5"/>
        <v>109.67950289570084</v>
      </c>
      <c r="L12" s="16">
        <f t="shared" si="6"/>
        <v>1177.2102115441219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0.24172046684051079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2.9969685412515072E+39</v>
      </c>
      <c r="F13" s="15">
        <f t="shared" si="3"/>
        <v>9.1367179304195837E+38</v>
      </c>
      <c r="H13" s="18">
        <f t="shared" si="4"/>
        <v>3.9106403342934658E+39</v>
      </c>
      <c r="I13" s="16">
        <v>148.30000000000001</v>
      </c>
      <c r="J13" s="45">
        <v>1</v>
      </c>
      <c r="K13" s="19">
        <f t="shared" si="5"/>
        <v>113.4508824606732</v>
      </c>
      <c r="L13" s="16">
        <f t="shared" si="6"/>
        <v>1214.4609932698156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0.29697085926119898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3.7139191647031053E+39</v>
      </c>
      <c r="F14" s="15">
        <f t="shared" si="3"/>
        <v>1.3742009148338805E+39</v>
      </c>
      <c r="H14" s="18">
        <f t="shared" si="4"/>
        <v>5.088120079536986E+39</v>
      </c>
      <c r="I14" s="16">
        <v>148.66</v>
      </c>
      <c r="J14" s="45">
        <v>1</v>
      </c>
      <c r="K14" s="19">
        <f t="shared" si="5"/>
        <v>117.32198656284757</v>
      </c>
      <c r="L14" s="16">
        <f t="shared" si="6"/>
        <v>982.07108618714608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0.35912755073447317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4.4570498893445874E+39</v>
      </c>
      <c r="F15" s="15">
        <f t="shared" si="3"/>
        <v>2.0016467023312379E+39</v>
      </c>
      <c r="H15" s="18">
        <f t="shared" si="4"/>
        <v>6.458696591675825E+39</v>
      </c>
      <c r="I15" s="16">
        <v>148.01</v>
      </c>
      <c r="J15" s="45">
        <v>1</v>
      </c>
      <c r="K15" s="19">
        <f t="shared" si="5"/>
        <v>120.84121771235404</v>
      </c>
      <c r="L15" s="16">
        <f t="shared" si="6"/>
        <v>738.14273099350453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0.4247373917340404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5.2120299578020207E+39</v>
      </c>
      <c r="F16" s="15">
        <f t="shared" si="3"/>
        <v>2.7880661755653676E+39</v>
      </c>
      <c r="H16" s="18">
        <f t="shared" si="4"/>
        <v>8.0000961333673878E+39</v>
      </c>
      <c r="I16" s="16">
        <v>136.71</v>
      </c>
      <c r="J16" s="45">
        <v>1</v>
      </c>
      <c r="K16" s="19">
        <f t="shared" si="5"/>
        <v>124.306014412984</v>
      </c>
      <c r="L16" s="16">
        <f t="shared" si="6"/>
        <v>153.8588584429009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0.50070668131248663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6.0357944797543207E+39</v>
      </c>
      <c r="F17" s="15">
        <f t="shared" si="3"/>
        <v>3.8557917375376056E+39</v>
      </c>
      <c r="H17" s="18">
        <f t="shared" si="4"/>
        <v>9.8915862172919269E+39</v>
      </c>
      <c r="I17" s="16">
        <v>110.84</v>
      </c>
      <c r="J17" s="45">
        <v>1</v>
      </c>
      <c r="K17" s="19">
        <f t="shared" si="5"/>
        <v>128.01002629971566</v>
      </c>
      <c r="L17" s="16">
        <f t="shared" si="6"/>
        <v>294.80980313292741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0.58012912041722586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6.8222291098509554E+39</v>
      </c>
      <c r="F18" s="15">
        <f t="shared" si="3"/>
        <v>5.1497492510585785E+39</v>
      </c>
      <c r="H18" s="18">
        <f t="shared" si="4"/>
        <v>1.1971978360909533E+40</v>
      </c>
      <c r="I18" s="16">
        <v>106.32</v>
      </c>
      <c r="J18" s="45">
        <v>1</v>
      </c>
      <c r="K18" s="19">
        <f t="shared" si="5"/>
        <v>131.54371818114834</v>
      </c>
      <c r="L18" s="16">
        <f t="shared" si="6"/>
        <v>636.2359588819935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0.66991100810084414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7.6520340392911064E+39</v>
      </c>
      <c r="F19" s="15">
        <f t="shared" si="3"/>
        <v>6.8276993480206029E+39</v>
      </c>
      <c r="H19" s="18">
        <f t="shared" si="4"/>
        <v>1.4479733387311709E+40</v>
      </c>
      <c r="I19" s="16">
        <v>109.08</v>
      </c>
      <c r="J19" s="45">
        <v>1</v>
      </c>
      <c r="K19" s="19">
        <f t="shared" si="5"/>
        <v>135.37546675951788</v>
      </c>
      <c r="L19" s="16">
        <f t="shared" si="6"/>
        <v>691.45157210090974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0.77005234436334147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8.5063858739748499E+39</v>
      </c>
      <c r="F20" s="15">
        <f t="shared" si="3"/>
        <v>8.9639237383824998E+39</v>
      </c>
      <c r="G20" s="15"/>
      <c r="H20" s="18">
        <f t="shared" si="4"/>
        <v>1.747030961235735E+40</v>
      </c>
      <c r="I20" s="16">
        <v>111.54</v>
      </c>
      <c r="J20" s="45">
        <v>1</v>
      </c>
      <c r="K20" s="19">
        <f t="shared" si="5"/>
        <v>139.47782919262764</v>
      </c>
      <c r="L20" s="16">
        <f t="shared" si="6"/>
        <v>780.52229999643669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0.8770999796784249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9.3447154197343007E+39</v>
      </c>
      <c r="F21" s="15">
        <f t="shared" si="3"/>
        <v>1.1550053050369908E+40</v>
      </c>
      <c r="G21" s="15"/>
      <c r="H21" s="18">
        <f t="shared" si="4"/>
        <v>2.0894768470104208E+40</v>
      </c>
      <c r="I21" s="16">
        <v>116.91</v>
      </c>
      <c r="J21" s="45">
        <v>1</v>
      </c>
      <c r="K21" s="19">
        <f t="shared" si="5"/>
        <v>143.70419771409678</v>
      </c>
      <c r="L21" s="16">
        <f t="shared" si="6"/>
        <v>717.92903114210924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0.99796021309868022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1.0211508497789818E+40</v>
      </c>
      <c r="F22" s="15">
        <f t="shared" si="3"/>
        <v>1.4837475423129332E+40</v>
      </c>
      <c r="G22" s="15"/>
      <c r="H22" s="18">
        <f t="shared" si="4"/>
        <v>2.5048983920919151E+40</v>
      </c>
      <c r="I22" s="16">
        <v>131.69999999999999</v>
      </c>
      <c r="J22" s="45">
        <v>1</v>
      </c>
      <c r="K22" s="19">
        <f t="shared" si="5"/>
        <v>148.32049043498012</v>
      </c>
      <c r="L22" s="16">
        <f t="shared" si="6"/>
        <v>276.24070229926588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1.1291798950978147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1.1056711293452604E+40</v>
      </c>
      <c r="F23" s="15">
        <f t="shared" si="3"/>
        <v>1.8837533877096794E+40</v>
      </c>
      <c r="G23" s="15"/>
      <c r="H23" s="18">
        <f t="shared" si="4"/>
        <v>2.9894245170549398E+40</v>
      </c>
      <c r="I23" s="16">
        <v>146.99</v>
      </c>
      <c r="J23" s="45">
        <v>1</v>
      </c>
      <c r="K23" s="19">
        <f t="shared" si="5"/>
        <v>153.14328756747872</v>
      </c>
      <c r="L23" s="16">
        <f t="shared" si="6"/>
        <v>37.862947888088101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1.2742121752021212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1.1905980205017024E+40</v>
      </c>
      <c r="F24" s="15">
        <f t="shared" si="3"/>
        <v>2.376661557715432E+40</v>
      </c>
      <c r="G24" s="15"/>
      <c r="H24" s="18">
        <f t="shared" si="4"/>
        <v>3.5672595782171344E+40</v>
      </c>
      <c r="I24" s="16">
        <v>161.30000000000001</v>
      </c>
      <c r="J24" s="45">
        <v>1</v>
      </c>
      <c r="K24" s="19">
        <f t="shared" si="5"/>
        <v>158.30937972028596</v>
      </c>
      <c r="L24" s="16">
        <f t="shared" si="6"/>
        <v>8.9438096574369474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1.4330570534115996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1.2741964388829086E+40</v>
      </c>
      <c r="F25" s="15">
        <f t="shared" si="3"/>
        <v>2.9759121431267171E+40</v>
      </c>
      <c r="G25" s="15"/>
      <c r="H25" s="18">
        <f t="shared" si="4"/>
        <v>4.2501085820096256E+40</v>
      </c>
      <c r="I25" s="16">
        <v>177.16</v>
      </c>
      <c r="J25" s="45">
        <v>1</v>
      </c>
      <c r="K25" s="19">
        <f t="shared" si="5"/>
        <v>163.77017151517668</v>
      </c>
      <c r="L25" s="16">
        <f t="shared" si="6"/>
        <v>179.28750685298576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1.6057145297262503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1.3558808229444323E+40</v>
      </c>
      <c r="F26" s="15">
        <f t="shared" si="3"/>
        <v>3.6954205697310659E+40</v>
      </c>
      <c r="G26" s="15"/>
      <c r="H26" s="18">
        <f t="shared" si="4"/>
        <v>5.0513013926754977E+40</v>
      </c>
      <c r="I26" s="16">
        <v>187.62</v>
      </c>
      <c r="J26" s="45">
        <v>1</v>
      </c>
      <c r="K26" s="19">
        <f t="shared" si="5"/>
        <v>169.49384253955137</v>
      </c>
      <c r="L26" s="16">
        <f t="shared" si="6"/>
        <v>328.55758428097784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1.7990909031986588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1.4372047408757516E+40</v>
      </c>
      <c r="F27" s="15">
        <f t="shared" si="3"/>
        <v>4.5825126409896654E+40</v>
      </c>
      <c r="G27" s="15"/>
      <c r="H27" s="18">
        <f t="shared" si="4"/>
        <v>6.0197173818654174E+40</v>
      </c>
      <c r="I27" s="16">
        <v>190.54</v>
      </c>
      <c r="J27" s="45">
        <v>1</v>
      </c>
      <c r="K27" s="19">
        <f t="shared" si="5"/>
        <v>175.65074999395529</v>
      </c>
      <c r="L27" s="16">
        <f t="shared" si="6"/>
        <v>221.68976574250223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2.0097330243025326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1.5156063659006618E+40</v>
      </c>
      <c r="F28" s="15">
        <f t="shared" si="3"/>
        <v>5.6425883415684144E+40</v>
      </c>
      <c r="G28" s="15"/>
      <c r="H28" s="18">
        <f t="shared" si="4"/>
        <v>7.1581947074690762E+40</v>
      </c>
      <c r="I28" s="16">
        <v>192.56</v>
      </c>
      <c r="J28" s="45">
        <v>1</v>
      </c>
      <c r="K28" s="19">
        <f t="shared" si="5"/>
        <v>182.07488188365457</v>
      </c>
      <c r="L28" s="16">
        <f t="shared" si="6"/>
        <v>109.9377019137152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2.2410940425641641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1.5915663015758E+40</v>
      </c>
      <c r="F29" s="15">
        <f t="shared" si="3"/>
        <v>6.9146096677682072E+40</v>
      </c>
      <c r="G29" s="15"/>
      <c r="H29" s="18">
        <f t="shared" si="4"/>
        <v>8.5061759693440074E+40</v>
      </c>
      <c r="I29" s="16">
        <v>195.69</v>
      </c>
      <c r="J29" s="45">
        <v>1</v>
      </c>
      <c r="K29" s="19">
        <f t="shared" si="5"/>
        <v>188.81541207700073</v>
      </c>
      <c r="L29" s="16">
        <f t="shared" si="6"/>
        <v>47.259959111047394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2.496627107509847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1.6655049558612049E+40</v>
      </c>
      <c r="F30" s="15">
        <f t="shared" si="3"/>
        <v>8.4440590758656689E+40</v>
      </c>
      <c r="G30" s="15"/>
      <c r="H30" s="18">
        <f t="shared" si="4"/>
        <v>1.0109564031726873E+41</v>
      </c>
      <c r="I30" s="16">
        <v>200.29</v>
      </c>
      <c r="J30" s="45">
        <v>1</v>
      </c>
      <c r="K30" s="19">
        <f t="shared" si="5"/>
        <v>195.90585652399022</v>
      </c>
      <c r="L30" s="16">
        <f t="shared" si="6"/>
        <v>19.220714018239015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2.7797853686658742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1.736758402122399E+40</v>
      </c>
      <c r="F31" s="15">
        <f t="shared" si="3"/>
        <v>1.0283083373845114E+41</v>
      </c>
      <c r="G31" s="15"/>
      <c r="H31" s="18">
        <f t="shared" si="4"/>
        <v>1.2019841775967514E+41</v>
      </c>
      <c r="I31" s="16">
        <v>205.44</v>
      </c>
      <c r="J31" s="45">
        <v>1</v>
      </c>
      <c r="K31" s="19">
        <f t="shared" si="5"/>
        <v>203.35612775131474</v>
      </c>
      <c r="L31" s="16">
        <f t="shared" si="6"/>
        <v>4.3425235488405338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3.087115676505952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1.8040264738182263E+40</v>
      </c>
      <c r="F32" s="15">
        <f t="shared" si="3"/>
        <v>1.2440094307266804E+41</v>
      </c>
      <c r="G32" s="15"/>
      <c r="H32" s="18">
        <f t="shared" si="4"/>
        <v>1.4244120781085029E+41</v>
      </c>
      <c r="I32" s="16">
        <v>212.04</v>
      </c>
      <c r="J32" s="45">
        <v>1</v>
      </c>
      <c r="K32" s="19">
        <f t="shared" si="5"/>
        <v>211.00099965493885</v>
      </c>
      <c r="L32" s="16">
        <f t="shared" si="6"/>
        <v>1.0795217170371685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3.4289774796089603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1.8685698661003422E+40</v>
      </c>
      <c r="F33" s="15">
        <f t="shared" si="3"/>
        <v>1.502270596968231E+41</v>
      </c>
      <c r="G33" s="15"/>
      <c r="H33" s="18">
        <f t="shared" si="4"/>
        <v>1.6891275835782651E+41</v>
      </c>
      <c r="I33" s="16">
        <v>221.67</v>
      </c>
      <c r="J33" s="45">
        <v>1</v>
      </c>
      <c r="K33" s="19">
        <f t="shared" si="5"/>
        <v>219.01043949932696</v>
      </c>
      <c r="L33" s="16">
        <f t="shared" si="6"/>
        <v>7.0732620567401456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3.8019176284486051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1.9291132913038733E+40</v>
      </c>
      <c r="F34" s="15">
        <f t="shared" si="3"/>
        <v>1.8043102426713034E+41</v>
      </c>
      <c r="G34" s="15"/>
      <c r="H34" s="18">
        <f t="shared" si="4"/>
        <v>1.9972215718016906E+41</v>
      </c>
      <c r="I34" s="16">
        <v>235.15</v>
      </c>
      <c r="J34" s="45">
        <v>1</v>
      </c>
      <c r="K34" s="19">
        <f t="shared" si="5"/>
        <v>227.20985096490787</v>
      </c>
      <c r="L34" s="16">
        <f t="shared" si="6"/>
        <v>63.04596669947454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4.2128424220774736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1.9859911251259883E+40</v>
      </c>
      <c r="F35" s="15">
        <f t="shared" si="3"/>
        <v>2.1594890279658964E+41</v>
      </c>
      <c r="G35" s="15"/>
      <c r="H35" s="18">
        <f t="shared" si="4"/>
        <v>2.3580881404784953E+41</v>
      </c>
      <c r="I35" s="16">
        <v>247.81</v>
      </c>
      <c r="J35" s="45">
        <v>1</v>
      </c>
      <c r="K35" s="19">
        <f t="shared" si="5"/>
        <v>235.6565710471298</v>
      </c>
      <c r="L35" s="16">
        <f t="shared" si="6"/>
        <v>147.70583531246365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4.6652050100218583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2.039139492901207E+40</v>
      </c>
      <c r="F36" s="15">
        <f t="shared" si="3"/>
        <v>2.5749161754280019E+41</v>
      </c>
      <c r="G36" s="15"/>
      <c r="H36" s="18">
        <f t="shared" si="4"/>
        <v>2.7788301247181227E+41</v>
      </c>
      <c r="I36" s="16">
        <v>255.49</v>
      </c>
      <c r="J36" s="45">
        <v>1</v>
      </c>
      <c r="K36" s="19">
        <f t="shared" si="5"/>
        <v>244.31599788804795</v>
      </c>
      <c r="L36" s="16">
        <f t="shared" si="6"/>
        <v>124.85832319790917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x14ac:dyDescent="0.25">
      <c r="I37" s="45"/>
      <c r="J37" s="45"/>
      <c r="L37" s="16">
        <f>SUM(L8:L36)/(COUNT(L8:L36)-4)</f>
        <v>461.51623429457317</v>
      </c>
    </row>
    <row r="38" spans="1:29" x14ac:dyDescent="0.25">
      <c r="I38" s="45"/>
      <c r="J38" s="45"/>
      <c r="L38" s="16"/>
    </row>
    <row r="39" spans="1:29" ht="21" x14ac:dyDescent="0.35">
      <c r="A39" s="48" t="s">
        <v>564</v>
      </c>
      <c r="I39" s="45"/>
      <c r="J39" s="45"/>
      <c r="L39" s="16"/>
    </row>
    <row r="40" spans="1:29" x14ac:dyDescent="0.25">
      <c r="A40" s="16" t="s">
        <v>30</v>
      </c>
      <c r="D40" s="16">
        <v>1.39</v>
      </c>
      <c r="E40" s="17">
        <f>$D$40*1000</f>
        <v>1390</v>
      </c>
      <c r="F40" s="17"/>
      <c r="G40" s="17"/>
      <c r="H40" s="15"/>
      <c r="K40" s="15"/>
      <c r="L40" s="17"/>
      <c r="M40" s="45"/>
    </row>
    <row r="41" spans="1:29" x14ac:dyDescent="0.25">
      <c r="A41" s="16" t="s">
        <v>16</v>
      </c>
      <c r="D41" s="16">
        <v>0.66</v>
      </c>
      <c r="E41" s="15">
        <f>D41*10000000000*SolarMass</f>
        <v>1.3128059999999999E+40</v>
      </c>
      <c r="F41" s="43"/>
      <c r="G41" s="43"/>
      <c r="H41" s="15"/>
      <c r="K41" s="15"/>
      <c r="L41" s="17"/>
      <c r="M41" s="45"/>
    </row>
    <row r="42" spans="1:29" x14ac:dyDescent="0.25">
      <c r="A42" s="16" t="s">
        <v>569</v>
      </c>
      <c r="D42" s="16">
        <v>12</v>
      </c>
      <c r="E42" s="15">
        <f>D42*1000</f>
        <v>12000</v>
      </c>
      <c r="H42" s="15"/>
      <c r="K42" s="15"/>
      <c r="L42" s="17"/>
      <c r="M42" s="45"/>
    </row>
    <row r="43" spans="1:29" x14ac:dyDescent="0.25">
      <c r="A43" s="16" t="s">
        <v>17</v>
      </c>
      <c r="D43" s="45">
        <v>39.700000000000003</v>
      </c>
      <c r="G43" s="16"/>
      <c r="H43" s="15"/>
      <c r="K43" s="15"/>
      <c r="L43" s="17"/>
      <c r="M43" s="45"/>
    </row>
    <row r="44" spans="1:29" x14ac:dyDescent="0.25">
      <c r="A44" s="16" t="s">
        <v>570</v>
      </c>
      <c r="D44" s="16">
        <v>9.8000000000000007</v>
      </c>
      <c r="E44" s="17">
        <f>D44*1000</f>
        <v>9800</v>
      </c>
      <c r="H44" s="15"/>
      <c r="K44" s="15"/>
      <c r="L44" s="17"/>
      <c r="M44" s="45"/>
    </row>
    <row r="45" spans="1:29" x14ac:dyDescent="0.25">
      <c r="A45" s="16" t="s">
        <v>571</v>
      </c>
      <c r="D45" s="16">
        <v>3.5</v>
      </c>
      <c r="G45" s="9"/>
      <c r="H45" s="15"/>
      <c r="K45" s="15"/>
      <c r="L45" s="17"/>
      <c r="M45" s="45"/>
    </row>
    <row r="46" spans="1:29" x14ac:dyDescent="0.25">
      <c r="D46" s="12"/>
      <c r="H46" s="15"/>
      <c r="K46" s="15"/>
      <c r="L46" s="17"/>
      <c r="M46" s="45"/>
    </row>
    <row r="47" spans="1:29" x14ac:dyDescent="0.25">
      <c r="A47" s="16" t="s">
        <v>567</v>
      </c>
      <c r="D47" s="17">
        <f>(D43*10000000000)/(2*PI()*DiskScaleLengthPc^2)</f>
        <v>438.78133616307258</v>
      </c>
      <c r="H47" s="15"/>
      <c r="K47" s="15"/>
      <c r="L47" s="17"/>
      <c r="M47" s="45"/>
    </row>
    <row r="48" spans="1:29" x14ac:dyDescent="0.25">
      <c r="A48" s="16" t="s">
        <v>565</v>
      </c>
      <c r="D48" s="9">
        <f>(D45*10000000000)/(4*PI()*(LCDMHaloScaleLengthPc)^3*(LN(2)-1/2))</f>
        <v>1.5321157612046889E-2</v>
      </c>
      <c r="H48" s="15"/>
      <c r="K48" s="15"/>
      <c r="L48" s="17"/>
      <c r="M48" s="45"/>
    </row>
    <row r="49" spans="1:29" x14ac:dyDescent="0.25">
      <c r="H49" s="15"/>
      <c r="K49" s="15"/>
      <c r="L49" s="17"/>
      <c r="M49" s="45"/>
    </row>
    <row r="50" spans="1:29" ht="45" x14ac:dyDescent="0.25">
      <c r="A50" s="7" t="s">
        <v>20</v>
      </c>
      <c r="B50" s="3" t="s">
        <v>19</v>
      </c>
      <c r="C50" s="7" t="s">
        <v>27</v>
      </c>
      <c r="D50" s="4" t="s">
        <v>649</v>
      </c>
      <c r="E50" s="4" t="s">
        <v>21</v>
      </c>
      <c r="F50" s="4" t="s">
        <v>22</v>
      </c>
      <c r="G50" s="4" t="s">
        <v>28</v>
      </c>
      <c r="H50" s="4" t="s">
        <v>23</v>
      </c>
      <c r="I50" s="7" t="s">
        <v>645</v>
      </c>
      <c r="J50" s="7" t="s">
        <v>646</v>
      </c>
      <c r="K50" s="25" t="s">
        <v>647</v>
      </c>
      <c r="L50" s="3" t="s">
        <v>648</v>
      </c>
      <c r="M50" s="3"/>
      <c r="N50" s="3"/>
      <c r="O50" s="3"/>
      <c r="P50" s="3"/>
      <c r="Q50" s="3"/>
      <c r="R50" s="3"/>
      <c r="S50" s="3"/>
      <c r="T50" s="3"/>
      <c r="U50" s="3"/>
      <c r="V50" s="7"/>
      <c r="W50" s="7"/>
      <c r="X50" s="3"/>
      <c r="Y50" s="3"/>
      <c r="Z50" s="3"/>
      <c r="AA50" s="3"/>
      <c r="AB50" s="3"/>
      <c r="AC50" s="3"/>
    </row>
    <row r="51" spans="1:29" x14ac:dyDescent="0.25">
      <c r="A51" s="16">
        <v>0.09</v>
      </c>
      <c r="B51" s="45">
        <f>A51*1000</f>
        <v>90</v>
      </c>
      <c r="C51" s="16">
        <f>B51/LCDMBulgeEffectiveRadius</f>
        <v>6.4748201438848921E-2</v>
      </c>
      <c r="D51" s="15">
        <f>A51*kpc</f>
        <v>2.777109822E+18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3.2921746072964033E+38</v>
      </c>
      <c r="F51" s="15">
        <f t="shared" ref="F51:F79" si="7">2*PI()*LCDMDiskSurfaceDensity*LCDMScaleLength*(LCDMScaleLength-EXP(-RadiusPc/LCDMScaleLength)*(RadiusPc+LCDMScaleLength))*SolarMass</f>
        <v>2.2098808662157352E+37</v>
      </c>
      <c r="G51" s="15">
        <f t="shared" ref="G51:G79" si="8">4*PI()*LCDMHaloRepresentativeDensity*LCDMHaloScaleLengthPc^3*(LN(1+RadiusPc/LCDMHaloScaleLengthPc)-RadiusPc/(RadiusPc+LCDMHaloScaleLengthPc))*SolarMass</f>
        <v>1.5015628766060849E+37</v>
      </c>
      <c r="H51" s="15">
        <f t="shared" ref="H51:H79" si="9">BulgeMass+DiskMass+HaloMass</f>
        <v>3.6633189815785851E+38</v>
      </c>
      <c r="I51" s="16">
        <v>40.85</v>
      </c>
      <c r="J51" s="45">
        <v>1</v>
      </c>
      <c r="K51" s="19">
        <f t="shared" ref="K51:K79" si="10">SQRT(TotalMass*GravitationalConstant/RadiusKm)/km</f>
        <v>93.828882724871292</v>
      </c>
      <c r="L51" s="16">
        <f t="shared" ref="L51:L79" si="11">(ObservedVelocity-ModelVelocity)^2/(VelocityError)^2</f>
        <v>2806.7620147756656</v>
      </c>
      <c r="M51" s="45"/>
    </row>
    <row r="52" spans="1:29" x14ac:dyDescent="0.25">
      <c r="A52" s="16">
        <v>0.19</v>
      </c>
      <c r="B52" s="45">
        <f t="shared" ref="B52:B79" si="12">A52*1000</f>
        <v>190</v>
      </c>
      <c r="C52" s="16">
        <f t="shared" ref="C52:C79" si="13">B52/LCDMBulgeEffectiveRadius</f>
        <v>0.1366906474820144</v>
      </c>
      <c r="D52" s="15">
        <f t="shared" ref="D52:D79" si="14">A52*kpc</f>
        <v>5.862787402E+18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8.4697879692863305E+38</v>
      </c>
      <c r="F52" s="15">
        <f t="shared" si="7"/>
        <v>9.7944633437413252E+37</v>
      </c>
      <c r="G52" s="15">
        <f t="shared" si="8"/>
        <v>6.6028772972960501E+37</v>
      </c>
      <c r="H52" s="15">
        <f t="shared" si="9"/>
        <v>1.0109522033390068E+39</v>
      </c>
      <c r="I52" s="16">
        <v>61.48</v>
      </c>
      <c r="J52" s="45">
        <v>1</v>
      </c>
      <c r="K52" s="19">
        <f t="shared" si="10"/>
        <v>107.27757373133747</v>
      </c>
      <c r="L52" s="16">
        <f t="shared" si="11"/>
        <v>2097.417759677292</v>
      </c>
      <c r="M52" s="45"/>
    </row>
    <row r="53" spans="1:29" x14ac:dyDescent="0.25">
      <c r="A53" s="16">
        <v>0.3</v>
      </c>
      <c r="B53" s="45">
        <f t="shared" si="12"/>
        <v>300</v>
      </c>
      <c r="C53" s="16">
        <f t="shared" si="13"/>
        <v>0.21582733812949639</v>
      </c>
      <c r="D53" s="15">
        <f t="shared" si="14"/>
        <v>9.25703274E+18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1.4189368260060427E+39</v>
      </c>
      <c r="F53" s="15">
        <f t="shared" si="7"/>
        <v>2.4269814261971433E+38</v>
      </c>
      <c r="G53" s="15">
        <f t="shared" si="8"/>
        <v>1.6222369993393674E+38</v>
      </c>
      <c r="H53" s="15">
        <f t="shared" si="9"/>
        <v>1.8238586685596935E+39</v>
      </c>
      <c r="I53" s="16">
        <v>97.07</v>
      </c>
      <c r="J53" s="45">
        <v>1</v>
      </c>
      <c r="K53" s="19">
        <f t="shared" si="10"/>
        <v>114.67147400022095</v>
      </c>
      <c r="L53" s="16">
        <f t="shared" si="11"/>
        <v>309.81188698045446</v>
      </c>
      <c r="M53" s="45"/>
    </row>
    <row r="54" spans="1:29" x14ac:dyDescent="0.25">
      <c r="A54" s="16">
        <v>0.42</v>
      </c>
      <c r="B54" s="45">
        <f t="shared" si="12"/>
        <v>420</v>
      </c>
      <c r="C54" s="16">
        <f t="shared" si="13"/>
        <v>0.30215827338129497</v>
      </c>
      <c r="D54" s="15">
        <f t="shared" si="14"/>
        <v>1.2959845836E+19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2.0150722081726618E+39</v>
      </c>
      <c r="F54" s="15">
        <f t="shared" si="7"/>
        <v>4.725355425878593E+38</v>
      </c>
      <c r="G54" s="15">
        <f t="shared" si="8"/>
        <v>3.1297556726110199E+38</v>
      </c>
      <c r="H54" s="15">
        <f t="shared" si="9"/>
        <v>2.8005833180216232E+39</v>
      </c>
      <c r="I54" s="16">
        <v>127.62</v>
      </c>
      <c r="J54" s="45">
        <v>1</v>
      </c>
      <c r="K54" s="19">
        <f t="shared" si="10"/>
        <v>120.09364740296679</v>
      </c>
      <c r="L54" s="16">
        <f t="shared" si="11"/>
        <v>56.645983414868539</v>
      </c>
      <c r="M54" s="45"/>
    </row>
    <row r="55" spans="1:29" x14ac:dyDescent="0.25">
      <c r="A55" s="16">
        <v>0.56000000000000005</v>
      </c>
      <c r="B55" s="45">
        <f t="shared" si="12"/>
        <v>560</v>
      </c>
      <c r="C55" s="16">
        <f t="shared" si="13"/>
        <v>0.40287769784172661</v>
      </c>
      <c r="D55" s="15">
        <f t="shared" si="14"/>
        <v>1.7279794448000002E+19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2.6527672504402875E+39</v>
      </c>
      <c r="F55" s="15">
        <f t="shared" si="7"/>
        <v>8.3357682705301964E+38</v>
      </c>
      <c r="G55" s="15">
        <f t="shared" si="8"/>
        <v>5.4635806825189828E+38</v>
      </c>
      <c r="H55" s="15">
        <f t="shared" si="9"/>
        <v>4.0327021457452053E+39</v>
      </c>
      <c r="I55" s="16">
        <v>143.99</v>
      </c>
      <c r="J55" s="45">
        <v>1</v>
      </c>
      <c r="K55" s="19">
        <f t="shared" si="10"/>
        <v>124.80284660442821</v>
      </c>
      <c r="L55" s="16">
        <f t="shared" si="11"/>
        <v>368.14685542520238</v>
      </c>
      <c r="M55" s="45"/>
    </row>
    <row r="56" spans="1:29" x14ac:dyDescent="0.25">
      <c r="A56" s="16">
        <v>0.7</v>
      </c>
      <c r="B56" s="45">
        <f t="shared" si="12"/>
        <v>700</v>
      </c>
      <c r="C56" s="16">
        <f t="shared" si="13"/>
        <v>0.50359712230215825</v>
      </c>
      <c r="D56" s="15">
        <f t="shared" si="14"/>
        <v>2.1599743059999998E+19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3.2337925188863303E+39</v>
      </c>
      <c r="F56" s="15">
        <f t="shared" si="7"/>
        <v>1.292416943091367E+39</v>
      </c>
      <c r="G56" s="15">
        <f t="shared" si="8"/>
        <v>8.3846365145740387E+38</v>
      </c>
      <c r="H56" s="15">
        <f t="shared" si="9"/>
        <v>5.364673113435101E+39</v>
      </c>
      <c r="I56" s="16">
        <v>148.30000000000001</v>
      </c>
      <c r="J56" s="45">
        <v>1</v>
      </c>
      <c r="K56" s="19">
        <f t="shared" si="10"/>
        <v>128.74875663348834</v>
      </c>
      <c r="L56" s="16">
        <f t="shared" si="11"/>
        <v>382.25111717656659</v>
      </c>
      <c r="M56" s="45"/>
    </row>
    <row r="57" spans="1:29" x14ac:dyDescent="0.25">
      <c r="A57" s="16">
        <v>0.86</v>
      </c>
      <c r="B57" s="45">
        <f t="shared" si="12"/>
        <v>860</v>
      </c>
      <c r="C57" s="16">
        <f t="shared" si="13"/>
        <v>0.61870503597122306</v>
      </c>
      <c r="D57" s="15">
        <f t="shared" si="14"/>
        <v>2.6536827187999998E+19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3.8331271809410078E+39</v>
      </c>
      <c r="F57" s="15">
        <f t="shared" si="7"/>
        <v>1.933588572739006E+39</v>
      </c>
      <c r="G57" s="15">
        <f t="shared" si="8"/>
        <v>1.240143246213569E+39</v>
      </c>
      <c r="H57" s="15">
        <f t="shared" si="9"/>
        <v>7.006858999893582E+39</v>
      </c>
      <c r="I57" s="16">
        <v>148.66</v>
      </c>
      <c r="J57" s="45">
        <v>1</v>
      </c>
      <c r="K57" s="19">
        <f t="shared" si="10"/>
        <v>132.74950031581054</v>
      </c>
      <c r="L57" s="16">
        <f t="shared" si="11"/>
        <v>253.14400020059293</v>
      </c>
      <c r="M57" s="45"/>
    </row>
    <row r="58" spans="1:29" x14ac:dyDescent="0.25">
      <c r="A58" s="16">
        <v>1.04</v>
      </c>
      <c r="B58" s="45">
        <f t="shared" si="12"/>
        <v>1040</v>
      </c>
      <c r="C58" s="16">
        <f t="shared" si="13"/>
        <v>0.74820143884892087</v>
      </c>
      <c r="D58" s="15">
        <f t="shared" si="14"/>
        <v>3.2091046832E+19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4.439163764848921E+39</v>
      </c>
      <c r="F58" s="15">
        <f t="shared" si="7"/>
        <v>2.7997529059642251E+39</v>
      </c>
      <c r="G58" s="15">
        <f t="shared" si="8"/>
        <v>1.7732524852582688E+39</v>
      </c>
      <c r="H58" s="15">
        <f t="shared" si="9"/>
        <v>9.0121691560714156E+39</v>
      </c>
      <c r="I58" s="16">
        <v>148.01</v>
      </c>
      <c r="J58" s="45">
        <v>1</v>
      </c>
      <c r="K58" s="19">
        <f t="shared" si="10"/>
        <v>136.90472248831622</v>
      </c>
      <c r="L58" s="16">
        <f t="shared" si="11"/>
        <v>123.32718861150919</v>
      </c>
      <c r="M58" s="45"/>
    </row>
    <row r="59" spans="1:29" x14ac:dyDescent="0.25">
      <c r="A59" s="16">
        <v>1.23</v>
      </c>
      <c r="B59" s="45">
        <f t="shared" si="12"/>
        <v>1230</v>
      </c>
      <c r="C59" s="16">
        <f t="shared" si="13"/>
        <v>0.8848920863309353</v>
      </c>
      <c r="D59" s="15">
        <f t="shared" si="14"/>
        <v>3.7953834233999999E+19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5.0147545831338125E+39</v>
      </c>
      <c r="F59" s="15">
        <f t="shared" si="7"/>
        <v>3.8753897647722263E+39</v>
      </c>
      <c r="G59" s="15">
        <f t="shared" si="8"/>
        <v>2.4230385103236065E+39</v>
      </c>
      <c r="H59" s="15">
        <f t="shared" si="9"/>
        <v>1.1313182858229645E+40</v>
      </c>
      <c r="I59" s="16">
        <v>136.71</v>
      </c>
      <c r="J59" s="45">
        <v>1</v>
      </c>
      <c r="K59" s="19">
        <f t="shared" si="10"/>
        <v>141.04583922337474</v>
      </c>
      <c r="L59" s="16">
        <f t="shared" si="11"/>
        <v>18.799501770954816</v>
      </c>
      <c r="M59" s="45"/>
    </row>
    <row r="60" spans="1:29" x14ac:dyDescent="0.25">
      <c r="A60" s="16">
        <v>1.45</v>
      </c>
      <c r="B60" s="45">
        <f t="shared" si="12"/>
        <v>1450</v>
      </c>
      <c r="C60" s="16">
        <f t="shared" si="13"/>
        <v>1.0431654676258992</v>
      </c>
      <c r="D60" s="15">
        <f t="shared" si="14"/>
        <v>4.4742324909999997E+19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5.6033242359884876E+39</v>
      </c>
      <c r="F60" s="15">
        <f t="shared" si="7"/>
        <v>5.3208729013463133E+39</v>
      </c>
      <c r="G60" s="15">
        <f t="shared" si="8"/>
        <v>3.2788950596200982E+39</v>
      </c>
      <c r="H60" s="15">
        <f t="shared" si="9"/>
        <v>1.4203092196954898E+40</v>
      </c>
      <c r="I60" s="16">
        <v>110.84</v>
      </c>
      <c r="J60" s="45">
        <v>1</v>
      </c>
      <c r="K60" s="19">
        <f t="shared" si="10"/>
        <v>145.55525301571237</v>
      </c>
      <c r="L60" s="16">
        <f t="shared" si="11"/>
        <v>1205.1487919449264</v>
      </c>
      <c r="M60" s="45"/>
    </row>
    <row r="61" spans="1:29" x14ac:dyDescent="0.25">
      <c r="A61" s="16">
        <v>1.68</v>
      </c>
      <c r="B61" s="45">
        <f t="shared" si="12"/>
        <v>1680</v>
      </c>
      <c r="C61" s="16">
        <f t="shared" si="13"/>
        <v>1.2086330935251799</v>
      </c>
      <c r="D61" s="15">
        <f t="shared" si="14"/>
        <v>5.1839383344E+19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6.151169513365468E+39</v>
      </c>
      <c r="F61" s="15">
        <f t="shared" si="7"/>
        <v>7.053049883343938E+39</v>
      </c>
      <c r="G61" s="15">
        <f t="shared" si="8"/>
        <v>4.2829759871367104E+39</v>
      </c>
      <c r="H61" s="15">
        <f t="shared" si="9"/>
        <v>1.7487195383846116E+40</v>
      </c>
      <c r="I61" s="16">
        <v>106.32</v>
      </c>
      <c r="J61" s="45">
        <v>1</v>
      </c>
      <c r="K61" s="19">
        <f t="shared" si="10"/>
        <v>150.04650083223913</v>
      </c>
      <c r="L61" s="16">
        <f t="shared" si="11"/>
        <v>1912.0068750318101</v>
      </c>
      <c r="M61" s="45"/>
    </row>
    <row r="62" spans="1:29" x14ac:dyDescent="0.25">
      <c r="A62" s="16">
        <v>1.94</v>
      </c>
      <c r="B62" s="45">
        <f t="shared" si="12"/>
        <v>1940</v>
      </c>
      <c r="C62" s="16">
        <f t="shared" si="13"/>
        <v>1.3956834532374101</v>
      </c>
      <c r="D62" s="15">
        <f t="shared" si="14"/>
        <v>5.9862145052000002E+19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6.6955127154561127E+39</v>
      </c>
      <c r="F62" s="15">
        <f t="shared" si="7"/>
        <v>9.271891548241275E+39</v>
      </c>
      <c r="G62" s="15">
        <f t="shared" si="8"/>
        <v>5.5408736559006106E+39</v>
      </c>
      <c r="H62" s="15">
        <f t="shared" si="9"/>
        <v>2.1508277919597998E+40</v>
      </c>
      <c r="I62" s="16">
        <v>109.08</v>
      </c>
      <c r="J62" s="45">
        <v>1</v>
      </c>
      <c r="K62" s="19">
        <f t="shared" si="10"/>
        <v>154.85398515438908</v>
      </c>
      <c r="L62" s="16">
        <f t="shared" si="11"/>
        <v>2095.2577169142319</v>
      </c>
      <c r="M62" s="45"/>
    </row>
    <row r="63" spans="1:29" x14ac:dyDescent="0.25">
      <c r="A63" s="16">
        <v>2.23</v>
      </c>
      <c r="B63" s="45">
        <f t="shared" si="12"/>
        <v>2230</v>
      </c>
      <c r="C63" s="16">
        <f t="shared" si="13"/>
        <v>1.6043165467625899</v>
      </c>
      <c r="D63" s="15">
        <f t="shared" si="14"/>
        <v>6.8810610034000003E+19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7.2268733051179856E+39</v>
      </c>
      <c r="F63" s="15">
        <f t="shared" si="7"/>
        <v>1.2058134132331854E+40</v>
      </c>
      <c r="G63" s="15">
        <f t="shared" si="8"/>
        <v>7.0831453607824111E+39</v>
      </c>
      <c r="H63" s="15">
        <f t="shared" si="9"/>
        <v>2.6368152798232251E+40</v>
      </c>
      <c r="I63" s="16">
        <v>111.54</v>
      </c>
      <c r="J63" s="45">
        <v>1</v>
      </c>
      <c r="K63" s="19">
        <f t="shared" si="10"/>
        <v>159.92186776057483</v>
      </c>
      <c r="L63" s="16">
        <f t="shared" si="11"/>
        <v>2340.8051280017494</v>
      </c>
      <c r="M63" s="45"/>
    </row>
    <row r="64" spans="1:29" x14ac:dyDescent="0.25">
      <c r="A64" s="16">
        <v>2.54</v>
      </c>
      <c r="B64" s="45">
        <f t="shared" si="12"/>
        <v>2540</v>
      </c>
      <c r="C64" s="16">
        <f t="shared" si="13"/>
        <v>1.8273381294964028</v>
      </c>
      <c r="D64" s="15">
        <f t="shared" si="14"/>
        <v>7.8376210532000006E+19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7.7217605551338136E+39</v>
      </c>
      <c r="F64" s="15">
        <f t="shared" si="7"/>
        <v>1.5380972519635159E+40</v>
      </c>
      <c r="G64" s="15">
        <f t="shared" si="8"/>
        <v>8.8773259349225041E+39</v>
      </c>
      <c r="H64" s="15">
        <f t="shared" si="9"/>
        <v>3.1980059009691478E+40</v>
      </c>
      <c r="I64" s="16">
        <v>116.91</v>
      </c>
      <c r="J64" s="45">
        <v>1</v>
      </c>
      <c r="K64" s="19">
        <f t="shared" si="10"/>
        <v>165.0225157563105</v>
      </c>
      <c r="L64" s="16">
        <f t="shared" si="11"/>
        <v>2314.8141724012262</v>
      </c>
      <c r="M64" s="45"/>
    </row>
    <row r="65" spans="1:13" x14ac:dyDescent="0.25">
      <c r="A65" s="16">
        <v>2.89</v>
      </c>
      <c r="B65" s="45">
        <f t="shared" si="12"/>
        <v>2890</v>
      </c>
      <c r="C65" s="16">
        <f t="shared" si="13"/>
        <v>2.079136690647482</v>
      </c>
      <c r="D65" s="15">
        <f t="shared" si="14"/>
        <v>8.9176082061999997E+19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8.2086585778446046E+39</v>
      </c>
      <c r="F65" s="15">
        <f t="shared" si="7"/>
        <v>1.9535701315966584E+40</v>
      </c>
      <c r="G65" s="15">
        <f t="shared" si="8"/>
        <v>1.1063256385255852E+40</v>
      </c>
      <c r="H65" s="15">
        <f t="shared" si="9"/>
        <v>3.8807616279067037E+40</v>
      </c>
      <c r="I65" s="16">
        <v>131.69999999999999</v>
      </c>
      <c r="J65" s="45">
        <v>1</v>
      </c>
      <c r="K65" s="19">
        <f t="shared" si="10"/>
        <v>170.42370157574678</v>
      </c>
      <c r="L65" s="16">
        <f t="shared" si="11"/>
        <v>1499.5250637274942</v>
      </c>
      <c r="M65" s="45"/>
    </row>
    <row r="66" spans="1:13" x14ac:dyDescent="0.25">
      <c r="A66" s="16">
        <v>3.27</v>
      </c>
      <c r="B66" s="45">
        <f t="shared" si="12"/>
        <v>3270</v>
      </c>
      <c r="C66" s="16">
        <f t="shared" si="13"/>
        <v>2.3525179856115108</v>
      </c>
      <c r="D66" s="15">
        <f t="shared" si="14"/>
        <v>1.0090165686599999E+20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8.6649512203899276E+39</v>
      </c>
      <c r="F66" s="15">
        <f t="shared" si="7"/>
        <v>2.4499643983307726E+40</v>
      </c>
      <c r="G66" s="15">
        <f t="shared" si="8"/>
        <v>1.3605222923179724E+40</v>
      </c>
      <c r="H66" s="15">
        <f t="shared" si="9"/>
        <v>4.6769818126877379E+40</v>
      </c>
      <c r="I66" s="16">
        <v>146.99</v>
      </c>
      <c r="J66" s="45">
        <v>1</v>
      </c>
      <c r="K66" s="19">
        <f t="shared" si="10"/>
        <v>175.88524001686451</v>
      </c>
      <c r="L66" s="16">
        <f t="shared" si="11"/>
        <v>834.93489563220783</v>
      </c>
      <c r="M66" s="45"/>
    </row>
    <row r="67" spans="1:13" x14ac:dyDescent="0.25">
      <c r="A67" s="16">
        <v>3.69</v>
      </c>
      <c r="B67" s="45">
        <f t="shared" si="12"/>
        <v>3690</v>
      </c>
      <c r="C67" s="16">
        <f t="shared" si="13"/>
        <v>2.6546762589928057</v>
      </c>
      <c r="D67" s="15">
        <f t="shared" si="14"/>
        <v>1.13861502702E+20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9.0992567235971196E+39</v>
      </c>
      <c r="F67" s="15">
        <f t="shared" si="7"/>
        <v>3.049530448112002E+40</v>
      </c>
      <c r="G67" s="15">
        <f t="shared" si="8"/>
        <v>1.6591299226089763E+40</v>
      </c>
      <c r="H67" s="15">
        <f t="shared" si="9"/>
        <v>5.6185860430806906E+40</v>
      </c>
      <c r="I67" s="16">
        <v>161.30000000000001</v>
      </c>
      <c r="J67" s="45">
        <v>1</v>
      </c>
      <c r="K67" s="19">
        <f t="shared" si="10"/>
        <v>181.47665532747868</v>
      </c>
      <c r="L67" s="16">
        <f t="shared" si="11"/>
        <v>407.09742020387341</v>
      </c>
      <c r="M67" s="45"/>
    </row>
    <row r="68" spans="1:13" x14ac:dyDescent="0.25">
      <c r="A68" s="16">
        <v>4.1500000000000004</v>
      </c>
      <c r="B68" s="45">
        <f t="shared" si="12"/>
        <v>4150</v>
      </c>
      <c r="C68" s="16">
        <f t="shared" si="13"/>
        <v>2.985611510791367</v>
      </c>
      <c r="D68" s="15">
        <f t="shared" si="14"/>
        <v>1.2805561957E+20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9.5069783775366895E+39</v>
      </c>
      <c r="F68" s="15">
        <f t="shared" si="7"/>
        <v>3.7625850133681455E+40</v>
      </c>
      <c r="G68" s="15">
        <f t="shared" si="8"/>
        <v>2.0042809268831658E+40</v>
      </c>
      <c r="H68" s="15">
        <f t="shared" si="9"/>
        <v>6.7175637780049803E+40</v>
      </c>
      <c r="I68" s="16">
        <v>177.16</v>
      </c>
      <c r="J68" s="45">
        <v>1</v>
      </c>
      <c r="K68" s="19">
        <f t="shared" si="10"/>
        <v>187.11227639116507</v>
      </c>
      <c r="L68" s="16">
        <f t="shared" si="11"/>
        <v>99.04780536614166</v>
      </c>
      <c r="M68" s="45"/>
    </row>
    <row r="69" spans="1:13" x14ac:dyDescent="0.25">
      <c r="A69" s="16">
        <v>4.6500000000000004</v>
      </c>
      <c r="B69" s="45">
        <f t="shared" si="12"/>
        <v>4650</v>
      </c>
      <c r="C69" s="16">
        <f t="shared" si="13"/>
        <v>3.3453237410071943</v>
      </c>
      <c r="D69" s="15">
        <f t="shared" si="14"/>
        <v>1.4348400747000001E+20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9.8843241562446053E+39</v>
      </c>
      <c r="F69" s="15">
        <f t="shared" si="7"/>
        <v>4.5984305537391486E+40</v>
      </c>
      <c r="G69" s="15">
        <f t="shared" si="8"/>
        <v>2.3974027724268029E+40</v>
      </c>
      <c r="H69" s="15">
        <f t="shared" si="9"/>
        <v>7.9842657417904124E+40</v>
      </c>
      <c r="I69" s="16">
        <v>187.62</v>
      </c>
      <c r="J69" s="45">
        <v>1</v>
      </c>
      <c r="K69" s="19">
        <f t="shared" si="10"/>
        <v>192.7131928055544</v>
      </c>
      <c r="L69" s="16">
        <f t="shared" si="11"/>
        <v>25.94061295455105</v>
      </c>
      <c r="M69" s="45"/>
    </row>
    <row r="70" spans="1:13" x14ac:dyDescent="0.25">
      <c r="A70" s="16">
        <v>5.21</v>
      </c>
      <c r="B70" s="45">
        <f t="shared" si="12"/>
        <v>5210</v>
      </c>
      <c r="C70" s="16">
        <f t="shared" si="13"/>
        <v>3.7482014388489207</v>
      </c>
      <c r="D70" s="15">
        <f t="shared" si="14"/>
        <v>1.6076380191800001E+20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1.0243012978316547E+40</v>
      </c>
      <c r="F70" s="15">
        <f t="shared" si="7"/>
        <v>5.6019931250023239E+40</v>
      </c>
      <c r="G70" s="15">
        <f t="shared" si="8"/>
        <v>2.8558717789996909E+40</v>
      </c>
      <c r="H70" s="15">
        <f t="shared" si="9"/>
        <v>9.4821662018336693E+40</v>
      </c>
      <c r="I70" s="16">
        <v>190.54</v>
      </c>
      <c r="J70" s="45">
        <v>1</v>
      </c>
      <c r="K70" s="19">
        <f t="shared" si="10"/>
        <v>198.4062512712886</v>
      </c>
      <c r="L70" s="16">
        <f t="shared" si="11"/>
        <v>61.877909063049579</v>
      </c>
      <c r="M70" s="45"/>
    </row>
    <row r="71" spans="1:13" x14ac:dyDescent="0.25">
      <c r="A71" s="16">
        <v>5.82</v>
      </c>
      <c r="B71" s="45">
        <f t="shared" si="12"/>
        <v>5820</v>
      </c>
      <c r="C71" s="16">
        <f t="shared" si="13"/>
        <v>4.1870503597122299</v>
      </c>
      <c r="D71" s="15">
        <f t="shared" si="14"/>
        <v>1.7958643515600001E+20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1.0572451727136689E+40</v>
      </c>
      <c r="F71" s="15">
        <f t="shared" si="7"/>
        <v>6.7666787389342808E+40</v>
      </c>
      <c r="G71" s="15">
        <f t="shared" si="8"/>
        <v>3.3726817620279515E+40</v>
      </c>
      <c r="H71" s="15">
        <f t="shared" si="9"/>
        <v>1.11966056736759E+41</v>
      </c>
      <c r="I71" s="16">
        <v>192.56</v>
      </c>
      <c r="J71" s="45">
        <v>1</v>
      </c>
      <c r="K71" s="19">
        <f t="shared" si="10"/>
        <v>203.98683089294147</v>
      </c>
      <c r="L71" s="16">
        <f t="shared" si="11"/>
        <v>130.5724642558815</v>
      </c>
      <c r="M71" s="45"/>
    </row>
    <row r="72" spans="1:13" x14ac:dyDescent="0.25">
      <c r="A72" s="16">
        <v>6.49</v>
      </c>
      <c r="B72" s="45">
        <f t="shared" si="12"/>
        <v>6490</v>
      </c>
      <c r="C72" s="16">
        <f t="shared" si="13"/>
        <v>4.6690647482014391</v>
      </c>
      <c r="D72" s="15">
        <f t="shared" si="14"/>
        <v>2.0026047494200001E+20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1.0875754302979855E+40</v>
      </c>
      <c r="F72" s="15">
        <f t="shared" si="7"/>
        <v>8.1202060366324763E+40</v>
      </c>
      <c r="G72" s="15">
        <f t="shared" si="8"/>
        <v>3.9564036914033155E+40</v>
      </c>
      <c r="H72" s="15">
        <f t="shared" si="9"/>
        <v>1.3164185158333777E+41</v>
      </c>
      <c r="I72" s="16">
        <v>195.69</v>
      </c>
      <c r="J72" s="45">
        <v>1</v>
      </c>
      <c r="K72" s="19">
        <f t="shared" si="10"/>
        <v>209.45709417502982</v>
      </c>
      <c r="L72" s="16">
        <f t="shared" si="11"/>
        <v>189.53288202414015</v>
      </c>
      <c r="M72" s="45"/>
    </row>
    <row r="73" spans="1:13" x14ac:dyDescent="0.25">
      <c r="A73" s="16">
        <v>7.23</v>
      </c>
      <c r="B73" s="45">
        <f t="shared" si="12"/>
        <v>7230</v>
      </c>
      <c r="C73" s="16">
        <f t="shared" si="13"/>
        <v>5.2014388489208629</v>
      </c>
      <c r="D73" s="15">
        <f t="shared" si="14"/>
        <v>2.2309448903400001E+20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1.1143409001366906E+40</v>
      </c>
      <c r="F73" s="15">
        <f t="shared" si="7"/>
        <v>9.6912806153051711E+40</v>
      </c>
      <c r="G73" s="15">
        <f t="shared" si="8"/>
        <v>4.6154400948163677E+40</v>
      </c>
      <c r="H73" s="15">
        <f t="shared" si="9"/>
        <v>1.542106161025823E+41</v>
      </c>
      <c r="I73" s="16">
        <v>200.29</v>
      </c>
      <c r="J73" s="45">
        <v>1</v>
      </c>
      <c r="K73" s="19">
        <f t="shared" si="10"/>
        <v>214.78721113501732</v>
      </c>
      <c r="L73" s="16">
        <f t="shared" si="11"/>
        <v>210.16913069327029</v>
      </c>
      <c r="M73" s="45"/>
    </row>
    <row r="74" spans="1:13" x14ac:dyDescent="0.25">
      <c r="A74" s="16">
        <v>8.0500000000000007</v>
      </c>
      <c r="B74" s="45">
        <f t="shared" si="12"/>
        <v>8050.0000000000009</v>
      </c>
      <c r="C74" s="16">
        <f t="shared" si="13"/>
        <v>5.7913669064748206</v>
      </c>
      <c r="D74" s="15">
        <f t="shared" si="14"/>
        <v>2.4839704519000002E+20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1.1400375192198561E+40</v>
      </c>
      <c r="F74" s="15">
        <f t="shared" si="7"/>
        <v>1.1508092749301575E+41</v>
      </c>
      <c r="G74" s="15">
        <f t="shared" si="8"/>
        <v>5.3576472919840698E+40</v>
      </c>
      <c r="H74" s="15">
        <f t="shared" si="9"/>
        <v>1.8005777560505499E+41</v>
      </c>
      <c r="I74" s="16">
        <v>205.44</v>
      </c>
      <c r="J74" s="45">
        <v>1</v>
      </c>
      <c r="K74" s="19">
        <f t="shared" si="10"/>
        <v>219.95226151691418</v>
      </c>
      <c r="L74" s="16">
        <f t="shared" si="11"/>
        <v>210.60573433530826</v>
      </c>
      <c r="M74" s="45"/>
    </row>
    <row r="75" spans="1:13" x14ac:dyDescent="0.25">
      <c r="A75" s="16">
        <v>8.94</v>
      </c>
      <c r="B75" s="45">
        <f t="shared" si="12"/>
        <v>8940</v>
      </c>
      <c r="C75" s="16">
        <f t="shared" si="13"/>
        <v>6.4316546762589928</v>
      </c>
      <c r="D75" s="15">
        <f t="shared" si="14"/>
        <v>2.7585957565199997E+20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1.1628956439487768E+40</v>
      </c>
      <c r="F75" s="15">
        <f t="shared" si="7"/>
        <v>1.3549886985380002E+41</v>
      </c>
      <c r="G75" s="15">
        <f t="shared" si="8"/>
        <v>6.1716254733797618E+40</v>
      </c>
      <c r="H75" s="15">
        <f t="shared" si="9"/>
        <v>2.0884408102708541E+41</v>
      </c>
      <c r="I75" s="16">
        <v>212.04</v>
      </c>
      <c r="J75" s="45">
        <v>1</v>
      </c>
      <c r="K75" s="19">
        <f t="shared" si="10"/>
        <v>224.78263491485433</v>
      </c>
      <c r="L75" s="16">
        <f t="shared" si="11"/>
        <v>162.37474457326476</v>
      </c>
      <c r="M75" s="45"/>
    </row>
    <row r="76" spans="1:13" x14ac:dyDescent="0.25">
      <c r="A76" s="16">
        <v>9.93</v>
      </c>
      <c r="B76" s="45">
        <f t="shared" si="12"/>
        <v>9930</v>
      </c>
      <c r="C76" s="16">
        <f t="shared" si="13"/>
        <v>7.1438848920863309</v>
      </c>
      <c r="D76" s="15">
        <f t="shared" si="14"/>
        <v>3.06407783694E+20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1.1844851636279136E+40</v>
      </c>
      <c r="F76" s="15">
        <f t="shared" si="7"/>
        <v>1.5882310873760382E+41</v>
      </c>
      <c r="G76" s="15">
        <f t="shared" si="8"/>
        <v>7.0813828483295787E+40</v>
      </c>
      <c r="H76" s="15">
        <f t="shared" si="9"/>
        <v>2.4148178885717872E+41</v>
      </c>
      <c r="I76" s="16">
        <v>221.67</v>
      </c>
      <c r="J76" s="45">
        <v>1</v>
      </c>
      <c r="K76" s="19">
        <f t="shared" si="10"/>
        <v>229.34432566533729</v>
      </c>
      <c r="L76" s="16">
        <f t="shared" si="11"/>
        <v>58.895274417654896</v>
      </c>
      <c r="M76" s="45"/>
    </row>
    <row r="77" spans="1:13" x14ac:dyDescent="0.25">
      <c r="A77" s="16">
        <v>11.01</v>
      </c>
      <c r="B77" s="45">
        <f t="shared" si="12"/>
        <v>11010</v>
      </c>
      <c r="C77" s="16">
        <f t="shared" si="13"/>
        <v>7.9208633093525176</v>
      </c>
      <c r="D77" s="15">
        <f t="shared" si="14"/>
        <v>3.3973310155799999E+20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1.2031617651306475E+40</v>
      </c>
      <c r="F77" s="15">
        <f t="shared" si="7"/>
        <v>1.8472572468929006E+41</v>
      </c>
      <c r="G77" s="15">
        <f t="shared" si="8"/>
        <v>8.0731495150316682E+40</v>
      </c>
      <c r="H77" s="15">
        <f t="shared" si="9"/>
        <v>2.7748883749091322E+41</v>
      </c>
      <c r="I77" s="16">
        <v>235.15</v>
      </c>
      <c r="J77" s="45">
        <v>1</v>
      </c>
      <c r="K77" s="19">
        <f t="shared" si="10"/>
        <v>233.47991729836215</v>
      </c>
      <c r="L77" s="16">
        <f t="shared" si="11"/>
        <v>2.7891762303099883</v>
      </c>
      <c r="M77" s="45"/>
    </row>
    <row r="78" spans="1:13" x14ac:dyDescent="0.25">
      <c r="A78" s="16">
        <v>12.2</v>
      </c>
      <c r="B78" s="45">
        <f t="shared" si="12"/>
        <v>12200</v>
      </c>
      <c r="C78" s="16">
        <f t="shared" si="13"/>
        <v>8.7769784172661875</v>
      </c>
      <c r="D78" s="15">
        <f t="shared" si="14"/>
        <v>3.7645266475999999E+20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1.2194361205463308E+40</v>
      </c>
      <c r="F78" s="15">
        <f t="shared" si="7"/>
        <v>2.1350551372844164E+41</v>
      </c>
      <c r="G78" s="15">
        <f t="shared" si="8"/>
        <v>9.1593768769207254E+40</v>
      </c>
      <c r="H78" s="15">
        <f t="shared" si="9"/>
        <v>3.1729364370311216E+41</v>
      </c>
      <c r="I78" s="16">
        <v>247.81</v>
      </c>
      <c r="J78" s="45">
        <v>1</v>
      </c>
      <c r="K78" s="19">
        <f t="shared" si="10"/>
        <v>237.17625222802596</v>
      </c>
      <c r="L78" s="16">
        <f t="shared" si="11"/>
        <v>113.07659167796294</v>
      </c>
      <c r="M78" s="45"/>
    </row>
    <row r="79" spans="1:13" x14ac:dyDescent="0.25">
      <c r="A79" s="16">
        <v>13.51</v>
      </c>
      <c r="B79" s="45">
        <f t="shared" si="12"/>
        <v>13510</v>
      </c>
      <c r="C79" s="16">
        <f t="shared" si="13"/>
        <v>9.7194244604316555</v>
      </c>
      <c r="D79" s="15">
        <f t="shared" si="14"/>
        <v>4.1687504105800001E+20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1.2340072282351079E+40</v>
      </c>
      <c r="F79" s="15">
        <f t="shared" si="7"/>
        <v>2.4512850523866927E+41</v>
      </c>
      <c r="G79" s="15">
        <f t="shared" si="8"/>
        <v>1.0341840829054848E+41</v>
      </c>
      <c r="H79" s="15">
        <f t="shared" si="9"/>
        <v>3.6088698581156883E+41</v>
      </c>
      <c r="I79" s="16">
        <v>255.49</v>
      </c>
      <c r="J79" s="45">
        <v>1</v>
      </c>
      <c r="K79" s="19">
        <f t="shared" si="10"/>
        <v>240.36895064219075</v>
      </c>
      <c r="L79" s="16">
        <f t="shared" si="11"/>
        <v>228.6461336813037</v>
      </c>
      <c r="M79" s="45"/>
    </row>
    <row r="80" spans="1:13" x14ac:dyDescent="0.25">
      <c r="H80" s="15"/>
      <c r="K80" s="45"/>
      <c r="L80" s="16">
        <f>SUM(L51:L79)/(COUNT(L51:L79)-6)</f>
        <v>892.14890570275941</v>
      </c>
      <c r="M80" s="45"/>
    </row>
    <row r="81" spans="1:29" x14ac:dyDescent="0.25">
      <c r="H81" s="15"/>
      <c r="K81" s="45"/>
      <c r="L81" s="17"/>
      <c r="M81" s="45"/>
    </row>
    <row r="82" spans="1:29" x14ac:dyDescent="0.25">
      <c r="I82" s="45"/>
      <c r="J82" s="45"/>
      <c r="L82" s="16"/>
    </row>
    <row r="83" spans="1:29" x14ac:dyDescent="0.25">
      <c r="I83" s="45"/>
      <c r="J83" s="45"/>
      <c r="L83" s="16"/>
    </row>
    <row r="84" spans="1:29" x14ac:dyDescent="0.25">
      <c r="I84" s="45"/>
      <c r="J84" s="45"/>
      <c r="L84" s="16"/>
    </row>
    <row r="85" spans="1:29" x14ac:dyDescent="0.25">
      <c r="I85" s="45"/>
      <c r="J85" s="45"/>
      <c r="L85" s="16"/>
    </row>
    <row r="86" spans="1:29" x14ac:dyDescent="0.25">
      <c r="I86" s="45"/>
      <c r="J86" s="45"/>
      <c r="L86" s="16"/>
    </row>
    <row r="87" spans="1:29" x14ac:dyDescent="0.25">
      <c r="I87" s="45"/>
      <c r="J87" s="45"/>
      <c r="L87" s="16"/>
    </row>
    <row r="88" spans="1:29" x14ac:dyDescent="0.25">
      <c r="I88" s="45"/>
      <c r="J88" s="45"/>
      <c r="L88" s="16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16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16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x14ac:dyDescent="0.25">
      <c r="L537" s="16"/>
    </row>
    <row r="538" spans="1:29" x14ac:dyDescent="0.25">
      <c r="L538" s="16"/>
      <c r="N538" s="17"/>
      <c r="O538" s="38"/>
    </row>
    <row r="539" spans="1:29" x14ac:dyDescent="0.25">
      <c r="L539" s="16"/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C533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2" width="8.85546875" style="16"/>
    <col min="23" max="16384" width="8.85546875" style="45"/>
  </cols>
  <sheetData>
    <row r="1" spans="1:22" ht="18.75" x14ac:dyDescent="0.3">
      <c r="A1" s="47" t="s">
        <v>613</v>
      </c>
    </row>
    <row r="2" spans="1:22" s="51" customFormat="1" ht="20.100000000000001" customHeight="1" x14ac:dyDescent="0.25">
      <c r="A2" s="52" t="s">
        <v>617</v>
      </c>
      <c r="C2" s="52"/>
      <c r="D2" s="56">
        <v>1876.2129939507599</v>
      </c>
      <c r="E2" s="55"/>
      <c r="F2" s="53" t="s">
        <v>620</v>
      </c>
      <c r="G2" s="53">
        <v>10321400574.862801</v>
      </c>
      <c r="H2" s="62"/>
      <c r="K2" s="51" t="s">
        <v>1</v>
      </c>
      <c r="L2" s="60" t="s">
        <v>583</v>
      </c>
      <c r="M2" s="55"/>
      <c r="V2" s="52"/>
    </row>
    <row r="3" spans="1:22" s="51" customFormat="1" ht="20.100000000000001" customHeight="1" x14ac:dyDescent="0.25">
      <c r="A3" s="52" t="s">
        <v>616</v>
      </c>
      <c r="C3" s="52"/>
      <c r="D3" s="53">
        <v>5.1083447691211901E+40</v>
      </c>
      <c r="E3" s="53"/>
      <c r="F3" s="53" t="s">
        <v>621</v>
      </c>
      <c r="G3" s="53">
        <f>H33/SolarMass</f>
        <v>29478540729.513374</v>
      </c>
      <c r="H3" s="62"/>
      <c r="K3" s="51" t="s">
        <v>562</v>
      </c>
      <c r="L3" s="57">
        <v>1.0269999999999999E-3</v>
      </c>
      <c r="M3" s="55"/>
      <c r="V3" s="52"/>
    </row>
    <row r="4" spans="1:22" s="51" customFormat="1" ht="20.100000000000001" customHeight="1" x14ac:dyDescent="0.25">
      <c r="A4" s="52" t="s">
        <v>618</v>
      </c>
      <c r="C4" s="52"/>
      <c r="D4" s="58">
        <v>1298.21713096947</v>
      </c>
      <c r="E4" s="55"/>
      <c r="F4" s="53" t="s">
        <v>622</v>
      </c>
      <c r="G4" s="52">
        <f>G3/G2</f>
        <v>2.8560601359961484</v>
      </c>
      <c r="H4" s="62"/>
      <c r="K4" s="61" t="s">
        <v>614</v>
      </c>
      <c r="L4" s="52">
        <f>QEHModelChiSquare</f>
        <v>143.06250515000363</v>
      </c>
      <c r="M4" s="55"/>
      <c r="V4" s="52"/>
    </row>
    <row r="5" spans="1:22" s="51" customFormat="1" ht="20.100000000000001" customHeight="1" x14ac:dyDescent="0.25">
      <c r="A5" s="52" t="s">
        <v>619</v>
      </c>
      <c r="C5" s="52"/>
      <c r="D5" s="59">
        <v>720.82066015789405</v>
      </c>
      <c r="F5" s="53"/>
      <c r="G5" s="52"/>
      <c r="H5" s="62"/>
      <c r="K5" s="61" t="s">
        <v>615</v>
      </c>
      <c r="L5" s="52">
        <f>LCDMModelChiSquare</f>
        <v>212.83009659032845</v>
      </c>
      <c r="M5" s="55"/>
      <c r="V5" s="52"/>
    </row>
    <row r="6" spans="1:22" ht="20.100000000000001" customHeight="1" x14ac:dyDescent="0.25">
      <c r="D6" s="20"/>
      <c r="E6" s="45"/>
      <c r="I6" s="45"/>
      <c r="J6" s="45"/>
    </row>
    <row r="7" spans="1:22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</row>
    <row r="8" spans="1:22" x14ac:dyDescent="0.25">
      <c r="A8" s="16">
        <v>0.09</v>
      </c>
      <c r="B8" s="45">
        <f t="shared" ref="B8:B33" si="0">RadiusKpc*1000</f>
        <v>90</v>
      </c>
      <c r="C8" s="16">
        <f t="shared" ref="C8:C33" si="1">IF(QESBulgeEffectiveRadius=0,0,RadiusPc/QESBulgeEffectiveRadius)</f>
        <v>4.7968967430763884E-2</v>
      </c>
      <c r="D8" s="15">
        <f t="shared" ref="D8:D33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8.4888528050553118E+38</v>
      </c>
      <c r="F8" s="15">
        <f t="shared" ref="F8:F33" si="3">2*PI()*QESDiskSurfaceDensity*QESDiskScaleLength*(QESDiskScaleLength-EXP(-RadiusPc/QESDiskScaleLength)*(RadiusPc+QESDiskScaleLength))*SolarMass</f>
        <v>3.4842154632847291E+37</v>
      </c>
      <c r="H8" s="18">
        <f t="shared" ref="H8:H33" si="4">BulgeMass+DiskMass+HaloMass</f>
        <v>8.837274351383784E+38</v>
      </c>
      <c r="I8" s="45">
        <v>122</v>
      </c>
      <c r="J8" s="45">
        <v>1</v>
      </c>
      <c r="K8" s="19">
        <f t="shared" ref="K8:K33" si="5">SQRT(TotalMass*GravitationalConstant/RadiusKm+UniverseAcceleration*RadiusKm)/km</f>
        <v>146.08018656962372</v>
      </c>
      <c r="L8" s="16">
        <f t="shared" ref="L8:L33" si="6">(ObservedVelocity-ModelVelocity)^2/(VelocityError)^2</f>
        <v>579.85538522788659</v>
      </c>
    </row>
    <row r="9" spans="1:22" x14ac:dyDescent="0.25">
      <c r="A9" s="16">
        <v>0.19</v>
      </c>
      <c r="B9" s="45">
        <f t="shared" si="0"/>
        <v>190</v>
      </c>
      <c r="C9" s="16">
        <f t="shared" si="1"/>
        <v>0.10126782013161265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2.2889172465237328E+39</v>
      </c>
      <c r="F9" s="15">
        <f t="shared" si="3"/>
        <v>1.4757982740568164E+38</v>
      </c>
      <c r="H9" s="18">
        <f t="shared" si="4"/>
        <v>2.4364970739294143E+39</v>
      </c>
      <c r="I9" s="45">
        <v>172.71</v>
      </c>
      <c r="J9" s="45">
        <v>1</v>
      </c>
      <c r="K9" s="19">
        <f t="shared" si="5"/>
        <v>167.18369855572135</v>
      </c>
      <c r="L9" s="16">
        <f t="shared" si="6"/>
        <v>30.540007653036387</v>
      </c>
    </row>
    <row r="10" spans="1:22" x14ac:dyDescent="0.25">
      <c r="A10" s="16">
        <v>0.3</v>
      </c>
      <c r="B10" s="45">
        <f t="shared" si="0"/>
        <v>300</v>
      </c>
      <c r="C10" s="16">
        <f t="shared" si="1"/>
        <v>0.15989655810254627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3.9553119163044842E+39</v>
      </c>
      <c r="F10" s="15">
        <f t="shared" si="3"/>
        <v>3.4803318968631184E+38</v>
      </c>
      <c r="H10" s="18">
        <f t="shared" si="4"/>
        <v>4.3033451059907961E+39</v>
      </c>
      <c r="I10" s="45">
        <v>188.97</v>
      </c>
      <c r="J10" s="45">
        <v>1</v>
      </c>
      <c r="K10" s="19">
        <f t="shared" si="5"/>
        <v>177.09762322868835</v>
      </c>
      <c r="L10" s="16">
        <f t="shared" si="6"/>
        <v>140.95333019998046</v>
      </c>
    </row>
    <row r="11" spans="1:22" x14ac:dyDescent="0.25">
      <c r="A11" s="16">
        <v>0.42</v>
      </c>
      <c r="B11" s="45">
        <f t="shared" si="0"/>
        <v>420</v>
      </c>
      <c r="C11" s="16">
        <f t="shared" si="1"/>
        <v>0.2238551813435648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5.7374675146985719E+39</v>
      </c>
      <c r="F11" s="15">
        <f t="shared" si="3"/>
        <v>6.4230885522535115E+38</v>
      </c>
      <c r="H11" s="18">
        <f t="shared" si="4"/>
        <v>6.3797763699239231E+39</v>
      </c>
      <c r="I11" s="45">
        <v>192.81</v>
      </c>
      <c r="J11" s="45">
        <v>1</v>
      </c>
      <c r="K11" s="19">
        <f t="shared" si="5"/>
        <v>182.55755174524555</v>
      </c>
      <c r="L11" s="16">
        <f t="shared" si="6"/>
        <v>105.11269521641768</v>
      </c>
    </row>
    <row r="12" spans="1:22" x14ac:dyDescent="0.25">
      <c r="A12" s="16">
        <v>0.56000000000000005</v>
      </c>
      <c r="B12" s="45">
        <f t="shared" si="0"/>
        <v>560</v>
      </c>
      <c r="C12" s="16">
        <f t="shared" si="1"/>
        <v>0.29847357512475303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7.7465725136647412E+39</v>
      </c>
      <c r="F12" s="15">
        <f t="shared" si="3"/>
        <v>1.0651346838084901E+39</v>
      </c>
      <c r="H12" s="18">
        <f t="shared" si="4"/>
        <v>8.811707197473231E+39</v>
      </c>
      <c r="I12" s="45">
        <v>192.82</v>
      </c>
      <c r="J12" s="45">
        <v>1</v>
      </c>
      <c r="K12" s="19">
        <f t="shared" si="5"/>
        <v>186.18302788315106</v>
      </c>
      <c r="L12" s="16">
        <f t="shared" si="6"/>
        <v>44.049398879830271</v>
      </c>
    </row>
    <row r="13" spans="1:22" x14ac:dyDescent="0.25">
      <c r="A13" s="16">
        <v>0.7</v>
      </c>
      <c r="B13" s="45">
        <f t="shared" si="0"/>
        <v>700</v>
      </c>
      <c r="C13" s="16">
        <f t="shared" si="1"/>
        <v>0.37309196890594132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9.5929589544432277E+39</v>
      </c>
      <c r="F13" s="15">
        <f t="shared" si="3"/>
        <v>1.5534719777618077E+39</v>
      </c>
      <c r="H13" s="18">
        <f t="shared" si="4"/>
        <v>1.1146430932205035E+40</v>
      </c>
      <c r="I13" s="45">
        <v>191.34</v>
      </c>
      <c r="J13" s="45">
        <v>1</v>
      </c>
      <c r="K13" s="19">
        <f t="shared" si="5"/>
        <v>187.69360581498506</v>
      </c>
      <c r="L13" s="16">
        <f t="shared" si="6"/>
        <v>13.296190552510776</v>
      </c>
    </row>
    <row r="14" spans="1:22" x14ac:dyDescent="0.25">
      <c r="A14" s="16">
        <v>0.86</v>
      </c>
      <c r="B14" s="45">
        <f t="shared" si="0"/>
        <v>860</v>
      </c>
      <c r="C14" s="16">
        <f t="shared" si="1"/>
        <v>0.45837013322729936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1.1571910659389465E+40</v>
      </c>
      <c r="F14" s="15">
        <f t="shared" si="3"/>
        <v>2.1690780442359151E+39</v>
      </c>
      <c r="H14" s="18">
        <f t="shared" si="4"/>
        <v>1.3740988703625381E+40</v>
      </c>
      <c r="I14" s="45">
        <v>189.59</v>
      </c>
      <c r="J14" s="45">
        <v>1</v>
      </c>
      <c r="K14" s="19">
        <f t="shared" si="5"/>
        <v>188.48510478331542</v>
      </c>
      <c r="L14" s="16">
        <f t="shared" si="6"/>
        <v>1.22079343985247</v>
      </c>
    </row>
    <row r="15" spans="1:22" x14ac:dyDescent="0.25">
      <c r="A15" s="16">
        <v>1.04</v>
      </c>
      <c r="B15" s="45">
        <f t="shared" si="0"/>
        <v>1040</v>
      </c>
      <c r="C15" s="16">
        <f t="shared" si="1"/>
        <v>0.55430806808882715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1.3625115348176456E+40</v>
      </c>
      <c r="F15" s="15">
        <f t="shared" si="3"/>
        <v>2.9091113001144754E+39</v>
      </c>
      <c r="H15" s="18">
        <f t="shared" si="4"/>
        <v>1.6534226648290931E+40</v>
      </c>
      <c r="I15" s="45">
        <v>187.96</v>
      </c>
      <c r="J15" s="45">
        <v>1</v>
      </c>
      <c r="K15" s="19">
        <f t="shared" si="5"/>
        <v>188.56566334305813</v>
      </c>
      <c r="L15" s="16">
        <f t="shared" si="6"/>
        <v>0.36682808512434489</v>
      </c>
    </row>
    <row r="16" spans="1:22" x14ac:dyDescent="0.25">
      <c r="A16" s="16">
        <v>1.23</v>
      </c>
      <c r="B16" s="45">
        <f t="shared" si="0"/>
        <v>1230</v>
      </c>
      <c r="C16" s="16">
        <f t="shared" si="1"/>
        <v>0.65557588822043977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1.5608078071367699E+40</v>
      </c>
      <c r="F16" s="15">
        <f t="shared" si="3"/>
        <v>3.718617578393869E+39</v>
      </c>
      <c r="H16" s="18">
        <f t="shared" si="4"/>
        <v>1.9326695649761567E+40</v>
      </c>
      <c r="I16" s="45">
        <v>185.71</v>
      </c>
      <c r="J16" s="45">
        <v>1</v>
      </c>
      <c r="K16" s="19">
        <f t="shared" si="5"/>
        <v>188.06782503970095</v>
      </c>
      <c r="L16" s="16">
        <f t="shared" si="6"/>
        <v>5.5593389178407451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0.77283336416230708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1.7698063614984019E+40</v>
      </c>
      <c r="F17" s="15">
        <f t="shared" si="3"/>
        <v>4.6636157234774453E+39</v>
      </c>
      <c r="H17" s="18">
        <f t="shared" si="4"/>
        <v>2.2361679338461463E+40</v>
      </c>
      <c r="I17" s="45">
        <v>183.65</v>
      </c>
      <c r="J17" s="45">
        <v>1</v>
      </c>
      <c r="K17" s="19">
        <f t="shared" si="5"/>
        <v>187.05035459686903</v>
      </c>
      <c r="L17" s="16">
        <f t="shared" si="6"/>
        <v>11.562411384448287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0.89542072537425921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1.9680290406055937E+40</v>
      </c>
      <c r="F18" s="15">
        <f t="shared" si="3"/>
        <v>5.6341013969623118E+39</v>
      </c>
      <c r="H18" s="18">
        <f t="shared" si="4"/>
        <v>2.5314391803018247E+40</v>
      </c>
      <c r="I18" s="45">
        <v>181.8</v>
      </c>
      <c r="J18" s="45">
        <v>1</v>
      </c>
      <c r="K18" s="19">
        <f t="shared" si="5"/>
        <v>185.69191643532676</v>
      </c>
      <c r="L18" s="16">
        <f t="shared" si="6"/>
        <v>15.147013539566469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1.0339977423964659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2.1679120496231665E+40</v>
      </c>
      <c r="F19" s="15">
        <f t="shared" si="3"/>
        <v>6.6848468545665837E+39</v>
      </c>
      <c r="H19" s="18">
        <f t="shared" si="4"/>
        <v>2.8363967350798248E+40</v>
      </c>
      <c r="I19" s="45">
        <v>180.18</v>
      </c>
      <c r="J19" s="45">
        <v>1</v>
      </c>
      <c r="K19" s="19">
        <f t="shared" si="5"/>
        <v>183.86452658059892</v>
      </c>
      <c r="L19" s="16">
        <f t="shared" si="6"/>
        <v>13.575736123139917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1.1885644152289274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2.3689948090098861E+40</v>
      </c>
      <c r="F20" s="15">
        <f t="shared" si="3"/>
        <v>7.7774118201328648E+39</v>
      </c>
      <c r="G20" s="15"/>
      <c r="H20" s="18">
        <f t="shared" si="4"/>
        <v>3.1467359910231725E+40</v>
      </c>
      <c r="I20" s="45">
        <v>178.51</v>
      </c>
      <c r="J20" s="45">
        <v>1</v>
      </c>
      <c r="K20" s="19">
        <f t="shared" si="5"/>
        <v>181.74181282562847</v>
      </c>
      <c r="L20" s="16">
        <f t="shared" si="6"/>
        <v>10.444614139896746</v>
      </c>
      <c r="N20" s="45"/>
      <c r="O20" s="45"/>
      <c r="P20" s="45"/>
      <c r="Q20" s="45"/>
      <c r="R20" s="45"/>
      <c r="S20" s="45"/>
      <c r="T20" s="45"/>
      <c r="U20" s="45"/>
      <c r="V20" s="16"/>
      <c r="W20" s="45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1.3537908586015586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2.5594952895794926E+40</v>
      </c>
      <c r="F21" s="15">
        <f t="shared" si="3"/>
        <v>8.8380417801463356E+39</v>
      </c>
      <c r="G21" s="15"/>
      <c r="H21" s="18">
        <f t="shared" si="4"/>
        <v>3.443299467594126E+40</v>
      </c>
      <c r="I21" s="45">
        <v>176.47</v>
      </c>
      <c r="J21" s="45">
        <v>1</v>
      </c>
      <c r="K21" s="19">
        <f t="shared" si="5"/>
        <v>179.38587778758031</v>
      </c>
      <c r="L21" s="16">
        <f t="shared" si="6"/>
        <v>8.502343272104266</v>
      </c>
      <c r="N21" s="45"/>
      <c r="O21" s="45"/>
      <c r="P21" s="45"/>
      <c r="Q21" s="45"/>
      <c r="R21" s="45"/>
      <c r="S21" s="45"/>
      <c r="T21" s="45"/>
      <c r="U21" s="45"/>
      <c r="V21" s="16"/>
      <c r="W21" s="45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1.5403368430545292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2.7510031684916695E+40</v>
      </c>
      <c r="F22" s="15">
        <f t="shared" si="3"/>
        <v>9.895601738647024E+39</v>
      </c>
      <c r="G22" s="15"/>
      <c r="H22" s="18">
        <f t="shared" si="4"/>
        <v>3.740563342356372E+40</v>
      </c>
      <c r="I22" s="45">
        <v>174.57</v>
      </c>
      <c r="J22" s="45">
        <v>1</v>
      </c>
      <c r="K22" s="19">
        <f t="shared" si="5"/>
        <v>176.76787365924991</v>
      </c>
      <c r="L22" s="16">
        <f t="shared" si="6"/>
        <v>4.8306486220246407</v>
      </c>
      <c r="N22" s="45"/>
      <c r="O22" s="45"/>
      <c r="P22" s="45"/>
      <c r="Q22" s="45"/>
      <c r="R22" s="45"/>
      <c r="S22" s="45"/>
      <c r="T22" s="45"/>
      <c r="U22" s="45"/>
      <c r="V22" s="16"/>
      <c r="W22" s="45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1.7428724833177545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2.9345089352317892E+40</v>
      </c>
      <c r="F23" s="15">
        <f t="shared" si="3"/>
        <v>1.087934849588285E+40</v>
      </c>
      <c r="G23" s="15"/>
      <c r="H23" s="18">
        <f t="shared" si="4"/>
        <v>4.0224437848200742E+40</v>
      </c>
      <c r="I23" s="45">
        <v>173.98</v>
      </c>
      <c r="J23" s="45">
        <v>1</v>
      </c>
      <c r="K23" s="19">
        <f t="shared" si="5"/>
        <v>174.02790279346547</v>
      </c>
      <c r="L23" s="16">
        <f t="shared" si="6"/>
        <v>2.2946776217966556E-3</v>
      </c>
      <c r="N23" s="45"/>
      <c r="O23" s="45"/>
      <c r="P23" s="45"/>
      <c r="Q23" s="45"/>
      <c r="R23" s="45"/>
      <c r="S23" s="45"/>
      <c r="T23" s="45"/>
      <c r="U23" s="45"/>
      <c r="V23" s="16"/>
      <c r="W23" s="45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1.9667276646613192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3.1128157835653091E+40</v>
      </c>
      <c r="F24" s="15">
        <f t="shared" si="3"/>
        <v>1.1782586355319701E+40</v>
      </c>
      <c r="G24" s="15"/>
      <c r="H24" s="18">
        <f t="shared" si="4"/>
        <v>4.2910744190972792E+40</v>
      </c>
      <c r="I24" s="45">
        <v>175.04</v>
      </c>
      <c r="J24" s="45">
        <v>1</v>
      </c>
      <c r="K24" s="19">
        <f t="shared" si="5"/>
        <v>171.18573641161086</v>
      </c>
      <c r="L24" s="16">
        <f t="shared" si="6"/>
        <v>14.855347808782259</v>
      </c>
      <c r="N24" s="45"/>
      <c r="O24" s="45"/>
      <c r="P24" s="45"/>
      <c r="Q24" s="45"/>
      <c r="R24" s="45"/>
      <c r="S24" s="45"/>
      <c r="T24" s="45"/>
      <c r="U24" s="45"/>
      <c r="V24" s="16"/>
      <c r="W24" s="45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2.2119023870852237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3.2837738610296802E+40</v>
      </c>
      <c r="F25" s="15">
        <f t="shared" si="3"/>
        <v>1.2577114938492687E+40</v>
      </c>
      <c r="G25" s="15"/>
      <c r="H25" s="18">
        <f t="shared" si="4"/>
        <v>4.5414853548789484E+40</v>
      </c>
      <c r="I25" s="45">
        <v>177.59</v>
      </c>
      <c r="J25" s="45">
        <v>1</v>
      </c>
      <c r="K25" s="19">
        <f t="shared" si="5"/>
        <v>168.34275782866249</v>
      </c>
      <c r="L25" s="16">
        <f t="shared" si="6"/>
        <v>85.511487775363022</v>
      </c>
      <c r="N25" s="45"/>
      <c r="O25" s="45"/>
      <c r="P25" s="45"/>
      <c r="Q25" s="45"/>
      <c r="R25" s="45"/>
      <c r="S25" s="45"/>
      <c r="T25" s="45"/>
      <c r="U25" s="45"/>
      <c r="V25" s="16"/>
      <c r="W25" s="45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2.4783966505894672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3.4453432761365033E+40</v>
      </c>
      <c r="F26" s="15">
        <f t="shared" si="3"/>
        <v>1.3247378966800042E+40</v>
      </c>
      <c r="G26" s="15"/>
      <c r="H26" s="18">
        <f t="shared" si="4"/>
        <v>4.7700811728165073E+40</v>
      </c>
      <c r="I26" s="45">
        <v>180.49</v>
      </c>
      <c r="J26" s="45">
        <v>1</v>
      </c>
      <c r="K26" s="19">
        <f t="shared" si="5"/>
        <v>165.59010300362033</v>
      </c>
      <c r="L26" s="16">
        <f t="shared" si="6"/>
        <v>222.00693050272423</v>
      </c>
      <c r="N26" s="45"/>
      <c r="O26" s="45"/>
      <c r="P26" s="45"/>
      <c r="Q26" s="45"/>
      <c r="R26" s="45"/>
      <c r="S26" s="45"/>
      <c r="T26" s="45"/>
      <c r="U26" s="45"/>
      <c r="V26" s="16"/>
      <c r="W26" s="45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2.7768702257142204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3.602205699084707E+40</v>
      </c>
      <c r="F27" s="15">
        <f t="shared" si="3"/>
        <v>1.3807199678536823E+40</v>
      </c>
      <c r="G27" s="15"/>
      <c r="H27" s="18">
        <f t="shared" si="4"/>
        <v>4.9829256669383893E+40</v>
      </c>
      <c r="I27" s="45">
        <v>182.17</v>
      </c>
      <c r="J27" s="45">
        <v>1</v>
      </c>
      <c r="K27" s="19">
        <f t="shared" si="5"/>
        <v>162.93852835990455</v>
      </c>
      <c r="L27" s="16">
        <f t="shared" si="6"/>
        <v>369.84950144379502</v>
      </c>
      <c r="N27" s="45"/>
      <c r="O27" s="45"/>
      <c r="P27" s="45"/>
      <c r="Q27" s="45"/>
      <c r="R27" s="45"/>
      <c r="S27" s="45"/>
      <c r="T27" s="45"/>
      <c r="U27" s="45"/>
      <c r="V27" s="16"/>
      <c r="W27" s="45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3.1019932271893977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3.7495774489911902E+40</v>
      </c>
      <c r="F28" s="15">
        <f t="shared" si="3"/>
        <v>1.4242418634922387E+40</v>
      </c>
      <c r="G28" s="15"/>
      <c r="H28" s="18">
        <f t="shared" si="4"/>
        <v>5.1738193124834289E+40</v>
      </c>
      <c r="I28" s="45">
        <v>180.87</v>
      </c>
      <c r="J28" s="45">
        <v>1</v>
      </c>
      <c r="K28" s="19">
        <f t="shared" si="5"/>
        <v>160.55095000657292</v>
      </c>
      <c r="L28" s="16">
        <f t="shared" si="6"/>
        <v>412.86379263538925</v>
      </c>
      <c r="N28" s="45"/>
      <c r="O28" s="45"/>
      <c r="P28" s="45"/>
      <c r="Q28" s="45"/>
      <c r="R28" s="45"/>
      <c r="S28" s="45"/>
      <c r="T28" s="45"/>
      <c r="U28" s="45"/>
      <c r="V28" s="16"/>
      <c r="W28" s="45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3.4590955402850847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3.8879930573221992E+40</v>
      </c>
      <c r="F29" s="15">
        <f t="shared" si="3"/>
        <v>1.4568785135743061E+40</v>
      </c>
      <c r="G29" s="15"/>
      <c r="H29" s="18">
        <f t="shared" si="4"/>
        <v>5.3448715708965051E+40</v>
      </c>
      <c r="I29" s="45">
        <v>174.89</v>
      </c>
      <c r="J29" s="45">
        <v>1</v>
      </c>
      <c r="K29" s="19">
        <f t="shared" si="5"/>
        <v>158.47896393013838</v>
      </c>
      <c r="L29" s="16">
        <f t="shared" si="6"/>
        <v>269.32210488629875</v>
      </c>
      <c r="N29" s="45"/>
      <c r="O29" s="45"/>
      <c r="P29" s="45"/>
      <c r="Q29" s="45"/>
      <c r="R29" s="45"/>
      <c r="S29" s="45"/>
      <c r="T29" s="45"/>
      <c r="U29" s="45"/>
      <c r="V29" s="16"/>
      <c r="W29" s="45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3.8535070502713653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4.0185290739455047E+40</v>
      </c>
      <c r="F30" s="15">
        <f t="shared" si="3"/>
        <v>1.4802657188458625E+40</v>
      </c>
      <c r="G30" s="15"/>
      <c r="H30" s="18">
        <f t="shared" si="4"/>
        <v>5.4987947927913667E+40</v>
      </c>
      <c r="I30" s="45">
        <v>163.87</v>
      </c>
      <c r="J30" s="45">
        <v>1</v>
      </c>
      <c r="K30" s="19">
        <f t="shared" si="5"/>
        <v>156.79782465433993</v>
      </c>
      <c r="L30" s="16">
        <f t="shared" si="6"/>
        <v>50.015664119762143</v>
      </c>
      <c r="N30" s="45"/>
      <c r="O30" s="45"/>
      <c r="P30" s="45"/>
      <c r="Q30" s="45"/>
      <c r="R30" s="45"/>
      <c r="S30" s="45"/>
      <c r="T30" s="45"/>
      <c r="U30" s="45"/>
      <c r="V30" s="16"/>
      <c r="W30" s="45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4.2905576424183254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4.1411131533453836E+40</v>
      </c>
      <c r="F31" s="15">
        <f t="shared" si="3"/>
        <v>1.4961329780263646E+40</v>
      </c>
      <c r="G31" s="15"/>
      <c r="H31" s="18">
        <f t="shared" si="4"/>
        <v>5.637246131371748E+40</v>
      </c>
      <c r="I31" s="45">
        <v>151.30000000000001</v>
      </c>
      <c r="J31" s="45">
        <v>1</v>
      </c>
      <c r="K31" s="19">
        <f t="shared" si="5"/>
        <v>155.57819879509231</v>
      </c>
      <c r="L31" s="16">
        <f t="shared" si="6"/>
        <v>18.302984930329156</v>
      </c>
      <c r="N31" s="45"/>
      <c r="O31" s="45"/>
      <c r="P31" s="45"/>
      <c r="Q31" s="45"/>
      <c r="R31" s="45"/>
      <c r="S31" s="45"/>
      <c r="T31" s="45"/>
      <c r="U31" s="45"/>
      <c r="V31" s="16"/>
      <c r="W31" s="45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4.7649174314558795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4.253031527888507E+40</v>
      </c>
      <c r="F32" s="15">
        <f t="shared" si="3"/>
        <v>1.5060700162946184E+40</v>
      </c>
      <c r="G32" s="15"/>
      <c r="H32" s="18">
        <f t="shared" si="4"/>
        <v>5.7591015441831249E+40</v>
      </c>
      <c r="I32" s="45">
        <v>140.02000000000001</v>
      </c>
      <c r="J32" s="45">
        <v>1</v>
      </c>
      <c r="K32" s="19">
        <f t="shared" si="5"/>
        <v>154.89664645498834</v>
      </c>
      <c r="L32" s="16">
        <f t="shared" si="6"/>
        <v>221.31460974671691</v>
      </c>
      <c r="N32" s="45"/>
      <c r="O32" s="45"/>
      <c r="P32" s="45"/>
      <c r="Q32" s="45"/>
      <c r="R32" s="45"/>
      <c r="S32" s="45"/>
      <c r="T32" s="45"/>
      <c r="U32" s="45"/>
      <c r="V32" s="16"/>
      <c r="W32" s="45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5.2925760731942821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4.3515316101206489E+40</v>
      </c>
      <c r="F33" s="15">
        <f t="shared" si="3"/>
        <v>1.512044926386856E+40</v>
      </c>
      <c r="G33" s="15"/>
      <c r="H33" s="18">
        <f t="shared" si="4"/>
        <v>5.863576536507505E+40</v>
      </c>
      <c r="I33" s="45">
        <v>132.41999999999999</v>
      </c>
      <c r="J33" s="45">
        <v>1</v>
      </c>
      <c r="K33" s="19">
        <f t="shared" si="5"/>
        <v>154.74294020776915</v>
      </c>
      <c r="L33" s="16">
        <f t="shared" si="6"/>
        <v>498.31365951963721</v>
      </c>
      <c r="N33" s="45"/>
      <c r="O33" s="45"/>
      <c r="P33" s="45"/>
      <c r="Q33" s="45"/>
      <c r="R33" s="45"/>
      <c r="S33" s="45"/>
      <c r="T33" s="45"/>
      <c r="U33" s="45"/>
      <c r="V33" s="16"/>
      <c r="W33" s="45"/>
      <c r="X33" s="45"/>
      <c r="Y33" s="45"/>
      <c r="Z33" s="45"/>
      <c r="AA33" s="45"/>
      <c r="AB33" s="45"/>
      <c r="AC33" s="45"/>
    </row>
    <row r="34" spans="1:29" x14ac:dyDescent="0.25">
      <c r="I34" s="45"/>
      <c r="J34" s="45"/>
      <c r="L34" s="16">
        <f>SUM(L8:L33)/(COUNT(L8:L33)-4)</f>
        <v>143.06250515000363</v>
      </c>
    </row>
    <row r="35" spans="1:29" x14ac:dyDescent="0.25">
      <c r="I35" s="45"/>
      <c r="J35" s="45"/>
      <c r="L35" s="16"/>
    </row>
    <row r="36" spans="1:29" ht="21" x14ac:dyDescent="0.35">
      <c r="A36" s="48" t="s">
        <v>564</v>
      </c>
      <c r="I36" s="45"/>
      <c r="J36" s="45"/>
      <c r="L36" s="16"/>
    </row>
    <row r="37" spans="1:29" x14ac:dyDescent="0.25">
      <c r="A37" s="16" t="s">
        <v>30</v>
      </c>
      <c r="D37" s="16">
        <v>0.82</v>
      </c>
      <c r="E37" s="17">
        <f>$D$37*1000</f>
        <v>820</v>
      </c>
      <c r="F37" s="17"/>
      <c r="G37" s="17"/>
      <c r="H37" s="15"/>
      <c r="K37" s="15"/>
      <c r="L37" s="17"/>
      <c r="M37" s="45"/>
    </row>
    <row r="38" spans="1:29" x14ac:dyDescent="0.25">
      <c r="A38" s="16" t="s">
        <v>16</v>
      </c>
      <c r="D38" s="16">
        <v>1.0900000000000001</v>
      </c>
      <c r="E38" s="15">
        <f>D38*10000000000*SolarMass</f>
        <v>2.168119E+40</v>
      </c>
      <c r="F38" s="43"/>
      <c r="G38" s="43"/>
      <c r="H38" s="15"/>
      <c r="K38" s="15"/>
      <c r="L38" s="17"/>
      <c r="M38" s="45"/>
    </row>
    <row r="39" spans="1:29" x14ac:dyDescent="0.25">
      <c r="A39" s="16" t="s">
        <v>569</v>
      </c>
      <c r="D39" s="16">
        <v>0.9</v>
      </c>
      <c r="E39" s="15">
        <f>D39*1000</f>
        <v>900</v>
      </c>
      <c r="H39" s="15"/>
      <c r="K39" s="15"/>
      <c r="L39" s="17"/>
      <c r="M39" s="45"/>
    </row>
    <row r="40" spans="1:29" x14ac:dyDescent="0.25">
      <c r="A40" s="16" t="s">
        <v>17</v>
      </c>
      <c r="D40" s="45">
        <v>0.8</v>
      </c>
      <c r="G40" s="16"/>
      <c r="H40" s="15"/>
      <c r="K40" s="15"/>
      <c r="L40" s="17"/>
      <c r="M40" s="45"/>
    </row>
    <row r="41" spans="1:29" x14ac:dyDescent="0.25">
      <c r="A41" s="16" t="s">
        <v>570</v>
      </c>
      <c r="D41" s="16">
        <v>7.3</v>
      </c>
      <c r="E41" s="17">
        <f>D41*1000</f>
        <v>7300</v>
      </c>
      <c r="H41" s="15"/>
      <c r="K41" s="15"/>
      <c r="L41" s="17"/>
      <c r="M41" s="45"/>
    </row>
    <row r="42" spans="1:29" x14ac:dyDescent="0.25">
      <c r="A42" s="16" t="s">
        <v>571</v>
      </c>
      <c r="D42" s="16">
        <v>2.2999999999999998</v>
      </c>
      <c r="G42" s="9"/>
      <c r="H42" s="15"/>
      <c r="K42" s="15"/>
      <c r="L42" s="17"/>
      <c r="M42" s="45"/>
    </row>
    <row r="43" spans="1:29" x14ac:dyDescent="0.25">
      <c r="D43" s="12"/>
      <c r="H43" s="15"/>
      <c r="K43" s="15"/>
      <c r="L43" s="17"/>
      <c r="M43" s="45"/>
    </row>
    <row r="44" spans="1:29" x14ac:dyDescent="0.25">
      <c r="A44" s="16" t="s">
        <v>567</v>
      </c>
      <c r="D44" s="17">
        <f>(D40*10000000000)/(2*PI()*DiskScaleLengthPc^2)</f>
        <v>1571.9006725125466</v>
      </c>
      <c r="H44" s="15"/>
      <c r="K44" s="15"/>
      <c r="L44" s="17"/>
      <c r="M44" s="45"/>
    </row>
    <row r="45" spans="1:29" x14ac:dyDescent="0.25">
      <c r="A45" s="16" t="s">
        <v>565</v>
      </c>
      <c r="D45" s="9">
        <f>(D42*10000000000)/(4*PI()*(LCDMHaloScaleLengthPc)^3*(LN(2)-1/2))</f>
        <v>2.4359087680673932E-2</v>
      </c>
      <c r="H45" s="15"/>
      <c r="K45" s="15"/>
      <c r="L45" s="17"/>
      <c r="M45" s="45"/>
    </row>
    <row r="46" spans="1:29" x14ac:dyDescent="0.25">
      <c r="H46" s="15"/>
      <c r="K46" s="15"/>
      <c r="L46" s="17"/>
      <c r="M46" s="45"/>
    </row>
    <row r="47" spans="1:29" ht="45" x14ac:dyDescent="0.25">
      <c r="A47" s="7" t="s">
        <v>20</v>
      </c>
      <c r="B47" s="3" t="s">
        <v>19</v>
      </c>
      <c r="C47" s="7" t="s">
        <v>27</v>
      </c>
      <c r="D47" s="4" t="s">
        <v>649</v>
      </c>
      <c r="E47" s="4" t="s">
        <v>21</v>
      </c>
      <c r="F47" s="4" t="s">
        <v>22</v>
      </c>
      <c r="G47" s="4" t="s">
        <v>28</v>
      </c>
      <c r="H47" s="4" t="s">
        <v>23</v>
      </c>
      <c r="I47" s="7" t="s">
        <v>645</v>
      </c>
      <c r="J47" s="7" t="s">
        <v>646</v>
      </c>
      <c r="K47" s="25" t="s">
        <v>647</v>
      </c>
      <c r="L47" s="3" t="s">
        <v>648</v>
      </c>
      <c r="M47" s="3"/>
      <c r="N47" s="3"/>
      <c r="O47" s="3"/>
      <c r="P47" s="3"/>
      <c r="Q47" s="3"/>
      <c r="R47" s="3"/>
      <c r="S47" s="3"/>
      <c r="T47" s="3"/>
      <c r="U47" s="3"/>
      <c r="V47" s="7"/>
      <c r="W47" s="3"/>
      <c r="X47" s="3"/>
      <c r="Y47" s="3"/>
      <c r="Z47" s="3"/>
      <c r="AA47" s="3"/>
      <c r="AB47" s="3"/>
      <c r="AC47" s="3"/>
    </row>
    <row r="48" spans="1:29" x14ac:dyDescent="0.25">
      <c r="A48" s="16">
        <v>0.09</v>
      </c>
      <c r="B48" s="45">
        <f>A48*1000</f>
        <v>90</v>
      </c>
      <c r="C48" s="16">
        <f>B48/LCDMBulgeEffectiveRadius</f>
        <v>0.10975609756097561</v>
      </c>
      <c r="D48" s="15">
        <f>A48*kpc</f>
        <v>2.777109822E+18</v>
      </c>
      <c r="E48" s="15">
        <f>FORECAST($C48, OFFSET('De Vaucouleurs Deprojection'!$F$3:$F$126, MATCH($C48, 'De Vaucouleurs Deprojection'!$A$3:$A$126,1)-1,0,2), OFFSET('De Vaucouleurs Deprojection'!$A$3:$A$126, MATCH($C48, 'De Vaucouleurs Deprojection'!$A$3:$A$126,1)-1,0,2))*LCDMTotalBulgeMass</f>
        <v>1.0738756864141462E+39</v>
      </c>
      <c r="F48" s="15">
        <f t="shared" ref="F48:F73" si="7">2*PI()*LCDMDiskSurfaceDensity*LCDMScaleLength*(LCDMScaleLength-EXP(-RadiusPc/LCDMScaleLength)*(RadiusPc+LCDMScaleLength))*SolarMass</f>
        <v>7.4453447705120862E+37</v>
      </c>
      <c r="G48" s="15">
        <f t="shared" ref="G48:G73" si="8">4*PI()*LCDMHaloRepresentativeDensity*LCDMHaloScaleLengthPc^3*(LN(1+RadiusPc/LCDMHaloScaleLengthPc)-RadiusPc/(RadiusPc+LCDMHaloScaleLengthPc))*SolarMass</f>
        <v>1.7709500911861271E+37</v>
      </c>
      <c r="H48" s="15">
        <f t="shared" ref="H48:H73" si="9">BulgeMass+DiskMass+HaloMass</f>
        <v>1.1660386350311283E+39</v>
      </c>
      <c r="I48" s="45">
        <v>122</v>
      </c>
      <c r="J48" s="45">
        <v>1</v>
      </c>
      <c r="K48" s="19">
        <f t="shared" ref="K48:K73" si="10">SQRT(TotalMass*GravitationalConstant/RadiusKm)/km</f>
        <v>167.4000745311709</v>
      </c>
      <c r="L48" s="16">
        <f t="shared" ref="L48:L73" si="11">(ObservedVelocity-ModelVelocity)^2/(VelocityError)^2</f>
        <v>2061.1667674358728</v>
      </c>
      <c r="M48" s="45"/>
    </row>
    <row r="49" spans="1:13" x14ac:dyDescent="0.25">
      <c r="A49" s="16">
        <v>0.19</v>
      </c>
      <c r="B49" s="45">
        <f t="shared" ref="B49:B73" si="12">A49*1000</f>
        <v>190</v>
      </c>
      <c r="C49" s="16">
        <f t="shared" ref="C49:C73" si="13">B49/LCDMBulgeEffectiveRadius</f>
        <v>0.23170731707317074</v>
      </c>
      <c r="D49" s="15">
        <f t="shared" ref="D49:D73" si="14">A49*kpc</f>
        <v>5.862787402E+18</v>
      </c>
      <c r="E49" s="15">
        <f>FORECAST($C49, OFFSET('De Vaucouleurs Deprojection'!$F$3:$F$126, MATCH($C49, 'De Vaucouleurs Deprojection'!$A$3:$A$126,1)-1,0,2), OFFSET('De Vaucouleurs Deprojection'!$A$3:$A$126, MATCH($C49, 'De Vaucouleurs Deprojection'!$A$3:$A$126,1)-1,0,2))*LCDMTotalBulgeMass</f>
        <v>2.5248676459741459E+39</v>
      </c>
      <c r="F49" s="15">
        <f t="shared" si="7"/>
        <v>3.084313362888801E+38</v>
      </c>
      <c r="G49" s="15">
        <f t="shared" si="8"/>
        <v>7.7523436888797805E+37</v>
      </c>
      <c r="H49" s="15">
        <f t="shared" si="9"/>
        <v>2.9108224191518232E+39</v>
      </c>
      <c r="I49" s="45">
        <v>172.71</v>
      </c>
      <c r="J49" s="45">
        <v>1</v>
      </c>
      <c r="K49" s="19">
        <f t="shared" si="10"/>
        <v>182.03357008800339</v>
      </c>
      <c r="L49" s="16">
        <f t="shared" si="11"/>
        <v>86.928959185911339</v>
      </c>
      <c r="M49" s="45"/>
    </row>
    <row r="50" spans="1:13" x14ac:dyDescent="0.25">
      <c r="A50" s="16">
        <v>0.3</v>
      </c>
      <c r="B50" s="45">
        <f t="shared" si="12"/>
        <v>300</v>
      </c>
      <c r="C50" s="16">
        <f t="shared" si="13"/>
        <v>0.36585365853658536</v>
      </c>
      <c r="D50" s="15">
        <f t="shared" si="14"/>
        <v>9.25703274E+18</v>
      </c>
      <c r="E50" s="15">
        <f>FORECAST($C50, OFFSET('De Vaucouleurs Deprojection'!$F$3:$F$126, MATCH($C50, 'De Vaucouleurs Deprojection'!$A$3:$A$126,1)-1,0,2), OFFSET('De Vaucouleurs Deprojection'!$A$3:$A$126, MATCH($C50, 'De Vaucouleurs Deprojection'!$A$3:$A$126,1)-1,0,2))*LCDMTotalBulgeMass</f>
        <v>3.9956317931951221E+39</v>
      </c>
      <c r="F50" s="15">
        <f t="shared" si="7"/>
        <v>7.1010741480187545E+38</v>
      </c>
      <c r="G50" s="15">
        <f t="shared" si="8"/>
        <v>1.8954080858229352E+38</v>
      </c>
      <c r="H50" s="15">
        <f t="shared" si="9"/>
        <v>4.8952800165792911E+39</v>
      </c>
      <c r="I50" s="45">
        <v>188.97</v>
      </c>
      <c r="J50" s="45">
        <v>1</v>
      </c>
      <c r="K50" s="19">
        <f t="shared" si="10"/>
        <v>187.86616660688981</v>
      </c>
      <c r="L50" s="16">
        <f t="shared" si="11"/>
        <v>1.2184481597451622</v>
      </c>
      <c r="M50" s="45"/>
    </row>
    <row r="51" spans="1:13" x14ac:dyDescent="0.25">
      <c r="A51" s="16">
        <v>0.42</v>
      </c>
      <c r="B51" s="45">
        <f t="shared" si="12"/>
        <v>420</v>
      </c>
      <c r="C51" s="16">
        <f t="shared" si="13"/>
        <v>0.51219512195121952</v>
      </c>
      <c r="D51" s="15">
        <f t="shared" si="14"/>
        <v>1.2959845836E+19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5.4156334001024384E+39</v>
      </c>
      <c r="F51" s="15">
        <f t="shared" si="7"/>
        <v>1.2773099790048066E+39</v>
      </c>
      <c r="G51" s="15">
        <f t="shared" si="8"/>
        <v>3.6379000717517361E+38</v>
      </c>
      <c r="H51" s="15">
        <f t="shared" si="9"/>
        <v>7.0567333862824183E+39</v>
      </c>
      <c r="I51" s="45">
        <v>192.81</v>
      </c>
      <c r="J51" s="45">
        <v>1</v>
      </c>
      <c r="K51" s="19">
        <f t="shared" si="10"/>
        <v>190.63280626408368</v>
      </c>
      <c r="L51" s="16">
        <f t="shared" si="11"/>
        <v>4.7401725637132577</v>
      </c>
      <c r="M51" s="45"/>
    </row>
    <row r="52" spans="1:13" x14ac:dyDescent="0.25">
      <c r="A52" s="16">
        <v>0.56000000000000005</v>
      </c>
      <c r="B52" s="45">
        <f t="shared" si="12"/>
        <v>560</v>
      </c>
      <c r="C52" s="16">
        <f t="shared" si="13"/>
        <v>0.68292682926829273</v>
      </c>
      <c r="D52" s="15">
        <f t="shared" si="14"/>
        <v>1.7279794448000002E+19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6.8425941401902455E+39</v>
      </c>
      <c r="F52" s="15">
        <f t="shared" si="7"/>
        <v>2.0570744272163921E+39</v>
      </c>
      <c r="G52" s="15">
        <f t="shared" si="8"/>
        <v>6.313422009376784E+38</v>
      </c>
      <c r="H52" s="15">
        <f t="shared" si="9"/>
        <v>9.5310107683443157E+39</v>
      </c>
      <c r="I52" s="45">
        <v>192.82</v>
      </c>
      <c r="J52" s="45">
        <v>1</v>
      </c>
      <c r="K52" s="19">
        <f t="shared" si="10"/>
        <v>191.86506191986217</v>
      </c>
      <c r="L52" s="16">
        <f t="shared" si="11"/>
        <v>0.91190673689730939</v>
      </c>
      <c r="M52" s="45"/>
    </row>
    <row r="53" spans="1:13" x14ac:dyDescent="0.25">
      <c r="A53" s="16">
        <v>0.7</v>
      </c>
      <c r="B53" s="45">
        <f t="shared" si="12"/>
        <v>700</v>
      </c>
      <c r="C53" s="16">
        <f t="shared" si="13"/>
        <v>0.85365853658536583</v>
      </c>
      <c r="D53" s="15">
        <f t="shared" si="14"/>
        <v>2.1599743059999998E+19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8.0716109036731688E+39</v>
      </c>
      <c r="F53" s="15">
        <f t="shared" si="7"/>
        <v>2.9159088840552989E+39</v>
      </c>
      <c r="G53" s="15">
        <f t="shared" si="8"/>
        <v>9.633651198857163E+38</v>
      </c>
      <c r="H53" s="15">
        <f t="shared" si="9"/>
        <v>1.1950884907614184E+40</v>
      </c>
      <c r="I53" s="45">
        <v>191.34</v>
      </c>
      <c r="J53" s="45">
        <v>1</v>
      </c>
      <c r="K53" s="19">
        <f t="shared" si="10"/>
        <v>192.16374039409541</v>
      </c>
      <c r="L53" s="16">
        <f t="shared" si="11"/>
        <v>0.67854823686446064</v>
      </c>
      <c r="M53" s="45"/>
    </row>
    <row r="54" spans="1:13" x14ac:dyDescent="0.25">
      <c r="A54" s="16">
        <v>0.86</v>
      </c>
      <c r="B54" s="45">
        <f t="shared" si="12"/>
        <v>860</v>
      </c>
      <c r="C54" s="16">
        <f t="shared" si="13"/>
        <v>1.0487804878048781</v>
      </c>
      <c r="D54" s="15">
        <f t="shared" si="14"/>
        <v>2.6536827187999998E+19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9.2862969293756087E+39</v>
      </c>
      <c r="F54" s="15">
        <f t="shared" si="7"/>
        <v>3.9447262202968265E+39</v>
      </c>
      <c r="G54" s="15">
        <f t="shared" si="8"/>
        <v>1.4158836849869474E+39</v>
      </c>
      <c r="H54" s="15">
        <f t="shared" si="9"/>
        <v>1.4646906834659383E+40</v>
      </c>
      <c r="I54" s="45">
        <v>189.59</v>
      </c>
      <c r="J54" s="45">
        <v>1</v>
      </c>
      <c r="K54" s="19">
        <f t="shared" si="10"/>
        <v>191.93057548030055</v>
      </c>
      <c r="L54" s="16">
        <f t="shared" si="11"/>
        <v>5.4782935789841209</v>
      </c>
      <c r="M54" s="45"/>
    </row>
    <row r="55" spans="1:13" x14ac:dyDescent="0.25">
      <c r="A55" s="16">
        <v>1.04</v>
      </c>
      <c r="B55" s="45">
        <f t="shared" si="12"/>
        <v>1040</v>
      </c>
      <c r="C55" s="16">
        <f t="shared" si="13"/>
        <v>1.2682926829268293</v>
      </c>
      <c r="D55" s="15">
        <f t="shared" si="14"/>
        <v>3.2091046832E+19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1.0455605810836585E+40</v>
      </c>
      <c r="F55" s="15">
        <f t="shared" si="7"/>
        <v>5.112037321826418E+39</v>
      </c>
      <c r="G55" s="15">
        <f t="shared" si="8"/>
        <v>2.0106366891167101E+39</v>
      </c>
      <c r="H55" s="15">
        <f t="shared" si="9"/>
        <v>1.7578279821779714E+40</v>
      </c>
      <c r="I55" s="45">
        <v>187.96</v>
      </c>
      <c r="J55" s="45">
        <v>1</v>
      </c>
      <c r="K55" s="19">
        <f t="shared" si="10"/>
        <v>191.20178776196124</v>
      </c>
      <c r="L55" s="16">
        <f t="shared" si="11"/>
        <v>10.509187893601627</v>
      </c>
      <c r="M55" s="45"/>
    </row>
    <row r="56" spans="1:13" x14ac:dyDescent="0.25">
      <c r="A56" s="16">
        <v>1.23</v>
      </c>
      <c r="B56" s="45">
        <f t="shared" si="12"/>
        <v>1230</v>
      </c>
      <c r="C56" s="16">
        <f t="shared" si="13"/>
        <v>1.5</v>
      </c>
      <c r="D56" s="15">
        <f t="shared" si="14"/>
        <v>3.7953834233999999E+19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1.1511844642400003E+40</v>
      </c>
      <c r="F56" s="15">
        <f t="shared" si="7"/>
        <v>6.3111049987254661E+39</v>
      </c>
      <c r="G56" s="15">
        <f t="shared" si="8"/>
        <v>2.7281953873761864E+39</v>
      </c>
      <c r="H56" s="15">
        <f t="shared" si="9"/>
        <v>2.0551145028501655E+40</v>
      </c>
      <c r="I56" s="45">
        <v>185.71</v>
      </c>
      <c r="J56" s="45">
        <v>1</v>
      </c>
      <c r="K56" s="19">
        <f t="shared" si="10"/>
        <v>190.10165064790837</v>
      </c>
      <c r="L56" s="16">
        <f t="shared" si="11"/>
        <v>19.28659541327395</v>
      </c>
      <c r="M56" s="45"/>
    </row>
    <row r="57" spans="1:13" x14ac:dyDescent="0.25">
      <c r="A57" s="16">
        <v>1.45</v>
      </c>
      <c r="B57" s="45">
        <f t="shared" si="12"/>
        <v>1450</v>
      </c>
      <c r="C57" s="16">
        <f t="shared" si="13"/>
        <v>1.7682926829268293</v>
      </c>
      <c r="D57" s="15">
        <f t="shared" si="14"/>
        <v>4.4742324909999997E+19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1.254616960777805E+40</v>
      </c>
      <c r="F57" s="15">
        <f t="shared" si="7"/>
        <v>7.6166749071217822E+39</v>
      </c>
      <c r="G57" s="15">
        <f t="shared" si="8"/>
        <v>3.6630923879816377E+39</v>
      </c>
      <c r="H57" s="15">
        <f t="shared" si="9"/>
        <v>2.3825936902881468E+40</v>
      </c>
      <c r="I57" s="45">
        <v>183.65</v>
      </c>
      <c r="J57" s="45">
        <v>1</v>
      </c>
      <c r="K57" s="19">
        <f t="shared" si="10"/>
        <v>188.52173330270196</v>
      </c>
      <c r="L57" s="16">
        <f t="shared" si="11"/>
        <v>23.733785372655298</v>
      </c>
      <c r="M57" s="45"/>
    </row>
    <row r="58" spans="1:13" x14ac:dyDescent="0.25">
      <c r="A58" s="16">
        <v>1.68</v>
      </c>
      <c r="B58" s="45">
        <f t="shared" si="12"/>
        <v>1680</v>
      </c>
      <c r="C58" s="16">
        <f t="shared" si="13"/>
        <v>2.0487804878048781</v>
      </c>
      <c r="D58" s="15">
        <f t="shared" si="14"/>
        <v>5.1839383344E+19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1.3465108337595121E+40</v>
      </c>
      <c r="F58" s="15">
        <f t="shared" si="7"/>
        <v>8.8587137084577717E+39</v>
      </c>
      <c r="G58" s="15">
        <f t="shared" si="8"/>
        <v>4.7474631025792092E+39</v>
      </c>
      <c r="H58" s="15">
        <f t="shared" si="9"/>
        <v>2.7071285148632103E+40</v>
      </c>
      <c r="I58" s="45">
        <v>181.8</v>
      </c>
      <c r="J58" s="45">
        <v>1</v>
      </c>
      <c r="K58" s="19">
        <f t="shared" si="10"/>
        <v>186.6896439321107</v>
      </c>
      <c r="L58" s="16">
        <f t="shared" si="11"/>
        <v>23.908617782826859</v>
      </c>
      <c r="M58" s="45"/>
    </row>
    <row r="59" spans="1:13" x14ac:dyDescent="0.25">
      <c r="A59" s="16">
        <v>1.94</v>
      </c>
      <c r="B59" s="45">
        <f t="shared" si="12"/>
        <v>1940</v>
      </c>
      <c r="C59" s="16">
        <f t="shared" si="13"/>
        <v>2.3658536585365852</v>
      </c>
      <c r="D59" s="15">
        <f t="shared" si="14"/>
        <v>5.9862145052000002E+19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1.4344502692090243E+40</v>
      </c>
      <c r="F59" s="15">
        <f t="shared" si="7"/>
        <v>1.0096101521292729E+40</v>
      </c>
      <c r="G59" s="15">
        <f t="shared" si="8"/>
        <v>6.0899276866572732E+39</v>
      </c>
      <c r="H59" s="15">
        <f t="shared" si="9"/>
        <v>3.0530531900040243E+40</v>
      </c>
      <c r="I59" s="45">
        <v>180.18</v>
      </c>
      <c r="J59" s="45">
        <v>1</v>
      </c>
      <c r="K59" s="19">
        <f t="shared" si="10"/>
        <v>184.49591379717396</v>
      </c>
      <c r="L59" s="16">
        <f t="shared" si="11"/>
        <v>18.62711190463645</v>
      </c>
      <c r="M59" s="45"/>
    </row>
    <row r="60" spans="1:13" x14ac:dyDescent="0.25">
      <c r="A60" s="16">
        <v>2.23</v>
      </c>
      <c r="B60" s="45">
        <f t="shared" si="12"/>
        <v>2230</v>
      </c>
      <c r="C60" s="16">
        <f t="shared" si="13"/>
        <v>2.7195121951219514</v>
      </c>
      <c r="D60" s="15">
        <f t="shared" si="14"/>
        <v>6.8810610034000003E+19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1.5168350895424392E+40</v>
      </c>
      <c r="F60" s="15">
        <f t="shared" si="7"/>
        <v>1.1268040665266168E+40</v>
      </c>
      <c r="G60" s="15">
        <f t="shared" si="8"/>
        <v>7.7151921799080371E+39</v>
      </c>
      <c r="H60" s="15">
        <f t="shared" si="9"/>
        <v>3.4151583740598597E+40</v>
      </c>
      <c r="I60" s="45">
        <v>178.51</v>
      </c>
      <c r="J60" s="45">
        <v>1</v>
      </c>
      <c r="K60" s="19">
        <f t="shared" si="10"/>
        <v>182.00085332555878</v>
      </c>
      <c r="L60" s="16">
        <f t="shared" si="11"/>
        <v>12.186056940564852</v>
      </c>
      <c r="M60" s="45"/>
    </row>
    <row r="61" spans="1:13" x14ac:dyDescent="0.25">
      <c r="A61" s="16">
        <v>2.54</v>
      </c>
      <c r="B61" s="45">
        <f t="shared" si="12"/>
        <v>2540</v>
      </c>
      <c r="C61" s="16">
        <f t="shared" si="13"/>
        <v>3.0975609756097562</v>
      </c>
      <c r="D61" s="15">
        <f t="shared" si="14"/>
        <v>7.8376210532000006E+19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1.5906293993502441E+40</v>
      </c>
      <c r="F61" s="15">
        <f t="shared" si="7"/>
        <v>1.2295479415931738E+40</v>
      </c>
      <c r="G61" s="15">
        <f t="shared" si="8"/>
        <v>9.5813866521361456E+39</v>
      </c>
      <c r="H61" s="15">
        <f t="shared" si="9"/>
        <v>3.7783160061570325E+40</v>
      </c>
      <c r="I61" s="45">
        <v>176.47</v>
      </c>
      <c r="J61" s="45">
        <v>1</v>
      </c>
      <c r="K61" s="19">
        <f t="shared" si="10"/>
        <v>179.37119945584868</v>
      </c>
      <c r="L61" s="16">
        <f t="shared" si="11"/>
        <v>8.4169582826166955</v>
      </c>
      <c r="M61" s="45"/>
    </row>
    <row r="62" spans="1:13" x14ac:dyDescent="0.25">
      <c r="A62" s="16">
        <v>2.89</v>
      </c>
      <c r="B62" s="45">
        <f t="shared" si="12"/>
        <v>2890</v>
      </c>
      <c r="C62" s="16">
        <f t="shared" si="13"/>
        <v>3.524390243902439</v>
      </c>
      <c r="D62" s="15">
        <f t="shared" si="14"/>
        <v>8.9176082061999997E+19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1.6599959871124391E+40</v>
      </c>
      <c r="F62" s="15">
        <f t="shared" si="7"/>
        <v>1.3211483517068188E+40</v>
      </c>
      <c r="G62" s="15">
        <f t="shared" si="8"/>
        <v>1.1824433972118455E+40</v>
      </c>
      <c r="H62" s="15">
        <f t="shared" si="9"/>
        <v>4.1635877360311032E+40</v>
      </c>
      <c r="I62" s="45">
        <v>174.57</v>
      </c>
      <c r="J62" s="45">
        <v>1</v>
      </c>
      <c r="K62" s="19">
        <f t="shared" si="10"/>
        <v>176.52465463443409</v>
      </c>
      <c r="L62" s="16">
        <f t="shared" si="11"/>
        <v>3.8206747399146757</v>
      </c>
      <c r="M62" s="45"/>
    </row>
    <row r="63" spans="1:13" x14ac:dyDescent="0.25">
      <c r="A63" s="16">
        <v>3.27</v>
      </c>
      <c r="B63" s="45">
        <f t="shared" si="12"/>
        <v>3270</v>
      </c>
      <c r="C63" s="16">
        <f t="shared" si="13"/>
        <v>3.9878048780487805</v>
      </c>
      <c r="D63" s="15">
        <f t="shared" si="14"/>
        <v>1.0090165686599999E+20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1.7225271831200002E+40</v>
      </c>
      <c r="F63" s="15">
        <f t="shared" si="7"/>
        <v>1.3964285991896151E+40</v>
      </c>
      <c r="G63" s="15">
        <f t="shared" si="8"/>
        <v>1.4396334390820558E+40</v>
      </c>
      <c r="H63" s="15">
        <f t="shared" si="9"/>
        <v>4.5585892213916711E+40</v>
      </c>
      <c r="I63" s="45">
        <v>173.98</v>
      </c>
      <c r="J63" s="45">
        <v>1</v>
      </c>
      <c r="K63" s="19">
        <f t="shared" si="10"/>
        <v>173.64480099242698</v>
      </c>
      <c r="L63" s="16">
        <f t="shared" si="11"/>
        <v>0.11235837467793083</v>
      </c>
      <c r="M63" s="45"/>
    </row>
    <row r="64" spans="1:13" x14ac:dyDescent="0.25">
      <c r="A64" s="16">
        <v>3.69</v>
      </c>
      <c r="B64" s="45">
        <f t="shared" si="12"/>
        <v>3690</v>
      </c>
      <c r="C64" s="16">
        <f t="shared" si="13"/>
        <v>4.5</v>
      </c>
      <c r="D64" s="15">
        <f t="shared" si="14"/>
        <v>1.13861502702E+20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1.77961375639E+40</v>
      </c>
      <c r="F64" s="15">
        <f t="shared" si="7"/>
        <v>1.4567839887420951E+40</v>
      </c>
      <c r="G64" s="15">
        <f t="shared" si="8"/>
        <v>1.7374243372201113E+40</v>
      </c>
      <c r="H64" s="15">
        <f t="shared" si="9"/>
        <v>4.9738220823522062E+40</v>
      </c>
      <c r="I64" s="45">
        <v>175.04</v>
      </c>
      <c r="J64" s="45">
        <v>1</v>
      </c>
      <c r="K64" s="19">
        <f t="shared" si="10"/>
        <v>170.74672070179543</v>
      </c>
      <c r="L64" s="16">
        <f t="shared" si="11"/>
        <v>18.432247132391897</v>
      </c>
      <c r="M64" s="45"/>
    </row>
    <row r="65" spans="1:13" x14ac:dyDescent="0.25">
      <c r="A65" s="16">
        <v>4.1500000000000004</v>
      </c>
      <c r="B65" s="45">
        <f t="shared" si="12"/>
        <v>4150</v>
      </c>
      <c r="C65" s="16">
        <f t="shared" si="13"/>
        <v>5.0609756097560972</v>
      </c>
      <c r="D65" s="15">
        <f t="shared" si="14"/>
        <v>1.2805561957E+20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1.8302462095636586E+40</v>
      </c>
      <c r="F65" s="15">
        <f t="shared" si="7"/>
        <v>1.5025203947533285E+40</v>
      </c>
      <c r="G65" s="15">
        <f t="shared" si="8"/>
        <v>2.0765716639444934E+40</v>
      </c>
      <c r="H65" s="15">
        <f t="shared" si="9"/>
        <v>5.4093382682614808E+40</v>
      </c>
      <c r="I65" s="45">
        <v>177.59</v>
      </c>
      <c r="J65" s="45">
        <v>1</v>
      </c>
      <c r="K65" s="19">
        <f t="shared" si="10"/>
        <v>167.90686518679095</v>
      </c>
      <c r="L65" s="16">
        <f t="shared" si="11"/>
        <v>93.763099810781085</v>
      </c>
      <c r="M65" s="45"/>
    </row>
    <row r="66" spans="1:13" x14ac:dyDescent="0.25">
      <c r="A66" s="16">
        <v>4.6500000000000004</v>
      </c>
      <c r="B66" s="45">
        <f t="shared" si="12"/>
        <v>4650</v>
      </c>
      <c r="C66" s="16">
        <f t="shared" si="13"/>
        <v>5.6707317073170733</v>
      </c>
      <c r="D66" s="15">
        <f t="shared" si="14"/>
        <v>1.4348400747000001E+20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1.8741109586002439E+40</v>
      </c>
      <c r="F66" s="15">
        <f t="shared" si="7"/>
        <v>1.5353116820611129E+40</v>
      </c>
      <c r="G66" s="15">
        <f t="shared" si="8"/>
        <v>2.4571058577234889E+40</v>
      </c>
      <c r="H66" s="15">
        <f t="shared" si="9"/>
        <v>5.8665284983848458E+40</v>
      </c>
      <c r="I66" s="45">
        <v>180.49</v>
      </c>
      <c r="J66" s="45">
        <v>1</v>
      </c>
      <c r="K66" s="19">
        <f t="shared" si="10"/>
        <v>165.19030211692495</v>
      </c>
      <c r="L66" s="16">
        <f t="shared" si="11"/>
        <v>234.08075531337133</v>
      </c>
      <c r="M66" s="45"/>
    </row>
    <row r="67" spans="1:13" x14ac:dyDescent="0.25">
      <c r="A67" s="16">
        <v>5.21</v>
      </c>
      <c r="B67" s="45">
        <f t="shared" si="12"/>
        <v>5210</v>
      </c>
      <c r="C67" s="16">
        <f t="shared" si="13"/>
        <v>6.3536585365853657</v>
      </c>
      <c r="D67" s="15">
        <f t="shared" si="14"/>
        <v>1.6076380191800001E+20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1.916430526242195E+40</v>
      </c>
      <c r="F67" s="15">
        <f t="shared" si="7"/>
        <v>1.5582078214170068E+40</v>
      </c>
      <c r="G67" s="15">
        <f t="shared" si="8"/>
        <v>2.8941538548403816E+40</v>
      </c>
      <c r="H67" s="15">
        <f t="shared" si="9"/>
        <v>6.3687922024995838E+40</v>
      </c>
      <c r="I67" s="45">
        <v>182.17</v>
      </c>
      <c r="J67" s="45">
        <v>1</v>
      </c>
      <c r="K67" s="19">
        <f t="shared" si="10"/>
        <v>162.60358238779258</v>
      </c>
      <c r="L67" s="16">
        <f t="shared" si="11"/>
        <v>382.84469817530004</v>
      </c>
      <c r="M67" s="45"/>
    </row>
    <row r="68" spans="1:13" x14ac:dyDescent="0.25">
      <c r="A68" s="16">
        <v>5.82</v>
      </c>
      <c r="B68" s="45">
        <f t="shared" si="12"/>
        <v>5820</v>
      </c>
      <c r="C68" s="16">
        <f t="shared" si="13"/>
        <v>7.0975609756097562</v>
      </c>
      <c r="D68" s="15">
        <f t="shared" si="14"/>
        <v>1.7958643515600001E+20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1.9543562156473168E+40</v>
      </c>
      <c r="F68" s="15">
        <f t="shared" si="7"/>
        <v>1.572811325874702E+40</v>
      </c>
      <c r="G68" s="15">
        <f t="shared" si="8"/>
        <v>3.3792177903529831E+40</v>
      </c>
      <c r="H68" s="15">
        <f t="shared" si="9"/>
        <v>6.9063853318750021E+40</v>
      </c>
      <c r="I68" s="45">
        <v>180.87</v>
      </c>
      <c r="J68" s="45">
        <v>1</v>
      </c>
      <c r="K68" s="19">
        <f t="shared" si="10"/>
        <v>160.20805281031289</v>
      </c>
      <c r="L68" s="16">
        <f t="shared" si="11"/>
        <v>426.91606166941915</v>
      </c>
      <c r="M68" s="45"/>
    </row>
    <row r="69" spans="1:13" x14ac:dyDescent="0.25">
      <c r="A69" s="16">
        <v>6.49</v>
      </c>
      <c r="B69" s="45">
        <f t="shared" si="12"/>
        <v>6490</v>
      </c>
      <c r="C69" s="16">
        <f t="shared" si="13"/>
        <v>7.9146341463414638</v>
      </c>
      <c r="D69" s="15">
        <f t="shared" si="14"/>
        <v>2.0026047494200001E+20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1.9867925979110977E+40</v>
      </c>
      <c r="F69" s="15">
        <f t="shared" si="7"/>
        <v>1.5816327669631414E+40</v>
      </c>
      <c r="G69" s="15">
        <f t="shared" si="8"/>
        <v>3.9186144661417105E+40</v>
      </c>
      <c r="H69" s="15">
        <f t="shared" si="9"/>
        <v>7.4870398310159491E+40</v>
      </c>
      <c r="I69" s="45">
        <v>174.89</v>
      </c>
      <c r="J69" s="45">
        <v>1</v>
      </c>
      <c r="K69" s="19">
        <f t="shared" si="10"/>
        <v>157.96219317604229</v>
      </c>
      <c r="L69" s="16">
        <f t="shared" si="11"/>
        <v>286.55064386922874</v>
      </c>
      <c r="M69" s="45"/>
    </row>
    <row r="70" spans="1:13" x14ac:dyDescent="0.25">
      <c r="A70" s="16">
        <v>7.23</v>
      </c>
      <c r="B70" s="45">
        <f t="shared" si="12"/>
        <v>7230</v>
      </c>
      <c r="C70" s="16">
        <f t="shared" si="13"/>
        <v>8.8170731707317067</v>
      </c>
      <c r="D70" s="15">
        <f t="shared" si="14"/>
        <v>2.2309448903400001E+20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2.0151420758598779E+40</v>
      </c>
      <c r="F70" s="15">
        <f t="shared" si="7"/>
        <v>1.5866159596112974E+40</v>
      </c>
      <c r="G70" s="15">
        <f t="shared" si="8"/>
        <v>4.51814836193059E+40</v>
      </c>
      <c r="H70" s="15">
        <f t="shared" si="9"/>
        <v>8.1199063974017648E+40</v>
      </c>
      <c r="I70" s="45">
        <v>163.87</v>
      </c>
      <c r="J70" s="45">
        <v>1</v>
      </c>
      <c r="K70" s="19">
        <f t="shared" si="10"/>
        <v>155.85717292368153</v>
      </c>
      <c r="L70" s="16">
        <f t="shared" si="11"/>
        <v>64.205397754982442</v>
      </c>
      <c r="M70" s="45"/>
    </row>
    <row r="71" spans="1:13" x14ac:dyDescent="0.25">
      <c r="A71" s="16">
        <v>8.0500000000000007</v>
      </c>
      <c r="B71" s="45">
        <f t="shared" si="12"/>
        <v>8050.0000000000009</v>
      </c>
      <c r="C71" s="16">
        <f t="shared" si="13"/>
        <v>9.8170731707317085</v>
      </c>
      <c r="D71" s="15">
        <f t="shared" si="14"/>
        <v>2.4839704519000002E+20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2.0403231916163415E+40</v>
      </c>
      <c r="F71" s="15">
        <f t="shared" si="7"/>
        <v>1.5892155504971492E+40</v>
      </c>
      <c r="G71" s="15">
        <f t="shared" si="8"/>
        <v>5.1828130767190391E+40</v>
      </c>
      <c r="H71" s="15">
        <f t="shared" si="9"/>
        <v>8.8123518188325303E+40</v>
      </c>
      <c r="I71" s="45">
        <v>151.30000000000001</v>
      </c>
      <c r="J71" s="45">
        <v>1</v>
      </c>
      <c r="K71" s="19">
        <f t="shared" si="10"/>
        <v>153.87512014006117</v>
      </c>
      <c r="L71" s="16">
        <f t="shared" si="11"/>
        <v>6.6312437357486038</v>
      </c>
      <c r="M71" s="45"/>
    </row>
    <row r="72" spans="1:13" x14ac:dyDescent="0.25">
      <c r="A72" s="16">
        <v>8.94</v>
      </c>
      <c r="B72" s="45">
        <f t="shared" si="12"/>
        <v>8940</v>
      </c>
      <c r="C72" s="16">
        <f t="shared" si="13"/>
        <v>10.902439024390244</v>
      </c>
      <c r="D72" s="15">
        <f t="shared" si="14"/>
        <v>2.7585957565199997E+20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2.0619277042370731E+40</v>
      </c>
      <c r="F72" s="15">
        <f t="shared" si="7"/>
        <v>1.5904356794887551E+40</v>
      </c>
      <c r="G72" s="15">
        <f t="shared" si="8"/>
        <v>5.90048753488529E+40</v>
      </c>
      <c r="H72" s="15">
        <f t="shared" si="9"/>
        <v>9.5528509186111179E+40</v>
      </c>
      <c r="I72" s="45">
        <v>140.02000000000001</v>
      </c>
      <c r="J72" s="45">
        <v>1</v>
      </c>
      <c r="K72" s="19">
        <f t="shared" si="10"/>
        <v>152.02610622217364</v>
      </c>
      <c r="L72" s="16">
        <f t="shared" si="11"/>
        <v>144.14658661811632</v>
      </c>
      <c r="M72" s="45"/>
    </row>
    <row r="73" spans="1:13" x14ac:dyDescent="0.25">
      <c r="A73" s="16">
        <v>9.93</v>
      </c>
      <c r="B73" s="45">
        <f t="shared" si="12"/>
        <v>9930</v>
      </c>
      <c r="C73" s="16">
        <f t="shared" si="13"/>
        <v>12.109756097560975</v>
      </c>
      <c r="D73" s="15">
        <f t="shared" si="14"/>
        <v>3.06407783694E+20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2.0805846326368292E+40</v>
      </c>
      <c r="F73" s="15">
        <f t="shared" si="7"/>
        <v>1.5909706737561963E+40</v>
      </c>
      <c r="G73" s="15">
        <f t="shared" si="8"/>
        <v>6.6903514371406037E+40</v>
      </c>
      <c r="H73" s="15">
        <f t="shared" si="9"/>
        <v>1.036190674353363E+41</v>
      </c>
      <c r="I73" s="45">
        <v>132.41999999999999</v>
      </c>
      <c r="J73" s="45">
        <v>1</v>
      </c>
      <c r="K73" s="19">
        <f t="shared" si="10"/>
        <v>150.23310627387801</v>
      </c>
      <c r="L73" s="16">
        <f t="shared" si="11"/>
        <v>317.30675512447249</v>
      </c>
      <c r="M73" s="45"/>
    </row>
    <row r="74" spans="1:13" x14ac:dyDescent="0.25">
      <c r="H74" s="15"/>
      <c r="K74" s="45"/>
      <c r="L74" s="16">
        <f>SUM(L48:L73)/(COUNT(L48:L73)-6)</f>
        <v>212.83009659032845</v>
      </c>
      <c r="M74" s="45"/>
    </row>
    <row r="75" spans="1:13" x14ac:dyDescent="0.25">
      <c r="H75" s="15"/>
      <c r="K75" s="45"/>
      <c r="L75" s="17"/>
      <c r="M75" s="45"/>
    </row>
    <row r="76" spans="1:13" x14ac:dyDescent="0.25">
      <c r="I76" s="45"/>
      <c r="J76" s="45"/>
      <c r="L76" s="16"/>
    </row>
    <row r="77" spans="1:13" x14ac:dyDescent="0.25">
      <c r="I77" s="45"/>
      <c r="J77" s="45"/>
      <c r="L77" s="16"/>
    </row>
    <row r="78" spans="1:13" x14ac:dyDescent="0.25">
      <c r="I78" s="45"/>
      <c r="J78" s="45"/>
      <c r="L78" s="16"/>
    </row>
    <row r="79" spans="1:13" x14ac:dyDescent="0.25">
      <c r="I79" s="45"/>
      <c r="J79" s="45"/>
      <c r="L79" s="16"/>
    </row>
    <row r="80" spans="1:13" x14ac:dyDescent="0.25">
      <c r="I80" s="45"/>
      <c r="J80" s="45"/>
      <c r="L80" s="16"/>
    </row>
    <row r="81" spans="1:29" x14ac:dyDescent="0.25">
      <c r="I81" s="45"/>
      <c r="J81" s="45"/>
      <c r="L81" s="16"/>
    </row>
    <row r="82" spans="1:29" x14ac:dyDescent="0.25">
      <c r="I82" s="45"/>
      <c r="J82" s="45"/>
      <c r="L82" s="16"/>
    </row>
    <row r="83" spans="1:29" s="17" customFormat="1" x14ac:dyDescent="0.25">
      <c r="A83" s="16"/>
      <c r="B83" s="45"/>
      <c r="C83" s="16"/>
      <c r="D83" s="15"/>
      <c r="E83" s="15"/>
      <c r="F83" s="15"/>
      <c r="G83" s="15"/>
      <c r="H83" s="18"/>
      <c r="I83" s="45"/>
      <c r="J83" s="45"/>
      <c r="K83" s="19"/>
      <c r="L83" s="16"/>
      <c r="N83" s="45"/>
      <c r="O83" s="45"/>
      <c r="P83" s="45"/>
      <c r="Q83" s="45"/>
      <c r="R83" s="45"/>
      <c r="S83" s="45"/>
      <c r="T83" s="45"/>
      <c r="U83" s="45"/>
      <c r="V83" s="16"/>
      <c r="W83" s="45"/>
      <c r="X83" s="45"/>
      <c r="Y83" s="45"/>
      <c r="Z83" s="45"/>
      <c r="AA83" s="45"/>
      <c r="AB83" s="45"/>
      <c r="AC83" s="45"/>
    </row>
    <row r="84" spans="1:29" s="17" customFormat="1" x14ac:dyDescent="0.25">
      <c r="A84" s="16"/>
      <c r="B84" s="45"/>
      <c r="C84" s="16"/>
      <c r="D84" s="15"/>
      <c r="E84" s="15"/>
      <c r="F84" s="15"/>
      <c r="G84" s="15"/>
      <c r="H84" s="18"/>
      <c r="I84" s="45"/>
      <c r="J84" s="45"/>
      <c r="K84" s="19"/>
      <c r="L84" s="16"/>
      <c r="N84" s="45"/>
      <c r="O84" s="45"/>
      <c r="P84" s="45"/>
      <c r="Q84" s="45"/>
      <c r="R84" s="45"/>
      <c r="S84" s="45"/>
      <c r="T84" s="45"/>
      <c r="U84" s="45"/>
      <c r="V84" s="16"/>
      <c r="W84" s="45"/>
      <c r="X84" s="45"/>
      <c r="Y84" s="45"/>
      <c r="Z84" s="45"/>
      <c r="AA84" s="45"/>
      <c r="AB84" s="45"/>
      <c r="AC84" s="45"/>
    </row>
    <row r="85" spans="1:29" s="17" customFormat="1" x14ac:dyDescent="0.25">
      <c r="A85" s="16"/>
      <c r="B85" s="45"/>
      <c r="C85" s="16"/>
      <c r="D85" s="15"/>
      <c r="E85" s="15"/>
      <c r="F85" s="15"/>
      <c r="G85" s="15"/>
      <c r="H85" s="18"/>
      <c r="I85" s="45"/>
      <c r="J85" s="45"/>
      <c r="K85" s="19"/>
      <c r="L85" s="16"/>
      <c r="N85" s="45"/>
      <c r="O85" s="45"/>
      <c r="P85" s="45"/>
      <c r="Q85" s="45"/>
      <c r="R85" s="45"/>
      <c r="S85" s="45"/>
      <c r="T85" s="45"/>
      <c r="U85" s="45"/>
      <c r="V85" s="16"/>
      <c r="W85" s="45"/>
      <c r="X85" s="45"/>
      <c r="Y85" s="45"/>
      <c r="Z85" s="45"/>
      <c r="AA85" s="45"/>
      <c r="AB85" s="45"/>
      <c r="AC85" s="45"/>
    </row>
    <row r="86" spans="1:29" s="17" customFormat="1" x14ac:dyDescent="0.25">
      <c r="A86" s="16"/>
      <c r="B86" s="45"/>
      <c r="C86" s="16"/>
      <c r="D86" s="15"/>
      <c r="E86" s="15"/>
      <c r="F86" s="15"/>
      <c r="G86" s="15"/>
      <c r="H86" s="18"/>
      <c r="I86" s="45"/>
      <c r="J86" s="45"/>
      <c r="K86" s="19"/>
      <c r="L86" s="16"/>
      <c r="N86" s="45"/>
      <c r="O86" s="45"/>
      <c r="P86" s="45"/>
      <c r="Q86" s="45"/>
      <c r="R86" s="45"/>
      <c r="S86" s="45"/>
      <c r="T86" s="45"/>
      <c r="U86" s="45"/>
      <c r="V86" s="16"/>
      <c r="W86" s="45"/>
      <c r="X86" s="45"/>
      <c r="Y86" s="45"/>
      <c r="Z86" s="45"/>
      <c r="AA86" s="45"/>
      <c r="AB86" s="45"/>
      <c r="AC86" s="45"/>
    </row>
    <row r="87" spans="1:29" s="17" customFormat="1" x14ac:dyDescent="0.25">
      <c r="A87" s="16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16"/>
      <c r="W87" s="45"/>
      <c r="X87" s="45"/>
      <c r="Y87" s="45"/>
      <c r="Z87" s="45"/>
      <c r="AA87" s="45"/>
      <c r="AB87" s="45"/>
      <c r="AC87" s="45"/>
    </row>
    <row r="88" spans="1:29" s="17" customFormat="1" x14ac:dyDescent="0.25">
      <c r="A88" s="16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16"/>
      <c r="W88" s="45"/>
      <c r="X88" s="45"/>
      <c r="Y88" s="45"/>
      <c r="Z88" s="45"/>
      <c r="AA88" s="45"/>
      <c r="AB88" s="45"/>
      <c r="AC88" s="45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45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45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45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45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45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45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45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45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45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45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45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45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45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45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45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45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45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45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45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45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45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45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45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45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45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45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45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45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45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45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45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45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45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45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15"/>
      <c r="J123" s="1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45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15"/>
      <c r="J124" s="1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45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15"/>
      <c r="J125" s="1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45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15"/>
      <c r="J126" s="1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45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45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45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45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45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45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45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45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45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45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45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45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45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45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45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45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45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45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45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45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45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45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45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45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45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45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45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45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45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45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45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45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45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45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45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45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45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45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45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45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45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45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45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45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45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45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45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45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45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45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45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45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45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45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45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45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45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45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45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45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45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45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45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45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45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45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45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45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45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45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45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45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45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45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45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45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45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45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45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45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45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45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45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45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45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45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45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45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45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45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45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45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45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45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45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45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45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45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45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45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45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45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45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45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45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45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45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45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45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45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45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45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45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45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45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45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45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45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45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45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45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45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45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45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45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45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45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45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45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45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45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45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45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45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45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45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45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45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45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45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45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45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45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45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45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45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45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45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45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45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45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45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45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45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45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45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45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45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45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45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45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45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45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45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45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45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45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45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45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45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45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45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45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45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45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45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45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45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45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45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45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45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45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45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45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45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45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45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45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45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45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45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45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45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45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45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45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45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45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45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45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45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45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45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45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45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45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45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45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45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45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45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45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45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45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45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45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45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45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45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45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45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45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45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45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45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45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45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45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45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45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45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45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45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45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45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45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45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45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45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45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45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45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45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45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45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45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45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45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45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45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45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45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45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45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45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45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45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45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45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45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45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45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45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45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45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45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45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45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45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45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45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45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45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45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45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45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45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45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45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45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45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45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45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45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45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45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45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45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45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45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45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45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45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45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45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45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45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45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45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45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45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45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45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45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45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45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45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45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45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45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45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45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45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45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45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45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45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45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45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45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45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45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45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45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45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45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45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45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45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45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45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45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45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45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45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45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45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45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45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45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45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45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45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45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45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45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45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45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45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45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45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45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45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45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45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45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45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45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45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45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45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45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45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45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45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45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45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45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45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45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45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45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45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45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45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45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45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45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45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45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45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45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45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45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45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45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45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45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45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45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45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45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45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45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45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45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45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45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45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45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45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45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45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45"/>
      <c r="X530" s="45"/>
      <c r="Y530" s="45"/>
      <c r="Z530" s="45"/>
      <c r="AA530" s="45"/>
      <c r="AB530" s="45"/>
      <c r="AC530" s="45"/>
    </row>
    <row r="531" spans="1:29" x14ac:dyDescent="0.25">
      <c r="L531" s="16"/>
    </row>
    <row r="532" spans="1:29" x14ac:dyDescent="0.25">
      <c r="L532" s="16"/>
      <c r="N532" s="17"/>
      <c r="O532" s="38"/>
    </row>
    <row r="533" spans="1:29" x14ac:dyDescent="0.25">
      <c r="L533" s="16"/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C545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20.100000000000001" customHeight="1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745.76815456153804</v>
      </c>
      <c r="E2" s="55"/>
      <c r="F2" s="53" t="s">
        <v>620</v>
      </c>
      <c r="G2" s="53">
        <v>13677237035</v>
      </c>
      <c r="H2" s="62"/>
      <c r="K2" s="51" t="s">
        <v>1</v>
      </c>
      <c r="L2" s="60" t="s">
        <v>584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3.0447360253995299E+40</v>
      </c>
      <c r="E3" s="53"/>
      <c r="F3" s="53" t="s">
        <v>621</v>
      </c>
      <c r="G3" s="53">
        <f>H39/SolarMass</f>
        <v>47537855574.629021</v>
      </c>
      <c r="H3" s="62"/>
      <c r="K3" s="51" t="s">
        <v>562</v>
      </c>
      <c r="L3" s="57">
        <v>1.8779999999999999E-3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3841.64955179764</v>
      </c>
      <c r="E4" s="55"/>
      <c r="F4" s="53" t="s">
        <v>622</v>
      </c>
      <c r="G4" s="52">
        <f>G3/G2</f>
        <v>3.4756914319010352</v>
      </c>
      <c r="H4" s="62"/>
      <c r="K4" s="61" t="s">
        <v>614</v>
      </c>
      <c r="L4" s="52">
        <f>QEHModelChiSquare</f>
        <v>121.7575174256425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367.16513217278998</v>
      </c>
      <c r="F5" s="53"/>
      <c r="G5" s="52"/>
      <c r="H5" s="62"/>
      <c r="K5" s="61" t="s">
        <v>615</v>
      </c>
      <c r="L5" s="52">
        <f>LCDMModelChiSquare</f>
        <v>92.88821657938054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39" si="0">RadiusKpc*1000</f>
        <v>90</v>
      </c>
      <c r="C8" s="16">
        <f t="shared" ref="C8:C39" si="1">IF(QESBulgeEffectiveRadius=0,0,RadiusPc/QESBulgeEffectiveRadius)</f>
        <v>0.12068093743277895</v>
      </c>
      <c r="D8" s="15">
        <f t="shared" ref="D8:D39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1.6931434074404866E+39</v>
      </c>
      <c r="F8" s="15">
        <f t="shared" ref="F8:F39" si="3">2*PI()*QESDiskSurfaceDensity*QESDiskScaleLength*(QESDiskScaleLength-EXP(-RadiusPc/QESDiskScaleLength)*(RadiusPc+QESDiskScaleLength))*SolarMass</f>
        <v>1.8296862785334894E+37</v>
      </c>
      <c r="H8" s="18">
        <f t="shared" ref="H8:H39" si="4">BulgeMass+DiskMass+HaloMass</f>
        <v>1.7114402702258215E+39</v>
      </c>
      <c r="I8" s="16">
        <v>187.72</v>
      </c>
      <c r="J8" s="45">
        <v>1</v>
      </c>
      <c r="K8" s="19">
        <f t="shared" ref="K8:K39" si="5">SQRT(TotalMass*GravitationalConstant/RadiusKm+UniverseAcceleration*RadiusKm)/km</f>
        <v>203.05517047702097</v>
      </c>
      <c r="L8" s="16">
        <f t="shared" ref="L8:L39" si="6">(ObservedVelocity-ModelVelocity)^2/(VelocityError)^2</f>
        <v>235.16745355929547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0.25477086791364445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3.9158541554804542E+39</v>
      </c>
      <c r="F9" s="15">
        <f t="shared" si="3"/>
        <v>8.0146610925425305E+37</v>
      </c>
      <c r="H9" s="18">
        <f t="shared" si="4"/>
        <v>3.9960007664058796E+39</v>
      </c>
      <c r="I9" s="16">
        <v>214.37</v>
      </c>
      <c r="J9" s="45">
        <v>1</v>
      </c>
      <c r="K9" s="19">
        <f t="shared" si="5"/>
        <v>213.78369302365434</v>
      </c>
      <c r="L9" s="16">
        <f t="shared" si="6"/>
        <v>0.34375587051159956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0.4022697914425965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6.1442932557402951E+39</v>
      </c>
      <c r="F10" s="15">
        <f t="shared" si="3"/>
        <v>1.9605343756275227E+38</v>
      </c>
      <c r="H10" s="18">
        <f t="shared" si="4"/>
        <v>6.3403466933030471E+39</v>
      </c>
      <c r="I10" s="16">
        <v>218.31</v>
      </c>
      <c r="J10" s="45">
        <v>1</v>
      </c>
      <c r="K10" s="19">
        <f t="shared" si="5"/>
        <v>214.59221828268088</v>
      </c>
      <c r="L10" s="16">
        <f t="shared" si="6"/>
        <v>13.821900897632359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0.56317770801963518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8.2296192611960032E+39</v>
      </c>
      <c r="F11" s="15">
        <f t="shared" si="3"/>
        <v>3.7640699287107402E+38</v>
      </c>
      <c r="H11" s="18">
        <f t="shared" si="4"/>
        <v>8.6060262540670771E+39</v>
      </c>
      <c r="I11" s="16">
        <v>218.67</v>
      </c>
      <c r="J11" s="45">
        <v>1</v>
      </c>
      <c r="K11" s="19">
        <f t="shared" si="5"/>
        <v>211.64128446254028</v>
      </c>
      <c r="L11" s="16">
        <f t="shared" si="6"/>
        <v>49.402842106527451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0.75090361069284683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1.0323326023884263E+40</v>
      </c>
      <c r="F12" s="15">
        <f t="shared" si="3"/>
        <v>6.5327647616929264E+38</v>
      </c>
      <c r="H12" s="18">
        <f t="shared" si="4"/>
        <v>1.0976602500053554E+40</v>
      </c>
      <c r="I12" s="16">
        <v>217.42</v>
      </c>
      <c r="J12" s="45">
        <v>1</v>
      </c>
      <c r="K12" s="19">
        <f t="shared" si="5"/>
        <v>207.42643644392422</v>
      </c>
      <c r="L12" s="16">
        <f t="shared" si="6"/>
        <v>99.871312549325793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0.9386295133660586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1.2110709875412191E+40</v>
      </c>
      <c r="F13" s="15">
        <f t="shared" si="3"/>
        <v>9.9657861420531571E+38</v>
      </c>
      <c r="H13" s="18">
        <f t="shared" si="4"/>
        <v>1.3107288489617507E+40</v>
      </c>
      <c r="I13" s="16">
        <v>214.02</v>
      </c>
      <c r="J13" s="45">
        <v>1</v>
      </c>
      <c r="K13" s="19">
        <f t="shared" si="5"/>
        <v>203.19380180227807</v>
      </c>
      <c r="L13" s="16">
        <f t="shared" si="6"/>
        <v>117.2065674163577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1.1531734021354434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1.385423583744562E+40</v>
      </c>
      <c r="F14" s="15">
        <f t="shared" si="3"/>
        <v>1.4637286738151601E+39</v>
      </c>
      <c r="H14" s="18">
        <f t="shared" si="4"/>
        <v>1.5317964511260781E+40</v>
      </c>
      <c r="I14" s="16">
        <v>208.86</v>
      </c>
      <c r="J14" s="45">
        <v>1</v>
      </c>
      <c r="K14" s="19">
        <f t="shared" si="5"/>
        <v>198.72787743184131</v>
      </c>
      <c r="L14" s="16">
        <f t="shared" si="6"/>
        <v>102.65990773619099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1.3945352770010013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1.5521134283472883E+40</v>
      </c>
      <c r="F15" s="15">
        <f t="shared" si="3"/>
        <v>2.0761013984823589E+39</v>
      </c>
      <c r="H15" s="18">
        <f t="shared" si="4"/>
        <v>1.7597235681955241E+40</v>
      </c>
      <c r="I15" s="16">
        <v>203.68</v>
      </c>
      <c r="J15" s="45">
        <v>1</v>
      </c>
      <c r="K15" s="19">
        <f t="shared" si="5"/>
        <v>194.3393528268189</v>
      </c>
      <c r="L15" s="16">
        <f t="shared" si="6"/>
        <v>87.247689613856281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1.6493061449146458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1.7002346185243769E+40</v>
      </c>
      <c r="F16" s="15">
        <f t="shared" si="3"/>
        <v>2.8121073822401942E+39</v>
      </c>
      <c r="H16" s="18">
        <f t="shared" si="4"/>
        <v>1.9814453567483962E+40</v>
      </c>
      <c r="I16" s="16">
        <v>194.58</v>
      </c>
      <c r="J16" s="45">
        <v>1</v>
      </c>
      <c r="K16" s="19">
        <f t="shared" si="5"/>
        <v>190.33448462437357</v>
      </c>
      <c r="L16" s="16">
        <f t="shared" si="6"/>
        <v>18.024400804680507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1.94430399197255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1.8452804696787998E+40</v>
      </c>
      <c r="F17" s="15">
        <f t="shared" si="3"/>
        <v>3.7659105238824816E+39</v>
      </c>
      <c r="H17" s="18">
        <f t="shared" si="4"/>
        <v>2.2218715220670481E+40</v>
      </c>
      <c r="I17" s="16">
        <v>183.69</v>
      </c>
      <c r="J17" s="45">
        <v>1</v>
      </c>
      <c r="K17" s="19">
        <f t="shared" si="5"/>
        <v>186.47943537414756</v>
      </c>
      <c r="L17" s="16">
        <f t="shared" si="6"/>
        <v>7.7809497065457291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2.2527108320785407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1.9727402255856529E+40</v>
      </c>
      <c r="F18" s="15">
        <f t="shared" si="3"/>
        <v>4.8643213337195211E+39</v>
      </c>
      <c r="H18" s="18">
        <f t="shared" si="4"/>
        <v>2.4591723589576048E+40</v>
      </c>
      <c r="I18" s="16">
        <v>174.09</v>
      </c>
      <c r="J18" s="45">
        <v>1</v>
      </c>
      <c r="K18" s="19">
        <f t="shared" si="5"/>
        <v>183.16955545693921</v>
      </c>
      <c r="L18" s="16">
        <f t="shared" si="6"/>
        <v>82.43832729563448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2.601344651328791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2.0938546630312854E+40</v>
      </c>
      <c r="F19" s="15">
        <f t="shared" si="3"/>
        <v>6.2116146208505999E+39</v>
      </c>
      <c r="H19" s="18">
        <f t="shared" si="4"/>
        <v>2.7150161251163456E+40</v>
      </c>
      <c r="I19" s="16">
        <v>166.67</v>
      </c>
      <c r="J19" s="45">
        <v>1</v>
      </c>
      <c r="K19" s="19">
        <f t="shared" si="5"/>
        <v>180.14683368790259</v>
      </c>
      <c r="L19" s="16">
        <f t="shared" si="6"/>
        <v>181.62504625138635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2.9902054497233008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2.2061459999167821E+40</v>
      </c>
      <c r="F20" s="15">
        <f t="shared" si="3"/>
        <v>7.8230685197077982E+39</v>
      </c>
      <c r="G20" s="15"/>
      <c r="H20" s="18">
        <f t="shared" si="4"/>
        <v>2.988452851887562E+40</v>
      </c>
      <c r="I20" s="16">
        <v>162.72999999999999</v>
      </c>
      <c r="J20" s="45">
        <v>1</v>
      </c>
      <c r="K20" s="19">
        <f t="shared" si="5"/>
        <v>177.46793063633223</v>
      </c>
      <c r="L20" s="16">
        <f t="shared" si="6"/>
        <v>217.20659944134033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3.4058842342139841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2.3059455608283912E+40</v>
      </c>
      <c r="F21" s="15">
        <f t="shared" si="3"/>
        <v>9.6455550756342342E+39</v>
      </c>
      <c r="G21" s="15"/>
      <c r="H21" s="18">
        <f t="shared" si="4"/>
        <v>3.2705010683918148E+40</v>
      </c>
      <c r="I21" s="16">
        <v>162.94999999999999</v>
      </c>
      <c r="J21" s="45">
        <v>1</v>
      </c>
      <c r="K21" s="19">
        <f t="shared" si="5"/>
        <v>175.23652178926127</v>
      </c>
      <c r="L21" s="16">
        <f t="shared" si="6"/>
        <v>150.95861767799235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3.875198990897013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2.3991207588436541E+40</v>
      </c>
      <c r="F22" s="15">
        <f t="shared" si="3"/>
        <v>1.1795032325560156E+40</v>
      </c>
      <c r="G22" s="15"/>
      <c r="H22" s="18">
        <f t="shared" si="4"/>
        <v>3.5786239913996697E+40</v>
      </c>
      <c r="I22" s="16">
        <v>165.69</v>
      </c>
      <c r="J22" s="45">
        <v>1</v>
      </c>
      <c r="K22" s="19">
        <f t="shared" si="5"/>
        <v>173.30580274647355</v>
      </c>
      <c r="L22" s="16">
        <f t="shared" si="6"/>
        <v>58.00045147319404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4.3847407267243019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2.4824014263015948E+40</v>
      </c>
      <c r="F23" s="15">
        <f t="shared" si="3"/>
        <v>1.4202589724693979E+40</v>
      </c>
      <c r="G23" s="15"/>
      <c r="H23" s="18">
        <f t="shared" si="4"/>
        <v>3.9026603987709925E+40</v>
      </c>
      <c r="I23" s="16">
        <v>168.94</v>
      </c>
      <c r="J23" s="45">
        <v>1</v>
      </c>
      <c r="K23" s="19">
        <f t="shared" si="5"/>
        <v>171.73645762486873</v>
      </c>
      <c r="L23" s="16">
        <f t="shared" si="6"/>
        <v>7.8201752476864952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4.9479184347439373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2.5577985840955849E+40</v>
      </c>
      <c r="F24" s="15">
        <f t="shared" si="3"/>
        <v>1.6911874406978631E+40</v>
      </c>
      <c r="G24" s="15"/>
      <c r="H24" s="18">
        <f t="shared" si="4"/>
        <v>4.2489860247934481E+40</v>
      </c>
      <c r="I24" s="16">
        <v>171.99</v>
      </c>
      <c r="J24" s="45">
        <v>1</v>
      </c>
      <c r="K24" s="19">
        <f t="shared" si="5"/>
        <v>170.46363827510601</v>
      </c>
      <c r="L24" s="16">
        <f t="shared" si="6"/>
        <v>2.3297801152213937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5.5647321149559188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2.6211456863671891E+40</v>
      </c>
      <c r="F25" s="15">
        <f t="shared" si="3"/>
        <v>1.9892727767996604E+40</v>
      </c>
      <c r="G25" s="15"/>
      <c r="H25" s="18">
        <f t="shared" si="4"/>
        <v>4.6104184631668497E+40</v>
      </c>
      <c r="I25" s="16">
        <v>174.68</v>
      </c>
      <c r="J25" s="45">
        <v>1</v>
      </c>
      <c r="K25" s="19">
        <f t="shared" si="5"/>
        <v>169.4064752124109</v>
      </c>
      <c r="L25" s="16">
        <f t="shared" si="6"/>
        <v>27.810063685316774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6.2351817673602463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2.682518751262969E+40</v>
      </c>
      <c r="F26" s="15">
        <f t="shared" si="3"/>
        <v>2.3102514821302821E+40</v>
      </c>
      <c r="G26" s="15"/>
      <c r="H26" s="18">
        <f t="shared" si="4"/>
        <v>4.9927702333932506E+40</v>
      </c>
      <c r="I26" s="16">
        <v>176.11</v>
      </c>
      <c r="J26" s="45">
        <v>1</v>
      </c>
      <c r="K26" s="19">
        <f t="shared" si="5"/>
        <v>168.68879090811095</v>
      </c>
      <c r="L26" s="16">
        <f t="shared" si="6"/>
        <v>55.074344385536968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6.9860853780530929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2.7380759208473912E+40</v>
      </c>
      <c r="F27" s="15">
        <f t="shared" si="3"/>
        <v>2.6611539995090492E+40</v>
      </c>
      <c r="G27" s="15"/>
      <c r="H27" s="18">
        <f t="shared" si="4"/>
        <v>5.3992299203564404E+40</v>
      </c>
      <c r="I27" s="16">
        <v>175.67</v>
      </c>
      <c r="J27" s="45">
        <v>1</v>
      </c>
      <c r="K27" s="19">
        <f t="shared" si="5"/>
        <v>168.15838831653937</v>
      </c>
      <c r="L27" s="16">
        <f t="shared" si="6"/>
        <v>56.424310083102007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7.804033953986373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2.7839296058412243E+40</v>
      </c>
      <c r="F28" s="15">
        <f t="shared" si="3"/>
        <v>3.0283759125006135E+40</v>
      </c>
      <c r="G28" s="15"/>
      <c r="H28" s="18">
        <f t="shared" si="4"/>
        <v>5.8123055183418373E+40</v>
      </c>
      <c r="I28" s="16">
        <v>174.84</v>
      </c>
      <c r="J28" s="45">
        <v>1</v>
      </c>
      <c r="K28" s="19">
        <f t="shared" si="5"/>
        <v>167.77798633339881</v>
      </c>
      <c r="L28" s="16">
        <f t="shared" si="6"/>
        <v>49.872037027261968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8.7024364882081713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2.8249892973631344E+40</v>
      </c>
      <c r="F29" s="15">
        <f t="shared" si="3"/>
        <v>3.4094833575392477E+40</v>
      </c>
      <c r="G29" s="15"/>
      <c r="H29" s="18">
        <f t="shared" si="4"/>
        <v>6.2344726549023817E+40</v>
      </c>
      <c r="I29" s="16">
        <v>176.99</v>
      </c>
      <c r="J29" s="45">
        <v>1</v>
      </c>
      <c r="K29" s="19">
        <f t="shared" si="5"/>
        <v>167.57194026495634</v>
      </c>
      <c r="L29" s="16">
        <f t="shared" si="6"/>
        <v>88.699849172850847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9.6947019737665769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2.8611488068313327E+40</v>
      </c>
      <c r="F30" s="15">
        <f t="shared" si="3"/>
        <v>3.8000156226086892E+40</v>
      </c>
      <c r="G30" s="15"/>
      <c r="H30" s="18">
        <f t="shared" si="4"/>
        <v>6.6611644294400224E+40</v>
      </c>
      <c r="I30" s="16">
        <v>183.48</v>
      </c>
      <c r="J30" s="45">
        <v>1</v>
      </c>
      <c r="K30" s="19">
        <f t="shared" si="5"/>
        <v>167.51983507822351</v>
      </c>
      <c r="L30" s="16">
        <f t="shared" si="6"/>
        <v>254.72686433030449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10.794239403709675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2.8927102448961354E+40</v>
      </c>
      <c r="F31" s="15">
        <f t="shared" si="3"/>
        <v>4.1934804677269535E+40</v>
      </c>
      <c r="G31" s="15"/>
      <c r="H31" s="18">
        <f t="shared" si="4"/>
        <v>7.0861907126230889E+40</v>
      </c>
      <c r="I31" s="16">
        <v>188.93</v>
      </c>
      <c r="J31" s="45">
        <v>1</v>
      </c>
      <c r="K31" s="19">
        <f t="shared" si="5"/>
        <v>167.62364595433399</v>
      </c>
      <c r="L31" s="16">
        <f t="shared" si="6"/>
        <v>453.96072271926846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11.987639784989376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2.9196038261593122E+40</v>
      </c>
      <c r="F32" s="15">
        <f t="shared" si="3"/>
        <v>4.57366344341353E+40</v>
      </c>
      <c r="G32" s="15"/>
      <c r="H32" s="18">
        <f t="shared" si="4"/>
        <v>7.4932672695728422E+40</v>
      </c>
      <c r="I32" s="16">
        <v>187.73</v>
      </c>
      <c r="J32" s="45">
        <v>1</v>
      </c>
      <c r="K32" s="19">
        <f t="shared" si="5"/>
        <v>167.89451982808853</v>
      </c>
      <c r="L32" s="16">
        <f t="shared" si="6"/>
        <v>393.44627365029254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13.315130096749945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2.9421268172652882E+40</v>
      </c>
      <c r="F33" s="15">
        <f t="shared" si="3"/>
        <v>4.9415217092684838E+40</v>
      </c>
      <c r="G33" s="15"/>
      <c r="H33" s="18">
        <f t="shared" si="4"/>
        <v>7.8836485265337715E+40</v>
      </c>
      <c r="I33" s="16">
        <v>182.96</v>
      </c>
      <c r="J33" s="45">
        <v>1</v>
      </c>
      <c r="K33" s="19">
        <f t="shared" si="5"/>
        <v>168.36102920164538</v>
      </c>
      <c r="L33" s="16">
        <f t="shared" si="6"/>
        <v>213.12994837121116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14.763301345943292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2.9613648789096697E+40</v>
      </c>
      <c r="F34" s="15">
        <f t="shared" si="3"/>
        <v>5.2817932134141546E+40</v>
      </c>
      <c r="G34" s="15"/>
      <c r="H34" s="18">
        <f t="shared" si="4"/>
        <v>8.2431580923238243E+40</v>
      </c>
      <c r="I34" s="16">
        <v>181.14</v>
      </c>
      <c r="J34" s="45">
        <v>1</v>
      </c>
      <c r="K34" s="19">
        <f t="shared" si="5"/>
        <v>169.06360490861721</v>
      </c>
      <c r="L34" s="16">
        <f t="shared" si="6"/>
        <v>145.83931840317408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16.358971518665591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2.9744781737099298E+40</v>
      </c>
      <c r="F35" s="15">
        <f t="shared" si="3"/>
        <v>5.5912090555777478E+40</v>
      </c>
      <c r="G35" s="15"/>
      <c r="H35" s="18">
        <f t="shared" si="4"/>
        <v>8.5656872292876771E+40</v>
      </c>
      <c r="I35" s="16">
        <v>180.42</v>
      </c>
      <c r="J35" s="45">
        <v>1</v>
      </c>
      <c r="K35" s="19">
        <f t="shared" si="5"/>
        <v>170.04051968918318</v>
      </c>
      <c r="L35" s="16">
        <f t="shared" si="6"/>
        <v>107.73361152263367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18.11554960796493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2.987720605586565E+40</v>
      </c>
      <c r="F36" s="15">
        <f t="shared" si="3"/>
        <v>5.8638819919603132E+40</v>
      </c>
      <c r="G36" s="15"/>
      <c r="H36" s="18">
        <f t="shared" si="4"/>
        <v>8.8516025975468772E+40</v>
      </c>
      <c r="I36" s="16">
        <v>175.56</v>
      </c>
      <c r="J36" s="45">
        <v>1</v>
      </c>
      <c r="K36" s="19">
        <f t="shared" si="5"/>
        <v>171.38570075131315</v>
      </c>
      <c r="L36" s="16">
        <f t="shared" si="6"/>
        <v>17.424774217587601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20.046444606889395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3.0020854178383278E+40</v>
      </c>
      <c r="F37" s="15">
        <f t="shared" si="3"/>
        <v>6.0960200840864517E+40</v>
      </c>
      <c r="G37" s="15"/>
      <c r="H37" s="18">
        <f t="shared" si="4"/>
        <v>9.0981055019247804E+40</v>
      </c>
      <c r="I37" s="16">
        <v>169.23</v>
      </c>
      <c r="J37" s="45">
        <v>1</v>
      </c>
      <c r="K37" s="19">
        <f t="shared" si="5"/>
        <v>173.16186786750521</v>
      </c>
      <c r="L37" s="16">
        <f t="shared" si="6"/>
        <v>15.459584927520034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22.178474501535156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3.0093558622530792E+40</v>
      </c>
      <c r="F38" s="15">
        <f t="shared" si="3"/>
        <v>6.2873867345659165E+40</v>
      </c>
      <c r="G38" s="15"/>
      <c r="H38" s="18">
        <f t="shared" si="4"/>
        <v>9.2967425968189951E+40</v>
      </c>
      <c r="I38" s="16">
        <v>167.92</v>
      </c>
      <c r="J38" s="45">
        <v>1</v>
      </c>
      <c r="K38" s="19">
        <f t="shared" si="5"/>
        <v>175.4096539843994</v>
      </c>
      <c r="L38" s="16">
        <f t="shared" si="6"/>
        <v>56.094916806029964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24.525048284950302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3.0173579237158556E+40</v>
      </c>
      <c r="F39" s="15">
        <f t="shared" si="3"/>
        <v>6.4383969286336014E+40</v>
      </c>
      <c r="G39" s="15"/>
      <c r="H39" s="18">
        <f t="shared" si="4"/>
        <v>9.4557548523494575E+40</v>
      </c>
      <c r="I39" s="16">
        <v>171.77</v>
      </c>
      <c r="J39" s="45">
        <v>1</v>
      </c>
      <c r="K39" s="19">
        <f t="shared" si="5"/>
        <v>178.22043338486029</v>
      </c>
      <c r="L39" s="16">
        <f t="shared" si="6"/>
        <v>41.608090852519993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x14ac:dyDescent="0.25">
      <c r="I40" s="45"/>
      <c r="J40" s="45"/>
      <c r="L40" s="16">
        <f>SUM(L8:L39)/(COUNT(L8:L39)-4)</f>
        <v>121.7575174256425</v>
      </c>
    </row>
    <row r="41" spans="1:29" x14ac:dyDescent="0.25">
      <c r="I41" s="45"/>
      <c r="J41" s="45"/>
      <c r="L41" s="16"/>
    </row>
    <row r="42" spans="1:29" ht="21" x14ac:dyDescent="0.35">
      <c r="A42" s="48" t="s">
        <v>564</v>
      </c>
      <c r="I42" s="45"/>
      <c r="J42" s="45"/>
      <c r="L42" s="16"/>
    </row>
    <row r="43" spans="1:29" x14ac:dyDescent="0.25">
      <c r="A43" s="16" t="s">
        <v>30</v>
      </c>
      <c r="D43" s="16">
        <v>0.36</v>
      </c>
      <c r="E43" s="17">
        <f>$D$43*1000</f>
        <v>360</v>
      </c>
      <c r="F43" s="17"/>
      <c r="G43" s="17"/>
      <c r="H43" s="15"/>
      <c r="K43" s="15"/>
      <c r="L43" s="17"/>
      <c r="M43" s="45"/>
    </row>
    <row r="44" spans="1:29" x14ac:dyDescent="0.25">
      <c r="A44" s="16" t="s">
        <v>16</v>
      </c>
      <c r="D44" s="16">
        <v>0.69</v>
      </c>
      <c r="E44" s="15">
        <f>D44*10000000000*SolarMass</f>
        <v>1.3724789999999997E+40</v>
      </c>
      <c r="F44" s="43"/>
      <c r="G44" s="43"/>
      <c r="H44" s="15"/>
      <c r="K44" s="15"/>
      <c r="L44" s="17"/>
      <c r="M44" s="45"/>
    </row>
    <row r="45" spans="1:29" x14ac:dyDescent="0.25">
      <c r="A45" s="16" t="s">
        <v>569</v>
      </c>
      <c r="D45" s="16">
        <v>0.3</v>
      </c>
      <c r="E45" s="15">
        <f>D45*1000</f>
        <v>300</v>
      </c>
      <c r="H45" s="15"/>
      <c r="K45" s="15"/>
      <c r="L45" s="17"/>
      <c r="M45" s="45"/>
    </row>
    <row r="46" spans="1:29" x14ac:dyDescent="0.25">
      <c r="A46" s="16" t="s">
        <v>17</v>
      </c>
      <c r="D46" s="45">
        <v>0.3</v>
      </c>
      <c r="G46" s="16"/>
      <c r="H46" s="15"/>
      <c r="K46" s="15"/>
      <c r="L46" s="17"/>
      <c r="M46" s="45"/>
    </row>
    <row r="47" spans="1:29" x14ac:dyDescent="0.25">
      <c r="A47" s="16" t="s">
        <v>570</v>
      </c>
      <c r="D47" s="16">
        <v>9</v>
      </c>
      <c r="E47" s="17">
        <f>D47*1000</f>
        <v>9000</v>
      </c>
      <c r="H47" s="15"/>
      <c r="K47" s="15"/>
      <c r="L47" s="17"/>
      <c r="M47" s="45"/>
    </row>
    <row r="48" spans="1:29" x14ac:dyDescent="0.25">
      <c r="A48" s="16" t="s">
        <v>571</v>
      </c>
      <c r="D48" s="16">
        <v>5.6</v>
      </c>
      <c r="G48" s="9"/>
      <c r="H48" s="15"/>
      <c r="K48" s="15"/>
      <c r="L48" s="17"/>
      <c r="M48" s="45"/>
    </row>
    <row r="49" spans="1:29" x14ac:dyDescent="0.25">
      <c r="D49" s="12"/>
      <c r="H49" s="15"/>
      <c r="K49" s="15"/>
      <c r="L49" s="17"/>
      <c r="M49" s="45"/>
    </row>
    <row r="50" spans="1:29" x14ac:dyDescent="0.25">
      <c r="A50" s="16" t="s">
        <v>567</v>
      </c>
      <c r="D50" s="17">
        <f>(D46*10000000000)/(2*PI()*DiskScaleLengthPc^2)</f>
        <v>5305.164769729844</v>
      </c>
      <c r="H50" s="15"/>
      <c r="K50" s="15"/>
      <c r="L50" s="17"/>
      <c r="M50" s="45"/>
    </row>
    <row r="51" spans="1:29" x14ac:dyDescent="0.25">
      <c r="A51" s="16" t="s">
        <v>565</v>
      </c>
      <c r="D51" s="9">
        <f>(D48*10000000000)/(4*PI()*(LCDMHaloScaleLengthPc)^3*(LN(2)-1/2))</f>
        <v>3.1649165377662852E-2</v>
      </c>
      <c r="H51" s="15"/>
      <c r="K51" s="15"/>
      <c r="L51" s="17"/>
      <c r="M51" s="45"/>
    </row>
    <row r="52" spans="1:29" x14ac:dyDescent="0.25">
      <c r="H52" s="15"/>
      <c r="K52" s="15"/>
      <c r="L52" s="17"/>
      <c r="M52" s="45"/>
    </row>
    <row r="53" spans="1:29" ht="45" x14ac:dyDescent="0.25">
      <c r="A53" s="7" t="s">
        <v>20</v>
      </c>
      <c r="B53" s="3" t="s">
        <v>19</v>
      </c>
      <c r="C53" s="7" t="s">
        <v>27</v>
      </c>
      <c r="D53" s="4" t="s">
        <v>649</v>
      </c>
      <c r="E53" s="4" t="s">
        <v>21</v>
      </c>
      <c r="F53" s="4" t="s">
        <v>22</v>
      </c>
      <c r="G53" s="4" t="s">
        <v>28</v>
      </c>
      <c r="H53" s="4" t="s">
        <v>23</v>
      </c>
      <c r="I53" s="7" t="s">
        <v>645</v>
      </c>
      <c r="J53" s="7" t="s">
        <v>646</v>
      </c>
      <c r="K53" s="25" t="s">
        <v>647</v>
      </c>
      <c r="L53" s="3" t="s">
        <v>648</v>
      </c>
      <c r="M53" s="3"/>
      <c r="N53" s="3"/>
      <c r="O53" s="3"/>
      <c r="P53" s="3"/>
      <c r="Q53" s="3"/>
      <c r="R53" s="3"/>
      <c r="S53" s="3"/>
      <c r="T53" s="3"/>
      <c r="U53" s="3"/>
      <c r="V53" s="7"/>
      <c r="W53" s="7"/>
      <c r="X53" s="3"/>
      <c r="Y53" s="3"/>
      <c r="Z53" s="3"/>
      <c r="AA53" s="3"/>
      <c r="AB53" s="3"/>
      <c r="AC53" s="3"/>
    </row>
    <row r="54" spans="1:29" x14ac:dyDescent="0.25">
      <c r="A54" s="16">
        <v>0.09</v>
      </c>
      <c r="B54" s="45">
        <f>A54*1000</f>
        <v>90</v>
      </c>
      <c r="C54" s="16">
        <f>B54/LCDMBulgeEffectiveRadius</f>
        <v>0.25</v>
      </c>
      <c r="D54" s="15">
        <f>A54*kpc</f>
        <v>2.777109822E+18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1.7306411198399994E+39</v>
      </c>
      <c r="F54" s="15">
        <f t="shared" ref="F54:F85" si="7">2*PI()*LCDMDiskSurfaceDensity*LCDMScaleLength*(LCDMScaleLength-EXP(-RadiusPc/LCDMScaleLength)*(RadiusPc+LCDMScaleLength))*SolarMass</f>
        <v>2.2041006124378015E+38</v>
      </c>
      <c r="G54" s="15">
        <f t="shared" ref="G54:G85" si="8">4*PI()*LCDMHaloRepresentativeDensity*LCDMHaloScaleLengthPc^3*(LN(1+RadiusPc/LCDMHaloScaleLengthPc)-RadiusPc/(RadiusPc+LCDMHaloScaleLengthPc))*SolarMass</f>
        <v>2.8455227011058886E+37</v>
      </c>
      <c r="H54" s="15">
        <f t="shared" ref="H54:H85" si="9">BulgeMass+DiskMass+HaloMass</f>
        <v>1.9795064080948387E+39</v>
      </c>
      <c r="I54" s="16">
        <v>187.72</v>
      </c>
      <c r="J54" s="45">
        <v>1</v>
      </c>
      <c r="K54" s="19">
        <f t="shared" ref="K54:K85" si="10">SQRT(TotalMass*GravitationalConstant/RadiusKm)/km</f>
        <v>218.11103209159762</v>
      </c>
      <c r="L54" s="16">
        <f t="shared" ref="L54:L85" si="11">(ObservedVelocity-ModelVelocity)^2/(VelocityError)^2</f>
        <v>923.61483159251657</v>
      </c>
      <c r="M54" s="45"/>
    </row>
    <row r="55" spans="1:29" x14ac:dyDescent="0.25">
      <c r="A55" s="16">
        <v>0.19</v>
      </c>
      <c r="B55" s="45">
        <f t="shared" ref="B55:B85" si="12">A55*1000</f>
        <v>190</v>
      </c>
      <c r="C55" s="16">
        <f t="shared" ref="C55:C85" si="13">B55/LCDMBulgeEffectiveRadius</f>
        <v>0.52777777777777779</v>
      </c>
      <c r="D55" s="15">
        <f t="shared" ref="D55:D85" si="14">A55*kpc</f>
        <v>5.862787402E+18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3.5142629790333327E+39</v>
      </c>
      <c r="F55" s="15">
        <f t="shared" si="7"/>
        <v>7.9362045134678027E+38</v>
      </c>
      <c r="G55" s="15">
        <f t="shared" si="8"/>
        <v>1.249800193624138E+38</v>
      </c>
      <c r="H55" s="15">
        <f t="shared" si="9"/>
        <v>4.4328634497425265E+39</v>
      </c>
      <c r="I55" s="16">
        <v>214.37</v>
      </c>
      <c r="J55" s="45">
        <v>1</v>
      </c>
      <c r="K55" s="19">
        <f t="shared" si="10"/>
        <v>224.63933654578526</v>
      </c>
      <c r="L55" s="16">
        <f t="shared" si="11"/>
        <v>105.45927309060055</v>
      </c>
      <c r="M55" s="45"/>
    </row>
    <row r="56" spans="1:29" x14ac:dyDescent="0.25">
      <c r="A56" s="16">
        <v>0.3</v>
      </c>
      <c r="B56" s="45">
        <f t="shared" si="12"/>
        <v>300</v>
      </c>
      <c r="C56" s="16">
        <f t="shared" si="13"/>
        <v>0.83333333333333337</v>
      </c>
      <c r="D56" s="15">
        <f t="shared" si="14"/>
        <v>9.25703274E+18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5.0229071455999979E+39</v>
      </c>
      <c r="F56" s="15">
        <f t="shared" si="7"/>
        <v>1.5768060213953037E+39</v>
      </c>
      <c r="G56" s="15">
        <f t="shared" si="8"/>
        <v>3.0666947830307703E+38</v>
      </c>
      <c r="H56" s="15">
        <f t="shared" si="9"/>
        <v>6.9063826452983792E+39</v>
      </c>
      <c r="I56" s="16">
        <v>218.31</v>
      </c>
      <c r="J56" s="45">
        <v>1</v>
      </c>
      <c r="K56" s="19">
        <f t="shared" si="10"/>
        <v>223.14395306597157</v>
      </c>
      <c r="L56" s="16">
        <f t="shared" si="11"/>
        <v>23.367102244015946</v>
      </c>
      <c r="M56" s="45"/>
    </row>
    <row r="57" spans="1:29" x14ac:dyDescent="0.25">
      <c r="A57" s="16">
        <v>0.42</v>
      </c>
      <c r="B57" s="45">
        <f t="shared" si="12"/>
        <v>420</v>
      </c>
      <c r="C57" s="16">
        <f t="shared" si="13"/>
        <v>1.1666666666666667</v>
      </c>
      <c r="D57" s="15">
        <f t="shared" si="14"/>
        <v>1.2959845836E+19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6.2907574964999978E+39</v>
      </c>
      <c r="F57" s="15">
        <f t="shared" si="7"/>
        <v>2.4356566489710033E+39</v>
      </c>
      <c r="G57" s="15">
        <f t="shared" si="8"/>
        <v>5.9085158378472824E+38</v>
      </c>
      <c r="H57" s="15">
        <f t="shared" si="9"/>
        <v>9.317265729255729E+39</v>
      </c>
      <c r="I57" s="16">
        <v>218.67</v>
      </c>
      <c r="J57" s="45">
        <v>1</v>
      </c>
      <c r="K57" s="19">
        <f t="shared" si="10"/>
        <v>219.0483707132596</v>
      </c>
      <c r="L57" s="16">
        <f t="shared" si="11"/>
        <v>0.14316439665258862</v>
      </c>
      <c r="M57" s="45"/>
    </row>
    <row r="58" spans="1:29" x14ac:dyDescent="0.25">
      <c r="A58" s="16">
        <v>0.56000000000000005</v>
      </c>
      <c r="B58" s="45">
        <f t="shared" si="12"/>
        <v>560</v>
      </c>
      <c r="C58" s="16">
        <f t="shared" si="13"/>
        <v>1.5555555555555556</v>
      </c>
      <c r="D58" s="15">
        <f t="shared" si="14"/>
        <v>1.7279794448000002E+19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7.4304335585666648E+39</v>
      </c>
      <c r="F58" s="15">
        <f t="shared" si="7"/>
        <v>3.3220176406716636E+39</v>
      </c>
      <c r="G58" s="15">
        <f t="shared" si="8"/>
        <v>1.0298534761557339E+39</v>
      </c>
      <c r="H58" s="15">
        <f t="shared" si="9"/>
        <v>1.1782304675394062E+40</v>
      </c>
      <c r="I58" s="16">
        <v>217.42</v>
      </c>
      <c r="J58" s="45">
        <v>1</v>
      </c>
      <c r="K58" s="19">
        <f t="shared" si="10"/>
        <v>213.3248959431061</v>
      </c>
      <c r="L58" s="16">
        <f t="shared" si="11"/>
        <v>16.76987723678878</v>
      </c>
      <c r="M58" s="45"/>
    </row>
    <row r="59" spans="1:29" x14ac:dyDescent="0.25">
      <c r="A59" s="16">
        <v>0.7</v>
      </c>
      <c r="B59" s="45">
        <f t="shared" si="12"/>
        <v>700</v>
      </c>
      <c r="C59" s="16">
        <f t="shared" si="13"/>
        <v>1.9444444444444444</v>
      </c>
      <c r="D59" s="15">
        <f t="shared" si="14"/>
        <v>2.1599743059999998E+19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8.3182749738999972E+39</v>
      </c>
      <c r="F59" s="15">
        <f t="shared" si="7"/>
        <v>4.038430587209118E+39</v>
      </c>
      <c r="G59" s="15">
        <f t="shared" si="8"/>
        <v>1.578081614904404E+39</v>
      </c>
      <c r="H59" s="15">
        <f t="shared" si="9"/>
        <v>1.393478717601352E+40</v>
      </c>
      <c r="I59" s="16">
        <v>214.02</v>
      </c>
      <c r="J59" s="45">
        <v>1</v>
      </c>
      <c r="K59" s="19">
        <f t="shared" si="10"/>
        <v>207.50166297940069</v>
      </c>
      <c r="L59" s="16">
        <f t="shared" si="11"/>
        <v>42.488717514115599</v>
      </c>
      <c r="M59" s="45"/>
    </row>
    <row r="60" spans="1:29" x14ac:dyDescent="0.25">
      <c r="A60" s="16">
        <v>0.86</v>
      </c>
      <c r="B60" s="45">
        <f t="shared" si="12"/>
        <v>860</v>
      </c>
      <c r="C60" s="16">
        <f t="shared" si="13"/>
        <v>2.3888888888888888</v>
      </c>
      <c r="D60" s="15">
        <f t="shared" si="14"/>
        <v>2.6536827187999998E+19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9.1178659895333315E+39</v>
      </c>
      <c r="F60" s="15">
        <f t="shared" si="7"/>
        <v>4.6546858192269253E+39</v>
      </c>
      <c r="G60" s="15">
        <f t="shared" si="8"/>
        <v>2.3301879202109377E+39</v>
      </c>
      <c r="H60" s="15">
        <f t="shared" si="9"/>
        <v>1.6102739728971195E+40</v>
      </c>
      <c r="I60" s="16">
        <v>208.86</v>
      </c>
      <c r="J60" s="45">
        <v>1</v>
      </c>
      <c r="K60" s="19">
        <f t="shared" si="10"/>
        <v>201.24314353051631</v>
      </c>
      <c r="L60" s="16">
        <f t="shared" si="11"/>
        <v>58.016502476715807</v>
      </c>
      <c r="M60" s="45"/>
    </row>
    <row r="61" spans="1:29" x14ac:dyDescent="0.25">
      <c r="A61" s="16">
        <v>1.04</v>
      </c>
      <c r="B61" s="45">
        <f t="shared" si="12"/>
        <v>1040</v>
      </c>
      <c r="C61" s="16">
        <f t="shared" si="13"/>
        <v>2.8888888888888888</v>
      </c>
      <c r="D61" s="15">
        <f t="shared" si="14"/>
        <v>3.2091046832E+19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9.8215207230666647E+39</v>
      </c>
      <c r="F61" s="15">
        <f t="shared" si="7"/>
        <v>5.1351392807001808E+39</v>
      </c>
      <c r="G61" s="15">
        <f t="shared" si="8"/>
        <v>3.3258078384730797E+39</v>
      </c>
      <c r="H61" s="15">
        <f t="shared" si="9"/>
        <v>1.8282467842239926E+40</v>
      </c>
      <c r="I61" s="16">
        <v>203.68</v>
      </c>
      <c r="J61" s="45">
        <v>1</v>
      </c>
      <c r="K61" s="19">
        <f t="shared" si="10"/>
        <v>194.99396531179462</v>
      </c>
      <c r="L61" s="16">
        <f t="shared" si="11"/>
        <v>75.447198604707168</v>
      </c>
      <c r="M61" s="45"/>
    </row>
    <row r="62" spans="1:29" x14ac:dyDescent="0.25">
      <c r="A62" s="16">
        <v>1.23</v>
      </c>
      <c r="B62" s="45">
        <f t="shared" si="12"/>
        <v>1230</v>
      </c>
      <c r="C62" s="16">
        <f t="shared" si="13"/>
        <v>3.4166666666666665</v>
      </c>
      <c r="D62" s="15">
        <f t="shared" si="14"/>
        <v>3.7953834233999999E+19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1.0404969170849996E+40</v>
      </c>
      <c r="F62" s="15">
        <f t="shared" si="7"/>
        <v>5.462939957782856E+39</v>
      </c>
      <c r="G62" s="15">
        <f t="shared" si="8"/>
        <v>4.5360413371694677E+39</v>
      </c>
      <c r="H62" s="15">
        <f t="shared" si="9"/>
        <v>2.0403950465802318E+40</v>
      </c>
      <c r="I62" s="16">
        <v>194.58</v>
      </c>
      <c r="J62" s="45">
        <v>1</v>
      </c>
      <c r="K62" s="19">
        <f t="shared" si="10"/>
        <v>189.41963965406728</v>
      </c>
      <c r="L62" s="16">
        <f t="shared" si="11"/>
        <v>26.629318899874967</v>
      </c>
      <c r="M62" s="45"/>
    </row>
    <row r="63" spans="1:29" x14ac:dyDescent="0.25">
      <c r="A63" s="16">
        <v>1.45</v>
      </c>
      <c r="B63" s="45">
        <f t="shared" si="12"/>
        <v>1450</v>
      </c>
      <c r="C63" s="16">
        <f t="shared" si="13"/>
        <v>4.0277777777777777</v>
      </c>
      <c r="D63" s="15">
        <f t="shared" si="14"/>
        <v>4.4742324909999997E+19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1.0934761314616666E+40</v>
      </c>
      <c r="F63" s="15">
        <f t="shared" si="7"/>
        <v>5.6902203245844134E+39</v>
      </c>
      <c r="G63" s="15">
        <f t="shared" si="8"/>
        <v>6.1254621763972557E+39</v>
      </c>
      <c r="H63" s="15">
        <f t="shared" si="9"/>
        <v>2.2750443815598336E+40</v>
      </c>
      <c r="I63" s="16">
        <v>183.69</v>
      </c>
      <c r="J63" s="45">
        <v>1</v>
      </c>
      <c r="K63" s="19">
        <f t="shared" si="10"/>
        <v>184.21770480739383</v>
      </c>
      <c r="L63" s="16">
        <f t="shared" si="11"/>
        <v>0.27847236374656104</v>
      </c>
      <c r="M63" s="45"/>
    </row>
    <row r="64" spans="1:29" x14ac:dyDescent="0.25">
      <c r="A64" s="16">
        <v>1.68</v>
      </c>
      <c r="B64" s="45">
        <f t="shared" si="12"/>
        <v>1680</v>
      </c>
      <c r="C64" s="16">
        <f t="shared" si="13"/>
        <v>4.666666666666667</v>
      </c>
      <c r="D64" s="15">
        <f t="shared" si="14"/>
        <v>5.1839383344E+19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1.1368655300699996E+40</v>
      </c>
      <c r="F64" s="15">
        <f t="shared" si="7"/>
        <v>5.821662669774566E+39</v>
      </c>
      <c r="G64" s="15">
        <f t="shared" si="8"/>
        <v>7.9844616075590995E+39</v>
      </c>
      <c r="H64" s="15">
        <f t="shared" si="9"/>
        <v>2.5174779578033662E+40</v>
      </c>
      <c r="I64" s="16">
        <v>174.09</v>
      </c>
      <c r="J64" s="45">
        <v>1</v>
      </c>
      <c r="K64" s="19">
        <f t="shared" si="10"/>
        <v>180.03155349302904</v>
      </c>
      <c r="L64" s="16">
        <f t="shared" si="11"/>
        <v>35.302057910525505</v>
      </c>
      <c r="M64" s="45"/>
    </row>
    <row r="65" spans="1:13" x14ac:dyDescent="0.25">
      <c r="A65" s="16">
        <v>1.94</v>
      </c>
      <c r="B65" s="45">
        <f t="shared" si="12"/>
        <v>1940</v>
      </c>
      <c r="C65" s="16">
        <f t="shared" si="13"/>
        <v>5.3888888888888893</v>
      </c>
      <c r="D65" s="15">
        <f t="shared" si="14"/>
        <v>5.9862145052000002E+19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1.1735290190899999E+40</v>
      </c>
      <c r="F65" s="15">
        <f t="shared" si="7"/>
        <v>5.8980424720301318E+39</v>
      </c>
      <c r="G65" s="15">
        <f t="shared" si="8"/>
        <v>1.030596574658223E+40</v>
      </c>
      <c r="H65" s="15">
        <f t="shared" si="9"/>
        <v>2.7939298409512358E+40</v>
      </c>
      <c r="I65" s="16">
        <v>166.67</v>
      </c>
      <c r="J65" s="45">
        <v>1</v>
      </c>
      <c r="K65" s="19">
        <f t="shared" si="10"/>
        <v>176.49293069355889</v>
      </c>
      <c r="L65" s="16">
        <f t="shared" si="11"/>
        <v>96.489967410461574</v>
      </c>
      <c r="M65" s="45"/>
    </row>
    <row r="66" spans="1:13" x14ac:dyDescent="0.25">
      <c r="A66" s="16">
        <v>2.23</v>
      </c>
      <c r="B66" s="45">
        <f t="shared" si="12"/>
        <v>2230</v>
      </c>
      <c r="C66" s="16">
        <f t="shared" si="13"/>
        <v>6.1944444444444446</v>
      </c>
      <c r="D66" s="15">
        <f t="shared" si="14"/>
        <v>6.8810610034000003E+19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1.2078432815549995E+40</v>
      </c>
      <c r="F66" s="15">
        <f t="shared" si="7"/>
        <v>5.937547635241563E+39</v>
      </c>
      <c r="G66" s="15">
        <f t="shared" si="8"/>
        <v>1.3142576720628729E+40</v>
      </c>
      <c r="H66" s="15">
        <f t="shared" si="9"/>
        <v>3.1158557171420289E+40</v>
      </c>
      <c r="I66" s="16">
        <v>162.72999999999999</v>
      </c>
      <c r="J66" s="45">
        <v>1</v>
      </c>
      <c r="K66" s="19">
        <f t="shared" si="10"/>
        <v>173.84278446562178</v>
      </c>
      <c r="L66" s="16">
        <f t="shared" si="11"/>
        <v>123.49397857936488</v>
      </c>
      <c r="M66" s="45"/>
    </row>
    <row r="67" spans="1:13" x14ac:dyDescent="0.25">
      <c r="A67" s="16">
        <v>2.54</v>
      </c>
      <c r="B67" s="45">
        <f t="shared" si="12"/>
        <v>2540</v>
      </c>
      <c r="C67" s="16">
        <f t="shared" si="13"/>
        <v>7.0555555555555554</v>
      </c>
      <c r="D67" s="15">
        <f t="shared" si="14"/>
        <v>7.8376210532000006E+19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1.2361056741183331E+40</v>
      </c>
      <c r="F67" s="15">
        <f t="shared" si="7"/>
        <v>5.9554163912741247E+39</v>
      </c>
      <c r="G67" s="15">
        <f t="shared" si="8"/>
        <v>1.6430824416578126E+40</v>
      </c>
      <c r="H67" s="15">
        <f t="shared" si="9"/>
        <v>3.474729754903558E+40</v>
      </c>
      <c r="I67" s="16">
        <v>162.94999999999999</v>
      </c>
      <c r="J67" s="45">
        <v>1</v>
      </c>
      <c r="K67" s="19">
        <f t="shared" si="10"/>
        <v>172.01411677550394</v>
      </c>
      <c r="L67" s="16">
        <f t="shared" si="11"/>
        <v>82.158212919972087</v>
      </c>
      <c r="M67" s="45"/>
    </row>
    <row r="68" spans="1:13" x14ac:dyDescent="0.25">
      <c r="A68" s="16">
        <v>2.89</v>
      </c>
      <c r="B68" s="45">
        <f t="shared" si="12"/>
        <v>2890</v>
      </c>
      <c r="C68" s="16">
        <f t="shared" si="13"/>
        <v>8.0277777777777786</v>
      </c>
      <c r="D68" s="15">
        <f t="shared" si="14"/>
        <v>8.9176082061999997E+19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1.2603768215008332E+40</v>
      </c>
      <c r="F68" s="15">
        <f t="shared" si="7"/>
        <v>5.9631433468028028E+39</v>
      </c>
      <c r="G68" s="15">
        <f t="shared" si="8"/>
        <v>2.0422246053534483E+40</v>
      </c>
      <c r="H68" s="15">
        <f t="shared" si="9"/>
        <v>3.8989157615345618E+40</v>
      </c>
      <c r="I68" s="16">
        <v>165.69</v>
      </c>
      <c r="J68" s="45">
        <v>1</v>
      </c>
      <c r="K68" s="19">
        <f t="shared" si="10"/>
        <v>170.82185599626661</v>
      </c>
      <c r="L68" s="16">
        <f t="shared" si="11"/>
        <v>26.335945966417547</v>
      </c>
      <c r="M68" s="45"/>
    </row>
    <row r="69" spans="1:13" x14ac:dyDescent="0.25">
      <c r="A69" s="16">
        <v>3.27</v>
      </c>
      <c r="B69" s="45">
        <f t="shared" si="12"/>
        <v>3270</v>
      </c>
      <c r="C69" s="16">
        <f t="shared" si="13"/>
        <v>9.0833333333333339</v>
      </c>
      <c r="D69" s="15">
        <f t="shared" si="14"/>
        <v>1.0090165686599999E+20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1.2804428457249997E+40</v>
      </c>
      <c r="F69" s="15">
        <f t="shared" si="7"/>
        <v>5.9659892647452958E+39</v>
      </c>
      <c r="G69" s="15">
        <f t="shared" si="8"/>
        <v>2.5045876793236978E+40</v>
      </c>
      <c r="H69" s="15">
        <f t="shared" si="9"/>
        <v>4.381629451523227E+40</v>
      </c>
      <c r="I69" s="16">
        <v>168.94</v>
      </c>
      <c r="J69" s="45">
        <v>1</v>
      </c>
      <c r="K69" s="19">
        <f t="shared" si="10"/>
        <v>170.24108509109325</v>
      </c>
      <c r="L69" s="16">
        <f t="shared" si="11"/>
        <v>1.6928224142651465</v>
      </c>
      <c r="M69" s="45"/>
    </row>
    <row r="70" spans="1:13" x14ac:dyDescent="0.25">
      <c r="A70" s="16">
        <v>3.69</v>
      </c>
      <c r="B70" s="45">
        <f t="shared" si="12"/>
        <v>3690</v>
      </c>
      <c r="C70" s="16">
        <f t="shared" si="13"/>
        <v>10.25</v>
      </c>
      <c r="D70" s="15">
        <f t="shared" si="14"/>
        <v>1.13861502702E+20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1.2973769491199997E+40</v>
      </c>
      <c r="F70" s="15">
        <f t="shared" si="7"/>
        <v>5.9669387503910279E+39</v>
      </c>
      <c r="G70" s="15">
        <f t="shared" si="8"/>
        <v>3.0455717920044757E+40</v>
      </c>
      <c r="H70" s="15">
        <f t="shared" si="9"/>
        <v>4.9396426161635782E+40</v>
      </c>
      <c r="I70" s="16">
        <v>171.99</v>
      </c>
      <c r="J70" s="45">
        <v>1</v>
      </c>
      <c r="K70" s="19">
        <f t="shared" si="10"/>
        <v>170.15903457399511</v>
      </c>
      <c r="L70" s="16">
        <f t="shared" si="11"/>
        <v>3.3524343912252843</v>
      </c>
      <c r="M70" s="45"/>
    </row>
    <row r="71" spans="1:13" x14ac:dyDescent="0.25">
      <c r="A71" s="16">
        <v>4.1500000000000004</v>
      </c>
      <c r="B71" s="45">
        <f t="shared" si="12"/>
        <v>4150</v>
      </c>
      <c r="C71" s="16">
        <f t="shared" si="13"/>
        <v>11.527777777777779</v>
      </c>
      <c r="D71" s="15">
        <f t="shared" si="14"/>
        <v>1.2805561957E+20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1.3115855379674998E+40</v>
      </c>
      <c r="F71" s="15">
        <f t="shared" si="7"/>
        <v>5.9672130486567727E+39</v>
      </c>
      <c r="G71" s="15">
        <f t="shared" si="8"/>
        <v>3.668316804361171E+40</v>
      </c>
      <c r="H71" s="15">
        <f t="shared" si="9"/>
        <v>5.5766236471943479E+40</v>
      </c>
      <c r="I71" s="16">
        <v>174.68</v>
      </c>
      <c r="J71" s="45">
        <v>1</v>
      </c>
      <c r="K71" s="19">
        <f t="shared" si="10"/>
        <v>170.4833816015788</v>
      </c>
      <c r="L71" s="16">
        <f t="shared" si="11"/>
        <v>17.611605981967386</v>
      </c>
      <c r="M71" s="45"/>
    </row>
    <row r="72" spans="1:13" x14ac:dyDescent="0.25">
      <c r="A72" s="16">
        <v>4.6500000000000004</v>
      </c>
      <c r="B72" s="45">
        <f t="shared" si="12"/>
        <v>4650</v>
      </c>
      <c r="C72" s="16">
        <f t="shared" si="13"/>
        <v>12.916666666666666</v>
      </c>
      <c r="D72" s="15">
        <f t="shared" si="14"/>
        <v>1.4348400747000001E+20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1.3234906495599997E+40</v>
      </c>
      <c r="F72" s="15">
        <f t="shared" si="7"/>
        <v>5.9672817317331503E+39</v>
      </c>
      <c r="G72" s="15">
        <f t="shared" si="8"/>
        <v>4.3746563228161228E+40</v>
      </c>
      <c r="H72" s="15">
        <f t="shared" si="9"/>
        <v>6.2948751455494373E+40</v>
      </c>
      <c r="I72" s="16">
        <v>176.11</v>
      </c>
      <c r="J72" s="45">
        <v>1</v>
      </c>
      <c r="K72" s="19">
        <f t="shared" si="10"/>
        <v>171.11477690681639</v>
      </c>
      <c r="L72" s="16">
        <f t="shared" si="11"/>
        <v>24.952253750674988</v>
      </c>
      <c r="M72" s="45"/>
    </row>
    <row r="73" spans="1:13" x14ac:dyDescent="0.25">
      <c r="A73" s="16">
        <v>5.21</v>
      </c>
      <c r="B73" s="45">
        <f t="shared" si="12"/>
        <v>5210</v>
      </c>
      <c r="C73" s="16">
        <f t="shared" si="13"/>
        <v>14.472222222222221</v>
      </c>
      <c r="D73" s="15">
        <f t="shared" si="14"/>
        <v>1.6076380191800001E+20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1.3333076868516664E+40</v>
      </c>
      <c r="F73" s="15">
        <f t="shared" si="7"/>
        <v>5.9672968554340037E+39</v>
      </c>
      <c r="G73" s="15">
        <f t="shared" si="8"/>
        <v>5.1948828402868626E+40</v>
      </c>
      <c r="H73" s="15">
        <f t="shared" si="9"/>
        <v>7.1249202126819292E+40</v>
      </c>
      <c r="I73" s="16">
        <v>175.67</v>
      </c>
      <c r="J73" s="45">
        <v>1</v>
      </c>
      <c r="K73" s="19">
        <f t="shared" si="10"/>
        <v>171.9853967306959</v>
      </c>
      <c r="L73" s="16">
        <f t="shared" si="11"/>
        <v>13.576301252166397</v>
      </c>
      <c r="M73" s="45"/>
    </row>
    <row r="74" spans="1:13" x14ac:dyDescent="0.25">
      <c r="A74" s="16">
        <v>5.82</v>
      </c>
      <c r="B74" s="45">
        <f t="shared" si="12"/>
        <v>5820</v>
      </c>
      <c r="C74" s="16">
        <f t="shared" si="13"/>
        <v>16.166666666666668</v>
      </c>
      <c r="D74" s="15">
        <f t="shared" si="14"/>
        <v>1.7958643515600001E+20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1.3401552895779997E+40</v>
      </c>
      <c r="F74" s="15">
        <f t="shared" si="7"/>
        <v>5.9672995428117169E+39</v>
      </c>
      <c r="G74" s="15">
        <f t="shared" si="8"/>
        <v>6.1154441628517625E+40</v>
      </c>
      <c r="H74" s="15">
        <f t="shared" si="9"/>
        <v>8.0523294067109336E+40</v>
      </c>
      <c r="I74" s="16">
        <v>174.84</v>
      </c>
      <c r="J74" s="45">
        <v>1</v>
      </c>
      <c r="K74" s="19">
        <f t="shared" si="10"/>
        <v>172.98948494538683</v>
      </c>
      <c r="L74" s="16">
        <f t="shared" si="11"/>
        <v>3.4244059673499789</v>
      </c>
      <c r="M74" s="45"/>
    </row>
    <row r="75" spans="1:13" x14ac:dyDescent="0.25">
      <c r="A75" s="16">
        <v>6.49</v>
      </c>
      <c r="B75" s="45">
        <f t="shared" si="12"/>
        <v>6490</v>
      </c>
      <c r="C75" s="16">
        <f t="shared" si="13"/>
        <v>18.027777777777779</v>
      </c>
      <c r="D75" s="15">
        <f t="shared" si="14"/>
        <v>2.0026047494200001E+20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1.3464798253076664E+40</v>
      </c>
      <c r="F75" s="15">
        <f t="shared" si="7"/>
        <v>5.9672999456387899E+39</v>
      </c>
      <c r="G75" s="15">
        <f t="shared" si="8"/>
        <v>7.150612548152506E+40</v>
      </c>
      <c r="H75" s="15">
        <f t="shared" si="9"/>
        <v>9.093822368024052E+40</v>
      </c>
      <c r="I75" s="16">
        <v>176.99</v>
      </c>
      <c r="J75" s="45">
        <v>1</v>
      </c>
      <c r="K75" s="19">
        <f t="shared" si="10"/>
        <v>174.08899434877551</v>
      </c>
      <c r="L75" s="16">
        <f t="shared" si="11"/>
        <v>8.4158337884364531</v>
      </c>
      <c r="M75" s="45"/>
    </row>
    <row r="76" spans="1:13" x14ac:dyDescent="0.25">
      <c r="A76" s="16">
        <v>7.23</v>
      </c>
      <c r="B76" s="45">
        <f t="shared" si="12"/>
        <v>7230</v>
      </c>
      <c r="C76" s="16">
        <f t="shared" si="13"/>
        <v>20.083333333333332</v>
      </c>
      <c r="D76" s="15">
        <f t="shared" si="14"/>
        <v>2.2309448903400001E+20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1.3533100432999998E+40</v>
      </c>
      <c r="F76" s="15">
        <f t="shared" si="7"/>
        <v>5.9672999948837147E+39</v>
      </c>
      <c r="G76" s="15">
        <f t="shared" si="8"/>
        <v>8.3141427700795455E+40</v>
      </c>
      <c r="H76" s="15">
        <f t="shared" si="9"/>
        <v>1.0264182812867917E+41</v>
      </c>
      <c r="I76" s="16">
        <v>183.48</v>
      </c>
      <c r="J76" s="45">
        <v>1</v>
      </c>
      <c r="K76" s="19">
        <f t="shared" si="10"/>
        <v>175.23202194438869</v>
      </c>
      <c r="L76" s="16">
        <f t="shared" si="11"/>
        <v>68.029142005845543</v>
      </c>
      <c r="M76" s="45"/>
    </row>
    <row r="77" spans="1:13" x14ac:dyDescent="0.25">
      <c r="A77" s="16">
        <v>8.0500000000000007</v>
      </c>
      <c r="B77" s="45">
        <f t="shared" si="12"/>
        <v>8050.0000000000009</v>
      </c>
      <c r="C77" s="16">
        <f t="shared" si="13"/>
        <v>22.361111111111114</v>
      </c>
      <c r="D77" s="15">
        <f t="shared" si="14"/>
        <v>2.4839704519000002E+20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1.3568113897266663E+40</v>
      </c>
      <c r="F77" s="15">
        <f t="shared" si="7"/>
        <v>5.9672999996312135E+39</v>
      </c>
      <c r="G77" s="15">
        <f t="shared" si="8"/>
        <v>9.6186230756017362E+40</v>
      </c>
      <c r="H77" s="15">
        <f t="shared" si="9"/>
        <v>1.1572164465291524E+41</v>
      </c>
      <c r="I77" s="16">
        <v>188.93</v>
      </c>
      <c r="J77" s="45">
        <v>1</v>
      </c>
      <c r="K77" s="19">
        <f t="shared" si="10"/>
        <v>176.33145454733261</v>
      </c>
      <c r="L77" s="16">
        <f t="shared" si="11"/>
        <v>158.7233475229263</v>
      </c>
      <c r="M77" s="45"/>
    </row>
    <row r="78" spans="1:13" x14ac:dyDescent="0.25">
      <c r="A78" s="16">
        <v>8.94</v>
      </c>
      <c r="B78" s="45">
        <f t="shared" si="12"/>
        <v>8940</v>
      </c>
      <c r="C78" s="16">
        <f t="shared" si="13"/>
        <v>24.833333333333332</v>
      </c>
      <c r="D78" s="15">
        <f t="shared" si="14"/>
        <v>2.7585957565199997E+20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1.3606116315799995E+40</v>
      </c>
      <c r="F78" s="15">
        <f t="shared" si="7"/>
        <v>5.9672999999789924E+39</v>
      </c>
      <c r="G78" s="15">
        <f t="shared" si="8"/>
        <v>1.1042842292377628E+41</v>
      </c>
      <c r="H78" s="15">
        <f t="shared" si="9"/>
        <v>1.3000183923955526E+41</v>
      </c>
      <c r="I78" s="16">
        <v>187.73</v>
      </c>
      <c r="J78" s="45">
        <v>1</v>
      </c>
      <c r="K78" s="19">
        <f t="shared" si="10"/>
        <v>177.34805116367122</v>
      </c>
      <c r="L78" s="16">
        <f t="shared" si="11"/>
        <v>107.78486164014839</v>
      </c>
      <c r="M78" s="45"/>
    </row>
    <row r="79" spans="1:13" x14ac:dyDescent="0.25">
      <c r="A79" s="16">
        <v>9.93</v>
      </c>
      <c r="B79" s="45">
        <f t="shared" si="12"/>
        <v>9930</v>
      </c>
      <c r="C79" s="16">
        <f t="shared" si="13"/>
        <v>27.583333333333332</v>
      </c>
      <c r="D79" s="15">
        <f t="shared" si="14"/>
        <v>3.06407783694E+20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1.3633000891944998E+40</v>
      </c>
      <c r="F79" s="15">
        <f t="shared" si="7"/>
        <v>5.9672999999991404E+39</v>
      </c>
      <c r="G79" s="15">
        <f t="shared" si="8"/>
        <v>1.2627561057180078E+41</v>
      </c>
      <c r="H79" s="15">
        <f t="shared" si="9"/>
        <v>1.4587591146374491E+41</v>
      </c>
      <c r="I79" s="16">
        <v>182.96</v>
      </c>
      <c r="J79" s="45">
        <v>1</v>
      </c>
      <c r="K79" s="19">
        <f t="shared" si="10"/>
        <v>178.25330817721618</v>
      </c>
      <c r="L79" s="16">
        <f t="shared" si="11"/>
        <v>22.152947914660118</v>
      </c>
      <c r="M79" s="45"/>
    </row>
    <row r="80" spans="1:13" x14ac:dyDescent="0.25">
      <c r="A80" s="16">
        <v>11.01</v>
      </c>
      <c r="B80" s="45">
        <f t="shared" si="12"/>
        <v>11010</v>
      </c>
      <c r="C80" s="16">
        <f t="shared" si="13"/>
        <v>30.583333333333332</v>
      </c>
      <c r="D80" s="15">
        <f t="shared" si="14"/>
        <v>3.3973310155799999E+20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1.3658604487689996E+40</v>
      </c>
      <c r="F80" s="15">
        <f t="shared" si="7"/>
        <v>5.9672999999999721E+39</v>
      </c>
      <c r="G80" s="15">
        <f t="shared" si="8"/>
        <v>1.4347506157888449E+41</v>
      </c>
      <c r="H80" s="15">
        <f t="shared" si="9"/>
        <v>1.6310096606657447E+41</v>
      </c>
      <c r="I80" s="16">
        <v>181.14</v>
      </c>
      <c r="J80" s="45">
        <v>1</v>
      </c>
      <c r="K80" s="19">
        <f t="shared" si="10"/>
        <v>179.0008275375815</v>
      </c>
      <c r="L80" s="16">
        <f t="shared" si="11"/>
        <v>4.5760588239695688</v>
      </c>
      <c r="M80" s="45"/>
    </row>
    <row r="81" spans="1:29" x14ac:dyDescent="0.25">
      <c r="A81" s="16">
        <v>12.2</v>
      </c>
      <c r="B81" s="45">
        <f t="shared" si="12"/>
        <v>12200</v>
      </c>
      <c r="C81" s="16">
        <f t="shared" si="13"/>
        <v>33.888888888888886</v>
      </c>
      <c r="D81" s="15">
        <f t="shared" si="14"/>
        <v>3.7645266475999999E+20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1.3674755515566663E+40</v>
      </c>
      <c r="F81" s="15">
        <f t="shared" si="7"/>
        <v>5.9672999999999987E+39</v>
      </c>
      <c r="G81" s="15">
        <f t="shared" si="8"/>
        <v>1.6223090024919932E+41</v>
      </c>
      <c r="H81" s="15">
        <f t="shared" si="9"/>
        <v>1.8187295576476598E+41</v>
      </c>
      <c r="I81" s="16">
        <v>180.42</v>
      </c>
      <c r="J81" s="45">
        <v>1</v>
      </c>
      <c r="K81" s="19">
        <f t="shared" si="10"/>
        <v>179.5661944218192</v>
      </c>
      <c r="L81" s="16">
        <f t="shared" si="11"/>
        <v>0.72898396533262066</v>
      </c>
      <c r="M81" s="45"/>
    </row>
    <row r="82" spans="1:29" x14ac:dyDescent="0.25">
      <c r="A82" s="16">
        <v>13.51</v>
      </c>
      <c r="B82" s="45">
        <f t="shared" si="12"/>
        <v>13510</v>
      </c>
      <c r="C82" s="16">
        <f t="shared" si="13"/>
        <v>37.527777777777779</v>
      </c>
      <c r="D82" s="15">
        <f t="shared" si="14"/>
        <v>4.1687504105800001E+20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1.3687608781401663E+40</v>
      </c>
      <c r="F82" s="15">
        <f t="shared" si="7"/>
        <v>5.9672999999999987E+39</v>
      </c>
      <c r="G82" s="15">
        <f t="shared" si="8"/>
        <v>1.8256129702405552E+41</v>
      </c>
      <c r="H82" s="15">
        <f t="shared" si="9"/>
        <v>2.0221620580545716E+41</v>
      </c>
      <c r="I82" s="16">
        <v>175.56</v>
      </c>
      <c r="J82" s="45">
        <v>1</v>
      </c>
      <c r="K82" s="19">
        <f t="shared" si="10"/>
        <v>179.92882163688131</v>
      </c>
      <c r="L82" s="16">
        <f t="shared" si="11"/>
        <v>19.086602494882264</v>
      </c>
      <c r="M82" s="45"/>
    </row>
    <row r="83" spans="1:29" x14ac:dyDescent="0.25">
      <c r="A83" s="16">
        <v>14.95</v>
      </c>
      <c r="B83" s="45">
        <f t="shared" si="12"/>
        <v>14950</v>
      </c>
      <c r="C83" s="16">
        <f t="shared" si="13"/>
        <v>41.527777777777779</v>
      </c>
      <c r="D83" s="15">
        <f t="shared" si="14"/>
        <v>4.6130879820999996E+20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1.3697679727308331E+40</v>
      </c>
      <c r="F83" s="15">
        <f t="shared" si="7"/>
        <v>5.9672999999999987E+39</v>
      </c>
      <c r="G83" s="15">
        <f t="shared" si="8"/>
        <v>2.044584814265852E+41</v>
      </c>
      <c r="H83" s="15">
        <f t="shared" si="9"/>
        <v>2.2412346115389351E+41</v>
      </c>
      <c r="I83" s="16">
        <v>169.23</v>
      </c>
      <c r="J83" s="45">
        <v>1</v>
      </c>
      <c r="K83" s="19">
        <f t="shared" si="10"/>
        <v>180.07088356471812</v>
      </c>
      <c r="L83" s="16">
        <f t="shared" si="11"/>
        <v>117.52475646377559</v>
      </c>
      <c r="M83" s="45"/>
    </row>
    <row r="84" spans="1:29" x14ac:dyDescent="0.25">
      <c r="A84" s="16">
        <v>16.54</v>
      </c>
      <c r="B84" s="45">
        <f t="shared" si="12"/>
        <v>16540</v>
      </c>
      <c r="C84" s="16">
        <f t="shared" si="13"/>
        <v>45.944444444444443</v>
      </c>
      <c r="D84" s="15">
        <f t="shared" si="14"/>
        <v>5.1037107173199997E+20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1.3705206249646663E+40</v>
      </c>
      <c r="F84" s="15">
        <f t="shared" si="7"/>
        <v>5.9672999999999987E+39</v>
      </c>
      <c r="G84" s="15">
        <f t="shared" si="8"/>
        <v>2.2803608297666428E+41</v>
      </c>
      <c r="H84" s="15">
        <f t="shared" si="9"/>
        <v>2.4770858922631096E+41</v>
      </c>
      <c r="I84" s="16">
        <v>167.92</v>
      </c>
      <c r="J84" s="45">
        <v>1</v>
      </c>
      <c r="K84" s="19">
        <f t="shared" si="10"/>
        <v>179.9795708265936</v>
      </c>
      <c r="L84" s="16">
        <f t="shared" si="11"/>
        <v>145.43324852162777</v>
      </c>
      <c r="M84" s="45"/>
    </row>
    <row r="85" spans="1:29" x14ac:dyDescent="0.25">
      <c r="A85" s="16">
        <v>18.29</v>
      </c>
      <c r="B85" s="45">
        <f t="shared" si="12"/>
        <v>18290</v>
      </c>
      <c r="C85" s="16">
        <f t="shared" si="13"/>
        <v>50.805555555555557</v>
      </c>
      <c r="D85" s="15">
        <f t="shared" si="14"/>
        <v>5.6437042938199998E+20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1.3710767839549997E+40</v>
      </c>
      <c r="F85" s="15">
        <f t="shared" si="7"/>
        <v>5.9672999999999987E+39</v>
      </c>
      <c r="G85" s="15">
        <f t="shared" si="8"/>
        <v>2.5322509426981871E+41</v>
      </c>
      <c r="H85" s="15">
        <f t="shared" si="9"/>
        <v>2.7290316210936871E+41</v>
      </c>
      <c r="I85" s="16">
        <v>171.77</v>
      </c>
      <c r="J85" s="45">
        <v>1</v>
      </c>
      <c r="K85" s="19">
        <f t="shared" si="10"/>
        <v>179.64612867836505</v>
      </c>
      <c r="L85" s="16">
        <f t="shared" si="11"/>
        <v>62.033402958164153</v>
      </c>
      <c r="M85" s="45"/>
    </row>
    <row r="86" spans="1:29" x14ac:dyDescent="0.25">
      <c r="H86" s="15"/>
      <c r="K86" s="45"/>
      <c r="L86" s="16">
        <f>SUM(L54:L85)/(COUNT(L54:L85)-6)</f>
        <v>92.88821657938054</v>
      </c>
      <c r="M86" s="45"/>
    </row>
    <row r="87" spans="1:29" x14ac:dyDescent="0.25">
      <c r="H87" s="15"/>
      <c r="K87" s="45"/>
      <c r="L87" s="17"/>
      <c r="M87" s="45"/>
    </row>
    <row r="88" spans="1:29" x14ac:dyDescent="0.25">
      <c r="I88" s="45"/>
      <c r="J88" s="45"/>
      <c r="L88" s="16"/>
    </row>
    <row r="89" spans="1:29" x14ac:dyDescent="0.25">
      <c r="I89" s="45"/>
      <c r="J89" s="45"/>
      <c r="L89" s="16"/>
    </row>
    <row r="90" spans="1:29" x14ac:dyDescent="0.25">
      <c r="I90" s="45"/>
      <c r="J90" s="45"/>
      <c r="L90" s="16"/>
    </row>
    <row r="91" spans="1:29" x14ac:dyDescent="0.25">
      <c r="I91" s="45"/>
      <c r="J91" s="45"/>
      <c r="L91" s="16"/>
    </row>
    <row r="92" spans="1:29" x14ac:dyDescent="0.25">
      <c r="I92" s="45"/>
      <c r="J92" s="45"/>
      <c r="L92" s="16"/>
    </row>
    <row r="93" spans="1:29" x14ac:dyDescent="0.25">
      <c r="I93" s="45"/>
      <c r="J93" s="45"/>
      <c r="L93" s="16"/>
    </row>
    <row r="94" spans="1:29" x14ac:dyDescent="0.25">
      <c r="I94" s="45"/>
      <c r="J94" s="45"/>
      <c r="L94" s="16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x14ac:dyDescent="0.25">
      <c r="L543" s="16"/>
    </row>
    <row r="544" spans="1:29" x14ac:dyDescent="0.25">
      <c r="L544" s="16"/>
      <c r="N544" s="17"/>
      <c r="O544" s="38"/>
    </row>
    <row r="545" spans="12:12" x14ac:dyDescent="0.25">
      <c r="L545" s="16"/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C557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646.65823201259104</v>
      </c>
      <c r="E2" s="55"/>
      <c r="F2" s="53" t="s">
        <v>620</v>
      </c>
      <c r="G2" s="53">
        <v>65463372246</v>
      </c>
      <c r="H2" s="62"/>
      <c r="K2" s="51" t="s">
        <v>1</v>
      </c>
      <c r="L2" s="60" t="s">
        <v>585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3.7758430125730499E+40</v>
      </c>
      <c r="E3" s="53"/>
      <c r="F3" s="53" t="s">
        <v>621</v>
      </c>
      <c r="G3" s="53">
        <f>H45/SolarMass</f>
        <v>206987769295.09845</v>
      </c>
      <c r="H3" s="62"/>
      <c r="K3" s="51" t="s">
        <v>562</v>
      </c>
      <c r="L3" s="57">
        <v>2.9190000000000002E-3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5066.6606695855598</v>
      </c>
      <c r="E4" s="55"/>
      <c r="F4" s="53" t="s">
        <v>622</v>
      </c>
      <c r="G4" s="52">
        <f>G3/G2</f>
        <v>3.1618867496968277</v>
      </c>
      <c r="H4" s="62"/>
      <c r="K4" s="61" t="s">
        <v>614</v>
      </c>
      <c r="L4" s="52">
        <f>QEHModelChiSquare</f>
        <v>123.71861604880117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1178.6470469511901</v>
      </c>
      <c r="F5" s="53"/>
      <c r="G5" s="52"/>
      <c r="H5" s="62"/>
      <c r="K5" s="61" t="s">
        <v>615</v>
      </c>
      <c r="L5" s="52">
        <f>LCDMModelChiSquare</f>
        <v>421.44372960085531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5" si="0">RadiusKpc*1000</f>
        <v>90</v>
      </c>
      <c r="C8" s="16">
        <f t="shared" ref="C8:C45" si="1">IF(QESBulgeEffectiveRadius=0,0,RadiusPc/QESBulgeEffectiveRadius)</f>
        <v>0.13917707305742241</v>
      </c>
      <c r="D8" s="15">
        <f t="shared" ref="D8:D45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2.4882852065317374E+39</v>
      </c>
      <c r="F8" s="15">
        <f t="shared" ref="F8:F45" si="3">2*PI()*QESDiskSurfaceDensity*QESDiskScaleLength*(QESDiskScaleLength-EXP(-RadiusPc/QESDiskScaleLength)*(RadiusPc+QESDiskScaleLength))*SolarMass</f>
        <v>5.8957101445972006E+37</v>
      </c>
      <c r="H8" s="18">
        <f t="shared" ref="H8:H45" si="4">BulgeMass+DiskMass+HaloMass</f>
        <v>2.5472423079777092E+39</v>
      </c>
      <c r="I8" s="16">
        <v>251.82</v>
      </c>
      <c r="J8" s="45">
        <v>1</v>
      </c>
      <c r="K8" s="19">
        <f t="shared" ref="K8:K45" si="5">SQRT(TotalMass*GravitationalConstant/RadiusKm+UniverseAcceleration*RadiusKm)/km</f>
        <v>247.6242861722838</v>
      </c>
      <c r="L8" s="16">
        <f t="shared" ref="L8:L45" si="6">(ObservedVelocity-ModelVelocity)^2/(VelocityError)^2</f>
        <v>17.604014524088846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0.29381826534344735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5.6332455615230006E+39</v>
      </c>
      <c r="F9" s="15">
        <f t="shared" si="3"/>
        <v>2.5933258101924934E+38</v>
      </c>
      <c r="H9" s="18">
        <f t="shared" si="4"/>
        <v>5.8925781425422495E+39</v>
      </c>
      <c r="I9" s="16">
        <v>270.60000000000002</v>
      </c>
      <c r="J9" s="45">
        <v>1</v>
      </c>
      <c r="K9" s="19">
        <f t="shared" si="5"/>
        <v>259.41034132699997</v>
      </c>
      <c r="L9" s="16">
        <f t="shared" si="6"/>
        <v>125.20846121824532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0.46392357685807473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8.6458314128550754E+39</v>
      </c>
      <c r="F10" s="15">
        <f t="shared" si="3"/>
        <v>6.3728244238627505E+38</v>
      </c>
      <c r="H10" s="18">
        <f t="shared" si="4"/>
        <v>9.283113855241351E+39</v>
      </c>
      <c r="I10" s="16">
        <v>257.14999999999998</v>
      </c>
      <c r="J10" s="45">
        <v>1</v>
      </c>
      <c r="K10" s="19">
        <f t="shared" si="5"/>
        <v>259.35768064848907</v>
      </c>
      <c r="L10" s="16">
        <f t="shared" si="6"/>
        <v>4.8738538457132004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0.64949300760130457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1.1452265076267131E+40</v>
      </c>
      <c r="F11" s="15">
        <f t="shared" si="3"/>
        <v>1.2296217337688101E+39</v>
      </c>
      <c r="H11" s="18">
        <f t="shared" si="4"/>
        <v>1.2681886810035941E+40</v>
      </c>
      <c r="I11" s="16">
        <v>249.9</v>
      </c>
      <c r="J11" s="45">
        <v>1</v>
      </c>
      <c r="K11" s="19">
        <f t="shared" si="5"/>
        <v>256.47993771405379</v>
      </c>
      <c r="L11" s="16">
        <f t="shared" si="6"/>
        <v>43.295580320827341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0.86599067680173947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1.4201576295207784E+40</v>
      </c>
      <c r="F12" s="15">
        <f t="shared" si="3"/>
        <v>2.1464151408138475E+39</v>
      </c>
      <c r="H12" s="18">
        <f t="shared" si="4"/>
        <v>1.6347991436021632E+40</v>
      </c>
      <c r="I12" s="16">
        <v>246.46</v>
      </c>
      <c r="J12" s="45">
        <v>1</v>
      </c>
      <c r="K12" s="19">
        <f t="shared" si="5"/>
        <v>252.5311235938608</v>
      </c>
      <c r="L12" s="16">
        <f t="shared" si="6"/>
        <v>36.858541691933155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1.0824883460021744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1.6510275921155972E+40</v>
      </c>
      <c r="F13" s="15">
        <f t="shared" si="3"/>
        <v>3.2931928013359871E+39</v>
      </c>
      <c r="H13" s="18">
        <f t="shared" si="4"/>
        <v>1.980346872249196E+40</v>
      </c>
      <c r="I13" s="16">
        <v>242.89</v>
      </c>
      <c r="J13" s="45">
        <v>1</v>
      </c>
      <c r="K13" s="19">
        <f t="shared" si="5"/>
        <v>248.95415663194356</v>
      </c>
      <c r="L13" s="16">
        <f t="shared" si="6"/>
        <v>36.77399565674525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1.3299142536598143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1.8725448883106485E+40</v>
      </c>
      <c r="F14" s="15">
        <f t="shared" si="3"/>
        <v>4.8684802782640851E+39</v>
      </c>
      <c r="H14" s="18">
        <f t="shared" si="4"/>
        <v>2.3593929161370572E+40</v>
      </c>
      <c r="I14" s="16">
        <v>239.36</v>
      </c>
      <c r="J14" s="45">
        <v>1</v>
      </c>
      <c r="K14" s="19">
        <f t="shared" si="5"/>
        <v>245.5749016398521</v>
      </c>
      <c r="L14" s="16">
        <f t="shared" si="6"/>
        <v>38.625002393036162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1.608268399774659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2.0811951749322036E+40</v>
      </c>
      <c r="F15" s="15">
        <f t="shared" si="3"/>
        <v>6.9556858142846876E+39</v>
      </c>
      <c r="H15" s="18">
        <f t="shared" si="4"/>
        <v>2.7767637563606725E+40</v>
      </c>
      <c r="I15" s="16">
        <v>236.88</v>
      </c>
      <c r="J15" s="45">
        <v>1</v>
      </c>
      <c r="K15" s="19">
        <f t="shared" si="5"/>
        <v>242.73339611463115</v>
      </c>
      <c r="L15" s="16">
        <f t="shared" si="6"/>
        <v>34.262246074779071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1.9020866651181063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2.264891726230042E+40</v>
      </c>
      <c r="F16" s="15">
        <f t="shared" si="3"/>
        <v>9.4936186693692503E+39</v>
      </c>
      <c r="H16" s="18">
        <f t="shared" si="4"/>
        <v>3.214253593166967E+40</v>
      </c>
      <c r="I16" s="16">
        <v>235.82</v>
      </c>
      <c r="J16" s="45">
        <v>1</v>
      </c>
      <c r="K16" s="19">
        <f t="shared" si="5"/>
        <v>240.63627817172099</v>
      </c>
      <c r="L16" s="16">
        <f t="shared" si="6"/>
        <v>23.196535427396132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2.2422972881473613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2.4415307060873699E+40</v>
      </c>
      <c r="F17" s="15">
        <f t="shared" si="3"/>
        <v>1.2825305611664596E+40</v>
      </c>
      <c r="H17" s="18">
        <f t="shared" si="4"/>
        <v>3.7240612672538295E+40</v>
      </c>
      <c r="I17" s="16">
        <v>236.95</v>
      </c>
      <c r="J17" s="45">
        <v>1</v>
      </c>
      <c r="K17" s="19">
        <f t="shared" si="5"/>
        <v>239.12820625977989</v>
      </c>
      <c r="L17" s="16">
        <f t="shared" si="6"/>
        <v>4.7445825101443342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2.5979720304052183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2.595300822637505E+40</v>
      </c>
      <c r="F18" s="15">
        <f t="shared" si="3"/>
        <v>1.6716764928329172E+40</v>
      </c>
      <c r="H18" s="18">
        <f t="shared" si="4"/>
        <v>4.2669773154704224E+40</v>
      </c>
      <c r="I18" s="16">
        <v>240.57</v>
      </c>
      <c r="J18" s="45">
        <v>1</v>
      </c>
      <c r="K18" s="19">
        <f t="shared" si="5"/>
        <v>238.3814921360061</v>
      </c>
      <c r="L18" s="16">
        <f t="shared" si="6"/>
        <v>4.7895666707631035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3.0000391303488834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2.7391599808205697E+40</v>
      </c>
      <c r="F19" s="15">
        <f t="shared" si="3"/>
        <v>2.1564142071265578E+40</v>
      </c>
      <c r="H19" s="18">
        <f t="shared" si="4"/>
        <v>4.8955741879471275E+40</v>
      </c>
      <c r="I19" s="16">
        <v>245.33</v>
      </c>
      <c r="J19" s="45">
        <v>1</v>
      </c>
      <c r="K19" s="19">
        <f t="shared" si="5"/>
        <v>238.25218498837299</v>
      </c>
      <c r="L19" s="16">
        <f t="shared" si="6"/>
        <v>50.095465338812851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3.4484985879783556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2.8709967852819545E+40</v>
      </c>
      <c r="F20" s="15">
        <f t="shared" si="3"/>
        <v>2.7463127079990481E+40</v>
      </c>
      <c r="G20" s="15"/>
      <c r="H20" s="18">
        <f t="shared" si="4"/>
        <v>5.6173094932810021E+40</v>
      </c>
      <c r="I20" s="16">
        <v>249.69</v>
      </c>
      <c r="J20" s="45">
        <v>1</v>
      </c>
      <c r="K20" s="19">
        <f t="shared" si="5"/>
        <v>238.73139247142359</v>
      </c>
      <c r="L20" s="16">
        <f t="shared" si="6"/>
        <v>120.09107896537154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3.9278862840650328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2.9868453966955162E+40</v>
      </c>
      <c r="F21" s="15">
        <f t="shared" si="3"/>
        <v>3.4261691852936766E+40</v>
      </c>
      <c r="G21" s="15"/>
      <c r="H21" s="18">
        <f t="shared" si="4"/>
        <v>6.4130145819891928E+40</v>
      </c>
      <c r="I21" s="16">
        <v>253.38</v>
      </c>
      <c r="J21" s="45">
        <v>1</v>
      </c>
      <c r="K21" s="19">
        <f t="shared" si="5"/>
        <v>239.7242731187464</v>
      </c>
      <c r="L21" s="16">
        <f t="shared" si="6"/>
        <v>186.47887665539216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4.4691304570661199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3.0937131721206447E+40</v>
      </c>
      <c r="F22" s="15">
        <f t="shared" si="3"/>
        <v>4.2448278067354852E+40</v>
      </c>
      <c r="G22" s="15"/>
      <c r="H22" s="18">
        <f t="shared" si="4"/>
        <v>7.3385409788561298E+40</v>
      </c>
      <c r="I22" s="16">
        <v>257.31</v>
      </c>
      <c r="J22" s="45">
        <v>1</v>
      </c>
      <c r="K22" s="19">
        <f t="shared" si="5"/>
        <v>241.19435895141802</v>
      </c>
      <c r="L22" s="16">
        <f t="shared" si="6"/>
        <v>259.71388640674041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5.0567669877530141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3.1869003431141149E+40</v>
      </c>
      <c r="F23" s="15">
        <f t="shared" si="3"/>
        <v>5.1830716600857791E+40</v>
      </c>
      <c r="G23" s="15"/>
      <c r="H23" s="18">
        <f t="shared" si="4"/>
        <v>8.3699720031998944E+40</v>
      </c>
      <c r="I23" s="16">
        <v>258.36</v>
      </c>
      <c r="J23" s="45">
        <v>1</v>
      </c>
      <c r="K23" s="19">
        <f t="shared" si="5"/>
        <v>242.98596138049743</v>
      </c>
      <c r="L23" s="16">
        <f t="shared" si="6"/>
        <v>236.36106347395693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5.7062599953543192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3.2682704321057114E+40</v>
      </c>
      <c r="F24" s="15">
        <f t="shared" si="3"/>
        <v>6.2657983804507905E+40</v>
      </c>
      <c r="G24" s="15"/>
      <c r="H24" s="18">
        <f t="shared" si="4"/>
        <v>9.5340688125565023E+40</v>
      </c>
      <c r="I24" s="16">
        <v>256.83999999999997</v>
      </c>
      <c r="J24" s="45">
        <v>1</v>
      </c>
      <c r="K24" s="19">
        <f t="shared" si="5"/>
        <v>245.02402594595537</v>
      </c>
      <c r="L24" s="16">
        <f t="shared" si="6"/>
        <v>139.61724284585523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6.4176094798700341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3.3433878221936445E+40</v>
      </c>
      <c r="F25" s="15">
        <f t="shared" si="3"/>
        <v>7.490472183742265E+40</v>
      </c>
      <c r="G25" s="15"/>
      <c r="H25" s="18">
        <f t="shared" si="4"/>
        <v>1.083386000593591E+41</v>
      </c>
      <c r="I25" s="16">
        <v>255.04</v>
      </c>
      <c r="J25" s="45">
        <v>1</v>
      </c>
      <c r="K25" s="19">
        <f t="shared" si="5"/>
        <v>247.25343629228476</v>
      </c>
      <c r="L25" s="16">
        <f t="shared" si="6"/>
        <v>60.630574374307969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7.1908154413001579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3.410016047320728E+40</v>
      </c>
      <c r="F26" s="15">
        <f t="shared" si="3"/>
        <v>8.849606119258172E+40</v>
      </c>
      <c r="G26" s="15"/>
      <c r="H26" s="18">
        <f t="shared" si="4"/>
        <v>1.22596221665789E+41</v>
      </c>
      <c r="I26" s="16">
        <v>252.83</v>
      </c>
      <c r="J26" s="45">
        <v>1</v>
      </c>
      <c r="K26" s="19">
        <f t="shared" si="5"/>
        <v>249.51407141084925</v>
      </c>
      <c r="L26" s="16">
        <f t="shared" si="6"/>
        <v>10.995382408347336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8.056806118101898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3.4689817544972399E+40</v>
      </c>
      <c r="F27" s="15">
        <f t="shared" si="3"/>
        <v>1.0385783137664798E+41</v>
      </c>
      <c r="G27" s="15"/>
      <c r="H27" s="18">
        <f t="shared" si="4"/>
        <v>1.3854764892162039E+41</v>
      </c>
      <c r="I27" s="16">
        <v>250.62</v>
      </c>
      <c r="J27" s="45">
        <v>1</v>
      </c>
      <c r="K27" s="19">
        <f t="shared" si="5"/>
        <v>251.75433109218378</v>
      </c>
      <c r="L27" s="16">
        <f t="shared" si="6"/>
        <v>1.2867070266948273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9.0001173910466505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3.5191661069251393E+40</v>
      </c>
      <c r="F28" s="15">
        <f t="shared" si="3"/>
        <v>1.205361163555576E+41</v>
      </c>
      <c r="G28" s="15"/>
      <c r="H28" s="18">
        <f t="shared" si="4"/>
        <v>1.5572777742480899E+41</v>
      </c>
      <c r="I28" s="16">
        <v>248.36</v>
      </c>
      <c r="J28" s="45">
        <v>1</v>
      </c>
      <c r="K28" s="19">
        <f t="shared" si="5"/>
        <v>253.8166458746353</v>
      </c>
      <c r="L28" s="16">
        <f t="shared" si="6"/>
        <v>29.774984201174274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10.036213379363017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3.5621253054091719E+40</v>
      </c>
      <c r="F29" s="15">
        <f t="shared" si="3"/>
        <v>1.3855532359901604E+41</v>
      </c>
      <c r="G29" s="15"/>
      <c r="H29" s="18">
        <f t="shared" si="4"/>
        <v>1.7417657665310776E+41</v>
      </c>
      <c r="I29" s="16">
        <v>247.03</v>
      </c>
      <c r="J29" s="45">
        <v>1</v>
      </c>
      <c r="K29" s="19">
        <f t="shared" si="5"/>
        <v>255.63753853974157</v>
      </c>
      <c r="L29" s="16">
        <f t="shared" si="6"/>
        <v>74.089719713136418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11.180558202279601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3.5989967563300243E+40</v>
      </c>
      <c r="F30" s="15">
        <f t="shared" si="3"/>
        <v>1.5785629201511056E+41</v>
      </c>
      <c r="G30" s="15"/>
      <c r="H30" s="18">
        <f t="shared" si="4"/>
        <v>1.9384625957841082E+41</v>
      </c>
      <c r="I30" s="16">
        <v>247.35</v>
      </c>
      <c r="J30" s="45">
        <v>1</v>
      </c>
      <c r="K30" s="19">
        <f t="shared" si="5"/>
        <v>257.15038133902351</v>
      </c>
      <c r="L30" s="16">
        <f t="shared" si="6"/>
        <v>96.047474390280371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12.448615979025007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3.6308203309838643E+40</v>
      </c>
      <c r="F31" s="15">
        <f t="shared" si="3"/>
        <v>1.7827843739596746E+41</v>
      </c>
      <c r="G31" s="15"/>
      <c r="H31" s="18">
        <f t="shared" si="4"/>
        <v>2.145866407058061E+41</v>
      </c>
      <c r="I31" s="16">
        <v>249.4</v>
      </c>
      <c r="J31" s="45">
        <v>1</v>
      </c>
      <c r="K31" s="19">
        <f t="shared" si="5"/>
        <v>258.29151271521505</v>
      </c>
      <c r="L31" s="16">
        <f t="shared" si="6"/>
        <v>79.058998364830785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13.824922590370626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3.6578153676724348E+40</v>
      </c>
      <c r="F32" s="15">
        <f t="shared" si="3"/>
        <v>1.9909970828136611E+41</v>
      </c>
      <c r="G32" s="15"/>
      <c r="H32" s="18">
        <f t="shared" si="4"/>
        <v>2.3567786195809044E+41</v>
      </c>
      <c r="I32" s="16">
        <v>252.14</v>
      </c>
      <c r="J32" s="45">
        <v>1</v>
      </c>
      <c r="K32" s="19">
        <f t="shared" si="5"/>
        <v>258.99589369582577</v>
      </c>
      <c r="L32" s="16">
        <f t="shared" si="6"/>
        <v>47.003278368463732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15.355870394002274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3.6793367511142823E+40</v>
      </c>
      <c r="F33" s="15">
        <f t="shared" si="3"/>
        <v>2.2047018800851542E+41</v>
      </c>
      <c r="G33" s="15"/>
      <c r="H33" s="18">
        <f t="shared" si="4"/>
        <v>2.5726355551965823E+41</v>
      </c>
      <c r="I33" s="16">
        <v>254.93</v>
      </c>
      <c r="J33" s="45">
        <v>1</v>
      </c>
      <c r="K33" s="19">
        <f t="shared" si="5"/>
        <v>259.24866674902427</v>
      </c>
      <c r="L33" s="16">
        <f t="shared" si="6"/>
        <v>18.65088248912777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17.025995270691343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3.6949507273744109E+40</v>
      </c>
      <c r="F34" s="15">
        <f t="shared" si="3"/>
        <v>2.4156467388000381E+41</v>
      </c>
      <c r="G34" s="15"/>
      <c r="H34" s="18">
        <f t="shared" si="4"/>
        <v>2.7851418115374791E+41</v>
      </c>
      <c r="I34" s="16">
        <v>258.08</v>
      </c>
      <c r="J34" s="45">
        <v>1</v>
      </c>
      <c r="K34" s="19">
        <f t="shared" si="5"/>
        <v>259.04258981381588</v>
      </c>
      <c r="L34" s="16">
        <f t="shared" si="6"/>
        <v>0.92657914966212118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18.866225458895038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3.7121550160314047E+40</v>
      </c>
      <c r="F35" s="15">
        <f t="shared" si="3"/>
        <v>2.6216162197600199E+41</v>
      </c>
      <c r="G35" s="15"/>
      <c r="H35" s="18">
        <f t="shared" si="4"/>
        <v>2.9928317213631605E+41</v>
      </c>
      <c r="I35" s="16">
        <v>261.08</v>
      </c>
      <c r="J35" s="45">
        <v>1</v>
      </c>
      <c r="K35" s="19">
        <f t="shared" si="5"/>
        <v>258.43239988146081</v>
      </c>
      <c r="L35" s="16">
        <f t="shared" si="6"/>
        <v>7.0097863876886466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20.892025077841964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3.726526984072347E+40</v>
      </c>
      <c r="F36" s="15">
        <f t="shared" si="3"/>
        <v>2.8179244014166578E+41</v>
      </c>
      <c r="G36" s="15"/>
      <c r="H36" s="18">
        <f t="shared" si="4"/>
        <v>3.1905770998238927E+41</v>
      </c>
      <c r="I36" s="16">
        <v>264.10000000000002</v>
      </c>
      <c r="J36" s="45">
        <v>1</v>
      </c>
      <c r="K36" s="19">
        <f t="shared" si="5"/>
        <v>257.45346684003999</v>
      </c>
      <c r="L36" s="16">
        <f t="shared" si="6"/>
        <v>44.17640304644825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23.118858246760723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3.7359441372286984E+40</v>
      </c>
      <c r="F37" s="15">
        <f t="shared" si="3"/>
        <v>3.0000903803975299E+41</v>
      </c>
      <c r="G37" s="15"/>
      <c r="H37" s="18">
        <f t="shared" si="4"/>
        <v>3.3736847941203996E+41</v>
      </c>
      <c r="I37" s="16">
        <v>266.83999999999997</v>
      </c>
      <c r="J37" s="45">
        <v>1</v>
      </c>
      <c r="K37" s="19">
        <f t="shared" si="5"/>
        <v>256.18672936710095</v>
      </c>
      <c r="L37" s="16">
        <f t="shared" si="6"/>
        <v>113.49217517778875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25.577653204108518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3.7453956343673763E+40</v>
      </c>
      <c r="F38" s="15">
        <f t="shared" si="3"/>
        <v>3.1652081553373762E+41</v>
      </c>
      <c r="G38" s="15"/>
      <c r="H38" s="18">
        <f t="shared" si="4"/>
        <v>3.539747718774114E+41</v>
      </c>
      <c r="I38" s="16">
        <v>269.02999999999997</v>
      </c>
      <c r="J38" s="45">
        <v>1</v>
      </c>
      <c r="K38" s="19">
        <f t="shared" si="5"/>
        <v>254.75529427614049</v>
      </c>
      <c r="L38" s="16">
        <f t="shared" si="6"/>
        <v>203.76722350278669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28.283874069113956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3.7524053642558929E+40</v>
      </c>
      <c r="F39" s="15">
        <f t="shared" si="3"/>
        <v>3.3098642615257024E+41</v>
      </c>
      <c r="G39" s="15"/>
      <c r="H39" s="18">
        <f t="shared" si="4"/>
        <v>3.6851047979512919E+41</v>
      </c>
      <c r="I39" s="16">
        <v>271.18</v>
      </c>
      <c r="J39" s="45">
        <v>1</v>
      </c>
      <c r="K39" s="19">
        <f t="shared" si="5"/>
        <v>253.29705300820822</v>
      </c>
      <c r="L39" s="16">
        <f t="shared" si="6"/>
        <v>319.79979311123481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31.23752084177703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3.7585139978745152E+40</v>
      </c>
      <c r="F40" s="15">
        <f t="shared" si="3"/>
        <v>3.4315333995442458E+41</v>
      </c>
      <c r="G40" s="15"/>
      <c r="H40" s="18">
        <f t="shared" si="4"/>
        <v>3.8073847993316972E+41</v>
      </c>
      <c r="I40" s="16">
        <v>272.79000000000002</v>
      </c>
      <c r="J40" s="45">
        <v>1</v>
      </c>
      <c r="K40" s="19">
        <f t="shared" si="5"/>
        <v>251.98673392748265</v>
      </c>
      <c r="L40" s="16">
        <f t="shared" si="6"/>
        <v>432.77587928395246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34.515914118240758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3.7629208144854781E+40</v>
      </c>
      <c r="F41" s="15">
        <f t="shared" si="3"/>
        <v>3.5318678215953239E+41</v>
      </c>
      <c r="H41" s="18">
        <f t="shared" si="4"/>
        <v>3.9081599030438719E+41</v>
      </c>
      <c r="I41" s="16">
        <v>273.61</v>
      </c>
      <c r="J41" s="45">
        <v>1</v>
      </c>
      <c r="K41" s="19">
        <f t="shared" si="5"/>
        <v>250.97242604843379</v>
      </c>
      <c r="L41" s="16">
        <f t="shared" si="6"/>
        <v>512.45975441262965</v>
      </c>
    </row>
    <row r="42" spans="1:29" x14ac:dyDescent="0.25">
      <c r="A42" s="16">
        <v>24.64</v>
      </c>
      <c r="B42" s="45">
        <f t="shared" si="0"/>
        <v>24640</v>
      </c>
      <c r="C42" s="16">
        <f t="shared" si="1"/>
        <v>38.10358977927654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3.7660793176875295E+40</v>
      </c>
      <c r="F42" s="15">
        <f t="shared" si="3"/>
        <v>3.6102007858612181E+41</v>
      </c>
      <c r="H42" s="18">
        <f t="shared" si="4"/>
        <v>3.9868087176299709E+41</v>
      </c>
      <c r="I42" s="16">
        <v>272.77999999999997</v>
      </c>
      <c r="J42" s="45">
        <v>1</v>
      </c>
      <c r="K42" s="19">
        <f t="shared" si="5"/>
        <v>250.44400215252259</v>
      </c>
      <c r="L42" s="16">
        <f t="shared" si="6"/>
        <v>498.89679984251444</v>
      </c>
    </row>
    <row r="43" spans="1:29" x14ac:dyDescent="0.25">
      <c r="A43" s="16">
        <v>27.19</v>
      </c>
      <c r="B43" s="45">
        <f t="shared" si="0"/>
        <v>27190</v>
      </c>
      <c r="C43" s="16">
        <f t="shared" si="1"/>
        <v>42.046940182570175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3.7686473507268994E+40</v>
      </c>
      <c r="F43" s="15">
        <f t="shared" si="3"/>
        <v>3.6690531623486623E+41</v>
      </c>
      <c r="H43" s="18">
        <f t="shared" si="4"/>
        <v>4.0459178974213525E+41</v>
      </c>
      <c r="I43" s="16">
        <v>266.61</v>
      </c>
      <c r="J43" s="45">
        <v>1</v>
      </c>
      <c r="K43" s="19">
        <f t="shared" si="5"/>
        <v>250.55857326298604</v>
      </c>
      <c r="L43" s="16">
        <f t="shared" si="6"/>
        <v>257.64830029372689</v>
      </c>
    </row>
    <row r="44" spans="1:29" x14ac:dyDescent="0.25">
      <c r="A44" s="16">
        <v>30</v>
      </c>
      <c r="B44" s="45">
        <f t="shared" si="0"/>
        <v>30000</v>
      </c>
      <c r="C44" s="16">
        <f t="shared" si="1"/>
        <v>46.392357685807475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3.7706041341394931E+40</v>
      </c>
      <c r="F44" s="15">
        <f t="shared" si="3"/>
        <v>3.7112956255678369E+41</v>
      </c>
      <c r="H44" s="18">
        <f t="shared" si="4"/>
        <v>4.0883560389817864E+41</v>
      </c>
      <c r="I44" s="16">
        <v>255.09</v>
      </c>
      <c r="J44" s="45">
        <v>1</v>
      </c>
      <c r="K44" s="19">
        <f t="shared" si="5"/>
        <v>251.46138739070361</v>
      </c>
      <c r="L44" s="16">
        <f t="shared" si="6"/>
        <v>13.166829468344806</v>
      </c>
    </row>
    <row r="45" spans="1:29" x14ac:dyDescent="0.25">
      <c r="A45" s="16">
        <v>33.090000000000003</v>
      </c>
      <c r="B45" s="45">
        <f t="shared" si="0"/>
        <v>33090</v>
      </c>
      <c r="C45" s="16">
        <f t="shared" si="1"/>
        <v>51.17077052744564</v>
      </c>
      <c r="D45" s="15">
        <f t="shared" si="2"/>
        <v>1.0210507112220002E+21</v>
      </c>
      <c r="E45" s="15">
        <f>IF($C45=0,0,FORECAST($C45, OFFSET('De Vaucouleurs Deprojection'!$F$2:$F$127, MATCH($C45, 'De Vaucouleurs Deprojection'!$A$2:$A$127,1)-1,0,2), OFFSET('De Vaucouleurs Deprojection'!$A$2:$A$127, MATCH($C45, 'De Vaucouleurs Deprojection'!$A$2:$A$127,1)-1,0,2))*QESTotalBulgeMass)</f>
        <v>3.7720680992925196E+40</v>
      </c>
      <c r="F45" s="15">
        <f t="shared" si="3"/>
        <v>3.7399869091195512E+41</v>
      </c>
      <c r="H45" s="18">
        <f t="shared" si="4"/>
        <v>4.1171937190488029E+41</v>
      </c>
      <c r="I45" s="16">
        <v>248.56</v>
      </c>
      <c r="J45" s="45">
        <v>1</v>
      </c>
      <c r="K45" s="19">
        <f t="shared" si="5"/>
        <v>253.27014082871179</v>
      </c>
      <c r="L45" s="16">
        <f t="shared" si="6"/>
        <v>22.185426626297755</v>
      </c>
    </row>
    <row r="46" spans="1:29" x14ac:dyDescent="0.25">
      <c r="I46" s="45"/>
      <c r="J46" s="45"/>
      <c r="L46" s="16">
        <f>SUM(L8:L45)/(COUNT(L8:L45)-4)</f>
        <v>123.71861604880117</v>
      </c>
    </row>
    <row r="47" spans="1:29" x14ac:dyDescent="0.25">
      <c r="I47" s="45"/>
      <c r="J47" s="45"/>
      <c r="L47" s="16"/>
    </row>
    <row r="48" spans="1:29" ht="21" x14ac:dyDescent="0.35">
      <c r="A48" s="48" t="s">
        <v>564</v>
      </c>
      <c r="I48" s="45"/>
      <c r="J48" s="45"/>
      <c r="L48" s="16"/>
    </row>
    <row r="49" spans="1:29" x14ac:dyDescent="0.25">
      <c r="A49" s="16" t="s">
        <v>30</v>
      </c>
      <c r="D49" s="16">
        <v>1.04</v>
      </c>
      <c r="E49" s="17">
        <f>$D$49*1000</f>
        <v>1040</v>
      </c>
      <c r="F49" s="17"/>
      <c r="G49" s="17"/>
      <c r="H49" s="15"/>
      <c r="K49" s="15"/>
      <c r="L49" s="17"/>
      <c r="M49" s="45"/>
    </row>
    <row r="50" spans="1:29" x14ac:dyDescent="0.25">
      <c r="A50" s="16" t="s">
        <v>16</v>
      </c>
      <c r="D50" s="16">
        <v>3.76</v>
      </c>
      <c r="E50" s="15">
        <f>D50*10000000000*SolarMass</f>
        <v>7.4790159999999995E+40</v>
      </c>
      <c r="F50" s="43"/>
      <c r="G50" s="43"/>
      <c r="H50" s="15"/>
      <c r="K50" s="15"/>
      <c r="L50" s="17"/>
      <c r="M50" s="45"/>
    </row>
    <row r="51" spans="1:29" x14ac:dyDescent="0.25">
      <c r="A51" s="16" t="s">
        <v>569</v>
      </c>
      <c r="D51" s="16">
        <v>5.7</v>
      </c>
      <c r="E51" s="15">
        <f>D51*1000</f>
        <v>5700</v>
      </c>
      <c r="H51" s="15"/>
      <c r="K51" s="15"/>
      <c r="L51" s="17"/>
      <c r="M51" s="45"/>
    </row>
    <row r="52" spans="1:29" x14ac:dyDescent="0.25">
      <c r="A52" s="16" t="s">
        <v>17</v>
      </c>
      <c r="D52" s="45">
        <v>11.4</v>
      </c>
      <c r="G52" s="16"/>
      <c r="H52" s="15"/>
      <c r="K52" s="15"/>
      <c r="L52" s="17"/>
      <c r="M52" s="45"/>
    </row>
    <row r="53" spans="1:29" x14ac:dyDescent="0.25">
      <c r="A53" s="16" t="s">
        <v>570</v>
      </c>
      <c r="D53" s="16">
        <v>38.9</v>
      </c>
      <c r="E53" s="17">
        <f>D53*1000</f>
        <v>38900</v>
      </c>
      <c r="H53" s="15"/>
      <c r="K53" s="15"/>
      <c r="L53" s="17"/>
      <c r="M53" s="45"/>
    </row>
    <row r="54" spans="1:29" x14ac:dyDescent="0.25">
      <c r="A54" s="16" t="s">
        <v>571</v>
      </c>
      <c r="D54" s="16">
        <v>41.2</v>
      </c>
      <c r="G54" s="9"/>
      <c r="H54" s="15"/>
      <c r="K54" s="15"/>
      <c r="L54" s="17"/>
      <c r="M54" s="45"/>
    </row>
    <row r="55" spans="1:29" x14ac:dyDescent="0.25">
      <c r="D55" s="12"/>
      <c r="H55" s="15"/>
      <c r="K55" s="15"/>
      <c r="L55" s="17"/>
      <c r="M55" s="45"/>
    </row>
    <row r="56" spans="1:29" x14ac:dyDescent="0.25">
      <c r="A56" s="16" t="s">
        <v>567</v>
      </c>
      <c r="D56" s="17">
        <f>(D52*10000000000)/(2*PI()*DiskScaleLengthPc^2)</f>
        <v>558.43839681366785</v>
      </c>
      <c r="H56" s="15"/>
      <c r="K56" s="15"/>
      <c r="L56" s="17"/>
      <c r="M56" s="45"/>
    </row>
    <row r="57" spans="1:29" x14ac:dyDescent="0.25">
      <c r="A57" s="16" t="s">
        <v>565</v>
      </c>
      <c r="D57" s="9">
        <f>(D54*10000000000)/(4*PI()*(LCDMHaloScaleLengthPc)^3*(LN(2)-1/2))</f>
        <v>2.8837006482491834E-3</v>
      </c>
      <c r="H57" s="15"/>
      <c r="K57" s="15"/>
      <c r="L57" s="17"/>
      <c r="M57" s="45"/>
    </row>
    <row r="58" spans="1:29" x14ac:dyDescent="0.25">
      <c r="H58" s="15"/>
      <c r="K58" s="15"/>
      <c r="L58" s="17"/>
      <c r="M58" s="45"/>
    </row>
    <row r="59" spans="1:29" ht="45" x14ac:dyDescent="0.25">
      <c r="A59" s="7" t="s">
        <v>20</v>
      </c>
      <c r="B59" s="3" t="s">
        <v>19</v>
      </c>
      <c r="C59" s="7" t="s">
        <v>27</v>
      </c>
      <c r="D59" s="4" t="s">
        <v>649</v>
      </c>
      <c r="E59" s="4" t="s">
        <v>21</v>
      </c>
      <c r="F59" s="4" t="s">
        <v>22</v>
      </c>
      <c r="G59" s="4" t="s">
        <v>28</v>
      </c>
      <c r="H59" s="4" t="s">
        <v>23</v>
      </c>
      <c r="I59" s="7" t="s">
        <v>645</v>
      </c>
      <c r="J59" s="7" t="s">
        <v>646</v>
      </c>
      <c r="K59" s="25" t="s">
        <v>647</v>
      </c>
      <c r="L59" s="3" t="s">
        <v>648</v>
      </c>
      <c r="M59" s="3"/>
      <c r="N59" s="3"/>
      <c r="O59" s="3"/>
      <c r="P59" s="3"/>
      <c r="Q59" s="3"/>
      <c r="R59" s="3"/>
      <c r="S59" s="3"/>
      <c r="T59" s="3"/>
      <c r="U59" s="3"/>
      <c r="V59" s="7"/>
      <c r="W59" s="7"/>
      <c r="X59" s="3"/>
      <c r="Y59" s="3"/>
      <c r="Z59" s="3"/>
      <c r="AA59" s="3"/>
      <c r="AB59" s="3"/>
      <c r="AC59" s="3"/>
    </row>
    <row r="60" spans="1:29" x14ac:dyDescent="0.25">
      <c r="A60" s="16">
        <v>0.09</v>
      </c>
      <c r="B60" s="45">
        <f>A60*1000</f>
        <v>90</v>
      </c>
      <c r="C60" s="16">
        <f>B60/LCDMBulgeEffectiveRadius</f>
        <v>8.6538461538461536E-2</v>
      </c>
      <c r="D60" s="15">
        <f>A60*kpc</f>
        <v>2.777109822E+18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2.745566909412308E+39</v>
      </c>
      <c r="F60" s="15">
        <f t="shared" ref="F60:F97" si="7">2*PI()*LCDMDiskSurfaceDensity*LCDMScaleLength*(LCDMScaleLength-EXP(-RadiusPc/LCDMScaleLength)*(RadiusPc+LCDMScaleLength))*SolarMass</f>
        <v>2.7970373738205284E+37</v>
      </c>
      <c r="G60" s="15">
        <f t="shared" ref="G60:G97" si="8">4*PI()*LCDMHaloRepresentativeDensity*LCDMHaloScaleLengthPc^3*(LN(1+RadiusPc/LCDMHaloScaleLengthPc)-RadiusPc/(RadiusPc+LCDMHaloScaleLengthPc))*SolarMass</f>
        <v>1.1320952642647913E+37</v>
      </c>
      <c r="H60" s="15">
        <f t="shared" ref="H60:H97" si="9">BulgeMass+DiskMass+HaloMass</f>
        <v>2.7848582357931617E+39</v>
      </c>
      <c r="I60" s="16">
        <v>251.82</v>
      </c>
      <c r="J60" s="45">
        <v>1</v>
      </c>
      <c r="K60" s="19">
        <f t="shared" ref="K60:K97" si="10">SQRT(TotalMass*GravitationalConstant/RadiusKm)/km</f>
        <v>258.7025579664043</v>
      </c>
      <c r="L60" s="16">
        <f t="shared" ref="L60:L97" si="11">(ObservedVelocity-ModelVelocity)^2/(VelocityError)^2</f>
        <v>47.36960416091538</v>
      </c>
      <c r="M60" s="45"/>
    </row>
    <row r="61" spans="1:29" x14ac:dyDescent="0.25">
      <c r="A61" s="16">
        <v>0.19</v>
      </c>
      <c r="B61" s="45">
        <f t="shared" ref="B61:B97" si="12">A61*1000</f>
        <v>190</v>
      </c>
      <c r="C61" s="16">
        <f t="shared" ref="C61:C97" si="13">B61/LCDMBulgeEffectiveRadius</f>
        <v>0.18269230769230768</v>
      </c>
      <c r="D61" s="15">
        <f t="shared" ref="D61:D97" si="14">A61*kpc</f>
        <v>5.862787402E+18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6.7394908979199987E+39</v>
      </c>
      <c r="F61" s="15">
        <f t="shared" si="7"/>
        <v>1.2321154378031909E+38</v>
      </c>
      <c r="G61" s="15">
        <f t="shared" si="8"/>
        <v>5.0283032986400865E+37</v>
      </c>
      <c r="H61" s="15">
        <f t="shared" si="9"/>
        <v>6.912985474686719E+39</v>
      </c>
      <c r="I61" s="16">
        <v>270.60000000000002</v>
      </c>
      <c r="J61" s="45">
        <v>1</v>
      </c>
      <c r="K61" s="19">
        <f t="shared" si="10"/>
        <v>280.5281535930722</v>
      </c>
      <c r="L61" s="16">
        <f t="shared" si="11"/>
        <v>98.568233767632066</v>
      </c>
      <c r="M61" s="45"/>
    </row>
    <row r="62" spans="1:29" x14ac:dyDescent="0.25">
      <c r="A62" s="16">
        <v>0.3</v>
      </c>
      <c r="B62" s="45">
        <f t="shared" si="12"/>
        <v>300</v>
      </c>
      <c r="C62" s="16">
        <f t="shared" si="13"/>
        <v>0.28846153846153844</v>
      </c>
      <c r="D62" s="15">
        <f t="shared" si="14"/>
        <v>9.25703274E+18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1.0946909151236923E+40</v>
      </c>
      <c r="F62" s="15">
        <f t="shared" si="7"/>
        <v>3.0326295591655642E+38</v>
      </c>
      <c r="G62" s="15">
        <f t="shared" si="8"/>
        <v>1.2489030504862985E+38</v>
      </c>
      <c r="H62" s="15">
        <f t="shared" si="9"/>
        <v>1.1375062412202108E+40</v>
      </c>
      <c r="I62" s="16">
        <v>257.14999999999998</v>
      </c>
      <c r="J62" s="45">
        <v>1</v>
      </c>
      <c r="K62" s="19">
        <f t="shared" si="10"/>
        <v>286.37605246555142</v>
      </c>
      <c r="L62" s="16">
        <f t="shared" si="11"/>
        <v>854.16214271916579</v>
      </c>
      <c r="M62" s="45"/>
    </row>
    <row r="63" spans="1:29" x14ac:dyDescent="0.25">
      <c r="A63" s="16">
        <v>0.42</v>
      </c>
      <c r="B63" s="45">
        <f t="shared" si="12"/>
        <v>420</v>
      </c>
      <c r="C63" s="16">
        <f t="shared" si="13"/>
        <v>0.40384615384615385</v>
      </c>
      <c r="D63" s="15">
        <f t="shared" si="14"/>
        <v>1.2959845836E+19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1.5144662214646151E+40</v>
      </c>
      <c r="F63" s="15">
        <f t="shared" si="7"/>
        <v>5.8615475225855203E+38</v>
      </c>
      <c r="G63" s="15">
        <f t="shared" si="8"/>
        <v>2.4378866881376154E+38</v>
      </c>
      <c r="H63" s="15">
        <f t="shared" si="9"/>
        <v>1.5974605635718465E+40</v>
      </c>
      <c r="I63" s="16">
        <v>249.9</v>
      </c>
      <c r="J63" s="45">
        <v>1</v>
      </c>
      <c r="K63" s="19">
        <f t="shared" si="10"/>
        <v>286.82094286232149</v>
      </c>
      <c r="L63" s="16">
        <f t="shared" si="11"/>
        <v>1363.1560218428076</v>
      </c>
      <c r="M63" s="45"/>
    </row>
    <row r="64" spans="1:29" x14ac:dyDescent="0.25">
      <c r="A64" s="16">
        <v>0.56000000000000005</v>
      </c>
      <c r="B64" s="45">
        <f t="shared" si="12"/>
        <v>560</v>
      </c>
      <c r="C64" s="16">
        <f t="shared" si="13"/>
        <v>0.53846153846153844</v>
      </c>
      <c r="D64" s="15">
        <f t="shared" si="14"/>
        <v>1.7279794448000002E+19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1.9471560625107691E+40</v>
      </c>
      <c r="F64" s="15">
        <f t="shared" si="7"/>
        <v>1.0252499195683978E+39</v>
      </c>
      <c r="G64" s="15">
        <f t="shared" si="8"/>
        <v>4.3135093720135542E+38</v>
      </c>
      <c r="H64" s="15">
        <f t="shared" si="9"/>
        <v>2.0928161481877445E+40</v>
      </c>
      <c r="I64" s="16">
        <v>246.46</v>
      </c>
      <c r="J64" s="45">
        <v>1</v>
      </c>
      <c r="K64" s="19">
        <f t="shared" si="10"/>
        <v>284.30988316654469</v>
      </c>
      <c r="L64" s="16">
        <f t="shared" si="11"/>
        <v>1432.6136557210828</v>
      </c>
      <c r="M64" s="45"/>
    </row>
    <row r="65" spans="1:13" x14ac:dyDescent="0.25">
      <c r="A65" s="16">
        <v>0.7</v>
      </c>
      <c r="B65" s="45">
        <f t="shared" si="12"/>
        <v>700</v>
      </c>
      <c r="C65" s="16">
        <f t="shared" si="13"/>
        <v>0.67307692307692313</v>
      </c>
      <c r="D65" s="15">
        <f t="shared" si="14"/>
        <v>2.1599743059999998E+19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2.3332861524123085E+40</v>
      </c>
      <c r="F65" s="15">
        <f t="shared" si="7"/>
        <v>1.5761752134542655E+39</v>
      </c>
      <c r="G65" s="15">
        <f t="shared" si="8"/>
        <v>6.708064324989099E+38</v>
      </c>
      <c r="H65" s="15">
        <f t="shared" si="9"/>
        <v>2.5579843170076262E+40</v>
      </c>
      <c r="I65" s="16">
        <v>242.89</v>
      </c>
      <c r="J65" s="45">
        <v>1</v>
      </c>
      <c r="K65" s="19">
        <f t="shared" si="10"/>
        <v>281.13851743531092</v>
      </c>
      <c r="L65" s="16">
        <f t="shared" si="11"/>
        <v>1462.9490859992843</v>
      </c>
      <c r="M65" s="45"/>
    </row>
    <row r="66" spans="1:13" x14ac:dyDescent="0.25">
      <c r="A66" s="16">
        <v>0.86</v>
      </c>
      <c r="B66" s="45">
        <f t="shared" si="12"/>
        <v>860</v>
      </c>
      <c r="C66" s="16">
        <f t="shared" si="13"/>
        <v>0.82692307692307687</v>
      </c>
      <c r="D66" s="15">
        <f t="shared" si="14"/>
        <v>2.6536827187999998E+19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2.7222295029476916E+40</v>
      </c>
      <c r="F66" s="15">
        <f t="shared" si="7"/>
        <v>2.3354559713530882E+39</v>
      </c>
      <c r="G66" s="15">
        <f t="shared" si="8"/>
        <v>1.0070690663166844E+39</v>
      </c>
      <c r="H66" s="15">
        <f t="shared" si="9"/>
        <v>3.0564820067146686E+40</v>
      </c>
      <c r="I66" s="16">
        <v>239.36</v>
      </c>
      <c r="J66" s="45">
        <v>1</v>
      </c>
      <c r="K66" s="19">
        <f t="shared" si="10"/>
        <v>277.25674969255846</v>
      </c>
      <c r="L66" s="16">
        <f t="shared" si="11"/>
        <v>1436.1636372604285</v>
      </c>
      <c r="M66" s="45"/>
    </row>
    <row r="67" spans="1:13" x14ac:dyDescent="0.25">
      <c r="A67" s="16">
        <v>1.04</v>
      </c>
      <c r="B67" s="45">
        <f t="shared" si="12"/>
        <v>1040</v>
      </c>
      <c r="C67" s="16">
        <f t="shared" si="13"/>
        <v>1</v>
      </c>
      <c r="D67" s="15">
        <f t="shared" si="14"/>
        <v>3.2091046832E+19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3.1064840857599993E+40</v>
      </c>
      <c r="F67" s="15">
        <f t="shared" si="7"/>
        <v>3.3452362937113065E+39</v>
      </c>
      <c r="G67" s="15">
        <f t="shared" si="8"/>
        <v>1.4638891428936523E+39</v>
      </c>
      <c r="H67" s="15">
        <f t="shared" si="9"/>
        <v>3.5873966294204951E+40</v>
      </c>
      <c r="I67" s="16">
        <v>236.88</v>
      </c>
      <c r="J67" s="45">
        <v>1</v>
      </c>
      <c r="K67" s="19">
        <f t="shared" si="10"/>
        <v>273.14512876683307</v>
      </c>
      <c r="L67" s="16">
        <f t="shared" si="11"/>
        <v>1315.1595644749837</v>
      </c>
      <c r="M67" s="45"/>
    </row>
    <row r="68" spans="1:13" x14ac:dyDescent="0.25">
      <c r="A68" s="16">
        <v>1.23</v>
      </c>
      <c r="B68" s="45">
        <f t="shared" si="12"/>
        <v>1230</v>
      </c>
      <c r="C68" s="16">
        <f t="shared" si="13"/>
        <v>1.1826923076923077</v>
      </c>
      <c r="D68" s="15">
        <f t="shared" si="14"/>
        <v>3.7953834233999999E+19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3.4575634795230768E+40</v>
      </c>
      <c r="F68" s="15">
        <f t="shared" si="7"/>
        <v>4.5780611962772623E+39</v>
      </c>
      <c r="G68" s="15">
        <f t="shared" si="8"/>
        <v>2.0346841872733449E+39</v>
      </c>
      <c r="H68" s="15">
        <f t="shared" si="9"/>
        <v>4.1188380178781373E+40</v>
      </c>
      <c r="I68" s="16">
        <v>235.82</v>
      </c>
      <c r="J68" s="45">
        <v>1</v>
      </c>
      <c r="K68" s="19">
        <f t="shared" si="10"/>
        <v>269.12573702506455</v>
      </c>
      <c r="L68" s="16">
        <f t="shared" si="11"/>
        <v>1109.2721187827563</v>
      </c>
      <c r="M68" s="45"/>
    </row>
    <row r="69" spans="1:13" x14ac:dyDescent="0.25">
      <c r="A69" s="16">
        <v>1.45</v>
      </c>
      <c r="B69" s="45">
        <f t="shared" si="12"/>
        <v>1450</v>
      </c>
      <c r="C69" s="16">
        <f t="shared" si="13"/>
        <v>1.3942307692307692</v>
      </c>
      <c r="D69" s="15">
        <f t="shared" si="14"/>
        <v>4.4742324909999997E+19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3.8120860971907679E+40</v>
      </c>
      <c r="F69" s="15">
        <f t="shared" si="7"/>
        <v>6.2037578236454305E+39</v>
      </c>
      <c r="G69" s="15">
        <f t="shared" si="8"/>
        <v>2.8070361694660704E+39</v>
      </c>
      <c r="H69" s="15">
        <f t="shared" si="9"/>
        <v>4.7131654965019178E+40</v>
      </c>
      <c r="I69" s="16">
        <v>236.95</v>
      </c>
      <c r="J69" s="45">
        <v>1</v>
      </c>
      <c r="K69" s="19">
        <f t="shared" si="10"/>
        <v>265.15069833655565</v>
      </c>
      <c r="L69" s="16">
        <f t="shared" si="11"/>
        <v>795.27938666941316</v>
      </c>
      <c r="M69" s="45"/>
    </row>
    <row r="70" spans="1:13" x14ac:dyDescent="0.25">
      <c r="A70" s="16">
        <v>1.68</v>
      </c>
      <c r="B70" s="45">
        <f t="shared" si="12"/>
        <v>1680</v>
      </c>
      <c r="C70" s="16">
        <f t="shared" si="13"/>
        <v>1.6153846153846154</v>
      </c>
      <c r="D70" s="15">
        <f t="shared" si="14"/>
        <v>5.1839383344E+19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4.1317133521292312E+40</v>
      </c>
      <c r="F70" s="15">
        <f t="shared" si="7"/>
        <v>8.1119768801609778E+39</v>
      </c>
      <c r="G70" s="15">
        <f t="shared" si="8"/>
        <v>3.7396279610020275E+39</v>
      </c>
      <c r="H70" s="15">
        <f t="shared" si="9"/>
        <v>5.3168738362455314E+40</v>
      </c>
      <c r="I70" s="16">
        <v>240.57</v>
      </c>
      <c r="J70" s="45">
        <v>1</v>
      </c>
      <c r="K70" s="19">
        <f t="shared" si="10"/>
        <v>261.63387182479312</v>
      </c>
      <c r="L70" s="16">
        <f t="shared" si="11"/>
        <v>443.68669625131366</v>
      </c>
      <c r="M70" s="45"/>
    </row>
    <row r="71" spans="1:13" x14ac:dyDescent="0.25">
      <c r="A71" s="16">
        <v>1.94</v>
      </c>
      <c r="B71" s="45">
        <f t="shared" si="12"/>
        <v>1940</v>
      </c>
      <c r="C71" s="16">
        <f t="shared" si="13"/>
        <v>1.8653846153846154</v>
      </c>
      <c r="D71" s="15">
        <f t="shared" si="14"/>
        <v>5.9862145052000002E+19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4.4434818871784615E+40</v>
      </c>
      <c r="F71" s="15">
        <f t="shared" si="7"/>
        <v>1.0501749560999853E+40</v>
      </c>
      <c r="G71" s="15">
        <f t="shared" si="8"/>
        <v>4.9442566364582996E+39</v>
      </c>
      <c r="H71" s="15">
        <f t="shared" si="9"/>
        <v>5.9880825069242777E+40</v>
      </c>
      <c r="I71" s="16">
        <v>245.33</v>
      </c>
      <c r="J71" s="45">
        <v>1</v>
      </c>
      <c r="K71" s="19">
        <f t="shared" si="10"/>
        <v>258.38271324824967</v>
      </c>
      <c r="L71" s="16">
        <f t="shared" si="11"/>
        <v>170.37332314103219</v>
      </c>
      <c r="M71" s="45"/>
    </row>
    <row r="72" spans="1:13" x14ac:dyDescent="0.25">
      <c r="A72" s="16">
        <v>2.23</v>
      </c>
      <c r="B72" s="45">
        <f t="shared" si="12"/>
        <v>2230</v>
      </c>
      <c r="C72" s="16">
        <f t="shared" si="13"/>
        <v>2.1442307692307692</v>
      </c>
      <c r="D72" s="15">
        <f t="shared" si="14"/>
        <v>6.8810610034000003E+19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4.7417018970892306E+40</v>
      </c>
      <c r="F72" s="15">
        <f t="shared" si="7"/>
        <v>1.3427559658106716E+40</v>
      </c>
      <c r="G72" s="15">
        <f t="shared" si="8"/>
        <v>6.471308660431981E+39</v>
      </c>
      <c r="H72" s="15">
        <f t="shared" si="9"/>
        <v>6.7315887289431009E+40</v>
      </c>
      <c r="I72" s="16">
        <v>249.69</v>
      </c>
      <c r="J72" s="45">
        <v>1</v>
      </c>
      <c r="K72" s="19">
        <f t="shared" si="10"/>
        <v>255.52111112524969</v>
      </c>
      <c r="L72" s="16">
        <f t="shared" si="11"/>
        <v>34.001856955010723</v>
      </c>
      <c r="M72" s="45"/>
    </row>
    <row r="73" spans="1:13" x14ac:dyDescent="0.25">
      <c r="A73" s="16">
        <v>2.54</v>
      </c>
      <c r="B73" s="45">
        <f t="shared" si="12"/>
        <v>2540</v>
      </c>
      <c r="C73" s="16">
        <f t="shared" si="13"/>
        <v>2.4423076923076925</v>
      </c>
      <c r="D73" s="15">
        <f t="shared" si="14"/>
        <v>7.8376210532000006E+19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5.0139409560338456E+40</v>
      </c>
      <c r="F73" s="15">
        <f t="shared" si="7"/>
        <v>1.682179149811902E+40</v>
      </c>
      <c r="G73" s="15">
        <f t="shared" si="8"/>
        <v>8.3115146138356038E+39</v>
      </c>
      <c r="H73" s="15">
        <f t="shared" si="9"/>
        <v>7.5272715672293075E+40</v>
      </c>
      <c r="I73" s="16">
        <v>253.38</v>
      </c>
      <c r="J73" s="45">
        <v>1</v>
      </c>
      <c r="K73" s="19">
        <f t="shared" si="10"/>
        <v>253.17590179424437</v>
      </c>
      <c r="L73" s="16">
        <f t="shared" si="11"/>
        <v>4.1656077592666561E-2</v>
      </c>
      <c r="M73" s="45"/>
    </row>
    <row r="74" spans="1:13" x14ac:dyDescent="0.25">
      <c r="A74" s="16">
        <v>2.89</v>
      </c>
      <c r="B74" s="45">
        <f t="shared" si="12"/>
        <v>2890</v>
      </c>
      <c r="C74" s="16">
        <f t="shared" si="13"/>
        <v>2.7788461538461537</v>
      </c>
      <c r="D74" s="15">
        <f t="shared" si="14"/>
        <v>8.9176082061999997E+19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5.275341194867693E+40</v>
      </c>
      <c r="F74" s="15">
        <f t="shared" si="7"/>
        <v>2.0938688344485538E+40</v>
      </c>
      <c r="G74" s="15">
        <f t="shared" si="8"/>
        <v>1.0639245317884263E+40</v>
      </c>
      <c r="H74" s="15">
        <f t="shared" si="9"/>
        <v>8.4331345611046735E+40</v>
      </c>
      <c r="I74" s="16">
        <v>257.31</v>
      </c>
      <c r="J74" s="45">
        <v>1</v>
      </c>
      <c r="K74" s="19">
        <f t="shared" si="10"/>
        <v>251.22683392634028</v>
      </c>
      <c r="L74" s="16">
        <f t="shared" si="11"/>
        <v>37.004909479724681</v>
      </c>
      <c r="M74" s="45"/>
    </row>
    <row r="75" spans="1:13" x14ac:dyDescent="0.25">
      <c r="A75" s="16">
        <v>3.27</v>
      </c>
      <c r="B75" s="45">
        <f t="shared" si="12"/>
        <v>3270</v>
      </c>
      <c r="C75" s="16">
        <f t="shared" si="13"/>
        <v>3.1442307692307692</v>
      </c>
      <c r="D75" s="15">
        <f t="shared" si="14"/>
        <v>1.0090165686599999E+20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5.5150724231138458E+40</v>
      </c>
      <c r="F75" s="15">
        <f t="shared" si="7"/>
        <v>2.5694857932088293E+40</v>
      </c>
      <c r="G75" s="15">
        <f t="shared" si="8"/>
        <v>1.3456609293237693E+40</v>
      </c>
      <c r="H75" s="15">
        <f t="shared" si="9"/>
        <v>9.4302191456464444E+40</v>
      </c>
      <c r="I75" s="16">
        <v>258.36</v>
      </c>
      <c r="J75" s="45">
        <v>1</v>
      </c>
      <c r="K75" s="19">
        <f t="shared" si="10"/>
        <v>249.75112193723496</v>
      </c>
      <c r="L75" s="16">
        <f t="shared" si="11"/>
        <v>74.112781499557457</v>
      </c>
      <c r="M75" s="45"/>
    </row>
    <row r="76" spans="1:13" x14ac:dyDescent="0.25">
      <c r="A76" s="16">
        <v>3.69</v>
      </c>
      <c r="B76" s="45">
        <f t="shared" si="12"/>
        <v>3690</v>
      </c>
      <c r="C76" s="16">
        <f t="shared" si="13"/>
        <v>3.5480769230769229</v>
      </c>
      <c r="D76" s="15">
        <f t="shared" si="14"/>
        <v>1.13861502702E+20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5.7382002358400002E+40</v>
      </c>
      <c r="F76" s="15">
        <f t="shared" si="7"/>
        <v>3.123177972279262E+40</v>
      </c>
      <c r="G76" s="15">
        <f t="shared" si="8"/>
        <v>1.6908811055081897E+40</v>
      </c>
      <c r="H76" s="15">
        <f t="shared" si="9"/>
        <v>1.0552259313627452E+41</v>
      </c>
      <c r="I76" s="16">
        <v>256.83999999999997</v>
      </c>
      <c r="J76" s="45">
        <v>1</v>
      </c>
      <c r="K76" s="19">
        <f t="shared" si="10"/>
        <v>248.70239985817841</v>
      </c>
      <c r="L76" s="16">
        <f t="shared" si="11"/>
        <v>66.220536068174354</v>
      </c>
      <c r="M76" s="45"/>
    </row>
    <row r="77" spans="1:13" x14ac:dyDescent="0.25">
      <c r="A77" s="16">
        <v>4.1500000000000004</v>
      </c>
      <c r="B77" s="45">
        <f t="shared" si="12"/>
        <v>4150</v>
      </c>
      <c r="C77" s="16">
        <f t="shared" si="13"/>
        <v>3.9903846153846154</v>
      </c>
      <c r="D77" s="15">
        <f t="shared" si="14"/>
        <v>1.2805561957E+20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5.9430361013569227E+40</v>
      </c>
      <c r="F77" s="15">
        <f t="shared" si="7"/>
        <v>3.7555286281647887E+40</v>
      </c>
      <c r="G77" s="15">
        <f t="shared" si="8"/>
        <v>2.1080743877879654E+40</v>
      </c>
      <c r="H77" s="15">
        <f t="shared" si="9"/>
        <v>1.1806639117309677E+41</v>
      </c>
      <c r="I77" s="16">
        <v>255.04</v>
      </c>
      <c r="J77" s="45">
        <v>1</v>
      </c>
      <c r="K77" s="19">
        <f t="shared" si="10"/>
        <v>248.06159256869887</v>
      </c>
      <c r="L77" s="16">
        <f t="shared" si="11"/>
        <v>48.698170277238717</v>
      </c>
      <c r="M77" s="45"/>
    </row>
    <row r="78" spans="1:13" x14ac:dyDescent="0.25">
      <c r="A78" s="16">
        <v>4.6500000000000004</v>
      </c>
      <c r="B78" s="45">
        <f t="shared" si="12"/>
        <v>4650</v>
      </c>
      <c r="C78" s="16">
        <f t="shared" si="13"/>
        <v>4.4711538461538458</v>
      </c>
      <c r="D78" s="15">
        <f t="shared" si="14"/>
        <v>1.4348400747000001E+20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6.1286034327676924E+40</v>
      </c>
      <c r="F78" s="15">
        <f t="shared" si="7"/>
        <v>4.4647273505929743E+40</v>
      </c>
      <c r="G78" s="15">
        <f t="shared" si="8"/>
        <v>2.6058479596794215E+40</v>
      </c>
      <c r="H78" s="15">
        <f t="shared" si="9"/>
        <v>1.3199178743040088E+41</v>
      </c>
      <c r="I78" s="16">
        <v>252.83</v>
      </c>
      <c r="J78" s="45">
        <v>1</v>
      </c>
      <c r="K78" s="19">
        <f t="shared" si="10"/>
        <v>247.78066270092702</v>
      </c>
      <c r="L78" s="16">
        <f t="shared" si="11"/>
        <v>25.495807159809697</v>
      </c>
      <c r="M78" s="45"/>
    </row>
    <row r="79" spans="1:13" x14ac:dyDescent="0.25">
      <c r="A79" s="16">
        <v>5.21</v>
      </c>
      <c r="B79" s="45">
        <f t="shared" si="12"/>
        <v>5210</v>
      </c>
      <c r="C79" s="16">
        <f t="shared" si="13"/>
        <v>5.009615384615385</v>
      </c>
      <c r="D79" s="15">
        <f t="shared" si="14"/>
        <v>1.6076380191800001E+20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6.3007646279984613E+40</v>
      </c>
      <c r="F79" s="15">
        <f t="shared" si="7"/>
        <v>5.2756710681274922E+40</v>
      </c>
      <c r="G79" s="15">
        <f t="shared" si="8"/>
        <v>3.2154832893285124E+40</v>
      </c>
      <c r="H79" s="15">
        <f t="shared" si="9"/>
        <v>1.4791918985454467E+41</v>
      </c>
      <c r="I79" s="16">
        <v>250.62</v>
      </c>
      <c r="J79" s="45">
        <v>1</v>
      </c>
      <c r="K79" s="19">
        <f t="shared" si="10"/>
        <v>247.80714812362555</v>
      </c>
      <c r="L79" s="16">
        <f t="shared" si="11"/>
        <v>7.9121356784232777</v>
      </c>
      <c r="M79" s="45"/>
    </row>
    <row r="80" spans="1:13" x14ac:dyDescent="0.25">
      <c r="A80" s="16">
        <v>5.82</v>
      </c>
      <c r="B80" s="45">
        <f t="shared" si="12"/>
        <v>5820</v>
      </c>
      <c r="C80" s="16">
        <f t="shared" si="13"/>
        <v>5.5961538461538458</v>
      </c>
      <c r="D80" s="15">
        <f t="shared" si="14"/>
        <v>1.7958643515600001E+20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6.4463163472646149E+40</v>
      </c>
      <c r="F80" s="15">
        <f t="shared" si="7"/>
        <v>6.1674698033086705E+40</v>
      </c>
      <c r="G80" s="15">
        <f t="shared" si="8"/>
        <v>3.9389057507559591E+40</v>
      </c>
      <c r="H80" s="15">
        <f t="shared" si="9"/>
        <v>1.6552691901329245E+41</v>
      </c>
      <c r="I80" s="16">
        <v>248.36</v>
      </c>
      <c r="J80" s="45">
        <v>1</v>
      </c>
      <c r="K80" s="19">
        <f t="shared" si="10"/>
        <v>248.02374168356414</v>
      </c>
      <c r="L80" s="16">
        <f t="shared" si="11"/>
        <v>0.1130696553722883</v>
      </c>
      <c r="M80" s="45"/>
    </row>
    <row r="81" spans="1:13" x14ac:dyDescent="0.25">
      <c r="A81" s="16">
        <v>6.49</v>
      </c>
      <c r="B81" s="45">
        <f t="shared" si="12"/>
        <v>6490</v>
      </c>
      <c r="C81" s="16">
        <f t="shared" si="13"/>
        <v>6.240384615384615</v>
      </c>
      <c r="D81" s="15">
        <f t="shared" si="14"/>
        <v>2.0026047494200001E+20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6.5902198064661531E+40</v>
      </c>
      <c r="F81" s="15">
        <f t="shared" si="7"/>
        <v>7.1445710005842633E+40</v>
      </c>
      <c r="G81" s="15">
        <f t="shared" si="8"/>
        <v>4.8006713568748034E+40</v>
      </c>
      <c r="H81" s="15">
        <f t="shared" si="9"/>
        <v>1.8535462163925222E+41</v>
      </c>
      <c r="I81" s="16">
        <v>247.03</v>
      </c>
      <c r="J81" s="45">
        <v>1</v>
      </c>
      <c r="K81" s="19">
        <f t="shared" si="10"/>
        <v>248.54200228788531</v>
      </c>
      <c r="L81" s="16">
        <f t="shared" si="11"/>
        <v>2.2861509185704096</v>
      </c>
      <c r="M81" s="45"/>
    </row>
    <row r="82" spans="1:13" x14ac:dyDescent="0.25">
      <c r="A82" s="16">
        <v>7.23</v>
      </c>
      <c r="B82" s="45">
        <f t="shared" si="12"/>
        <v>7230</v>
      </c>
      <c r="C82" s="16">
        <f t="shared" si="13"/>
        <v>6.9519230769230766</v>
      </c>
      <c r="D82" s="15">
        <f t="shared" si="14"/>
        <v>2.2309448903400001E+20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6.7195348696507689E+40</v>
      </c>
      <c r="F82" s="15">
        <f t="shared" si="7"/>
        <v>8.2074610289347155E+40</v>
      </c>
      <c r="G82" s="15">
        <f t="shared" si="8"/>
        <v>5.8290460306471306E+40</v>
      </c>
      <c r="H82" s="15">
        <f t="shared" si="9"/>
        <v>2.0756041929232618E+41</v>
      </c>
      <c r="I82" s="16">
        <v>247.35</v>
      </c>
      <c r="J82" s="45">
        <v>1</v>
      </c>
      <c r="K82" s="19">
        <f t="shared" si="10"/>
        <v>249.18595055765962</v>
      </c>
      <c r="L82" s="16">
        <f t="shared" si="11"/>
        <v>3.3707144501707029</v>
      </c>
      <c r="M82" s="45"/>
    </row>
    <row r="83" spans="1:13" x14ac:dyDescent="0.25">
      <c r="A83" s="16">
        <v>8.0500000000000007</v>
      </c>
      <c r="B83" s="45">
        <f t="shared" si="12"/>
        <v>8050.0000000000009</v>
      </c>
      <c r="C83" s="16">
        <f t="shared" si="13"/>
        <v>7.7403846153846159</v>
      </c>
      <c r="D83" s="15">
        <f t="shared" si="14"/>
        <v>2.4839704519000002E+20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6.8296612228423075E+40</v>
      </c>
      <c r="F83" s="15">
        <f t="shared" si="7"/>
        <v>9.3514647537545858E+40</v>
      </c>
      <c r="G83" s="15">
        <f t="shared" si="8"/>
        <v>7.055967359090089E+40</v>
      </c>
      <c r="H83" s="15">
        <f t="shared" si="9"/>
        <v>2.323709333568698E+41</v>
      </c>
      <c r="I83" s="16">
        <v>249.4</v>
      </c>
      <c r="J83" s="45">
        <v>1</v>
      </c>
      <c r="K83" s="19">
        <f t="shared" si="10"/>
        <v>249.86958330971424</v>
      </c>
      <c r="L83" s="16">
        <f t="shared" si="11"/>
        <v>0.2205084847621783</v>
      </c>
      <c r="M83" s="45"/>
    </row>
    <row r="84" spans="1:13" x14ac:dyDescent="0.25">
      <c r="A84" s="16">
        <v>8.94</v>
      </c>
      <c r="B84" s="45">
        <f t="shared" si="12"/>
        <v>8940</v>
      </c>
      <c r="C84" s="16">
        <f t="shared" si="13"/>
        <v>8.5961538461538467</v>
      </c>
      <c r="D84" s="15">
        <f t="shared" si="14"/>
        <v>2.7585957565199997E+20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6.9280354530076919E+40</v>
      </c>
      <c r="F84" s="15">
        <f t="shared" si="7"/>
        <v>1.0539865369764282E+41</v>
      </c>
      <c r="G84" s="15">
        <f t="shared" si="8"/>
        <v>8.4837090932070111E+40</v>
      </c>
      <c r="H84" s="15">
        <f t="shared" si="9"/>
        <v>2.5951609915978984E+41</v>
      </c>
      <c r="I84" s="16">
        <v>252.14</v>
      </c>
      <c r="J84" s="45">
        <v>1</v>
      </c>
      <c r="K84" s="19">
        <f t="shared" si="10"/>
        <v>250.57274141307821</v>
      </c>
      <c r="L84" s="16">
        <f t="shared" si="11"/>
        <v>2.4562994782800582</v>
      </c>
      <c r="M84" s="45"/>
    </row>
    <row r="85" spans="1:13" x14ac:dyDescent="0.25">
      <c r="A85" s="16">
        <v>9.93</v>
      </c>
      <c r="B85" s="45">
        <f t="shared" si="12"/>
        <v>9930</v>
      </c>
      <c r="C85" s="16">
        <f t="shared" si="13"/>
        <v>9.5480769230769234</v>
      </c>
      <c r="D85" s="15">
        <f t="shared" si="14"/>
        <v>3.06407783694E+20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7.0159282737307686E+40</v>
      </c>
      <c r="F85" s="15">
        <f t="shared" si="7"/>
        <v>1.1784962426029178E+41</v>
      </c>
      <c r="G85" s="15">
        <f t="shared" si="8"/>
        <v>1.0179643583280565E+41</v>
      </c>
      <c r="H85" s="15">
        <f t="shared" si="9"/>
        <v>2.8980534283040511E+41</v>
      </c>
      <c r="I85" s="16">
        <v>254.93</v>
      </c>
      <c r="J85" s="45">
        <v>1</v>
      </c>
      <c r="K85" s="19">
        <f t="shared" si="10"/>
        <v>251.24591031656931</v>
      </c>
      <c r="L85" s="16">
        <f t="shared" si="11"/>
        <v>13.572516795560507</v>
      </c>
      <c r="M85" s="45"/>
    </row>
    <row r="86" spans="1:13" x14ac:dyDescent="0.25">
      <c r="A86" s="16">
        <v>11.01</v>
      </c>
      <c r="B86" s="45">
        <f t="shared" si="12"/>
        <v>11010</v>
      </c>
      <c r="C86" s="16">
        <f t="shared" si="13"/>
        <v>10.586538461538462</v>
      </c>
      <c r="D86" s="15">
        <f t="shared" si="14"/>
        <v>3.3973310155799999E+20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7.0919136380184611E+40</v>
      </c>
      <c r="F86" s="15">
        <f t="shared" si="7"/>
        <v>1.3042131684276183E+41</v>
      </c>
      <c r="G86" s="15">
        <f t="shared" si="8"/>
        <v>1.2147521884597004E+41</v>
      </c>
      <c r="H86" s="15">
        <f t="shared" si="9"/>
        <v>3.2281567206891649E+41</v>
      </c>
      <c r="I86" s="16">
        <v>258.08</v>
      </c>
      <c r="J86" s="45">
        <v>1</v>
      </c>
      <c r="K86" s="19">
        <f t="shared" si="10"/>
        <v>251.82803540161476</v>
      </c>
      <c r="L86" s="16">
        <f t="shared" si="11"/>
        <v>39.087061339462174</v>
      </c>
      <c r="M86" s="45"/>
    </row>
    <row r="87" spans="1:13" x14ac:dyDescent="0.25">
      <c r="A87" s="16">
        <v>12.2</v>
      </c>
      <c r="B87" s="45">
        <f t="shared" si="12"/>
        <v>12200</v>
      </c>
      <c r="C87" s="16">
        <f t="shared" si="13"/>
        <v>11.73076923076923</v>
      </c>
      <c r="D87" s="15">
        <f t="shared" si="14"/>
        <v>3.7645266475999999E+20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7.1579849912892303E+40</v>
      </c>
      <c r="F87" s="15">
        <f t="shared" si="7"/>
        <v>1.4300503707503537E+41</v>
      </c>
      <c r="G87" s="15">
        <f t="shared" si="8"/>
        <v>1.4444062727844738E+41</v>
      </c>
      <c r="H87" s="15">
        <f t="shared" si="9"/>
        <v>3.5902551426637509E+41</v>
      </c>
      <c r="I87" s="16">
        <v>261.08</v>
      </c>
      <c r="J87" s="45">
        <v>1</v>
      </c>
      <c r="K87" s="19">
        <f t="shared" si="10"/>
        <v>252.29182172332662</v>
      </c>
      <c r="L87" s="16">
        <f t="shared" si="11"/>
        <v>77.232077422593605</v>
      </c>
      <c r="M87" s="45"/>
    </row>
    <row r="88" spans="1:13" x14ac:dyDescent="0.25">
      <c r="A88" s="16">
        <v>13.51</v>
      </c>
      <c r="B88" s="45">
        <f t="shared" si="12"/>
        <v>13510</v>
      </c>
      <c r="C88" s="16">
        <f t="shared" si="13"/>
        <v>12.990384615384615</v>
      </c>
      <c r="D88" s="15">
        <f t="shared" si="14"/>
        <v>4.1687504105800001E+20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7.2152627476707687E+40</v>
      </c>
      <c r="F88" s="15">
        <f t="shared" si="7"/>
        <v>1.5533081872227713E+41</v>
      </c>
      <c r="G88" s="15">
        <f t="shared" si="8"/>
        <v>1.7110841737652606E+41</v>
      </c>
      <c r="H88" s="15">
        <f t="shared" si="9"/>
        <v>3.9859186357551093E+41</v>
      </c>
      <c r="I88" s="16">
        <v>264.10000000000002</v>
      </c>
      <c r="J88" s="45">
        <v>1</v>
      </c>
      <c r="K88" s="19">
        <f t="shared" si="10"/>
        <v>252.61374170272168</v>
      </c>
      <c r="L88" s="16">
        <f t="shared" si="11"/>
        <v>131.93412967179552</v>
      </c>
      <c r="M88" s="45"/>
    </row>
    <row r="89" spans="1:13" x14ac:dyDescent="0.25">
      <c r="A89" s="16">
        <v>14.95</v>
      </c>
      <c r="B89" s="45">
        <f t="shared" si="12"/>
        <v>14950</v>
      </c>
      <c r="C89" s="16">
        <f t="shared" si="13"/>
        <v>14.375</v>
      </c>
      <c r="D89" s="15">
        <f t="shared" si="14"/>
        <v>4.6130879820999996E+20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7.2626667646599999E+40</v>
      </c>
      <c r="F89" s="15">
        <f t="shared" si="7"/>
        <v>1.6711761705046803E+41</v>
      </c>
      <c r="G89" s="15">
        <f t="shared" si="8"/>
        <v>2.019001699594428E+41</v>
      </c>
      <c r="H89" s="15">
        <f t="shared" si="9"/>
        <v>4.4164445465651083E+41</v>
      </c>
      <c r="I89" s="16">
        <v>266.83999999999997</v>
      </c>
      <c r="J89" s="45">
        <v>1</v>
      </c>
      <c r="K89" s="19">
        <f t="shared" si="10"/>
        <v>252.77622636774322</v>
      </c>
      <c r="L89" s="16">
        <f t="shared" si="11"/>
        <v>197.78972877936036</v>
      </c>
      <c r="M89" s="45"/>
    </row>
    <row r="90" spans="1:13" x14ac:dyDescent="0.25">
      <c r="A90" s="16">
        <v>16.54</v>
      </c>
      <c r="B90" s="45">
        <f t="shared" si="12"/>
        <v>16540</v>
      </c>
      <c r="C90" s="16">
        <f t="shared" si="13"/>
        <v>15.903846153846153</v>
      </c>
      <c r="D90" s="15">
        <f t="shared" si="14"/>
        <v>5.1037107173199997E+20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7.2980082794590764E+40</v>
      </c>
      <c r="F90" s="15">
        <f t="shared" si="7"/>
        <v>1.7816084555983243E+41</v>
      </c>
      <c r="G90" s="15">
        <f t="shared" si="8"/>
        <v>2.3746195690293531E+41</v>
      </c>
      <c r="H90" s="15">
        <f t="shared" si="9"/>
        <v>4.8860288525735853E+41</v>
      </c>
      <c r="I90" s="16">
        <v>269.02999999999997</v>
      </c>
      <c r="J90" s="45">
        <v>1</v>
      </c>
      <c r="K90" s="19">
        <f t="shared" si="10"/>
        <v>252.77300564701699</v>
      </c>
      <c r="L90" s="16">
        <f t="shared" si="11"/>
        <v>264.28986539292066</v>
      </c>
      <c r="M90" s="45"/>
    </row>
    <row r="91" spans="1:13" x14ac:dyDescent="0.25">
      <c r="A91" s="16">
        <v>18.29</v>
      </c>
      <c r="B91" s="45">
        <f t="shared" si="12"/>
        <v>18290</v>
      </c>
      <c r="C91" s="16">
        <f t="shared" si="13"/>
        <v>17.58653846153846</v>
      </c>
      <c r="D91" s="15">
        <f t="shared" si="14"/>
        <v>5.6437042938199998E+20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7.3291684490052306E+40</v>
      </c>
      <c r="F91" s="15">
        <f t="shared" si="7"/>
        <v>1.8819492336715941E+41</v>
      </c>
      <c r="G91" s="15">
        <f t="shared" si="8"/>
        <v>2.7822415285205066E+41</v>
      </c>
      <c r="H91" s="15">
        <f t="shared" si="9"/>
        <v>5.3971076070926241E+41</v>
      </c>
      <c r="I91" s="16">
        <v>271.18</v>
      </c>
      <c r="J91" s="45">
        <v>1</v>
      </c>
      <c r="K91" s="19">
        <f t="shared" si="10"/>
        <v>252.63534896377021</v>
      </c>
      <c r="L91" s="16">
        <f t="shared" si="11"/>
        <v>343.90408205553877</v>
      </c>
      <c r="M91" s="45"/>
    </row>
    <row r="92" spans="1:13" x14ac:dyDescent="0.25">
      <c r="A92" s="16">
        <v>20.2</v>
      </c>
      <c r="B92" s="45">
        <f t="shared" si="12"/>
        <v>20200</v>
      </c>
      <c r="C92" s="16">
        <f t="shared" si="13"/>
        <v>19.423076923076923</v>
      </c>
      <c r="D92" s="15">
        <f t="shared" si="14"/>
        <v>6.2330687115999995E+20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7.3631775483384611E+40</v>
      </c>
      <c r="F92" s="15">
        <f t="shared" si="7"/>
        <v>1.9697856613189895E+41</v>
      </c>
      <c r="G92" s="15">
        <f t="shared" si="8"/>
        <v>3.2434243393383901E+41</v>
      </c>
      <c r="H92" s="15">
        <f t="shared" si="9"/>
        <v>5.9495277554912262E+41</v>
      </c>
      <c r="I92" s="16">
        <v>272.79000000000002</v>
      </c>
      <c r="J92" s="45">
        <v>1</v>
      </c>
      <c r="K92" s="19">
        <f t="shared" si="10"/>
        <v>252.39804942118687</v>
      </c>
      <c r="L92" s="16">
        <f t="shared" si="11"/>
        <v>415.83164840875804</v>
      </c>
      <c r="M92" s="45"/>
    </row>
    <row r="93" spans="1:13" x14ac:dyDescent="0.25">
      <c r="A93" s="16">
        <v>22.32</v>
      </c>
      <c r="B93" s="45">
        <f t="shared" si="12"/>
        <v>22320</v>
      </c>
      <c r="C93" s="16">
        <f t="shared" si="13"/>
        <v>21.46153846153846</v>
      </c>
      <c r="D93" s="15">
        <f t="shared" si="14"/>
        <v>6.8872323585599996E+20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7.386103608923076E+40</v>
      </c>
      <c r="F93" s="15">
        <f t="shared" si="7"/>
        <v>2.0454737827858307E+41</v>
      </c>
      <c r="G93" s="15">
        <f t="shared" si="8"/>
        <v>3.7716619671616766E+41</v>
      </c>
      <c r="H93" s="15">
        <f t="shared" si="9"/>
        <v>6.5557461108398146E+41</v>
      </c>
      <c r="I93" s="16">
        <v>273.61</v>
      </c>
      <c r="J93" s="45">
        <v>1</v>
      </c>
      <c r="K93" s="19">
        <f t="shared" si="10"/>
        <v>252.04866378318485</v>
      </c>
      <c r="L93" s="16">
        <f t="shared" si="11"/>
        <v>464.89121945454525</v>
      </c>
      <c r="M93" s="45"/>
    </row>
    <row r="94" spans="1:13" x14ac:dyDescent="0.25">
      <c r="A94" s="16">
        <v>24.64</v>
      </c>
      <c r="B94" s="45">
        <f t="shared" si="12"/>
        <v>24640</v>
      </c>
      <c r="C94" s="16">
        <f t="shared" si="13"/>
        <v>23.692307692307693</v>
      </c>
      <c r="D94" s="15">
        <f t="shared" si="14"/>
        <v>7.6031095571200003E+20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7.404789642744614E+40</v>
      </c>
      <c r="F94" s="15">
        <f t="shared" si="7"/>
        <v>2.1074962558670086E+41</v>
      </c>
      <c r="G94" s="15">
        <f t="shared" si="8"/>
        <v>4.3654684191631147E+41</v>
      </c>
      <c r="H94" s="15">
        <f t="shared" si="9"/>
        <v>7.213443639304585E+41</v>
      </c>
      <c r="I94" s="16">
        <v>272.77999999999997</v>
      </c>
      <c r="J94" s="45">
        <v>1</v>
      </c>
      <c r="K94" s="19">
        <f t="shared" si="10"/>
        <v>251.63520516224418</v>
      </c>
      <c r="L94" s="16">
        <f t="shared" si="11"/>
        <v>447.10234873078417</v>
      </c>
      <c r="M94" s="45"/>
    </row>
    <row r="95" spans="1:13" x14ac:dyDescent="0.25">
      <c r="A95" s="16">
        <v>27.19</v>
      </c>
      <c r="B95" s="45">
        <f t="shared" si="12"/>
        <v>27190</v>
      </c>
      <c r="C95" s="16">
        <f t="shared" si="13"/>
        <v>26.14423076923077</v>
      </c>
      <c r="D95" s="15">
        <f t="shared" si="14"/>
        <v>8.3899573400200007E+20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7.4216141207183067E+40</v>
      </c>
      <c r="F95" s="15">
        <f t="shared" si="7"/>
        <v>2.1566336284996699E+41</v>
      </c>
      <c r="G95" s="15">
        <f t="shared" si="8"/>
        <v>5.032726078360666E+41</v>
      </c>
      <c r="H95" s="15">
        <f t="shared" si="9"/>
        <v>7.9315211189321669E+41</v>
      </c>
      <c r="I95" s="16">
        <v>266.61</v>
      </c>
      <c r="J95" s="45">
        <v>1</v>
      </c>
      <c r="K95" s="19">
        <f t="shared" si="10"/>
        <v>251.18521348997959</v>
      </c>
      <c r="L95" s="16">
        <f t="shared" si="11"/>
        <v>237.92403887970809</v>
      </c>
      <c r="M95" s="45"/>
    </row>
    <row r="96" spans="1:13" x14ac:dyDescent="0.25">
      <c r="A96" s="16">
        <v>30</v>
      </c>
      <c r="B96" s="45">
        <f t="shared" si="12"/>
        <v>30000</v>
      </c>
      <c r="C96" s="16">
        <f t="shared" si="13"/>
        <v>28.846153846153847</v>
      </c>
      <c r="D96" s="15">
        <f t="shared" si="14"/>
        <v>9.2570327399999996E+20</v>
      </c>
      <c r="E96" s="15">
        <f>FORECAST($C96, OFFSET('De Vaucouleurs Deprojection'!$F$3:$F$126, MATCH($C96, 'De Vaucouleurs Deprojection'!$A$3:$A$126,1)-1,0,2), OFFSET('De Vaucouleurs Deprojection'!$A$3:$A$126, MATCH($C96, 'De Vaucouleurs Deprojection'!$A$3:$A$126,1)-1,0,2))*LCDMTotalBulgeMass</f>
        <v>7.435476620701538E+40</v>
      </c>
      <c r="F96" s="15">
        <f t="shared" si="7"/>
        <v>2.19402201495593E+41</v>
      </c>
      <c r="G96" s="15">
        <f t="shared" si="8"/>
        <v>5.7809139255622403E+41</v>
      </c>
      <c r="H96" s="15">
        <f t="shared" si="9"/>
        <v>8.7184836025883235E+41</v>
      </c>
      <c r="I96" s="16">
        <v>255.09</v>
      </c>
      <c r="J96" s="45">
        <v>1</v>
      </c>
      <c r="K96" s="19">
        <f t="shared" si="10"/>
        <v>250.71497900416711</v>
      </c>
      <c r="L96" s="16">
        <f t="shared" si="11"/>
        <v>19.140808713978682</v>
      </c>
      <c r="M96" s="45"/>
    </row>
    <row r="97" spans="1:29" x14ac:dyDescent="0.25">
      <c r="A97" s="16">
        <v>33.090000000000003</v>
      </c>
      <c r="B97" s="45">
        <f t="shared" si="12"/>
        <v>33090</v>
      </c>
      <c r="C97" s="16">
        <f t="shared" si="13"/>
        <v>31.817307692307693</v>
      </c>
      <c r="D97" s="15">
        <f t="shared" si="14"/>
        <v>1.0210507112220002E+21</v>
      </c>
      <c r="E97" s="15">
        <f>FORECAST($C97, OFFSET('De Vaucouleurs Deprojection'!$F$3:$F$126, MATCH($C97, 'De Vaucouleurs Deprojection'!$A$3:$A$126,1)-1,0,2), OFFSET('De Vaucouleurs Deprojection'!$A$3:$A$126, MATCH($C97, 'De Vaucouleurs Deprojection'!$A$3:$A$126,1)-1,0,2))*LCDMTotalBulgeMass</f>
        <v>7.4462351852175378E+40</v>
      </c>
      <c r="F97" s="15">
        <f t="shared" si="7"/>
        <v>2.221099723534524E+41</v>
      </c>
      <c r="G97" s="15">
        <f t="shared" si="8"/>
        <v>6.6141190424870972E+41</v>
      </c>
      <c r="H97" s="15">
        <f t="shared" si="9"/>
        <v>9.5798422845433754E+41</v>
      </c>
      <c r="I97" s="16">
        <v>248.56</v>
      </c>
      <c r="J97" s="45">
        <v>1</v>
      </c>
      <c r="K97" s="19">
        <f t="shared" si="10"/>
        <v>250.23682873569786</v>
      </c>
      <c r="L97" s="16">
        <f t="shared" si="11"/>
        <v>2.8117546088620613</v>
      </c>
      <c r="M97" s="45"/>
    </row>
    <row r="98" spans="1:29" x14ac:dyDescent="0.25">
      <c r="H98" s="15"/>
      <c r="K98" s="45"/>
      <c r="L98" s="16">
        <f>SUM(L60:L97)/(COUNT(L60:L97)-6)</f>
        <v>421.44372960085531</v>
      </c>
      <c r="M98" s="45"/>
    </row>
    <row r="99" spans="1:29" x14ac:dyDescent="0.25">
      <c r="H99" s="15"/>
      <c r="K99" s="45"/>
      <c r="L99" s="17"/>
      <c r="M99" s="45"/>
    </row>
    <row r="100" spans="1:29" x14ac:dyDescent="0.25">
      <c r="I100" s="45"/>
      <c r="J100" s="45"/>
      <c r="L100" s="16"/>
    </row>
    <row r="101" spans="1:29" x14ac:dyDescent="0.25">
      <c r="I101" s="45"/>
      <c r="J101" s="45"/>
      <c r="L101" s="16"/>
    </row>
    <row r="102" spans="1:29" x14ac:dyDescent="0.25">
      <c r="I102" s="45"/>
      <c r="J102" s="45"/>
      <c r="L102" s="16"/>
    </row>
    <row r="103" spans="1:29" x14ac:dyDescent="0.25">
      <c r="I103" s="45"/>
      <c r="J103" s="45"/>
      <c r="L103" s="16"/>
    </row>
    <row r="104" spans="1:29" x14ac:dyDescent="0.25">
      <c r="I104" s="45"/>
      <c r="J104" s="45"/>
      <c r="L104" s="16"/>
    </row>
    <row r="105" spans="1:29" x14ac:dyDescent="0.25">
      <c r="I105" s="45"/>
      <c r="J105" s="45"/>
      <c r="L105" s="16"/>
    </row>
    <row r="106" spans="1:29" x14ac:dyDescent="0.25">
      <c r="I106" s="45"/>
      <c r="J106" s="45"/>
      <c r="L106" s="16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45"/>
      <c r="J145" s="4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45"/>
      <c r="J146" s="4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s="17" customFormat="1" x14ac:dyDescent="0.25">
      <c r="A551" s="16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16"/>
      <c r="W551" s="16"/>
      <c r="X551" s="45"/>
      <c r="Y551" s="45"/>
      <c r="Z551" s="45"/>
      <c r="AA551" s="45"/>
      <c r="AB551" s="45"/>
      <c r="AC551" s="45"/>
    </row>
    <row r="552" spans="1:29" s="17" customFormat="1" x14ac:dyDescent="0.25">
      <c r="A552" s="16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16"/>
      <c r="W552" s="16"/>
      <c r="X552" s="45"/>
      <c r="Y552" s="45"/>
      <c r="Z552" s="45"/>
      <c r="AA552" s="45"/>
      <c r="AB552" s="45"/>
      <c r="AC552" s="45"/>
    </row>
    <row r="553" spans="1:29" s="17" customFormat="1" x14ac:dyDescent="0.25">
      <c r="A553" s="16"/>
      <c r="B553" s="45"/>
      <c r="C553" s="16"/>
      <c r="D553" s="15"/>
      <c r="E553" s="15"/>
      <c r="F553" s="15"/>
      <c r="G553" s="15"/>
      <c r="H553" s="18"/>
      <c r="I553" s="15"/>
      <c r="J553" s="15"/>
      <c r="K553" s="19"/>
      <c r="L553" s="16"/>
      <c r="N553" s="45"/>
      <c r="O553" s="45"/>
      <c r="P553" s="45"/>
      <c r="Q553" s="45"/>
      <c r="R553" s="45"/>
      <c r="S553" s="45"/>
      <c r="T553" s="45"/>
      <c r="U553" s="45"/>
      <c r="V553" s="16"/>
      <c r="W553" s="16"/>
      <c r="X553" s="45"/>
      <c r="Y553" s="45"/>
      <c r="Z553" s="45"/>
      <c r="AA553" s="45"/>
      <c r="AB553" s="45"/>
      <c r="AC553" s="45"/>
    </row>
    <row r="554" spans="1:29" s="17" customFormat="1" x14ac:dyDescent="0.25">
      <c r="A554" s="16"/>
      <c r="B554" s="45"/>
      <c r="C554" s="16"/>
      <c r="D554" s="15"/>
      <c r="E554" s="15"/>
      <c r="F554" s="15"/>
      <c r="G554" s="15"/>
      <c r="H554" s="18"/>
      <c r="I554" s="15"/>
      <c r="J554" s="15"/>
      <c r="K554" s="19"/>
      <c r="L554" s="16"/>
      <c r="N554" s="45"/>
      <c r="O554" s="45"/>
      <c r="P554" s="45"/>
      <c r="Q554" s="45"/>
      <c r="R554" s="45"/>
      <c r="S554" s="45"/>
      <c r="T554" s="45"/>
      <c r="U554" s="45"/>
      <c r="V554" s="16"/>
      <c r="W554" s="16"/>
      <c r="X554" s="45"/>
      <c r="Y554" s="45"/>
      <c r="Z554" s="45"/>
      <c r="AA554" s="45"/>
      <c r="AB554" s="45"/>
      <c r="AC554" s="45"/>
    </row>
    <row r="555" spans="1:29" x14ac:dyDescent="0.25">
      <c r="L555" s="16"/>
    </row>
    <row r="556" spans="1:29" x14ac:dyDescent="0.25">
      <c r="L556" s="16"/>
      <c r="N556" s="17"/>
      <c r="O556" s="38"/>
    </row>
    <row r="557" spans="1:29" x14ac:dyDescent="0.25">
      <c r="L557" s="16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C55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2223.91678232091</v>
      </c>
      <c r="E2" s="55"/>
      <c r="F2" s="53" t="s">
        <v>620</v>
      </c>
      <c r="G2" s="53">
        <v>40178930615</v>
      </c>
      <c r="H2" s="62"/>
      <c r="K2" s="51" t="s">
        <v>1</v>
      </c>
      <c r="L2" s="60" t="s">
        <v>586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2.7351403160963E+40</v>
      </c>
      <c r="E3" s="53"/>
      <c r="F3" s="53" t="s">
        <v>621</v>
      </c>
      <c r="G3" s="53">
        <f>H46/SolarMass</f>
        <v>61692632594.484436</v>
      </c>
      <c r="H3" s="62"/>
      <c r="K3" s="51" t="s">
        <v>562</v>
      </c>
      <c r="L3" s="57">
        <v>1.614E-3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1893.22139715462</v>
      </c>
      <c r="E4" s="55"/>
      <c r="F4" s="53" t="s">
        <v>622</v>
      </c>
      <c r="G4" s="52">
        <f>G3/G2</f>
        <v>1.5354473513900024</v>
      </c>
      <c r="H4" s="62"/>
      <c r="K4" s="61" t="s">
        <v>614</v>
      </c>
      <c r="L4" s="52">
        <f>QEHModelChiSquare</f>
        <v>264.90836268098934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2142.8011971752799</v>
      </c>
      <c r="F5" s="53"/>
      <c r="G5" s="52"/>
      <c r="H5" s="62"/>
      <c r="K5" s="61" t="s">
        <v>615</v>
      </c>
      <c r="L5" s="52">
        <f>LCDMModelChiSquare</f>
        <v>385.31412755335896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6" si="0">RadiusKpc*1000</f>
        <v>90</v>
      </c>
      <c r="C8" s="16">
        <f t="shared" ref="C8:C46" si="1">IF(QESBulgeEffectiveRadius=0,0,RadiusPc/QESBulgeEffectiveRadius)</f>
        <v>4.0469140174424496E-2</v>
      </c>
      <c r="D8" s="15">
        <f t="shared" ref="D8:D46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3.5681140243813446E+38</v>
      </c>
      <c r="F8" s="15">
        <f t="shared" ref="F8:F46" si="3">2*PI()*QESDiskSurfaceDensity*QESDiskScaleLength*(QESDiskScaleLength-EXP(-RadiusPc/QESDiskScaleLength)*(RadiusPc+QESDiskScaleLength))*SolarMass</f>
        <v>1.0508410800034031E+38</v>
      </c>
      <c r="H8" s="18">
        <f t="shared" ref="H8:H46" si="4">BulgeMass+DiskMass+HaloMass</f>
        <v>4.6189551043847476E+38</v>
      </c>
      <c r="I8" s="16">
        <v>82.93</v>
      </c>
      <c r="J8" s="45">
        <v>1</v>
      </c>
      <c r="K8" s="19">
        <f t="shared" ref="K8:K46" si="5">SQRT(TotalMass*GravitationalConstant/RadiusKm+UniverseAcceleration*RadiusKm)/km</f>
        <v>105.83836318413611</v>
      </c>
      <c r="L8" s="16">
        <f t="shared" ref="L8:L46" si="6">(ObservedVelocity-ModelVelocity)^2/(VelocityError)^2</f>
        <v>524.79310377628258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8.5434851479340601E-2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9.876595980958564E+38</v>
      </c>
      <c r="F9" s="15">
        <f t="shared" si="3"/>
        <v>4.5223168070403732E+38</v>
      </c>
      <c r="H9" s="18">
        <f t="shared" si="4"/>
        <v>1.4398912787998938E+39</v>
      </c>
      <c r="I9" s="16">
        <v>125.42</v>
      </c>
      <c r="J9" s="45">
        <v>1</v>
      </c>
      <c r="K9" s="19">
        <f t="shared" si="5"/>
        <v>128.86127378213646</v>
      </c>
      <c r="L9" s="16">
        <f t="shared" si="6"/>
        <v>11.842365243619795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0.13489713391474834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1.7373273582849405E+39</v>
      </c>
      <c r="F10" s="15">
        <f t="shared" si="3"/>
        <v>1.0850681525887841E+39</v>
      </c>
      <c r="H10" s="18">
        <f t="shared" si="4"/>
        <v>2.8223955108737246E+39</v>
      </c>
      <c r="I10" s="16">
        <v>147.94</v>
      </c>
      <c r="J10" s="45">
        <v>1</v>
      </c>
      <c r="K10" s="19">
        <f t="shared" si="5"/>
        <v>143.82734960941119</v>
      </c>
      <c r="L10" s="16">
        <f t="shared" si="6"/>
        <v>16.913893235210303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0.18885598748064766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2.5584904974673928E+39</v>
      </c>
      <c r="F11" s="15">
        <f t="shared" si="3"/>
        <v>2.0401212935594318E+39</v>
      </c>
      <c r="H11" s="18">
        <f t="shared" si="4"/>
        <v>4.5986117910268246E+39</v>
      </c>
      <c r="I11" s="16">
        <v>164.83</v>
      </c>
      <c r="J11" s="45">
        <v>1</v>
      </c>
      <c r="K11" s="19">
        <f t="shared" si="5"/>
        <v>155.41747906638776</v>
      </c>
      <c r="L11" s="16">
        <f t="shared" si="6"/>
        <v>88.595550325688947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0.25180798330753024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3.4749671030010125E+39</v>
      </c>
      <c r="F12" s="15">
        <f t="shared" si="3"/>
        <v>3.4561527356070821E+39</v>
      </c>
      <c r="H12" s="18">
        <f t="shared" si="4"/>
        <v>6.9311198386080946E+39</v>
      </c>
      <c r="I12" s="16">
        <v>175.49</v>
      </c>
      <c r="J12" s="45">
        <v>1</v>
      </c>
      <c r="K12" s="19">
        <f t="shared" si="5"/>
        <v>165.53130535622594</v>
      </c>
      <c r="L12" s="16">
        <f t="shared" si="6"/>
        <v>99.175599007934281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0.31475997913441278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4.3649133305559525E+39</v>
      </c>
      <c r="F13" s="15">
        <f t="shared" si="3"/>
        <v>5.1476539568813122E+39</v>
      </c>
      <c r="H13" s="18">
        <f t="shared" si="4"/>
        <v>9.5125672874372653E+39</v>
      </c>
      <c r="I13" s="16">
        <v>184.15</v>
      </c>
      <c r="J13" s="45">
        <v>1</v>
      </c>
      <c r="K13" s="19">
        <f t="shared" si="5"/>
        <v>173.72516513766823</v>
      </c>
      <c r="L13" s="16">
        <f t="shared" si="6"/>
        <v>108.67718190688802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0.38670511722227852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5.316344861336483E+39</v>
      </c>
      <c r="F14" s="15">
        <f t="shared" si="3"/>
        <v>7.3587455528996756E+39</v>
      </c>
      <c r="H14" s="18">
        <f t="shared" si="4"/>
        <v>1.267509041423616E+40</v>
      </c>
      <c r="I14" s="16">
        <v>190.89</v>
      </c>
      <c r="J14" s="45">
        <v>1</v>
      </c>
      <c r="K14" s="19">
        <f t="shared" si="5"/>
        <v>181.23430478015067</v>
      </c>
      <c r="L14" s="16">
        <f t="shared" si="6"/>
        <v>93.232450178621022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0.46764339757112755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6.3077042769757809E+39</v>
      </c>
      <c r="F15" s="15">
        <f t="shared" si="3"/>
        <v>1.0128242915917821E+40</v>
      </c>
      <c r="H15" s="18">
        <f t="shared" si="4"/>
        <v>1.64359471928936E+40</v>
      </c>
      <c r="I15" s="16">
        <v>194.24</v>
      </c>
      <c r="J15" s="45">
        <v>1</v>
      </c>
      <c r="K15" s="19">
        <f t="shared" si="5"/>
        <v>188.02290922456191</v>
      </c>
      <c r="L15" s="16">
        <f t="shared" si="6"/>
        <v>38.652217710037455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0.5530782490504681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7.281711323695047E+39</v>
      </c>
      <c r="F16" s="15">
        <f t="shared" si="3"/>
        <v>1.3296198100411921E+40</v>
      </c>
      <c r="H16" s="18">
        <f t="shared" si="4"/>
        <v>2.057790942410697E+40</v>
      </c>
      <c r="I16" s="16">
        <v>197.77</v>
      </c>
      <c r="J16" s="45">
        <v>1</v>
      </c>
      <c r="K16" s="19">
        <f t="shared" si="5"/>
        <v>193.82913272696368</v>
      </c>
      <c r="L16" s="16">
        <f t="shared" si="6"/>
        <v>15.530434863688816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0.65200281392128356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8.3210253451008686E+39</v>
      </c>
      <c r="F17" s="15">
        <f t="shared" si="3"/>
        <v>1.7182269237090878E+40</v>
      </c>
      <c r="H17" s="18">
        <f t="shared" si="4"/>
        <v>2.5503294582191745E+40</v>
      </c>
      <c r="I17" s="16">
        <v>200.31</v>
      </c>
      <c r="J17" s="45">
        <v>1</v>
      </c>
      <c r="K17" s="19">
        <f t="shared" si="5"/>
        <v>199.18355731091319</v>
      </c>
      <c r="L17" s="16">
        <f t="shared" si="6"/>
        <v>1.2688731317971351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0.75542394992259065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9.3153420018690683E+39</v>
      </c>
      <c r="F18" s="15">
        <f t="shared" si="3"/>
        <v>2.1396116407399923E+40</v>
      </c>
      <c r="H18" s="18">
        <f t="shared" si="4"/>
        <v>3.071145840926899E+40</v>
      </c>
      <c r="I18" s="16">
        <v>202.17</v>
      </c>
      <c r="J18" s="45">
        <v>1</v>
      </c>
      <c r="K18" s="19">
        <f t="shared" si="5"/>
        <v>203.54351030521593</v>
      </c>
      <c r="L18" s="16">
        <f t="shared" si="6"/>
        <v>1.886530558534397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0.8723347993153725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1.0341215127235898E+40</v>
      </c>
      <c r="F19" s="15">
        <f t="shared" si="3"/>
        <v>2.623665011590418E+40</v>
      </c>
      <c r="H19" s="18">
        <f t="shared" si="4"/>
        <v>3.657786524314008E+40</v>
      </c>
      <c r="I19" s="16">
        <v>203.89</v>
      </c>
      <c r="J19" s="45">
        <v>1</v>
      </c>
      <c r="K19" s="19">
        <f t="shared" si="5"/>
        <v>207.27736669605045</v>
      </c>
      <c r="L19" s="16">
        <f t="shared" si="6"/>
        <v>11.474253133511834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1.0027353620996293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1.1380542462701598E+40</v>
      </c>
      <c r="F20" s="15">
        <f t="shared" si="3"/>
        <v>3.1615482962565301E+40</v>
      </c>
      <c r="G20" s="15"/>
      <c r="H20" s="18">
        <f t="shared" si="4"/>
        <v>4.2996025425266897E+40</v>
      </c>
      <c r="I20" s="16">
        <v>205.23</v>
      </c>
      <c r="J20" s="45">
        <v>1</v>
      </c>
      <c r="K20" s="19">
        <f t="shared" si="5"/>
        <v>210.26643094640556</v>
      </c>
      <c r="L20" s="16">
        <f t="shared" si="6"/>
        <v>25.365636677911741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1.1421290671448692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1.2371013062988874E+40</v>
      </c>
      <c r="F21" s="15">
        <f t="shared" si="3"/>
        <v>3.7229544158224245E+40</v>
      </c>
      <c r="G21" s="15"/>
      <c r="H21" s="18">
        <f t="shared" si="4"/>
        <v>4.9600557221213119E+40</v>
      </c>
      <c r="I21" s="16">
        <v>206.24</v>
      </c>
      <c r="J21" s="45">
        <v>1</v>
      </c>
      <c r="K21" s="19">
        <f t="shared" si="5"/>
        <v>212.35616688111946</v>
      </c>
      <c r="L21" s="16">
        <f t="shared" si="6"/>
        <v>37.407497317702479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1.2995090567120755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1.3385977152155153E+40</v>
      </c>
      <c r="F22" s="15">
        <f t="shared" si="3"/>
        <v>4.3291401404247194E+40</v>
      </c>
      <c r="G22" s="15"/>
      <c r="H22" s="18">
        <f t="shared" si="4"/>
        <v>5.6677378556402346E+40</v>
      </c>
      <c r="I22" s="16">
        <v>206.97</v>
      </c>
      <c r="J22" s="45">
        <v>1</v>
      </c>
      <c r="K22" s="19">
        <f t="shared" si="5"/>
        <v>213.70578403498075</v>
      </c>
      <c r="L22" s="16">
        <f t="shared" si="6"/>
        <v>45.370786565901597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1.4703787596707567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1.4360302488573063E+40</v>
      </c>
      <c r="F23" s="15">
        <f t="shared" si="3"/>
        <v>4.9449547575338779E+40</v>
      </c>
      <c r="G23" s="15"/>
      <c r="H23" s="18">
        <f t="shared" si="4"/>
        <v>6.380985006391184E+40</v>
      </c>
      <c r="I23" s="16">
        <v>207.49</v>
      </c>
      <c r="J23" s="45">
        <v>1</v>
      </c>
      <c r="K23" s="19">
        <f t="shared" si="5"/>
        <v>214.21050719918651</v>
      </c>
      <c r="L23" s="16">
        <f t="shared" si="6"/>
        <v>45.16521701431757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1.6592347471514044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1.5321357897650023E+40</v>
      </c>
      <c r="F24" s="15">
        <f t="shared" si="3"/>
        <v>5.5676494139590358E+40</v>
      </c>
      <c r="G24" s="15"/>
      <c r="H24" s="18">
        <f t="shared" si="4"/>
        <v>7.0997852037240378E+40</v>
      </c>
      <c r="I24" s="16">
        <v>208.36</v>
      </c>
      <c r="J24" s="45">
        <v>1</v>
      </c>
      <c r="K24" s="19">
        <f t="shared" si="5"/>
        <v>213.93464361466033</v>
      </c>
      <c r="L24" s="16">
        <f t="shared" si="6"/>
        <v>31.076651430473049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1.8660770191540186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1.6253150737395344E+40</v>
      </c>
      <c r="F25" s="15">
        <f t="shared" si="3"/>
        <v>6.1767256843461333E+40</v>
      </c>
      <c r="G25" s="15"/>
      <c r="H25" s="18">
        <f t="shared" si="4"/>
        <v>7.8020407580856679E+40</v>
      </c>
      <c r="I25" s="16">
        <v>209.19</v>
      </c>
      <c r="J25" s="45">
        <v>1</v>
      </c>
      <c r="K25" s="19">
        <f t="shared" si="5"/>
        <v>212.91510838745745</v>
      </c>
      <c r="L25" s="16">
        <f t="shared" si="6"/>
        <v>13.876432498305869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2.0909055756785992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1.7146979096608234E+40</v>
      </c>
      <c r="F26" s="15">
        <f t="shared" si="3"/>
        <v>6.7535992460047551E+40</v>
      </c>
      <c r="G26" s="15"/>
      <c r="H26" s="18">
        <f t="shared" si="4"/>
        <v>8.4682971556655785E+40</v>
      </c>
      <c r="I26" s="16">
        <v>209.93</v>
      </c>
      <c r="J26" s="45">
        <v>1</v>
      </c>
      <c r="K26" s="19">
        <f t="shared" si="5"/>
        <v>211.23951157594689</v>
      </c>
      <c r="L26" s="16">
        <f t="shared" si="6"/>
        <v>1.7148205675388954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2.3427135589861292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1.8021101438560274E+40</v>
      </c>
      <c r="F27" s="15">
        <f t="shared" si="3"/>
        <v>7.3009992978627112E+40</v>
      </c>
      <c r="G27" s="15"/>
      <c r="H27" s="18">
        <f t="shared" si="4"/>
        <v>9.1031094417187396E+40</v>
      </c>
      <c r="I27" s="16">
        <v>210.87</v>
      </c>
      <c r="J27" s="45">
        <v>1</v>
      </c>
      <c r="K27" s="19">
        <f t="shared" si="5"/>
        <v>208.9349947594238</v>
      </c>
      <c r="L27" s="16">
        <f t="shared" si="6"/>
        <v>3.7442452810573688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2.6170043979461175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1.885298432235506E+40</v>
      </c>
      <c r="F28" s="15">
        <f t="shared" si="3"/>
        <v>7.790970793659626E+40</v>
      </c>
      <c r="G28" s="15"/>
      <c r="H28" s="18">
        <f t="shared" si="4"/>
        <v>9.6762692258951313E+40</v>
      </c>
      <c r="I28" s="16">
        <v>212.07</v>
      </c>
      <c r="J28" s="45">
        <v>1</v>
      </c>
      <c r="K28" s="19">
        <f t="shared" si="5"/>
        <v>206.17792368585248</v>
      </c>
      <c r="L28" s="16">
        <f t="shared" si="6"/>
        <v>34.716563291738183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2.9182746636890555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1.9644871748099084E+40</v>
      </c>
      <c r="F29" s="15">
        <f t="shared" si="3"/>
        <v>8.2195872192999504E+40</v>
      </c>
      <c r="G29" s="15"/>
      <c r="H29" s="18">
        <f t="shared" si="4"/>
        <v>1.0184074394109858E+41</v>
      </c>
      <c r="I29" s="16">
        <v>213.2</v>
      </c>
      <c r="J29" s="45">
        <v>1</v>
      </c>
      <c r="K29" s="19">
        <f t="shared" si="5"/>
        <v>203.084197334979</v>
      </c>
      <c r="L29" s="16">
        <f t="shared" si="6"/>
        <v>102.32946355764584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3.2510209273454347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2.0399045976108774E+40</v>
      </c>
      <c r="F30" s="15">
        <f t="shared" si="3"/>
        <v>8.5834726058867034E+40</v>
      </c>
      <c r="G30" s="15"/>
      <c r="H30" s="18">
        <f t="shared" si="4"/>
        <v>1.062337720349758E+41</v>
      </c>
      <c r="I30" s="16">
        <v>214.27</v>
      </c>
      <c r="J30" s="45">
        <v>1</v>
      </c>
      <c r="K30" s="19">
        <f t="shared" si="5"/>
        <v>199.79045200325615</v>
      </c>
      <c r="L30" s="16">
        <f t="shared" si="6"/>
        <v>209.65731019000916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3.6197397600457473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2.1116134154093974E+40</v>
      </c>
      <c r="F31" s="15">
        <f t="shared" si="3"/>
        <v>8.8812288802537314E+40</v>
      </c>
      <c r="G31" s="15"/>
      <c r="H31" s="18">
        <f t="shared" si="4"/>
        <v>1.0992842295663129E+41</v>
      </c>
      <c r="I31" s="16">
        <v>214.83</v>
      </c>
      <c r="J31" s="45">
        <v>1</v>
      </c>
      <c r="K31" s="19">
        <f t="shared" si="5"/>
        <v>196.45434894938501</v>
      </c>
      <c r="L31" s="16">
        <f t="shared" si="6"/>
        <v>337.66455153396834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4.0199345906595001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2.1779440483671074E+40</v>
      </c>
      <c r="F32" s="15">
        <f t="shared" si="3"/>
        <v>9.1102512934248218E+40</v>
      </c>
      <c r="G32" s="15"/>
      <c r="H32" s="18">
        <f t="shared" si="4"/>
        <v>1.1288195341791929E+41</v>
      </c>
      <c r="I32" s="16">
        <v>214.52</v>
      </c>
      <c r="J32" s="45">
        <v>1</v>
      </c>
      <c r="K32" s="19">
        <f t="shared" si="5"/>
        <v>193.31302900489922</v>
      </c>
      <c r="L32" s="16">
        <f t="shared" si="6"/>
        <v>449.73561878704618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4.4650951325781696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2.2404957116246151E+40</v>
      </c>
      <c r="F33" s="15">
        <f t="shared" si="3"/>
        <v>9.282761353825559E+40</v>
      </c>
      <c r="G33" s="15"/>
      <c r="H33" s="18">
        <f t="shared" si="4"/>
        <v>1.1523257065450173E+41</v>
      </c>
      <c r="I33" s="16">
        <v>213.72</v>
      </c>
      <c r="J33" s="45">
        <v>1</v>
      </c>
      <c r="K33" s="19">
        <f t="shared" si="5"/>
        <v>190.45503250903241</v>
      </c>
      <c r="L33" s="16">
        <f t="shared" si="6"/>
        <v>541.25871235577893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4.9507248146712639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2.298020516322101E+40</v>
      </c>
      <c r="F34" s="15">
        <f t="shared" si="3"/>
        <v>9.4038708940435359E+40</v>
      </c>
      <c r="G34" s="15"/>
      <c r="H34" s="18">
        <f t="shared" si="4"/>
        <v>1.1701891410365637E+41</v>
      </c>
      <c r="I34" s="16">
        <v>212.7</v>
      </c>
      <c r="J34" s="45">
        <v>1</v>
      </c>
      <c r="K34" s="19">
        <f t="shared" si="5"/>
        <v>188.08829774218373</v>
      </c>
      <c r="L34" s="16">
        <f t="shared" si="6"/>
        <v>605.73588802739812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5.485816779199765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2.3474598886157986E+40</v>
      </c>
      <c r="F35" s="15">
        <f t="shared" si="3"/>
        <v>9.4852832179153404E+40</v>
      </c>
      <c r="G35" s="15"/>
      <c r="H35" s="18">
        <f t="shared" si="4"/>
        <v>1.1832743106531139E+41</v>
      </c>
      <c r="I35" s="16">
        <v>210.9</v>
      </c>
      <c r="J35" s="45">
        <v>1</v>
      </c>
      <c r="K35" s="19">
        <f t="shared" si="5"/>
        <v>186.29519296372834</v>
      </c>
      <c r="L35" s="16">
        <f t="shared" si="6"/>
        <v>605.39652929216368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6.0748675972941664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2.3990990147100167E+40</v>
      </c>
      <c r="F36" s="15">
        <f t="shared" si="3"/>
        <v>9.5367333435399805E+40</v>
      </c>
      <c r="G36" s="15"/>
      <c r="H36" s="18">
        <f t="shared" si="4"/>
        <v>1.1935832358249997E+41</v>
      </c>
      <c r="I36" s="16">
        <v>208.25</v>
      </c>
      <c r="J36" s="45">
        <v>1</v>
      </c>
      <c r="K36" s="19">
        <f t="shared" si="5"/>
        <v>185.23186583662866</v>
      </c>
      <c r="L36" s="16">
        <f t="shared" si="6"/>
        <v>529.83450036296301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6.7223738400849582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2.442134811148838E+40</v>
      </c>
      <c r="F37" s="15">
        <f t="shared" si="3"/>
        <v>9.5671249425614554E+40</v>
      </c>
      <c r="G37" s="15"/>
      <c r="H37" s="18">
        <f t="shared" si="4"/>
        <v>1.2009259753710293E+41</v>
      </c>
      <c r="I37" s="16">
        <v>204.15</v>
      </c>
      <c r="J37" s="45">
        <v>1</v>
      </c>
      <c r="K37" s="19">
        <f t="shared" si="5"/>
        <v>184.92378112124661</v>
      </c>
      <c r="L37" s="16">
        <f t="shared" si="6"/>
        <v>369.64749237373366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7.4373286498331241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2.4824885332729974E+40</v>
      </c>
      <c r="F38" s="15">
        <f t="shared" si="3"/>
        <v>9.5838815899075316E+40</v>
      </c>
      <c r="G38" s="15"/>
      <c r="H38" s="18">
        <f t="shared" si="4"/>
        <v>1.206637012318053E+41</v>
      </c>
      <c r="I38" s="16">
        <v>197.98</v>
      </c>
      <c r="J38" s="45">
        <v>1</v>
      </c>
      <c r="K38" s="19">
        <f t="shared" si="5"/>
        <v>185.44639538412812</v>
      </c>
      <c r="L38" s="16">
        <f t="shared" si="6"/>
        <v>157.09124466700453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8.2242285976691569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2.5193087005403456E+40</v>
      </c>
      <c r="F39" s="15">
        <f t="shared" si="3"/>
        <v>9.5923714546959419E+40</v>
      </c>
      <c r="G39" s="15"/>
      <c r="H39" s="18">
        <f t="shared" si="4"/>
        <v>1.2111680155236287E+41</v>
      </c>
      <c r="I39" s="16">
        <v>190.38</v>
      </c>
      <c r="J39" s="45">
        <v>1</v>
      </c>
      <c r="K39" s="19">
        <f t="shared" si="5"/>
        <v>186.82436305878201</v>
      </c>
      <c r="L39" s="16">
        <f t="shared" si="6"/>
        <v>12.642554057753976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9.0830736835930548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2.5517185104921674E+40</v>
      </c>
      <c r="F40" s="15">
        <f t="shared" si="3"/>
        <v>9.5962903089465007E+40</v>
      </c>
      <c r="G40" s="15"/>
      <c r="H40" s="18">
        <f t="shared" si="4"/>
        <v>1.2148008819438669E+41</v>
      </c>
      <c r="I40" s="16">
        <v>184.73</v>
      </c>
      <c r="J40" s="45">
        <v>1</v>
      </c>
      <c r="K40" s="19">
        <f t="shared" si="5"/>
        <v>189.04267141686361</v>
      </c>
      <c r="L40" s="16">
        <f t="shared" si="6"/>
        <v>18.599134749832487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10.036346763257276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2.5803309680824912E+40</v>
      </c>
      <c r="F41" s="15">
        <f t="shared" si="3"/>
        <v>9.5979624466141123E+40</v>
      </c>
      <c r="H41" s="18">
        <f t="shared" si="4"/>
        <v>1.2178293414696604E+41</v>
      </c>
      <c r="I41" s="16">
        <v>183.76</v>
      </c>
      <c r="J41" s="45">
        <v>1</v>
      </c>
      <c r="K41" s="19">
        <f t="shared" si="5"/>
        <v>192.13662092224484</v>
      </c>
      <c r="L41" s="16">
        <f t="shared" si="6"/>
        <v>70.167778074990224</v>
      </c>
    </row>
    <row r="42" spans="1:29" x14ac:dyDescent="0.25">
      <c r="A42" s="16">
        <v>24.64</v>
      </c>
      <c r="B42" s="45">
        <f t="shared" si="0"/>
        <v>24640</v>
      </c>
      <c r="C42" s="16">
        <f t="shared" si="1"/>
        <v>11.079551265531329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2.6050723854266953E+40</v>
      </c>
      <c r="F42" s="15">
        <f t="shared" si="3"/>
        <v>9.5985939370194889E+40</v>
      </c>
      <c r="H42" s="18">
        <f t="shared" si="4"/>
        <v>1.2203666322446184E+41</v>
      </c>
      <c r="I42" s="16">
        <v>184.22</v>
      </c>
      <c r="J42" s="45">
        <v>1</v>
      </c>
      <c r="K42" s="19">
        <f t="shared" si="5"/>
        <v>196.05640341913238</v>
      </c>
      <c r="L42" s="16">
        <f t="shared" si="6"/>
        <v>140.10044590044873</v>
      </c>
    </row>
    <row r="43" spans="1:29" x14ac:dyDescent="0.25">
      <c r="A43" s="16">
        <v>27.19</v>
      </c>
      <c r="B43" s="45">
        <f t="shared" si="0"/>
        <v>27190</v>
      </c>
      <c r="C43" s="16">
        <f t="shared" si="1"/>
        <v>12.226176903806691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2.6265602400285856E+40</v>
      </c>
      <c r="F43" s="15">
        <f t="shared" si="3"/>
        <v>9.5988081352494174E+40</v>
      </c>
      <c r="H43" s="18">
        <f t="shared" si="4"/>
        <v>1.2225368375278002E+41</v>
      </c>
      <c r="I43" s="16">
        <v>181.96</v>
      </c>
      <c r="J43" s="45">
        <v>1</v>
      </c>
      <c r="K43" s="19">
        <f t="shared" si="5"/>
        <v>200.79851433589295</v>
      </c>
      <c r="L43" s="16">
        <f t="shared" si="6"/>
        <v>354.88962238364377</v>
      </c>
    </row>
    <row r="44" spans="1:29" x14ac:dyDescent="0.25">
      <c r="A44" s="16">
        <v>30</v>
      </c>
      <c r="B44" s="45">
        <f t="shared" si="0"/>
        <v>30000</v>
      </c>
      <c r="C44" s="16">
        <f t="shared" si="1"/>
        <v>13.489713391474833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2.6452519184518499E+40</v>
      </c>
      <c r="F44" s="15">
        <f t="shared" si="3"/>
        <v>9.5988723024074742E+40</v>
      </c>
      <c r="H44" s="18">
        <f t="shared" si="4"/>
        <v>1.2244124220859325E+41</v>
      </c>
      <c r="I44" s="16">
        <v>179.66</v>
      </c>
      <c r="J44" s="45">
        <v>1</v>
      </c>
      <c r="K44" s="19">
        <f t="shared" si="5"/>
        <v>206.36021965677648</v>
      </c>
      <c r="L44" s="16">
        <f t="shared" si="6"/>
        <v>712.90172972011328</v>
      </c>
    </row>
    <row r="45" spans="1:29" x14ac:dyDescent="0.25">
      <c r="A45" s="16">
        <v>33.090000000000003</v>
      </c>
      <c r="B45" s="45">
        <f t="shared" si="0"/>
        <v>33090</v>
      </c>
      <c r="C45" s="16">
        <f t="shared" si="1"/>
        <v>14.87915387079674</v>
      </c>
      <c r="D45" s="15">
        <f t="shared" si="2"/>
        <v>1.0210507112220002E+21</v>
      </c>
      <c r="E45" s="15">
        <f>IF($C45=0,0,FORECAST($C45, OFFSET('De Vaucouleurs Deprojection'!$F$2:$F$127, MATCH($C45, 'De Vaucouleurs Deprojection'!$A$2:$A$127,1)-1,0,2), OFFSET('De Vaucouleurs Deprojection'!$A$2:$A$127, MATCH($C45, 'De Vaucouleurs Deprojection'!$A$2:$A$127,1)-1,0,2))*QESTotalBulgeMass)</f>
        <v>2.6615076922810026E+40</v>
      </c>
      <c r="F45" s="15">
        <f t="shared" si="3"/>
        <v>9.5988889770565134E+40</v>
      </c>
      <c r="H45" s="18">
        <f t="shared" si="4"/>
        <v>1.2260396669337517E+41</v>
      </c>
      <c r="I45" s="16">
        <v>179.05</v>
      </c>
      <c r="J45" s="45">
        <v>1</v>
      </c>
      <c r="K45" s="19">
        <f t="shared" si="5"/>
        <v>212.71527135519119</v>
      </c>
      <c r="L45" s="16">
        <f t="shared" si="6"/>
        <v>1133.3504954186558</v>
      </c>
    </row>
    <row r="46" spans="1:29" x14ac:dyDescent="0.25">
      <c r="A46" s="16">
        <v>36.5</v>
      </c>
      <c r="B46" s="45">
        <f t="shared" si="0"/>
        <v>36500</v>
      </c>
      <c r="C46" s="16">
        <f t="shared" si="1"/>
        <v>16.412484626294379</v>
      </c>
      <c r="D46" s="15">
        <f t="shared" si="2"/>
        <v>1.1262723167E+21</v>
      </c>
      <c r="E46" s="15">
        <f>IF($C46=0,0,FORECAST($C46, OFFSET('De Vaucouleurs Deprojection'!$F$2:$F$127, MATCH($C46, 'De Vaucouleurs Deprojection'!$A$2:$A$127,1)-1,0,2), OFFSET('De Vaucouleurs Deprojection'!$A$2:$A$127, MATCH($C46, 'De Vaucouleurs Deprojection'!$A$2:$A$127,1)-1,0,2))*QESTotalBulgeMass)</f>
        <v>2.6723888450092902E+40</v>
      </c>
      <c r="F46" s="15">
        <f t="shared" si="3"/>
        <v>9.5988927043596088E+40</v>
      </c>
      <c r="H46" s="18">
        <f t="shared" si="4"/>
        <v>1.2271281549368899E+41</v>
      </c>
      <c r="I46" s="16">
        <v>179</v>
      </c>
      <c r="J46" s="45">
        <v>1</v>
      </c>
      <c r="K46" s="19">
        <f t="shared" si="5"/>
        <v>219.86941788996654</v>
      </c>
      <c r="L46" s="16">
        <f t="shared" si="6"/>
        <v>1670.3093186647172</v>
      </c>
    </row>
    <row r="47" spans="1:29" x14ac:dyDescent="0.25">
      <c r="I47" s="45"/>
      <c r="J47" s="45"/>
      <c r="L47" s="16">
        <f>SUM(L8:L46)/(COUNT(L8:L46)-4)</f>
        <v>264.90836268098934</v>
      </c>
    </row>
    <row r="48" spans="1:29" x14ac:dyDescent="0.25">
      <c r="I48" s="45"/>
      <c r="J48" s="45"/>
      <c r="L48" s="16"/>
    </row>
    <row r="49" spans="1:29" ht="21" x14ac:dyDescent="0.35">
      <c r="A49" s="48" t="s">
        <v>564</v>
      </c>
      <c r="I49" s="45"/>
      <c r="J49" s="45"/>
      <c r="L49" s="16"/>
    </row>
    <row r="50" spans="1:29" x14ac:dyDescent="0.25">
      <c r="A50" s="16" t="s">
        <v>30</v>
      </c>
      <c r="D50" s="16">
        <v>2.96</v>
      </c>
      <c r="E50" s="17">
        <f>$D$50*1000</f>
        <v>2960</v>
      </c>
      <c r="F50" s="17"/>
      <c r="G50" s="17"/>
      <c r="H50" s="15"/>
      <c r="K50" s="15"/>
      <c r="L50" s="17"/>
      <c r="M50" s="45"/>
    </row>
    <row r="51" spans="1:29" x14ac:dyDescent="0.25">
      <c r="A51" s="16" t="s">
        <v>16</v>
      </c>
      <c r="D51" s="16">
        <v>4.1500000000000004</v>
      </c>
      <c r="E51" s="15">
        <f>D51*10000000000*SolarMass</f>
        <v>8.2547649999999992E+40</v>
      </c>
      <c r="F51" s="43"/>
      <c r="G51" s="43"/>
      <c r="H51" s="15"/>
      <c r="K51" s="15"/>
      <c r="L51" s="17"/>
      <c r="M51" s="45"/>
    </row>
    <row r="52" spans="1:29" x14ac:dyDescent="0.25">
      <c r="A52" s="16" t="s">
        <v>569</v>
      </c>
      <c r="D52" s="16">
        <v>1.8</v>
      </c>
      <c r="E52" s="15">
        <f>D52*1000</f>
        <v>1800</v>
      </c>
      <c r="H52" s="15"/>
      <c r="K52" s="15"/>
      <c r="L52" s="17"/>
      <c r="M52" s="45"/>
    </row>
    <row r="53" spans="1:29" x14ac:dyDescent="0.25">
      <c r="A53" s="16" t="s">
        <v>17</v>
      </c>
      <c r="D53" s="45">
        <v>1.7</v>
      </c>
      <c r="G53" s="16"/>
      <c r="H53" s="15"/>
      <c r="K53" s="15"/>
      <c r="L53" s="17"/>
      <c r="M53" s="45"/>
    </row>
    <row r="54" spans="1:29" x14ac:dyDescent="0.25">
      <c r="A54" s="16" t="s">
        <v>570</v>
      </c>
      <c r="D54" s="16">
        <v>7.7</v>
      </c>
      <c r="E54" s="17">
        <f>D54*1000</f>
        <v>7700</v>
      </c>
      <c r="H54" s="15"/>
      <c r="K54" s="15"/>
      <c r="L54" s="17"/>
      <c r="M54" s="45"/>
    </row>
    <row r="55" spans="1:29" x14ac:dyDescent="0.25">
      <c r="A55" s="16" t="s">
        <v>571</v>
      </c>
      <c r="D55" s="16">
        <v>4.2</v>
      </c>
      <c r="G55" s="9"/>
      <c r="H55" s="15"/>
      <c r="K55" s="15"/>
      <c r="L55" s="17"/>
      <c r="M55" s="45"/>
    </row>
    <row r="56" spans="1:29" x14ac:dyDescent="0.25">
      <c r="D56" s="12"/>
      <c r="H56" s="15"/>
      <c r="K56" s="15"/>
      <c r="L56" s="17"/>
      <c r="M56" s="45"/>
    </row>
    <row r="57" spans="1:29" x14ac:dyDescent="0.25">
      <c r="A57" s="16" t="s">
        <v>567</v>
      </c>
      <c r="D57" s="17">
        <f>(D53*10000000000)/(2*PI()*DiskScaleLengthPc^2)</f>
        <v>835.07223227229042</v>
      </c>
      <c r="H57" s="15"/>
      <c r="K57" s="15"/>
      <c r="L57" s="17"/>
      <c r="M57" s="45"/>
    </row>
    <row r="58" spans="1:29" x14ac:dyDescent="0.25">
      <c r="A58" s="16" t="s">
        <v>565</v>
      </c>
      <c r="D58" s="9">
        <f>(D55*10000000000)/(4*PI()*(LCDMHaloScaleLengthPc)^3*(LN(2)-1/2))</f>
        <v>3.7903461897030796E-2</v>
      </c>
      <c r="H58" s="15"/>
      <c r="K58" s="15"/>
      <c r="L58" s="17"/>
      <c r="M58" s="45"/>
    </row>
    <row r="59" spans="1:29" x14ac:dyDescent="0.25">
      <c r="H59" s="15"/>
      <c r="K59" s="15"/>
      <c r="L59" s="17"/>
      <c r="M59" s="45"/>
    </row>
    <row r="60" spans="1:29" ht="45" x14ac:dyDescent="0.25">
      <c r="A60" s="7" t="s">
        <v>20</v>
      </c>
      <c r="B60" s="3" t="s">
        <v>19</v>
      </c>
      <c r="C60" s="7" t="s">
        <v>27</v>
      </c>
      <c r="D60" s="4" t="s">
        <v>649</v>
      </c>
      <c r="E60" s="4" t="s">
        <v>21</v>
      </c>
      <c r="F60" s="4" t="s">
        <v>22</v>
      </c>
      <c r="G60" s="4" t="s">
        <v>28</v>
      </c>
      <c r="H60" s="4" t="s">
        <v>23</v>
      </c>
      <c r="I60" s="7" t="s">
        <v>645</v>
      </c>
      <c r="J60" s="7" t="s">
        <v>646</v>
      </c>
      <c r="K60" s="25" t="s">
        <v>647</v>
      </c>
      <c r="L60" s="3" t="s">
        <v>648</v>
      </c>
      <c r="M60" s="3"/>
      <c r="N60" s="3"/>
      <c r="O60" s="3"/>
      <c r="P60" s="3"/>
      <c r="Q60" s="3"/>
      <c r="R60" s="3"/>
      <c r="S60" s="3"/>
      <c r="T60" s="3"/>
      <c r="U60" s="3"/>
      <c r="V60" s="7"/>
      <c r="W60" s="7"/>
      <c r="X60" s="3"/>
      <c r="Y60" s="3"/>
      <c r="Z60" s="3"/>
      <c r="AA60" s="3"/>
      <c r="AB60" s="3"/>
      <c r="AC60" s="3"/>
    </row>
    <row r="61" spans="1:29" x14ac:dyDescent="0.25">
      <c r="A61" s="16">
        <v>0.09</v>
      </c>
      <c r="B61" s="45">
        <f>A61*1000</f>
        <v>90</v>
      </c>
      <c r="C61" s="16">
        <f>B61/LCDMBulgeEffectiveRadius</f>
        <v>3.0405405405405407E-2</v>
      </c>
      <c r="D61" s="15">
        <f>A61*kpc</f>
        <v>2.777109822E+18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7.0987766334702699E+38</v>
      </c>
      <c r="F61" s="15">
        <f t="shared" ref="F61:F99" si="7">2*PI()*LCDMDiskSurfaceDensity*LCDMScaleLength*(LCDMScaleLength-EXP(-RadiusPc/LCDMScaleLength)*(RadiusPc+LCDMScaleLength))*SolarMass</f>
        <v>4.0885498302489742E+37</v>
      </c>
      <c r="G61" s="15">
        <f t="shared" ref="G61:G99" si="8">4*PI()*LCDMHaloRepresentativeDensity*LCDMHaloScaleLengthPc^3*(LN(1+RadiusPc/LCDMHaloScaleLengthPc)-RadiusPc/(RadiusPc+LCDMHaloScaleLengthPc))*SolarMass</f>
        <v>2.9091014854441242E+37</v>
      </c>
      <c r="H61" s="15">
        <f t="shared" ref="H61:H99" si="9">BulgeMass+DiskMass+HaloMass</f>
        <v>7.7985417650395792E+38</v>
      </c>
      <c r="I61" s="16">
        <v>82.93</v>
      </c>
      <c r="J61" s="45">
        <v>1</v>
      </c>
      <c r="K61" s="19">
        <f t="shared" ref="K61:K99" si="10">SQRT(TotalMass*GravitationalConstant/RadiusKm)/km</f>
        <v>136.90076595400674</v>
      </c>
      <c r="L61" s="16">
        <f t="shared" ref="L61:L99" si="11">(ObservedVelocity-ModelVelocity)^2/(VelocityError)^2</f>
        <v>2912.8435776621727</v>
      </c>
      <c r="M61" s="45"/>
    </row>
    <row r="62" spans="1:29" x14ac:dyDescent="0.25">
      <c r="A62" s="16">
        <v>0.19</v>
      </c>
      <c r="B62" s="45">
        <f t="shared" ref="B62:B99" si="12">A62*1000</f>
        <v>190</v>
      </c>
      <c r="C62" s="16">
        <f t="shared" ref="C62:C99" si="13">B62/LCDMBulgeEffectiveRadius</f>
        <v>6.4189189189189186E-2</v>
      </c>
      <c r="D62" s="15">
        <f t="shared" ref="D62:D99" si="14">A62*kpc</f>
        <v>5.862787402E+18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2.0460517096020271E+39</v>
      </c>
      <c r="F62" s="15">
        <f t="shared" si="7"/>
        <v>1.7563509964393486E+38</v>
      </c>
      <c r="G62" s="15">
        <f t="shared" si="8"/>
        <v>1.274629335756371E+38</v>
      </c>
      <c r="H62" s="15">
        <f t="shared" si="9"/>
        <v>2.3491497428215988E+39</v>
      </c>
      <c r="I62" s="16">
        <v>125.42</v>
      </c>
      <c r="J62" s="45">
        <v>1</v>
      </c>
      <c r="K62" s="19">
        <f t="shared" si="10"/>
        <v>163.53058170296325</v>
      </c>
      <c r="L62" s="16">
        <f t="shared" si="11"/>
        <v>1452.4164377382369</v>
      </c>
      <c r="M62" s="45"/>
    </row>
    <row r="63" spans="1:29" x14ac:dyDescent="0.25">
      <c r="A63" s="16">
        <v>0.3</v>
      </c>
      <c r="B63" s="45">
        <f t="shared" si="12"/>
        <v>300</v>
      </c>
      <c r="C63" s="16">
        <f t="shared" si="13"/>
        <v>0.10135135135135136</v>
      </c>
      <c r="D63" s="15">
        <f t="shared" si="14"/>
        <v>9.25703274E+18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3.7025833690297294E+39</v>
      </c>
      <c r="F63" s="15">
        <f t="shared" si="7"/>
        <v>4.2058682023157542E+38</v>
      </c>
      <c r="G63" s="15">
        <f t="shared" si="8"/>
        <v>3.119471145933618E+38</v>
      </c>
      <c r="H63" s="15">
        <f t="shared" si="9"/>
        <v>4.4351173038546664E+39</v>
      </c>
      <c r="I63" s="16">
        <v>147.94</v>
      </c>
      <c r="J63" s="45">
        <v>1</v>
      </c>
      <c r="K63" s="19">
        <f t="shared" si="10"/>
        <v>178.81846381371633</v>
      </c>
      <c r="L63" s="16">
        <f t="shared" si="11"/>
        <v>953.47952749498927</v>
      </c>
      <c r="M63" s="45"/>
    </row>
    <row r="64" spans="1:29" x14ac:dyDescent="0.25">
      <c r="A64" s="16">
        <v>0.42</v>
      </c>
      <c r="B64" s="45">
        <f t="shared" si="12"/>
        <v>420</v>
      </c>
      <c r="C64" s="16">
        <f t="shared" si="13"/>
        <v>0.14189189189189189</v>
      </c>
      <c r="D64" s="15">
        <f t="shared" si="14"/>
        <v>1.2959845836E+19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5.5645906309216208E+39</v>
      </c>
      <c r="F64" s="15">
        <f t="shared" si="7"/>
        <v>7.8910665346967832E+38</v>
      </c>
      <c r="G64" s="15">
        <f t="shared" si="8"/>
        <v>5.9935315724133518E+38</v>
      </c>
      <c r="H64" s="15">
        <f t="shared" si="9"/>
        <v>6.9530504416326343E+39</v>
      </c>
      <c r="I64" s="16">
        <v>164.83</v>
      </c>
      <c r="J64" s="45">
        <v>1</v>
      </c>
      <c r="K64" s="19">
        <f t="shared" si="10"/>
        <v>189.22716218448164</v>
      </c>
      <c r="L64" s="16">
        <f t="shared" si="11"/>
        <v>595.22152265590046</v>
      </c>
      <c r="M64" s="45"/>
    </row>
    <row r="65" spans="1:13" x14ac:dyDescent="0.25">
      <c r="A65" s="16">
        <v>0.56000000000000005</v>
      </c>
      <c r="B65" s="45">
        <f t="shared" si="12"/>
        <v>560</v>
      </c>
      <c r="C65" s="16">
        <f t="shared" si="13"/>
        <v>0.1891891891891892</v>
      </c>
      <c r="D65" s="15">
        <f t="shared" si="14"/>
        <v>1.7279794448000002E+19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7.7369324364621607E+39</v>
      </c>
      <c r="F65" s="15">
        <f t="shared" si="7"/>
        <v>1.333564904337461E+39</v>
      </c>
      <c r="G65" s="15">
        <f t="shared" si="8"/>
        <v>1.0413833235745571E+39</v>
      </c>
      <c r="H65" s="15">
        <f t="shared" si="9"/>
        <v>1.0111880664374179E+40</v>
      </c>
      <c r="I65" s="16">
        <v>175.49</v>
      </c>
      <c r="J65" s="45">
        <v>1</v>
      </c>
      <c r="K65" s="19">
        <f t="shared" si="10"/>
        <v>197.62522885005885</v>
      </c>
      <c r="L65" s="16">
        <f t="shared" si="11"/>
        <v>489.96835624447709</v>
      </c>
      <c r="M65" s="45"/>
    </row>
    <row r="66" spans="1:13" x14ac:dyDescent="0.25">
      <c r="A66" s="16">
        <v>0.7</v>
      </c>
      <c r="B66" s="45">
        <f t="shared" si="12"/>
        <v>700</v>
      </c>
      <c r="C66" s="16">
        <f t="shared" si="13"/>
        <v>0.23648648648648649</v>
      </c>
      <c r="D66" s="15">
        <f t="shared" si="14"/>
        <v>2.1599743059999998E+19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9.8209661046432408E+39</v>
      </c>
      <c r="F66" s="15">
        <f t="shared" si="7"/>
        <v>1.9814673091931941E+39</v>
      </c>
      <c r="G66" s="15">
        <f t="shared" si="8"/>
        <v>1.5908689831880697E+39</v>
      </c>
      <c r="H66" s="15">
        <f t="shared" si="9"/>
        <v>1.3393302397024505E+40</v>
      </c>
      <c r="I66" s="16">
        <v>184.15</v>
      </c>
      <c r="J66" s="45">
        <v>1</v>
      </c>
      <c r="K66" s="19">
        <f t="shared" si="10"/>
        <v>203.43011696805104</v>
      </c>
      <c r="L66" s="16">
        <f t="shared" si="11"/>
        <v>371.72291030172937</v>
      </c>
      <c r="M66" s="45"/>
    </row>
    <row r="67" spans="1:13" x14ac:dyDescent="0.25">
      <c r="A67" s="16">
        <v>0.86</v>
      </c>
      <c r="B67" s="45">
        <f t="shared" si="12"/>
        <v>860</v>
      </c>
      <c r="C67" s="16">
        <f t="shared" si="13"/>
        <v>0.29054054054054052</v>
      </c>
      <c r="D67" s="15">
        <f t="shared" si="14"/>
        <v>2.6536827187999998E+19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1.2172815583670266E+40</v>
      </c>
      <c r="F67" s="15">
        <f t="shared" si="7"/>
        <v>2.8249253739818803E+39</v>
      </c>
      <c r="G67" s="15">
        <f t="shared" si="8"/>
        <v>2.3411065886170665E+39</v>
      </c>
      <c r="H67" s="15">
        <f t="shared" si="9"/>
        <v>1.7338847546269212E+40</v>
      </c>
      <c r="I67" s="16">
        <v>190.89</v>
      </c>
      <c r="J67" s="45">
        <v>1</v>
      </c>
      <c r="K67" s="19">
        <f t="shared" si="10"/>
        <v>208.82443735330284</v>
      </c>
      <c r="L67" s="16">
        <f t="shared" si="11"/>
        <v>321.64404317954472</v>
      </c>
      <c r="M67" s="45"/>
    </row>
    <row r="68" spans="1:13" x14ac:dyDescent="0.25">
      <c r="A68" s="16">
        <v>1.04</v>
      </c>
      <c r="B68" s="45">
        <f t="shared" si="12"/>
        <v>1040</v>
      </c>
      <c r="C68" s="16">
        <f t="shared" si="13"/>
        <v>0.35135135135135137</v>
      </c>
      <c r="D68" s="15">
        <f t="shared" si="14"/>
        <v>3.2091046832E+19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1.4633913530945946E+40</v>
      </c>
      <c r="F68" s="15">
        <f t="shared" si="7"/>
        <v>3.8765008462150455E+39</v>
      </c>
      <c r="G68" s="15">
        <f t="shared" si="8"/>
        <v>3.3290747706537977E+39</v>
      </c>
      <c r="H68" s="15">
        <f t="shared" si="9"/>
        <v>2.1839489147814792E+40</v>
      </c>
      <c r="I68" s="16">
        <v>194.24</v>
      </c>
      <c r="J68" s="45">
        <v>1</v>
      </c>
      <c r="K68" s="19">
        <f t="shared" si="10"/>
        <v>213.12038872465811</v>
      </c>
      <c r="L68" s="16">
        <f t="shared" si="11"/>
        <v>356.46907839419686</v>
      </c>
      <c r="M68" s="45"/>
    </row>
    <row r="69" spans="1:13" x14ac:dyDescent="0.25">
      <c r="A69" s="16">
        <v>1.23</v>
      </c>
      <c r="B69" s="45">
        <f t="shared" si="12"/>
        <v>1230</v>
      </c>
      <c r="C69" s="16">
        <f t="shared" si="13"/>
        <v>0.41554054054054052</v>
      </c>
      <c r="D69" s="15">
        <f t="shared" si="14"/>
        <v>3.7953834233999999E+19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1.7141041832675671E+40</v>
      </c>
      <c r="F69" s="15">
        <f t="shared" si="7"/>
        <v>5.0733101051647704E+39</v>
      </c>
      <c r="G69" s="15">
        <f t="shared" si="8"/>
        <v>4.5234573035642026E+39</v>
      </c>
      <c r="H69" s="15">
        <f t="shared" si="9"/>
        <v>2.6737809241404642E+40</v>
      </c>
      <c r="I69" s="16">
        <v>197.77</v>
      </c>
      <c r="J69" s="45">
        <v>1</v>
      </c>
      <c r="K69" s="19">
        <f t="shared" si="10"/>
        <v>216.83569987388256</v>
      </c>
      <c r="L69" s="16">
        <f t="shared" si="11"/>
        <v>363.50091168096509</v>
      </c>
      <c r="M69" s="45"/>
    </row>
    <row r="70" spans="1:13" x14ac:dyDescent="0.25">
      <c r="A70" s="16">
        <v>1.45</v>
      </c>
      <c r="B70" s="45">
        <f t="shared" si="12"/>
        <v>1450</v>
      </c>
      <c r="C70" s="16">
        <f t="shared" si="13"/>
        <v>0.48986486486486486</v>
      </c>
      <c r="D70" s="15">
        <f t="shared" si="14"/>
        <v>4.4742324909999997E+19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1.9845481328081076E+40</v>
      </c>
      <c r="F70" s="15">
        <f t="shared" si="7"/>
        <v>6.5332115054736997E+39</v>
      </c>
      <c r="G70" s="15">
        <f t="shared" si="8"/>
        <v>6.0829493047223424E+39</v>
      </c>
      <c r="H70" s="15">
        <f t="shared" si="9"/>
        <v>3.2461642138277116E+40</v>
      </c>
      <c r="I70" s="16">
        <v>200.31</v>
      </c>
      <c r="J70" s="45">
        <v>1</v>
      </c>
      <c r="K70" s="19">
        <f t="shared" si="10"/>
        <v>220.05015219941416</v>
      </c>
      <c r="L70" s="16">
        <f t="shared" si="11"/>
        <v>389.67360885603551</v>
      </c>
      <c r="M70" s="45"/>
    </row>
    <row r="71" spans="1:13" x14ac:dyDescent="0.25">
      <c r="A71" s="16">
        <v>1.68</v>
      </c>
      <c r="B71" s="45">
        <f t="shared" si="12"/>
        <v>1680</v>
      </c>
      <c r="C71" s="16">
        <f t="shared" si="13"/>
        <v>0.56756756756756754</v>
      </c>
      <c r="D71" s="15">
        <f t="shared" si="14"/>
        <v>5.1839383344E+19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2.2457556696189187E+40</v>
      </c>
      <c r="F71" s="15">
        <f t="shared" si="7"/>
        <v>8.1065537923529153E+39</v>
      </c>
      <c r="G71" s="15">
        <f t="shared" si="8"/>
        <v>7.8958399826617213E+39</v>
      </c>
      <c r="H71" s="15">
        <f t="shared" si="9"/>
        <v>3.8459950471203819E+40</v>
      </c>
      <c r="I71" s="16">
        <v>202.17</v>
      </c>
      <c r="J71" s="45">
        <v>1</v>
      </c>
      <c r="K71" s="19">
        <f t="shared" si="10"/>
        <v>222.52056346480444</v>
      </c>
      <c r="L71" s="16">
        <f t="shared" si="11"/>
        <v>414.14543333503377</v>
      </c>
      <c r="M71" s="45"/>
    </row>
    <row r="72" spans="1:13" x14ac:dyDescent="0.25">
      <c r="A72" s="16">
        <v>1.94</v>
      </c>
      <c r="B72" s="45">
        <f t="shared" si="12"/>
        <v>1940</v>
      </c>
      <c r="C72" s="16">
        <f t="shared" si="13"/>
        <v>0.65540540540540537</v>
      </c>
      <c r="D72" s="15">
        <f t="shared" si="14"/>
        <v>5.9862145052000002E+19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2.521649995077027E+40</v>
      </c>
      <c r="F72" s="15">
        <f t="shared" si="7"/>
        <v>9.9018304733303913E+39</v>
      </c>
      <c r="G72" s="15">
        <f t="shared" si="8"/>
        <v>1.0145439542975541E+40</v>
      </c>
      <c r="H72" s="15">
        <f t="shared" si="9"/>
        <v>4.5263769967076204E+40</v>
      </c>
      <c r="I72" s="16">
        <v>203.89</v>
      </c>
      <c r="J72" s="45">
        <v>1</v>
      </c>
      <c r="K72" s="19">
        <f t="shared" si="10"/>
        <v>224.64405407290982</v>
      </c>
      <c r="L72" s="16">
        <f t="shared" si="11"/>
        <v>430.73076046126545</v>
      </c>
      <c r="M72" s="45"/>
    </row>
    <row r="73" spans="1:13" x14ac:dyDescent="0.25">
      <c r="A73" s="16">
        <v>2.23</v>
      </c>
      <c r="B73" s="45">
        <f t="shared" si="12"/>
        <v>2230</v>
      </c>
      <c r="C73" s="16">
        <f t="shared" si="13"/>
        <v>0.7533783783783784</v>
      </c>
      <c r="D73" s="15">
        <f t="shared" si="14"/>
        <v>6.8810610034000003E+19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2.8057109603412163E+40</v>
      </c>
      <c r="F73" s="15">
        <f t="shared" si="7"/>
        <v>1.1881829637390333E+40</v>
      </c>
      <c r="G73" s="15">
        <f t="shared" si="8"/>
        <v>1.2875654359274082E+40</v>
      </c>
      <c r="H73" s="15">
        <f t="shared" si="9"/>
        <v>5.2814593600076579E+40</v>
      </c>
      <c r="I73" s="16">
        <v>205.23</v>
      </c>
      <c r="J73" s="45">
        <v>1</v>
      </c>
      <c r="K73" s="19">
        <f t="shared" si="10"/>
        <v>226.33148409235352</v>
      </c>
      <c r="L73" s="16">
        <f t="shared" si="11"/>
        <v>445.2726308998491</v>
      </c>
      <c r="M73" s="45"/>
    </row>
    <row r="74" spans="1:13" x14ac:dyDescent="0.25">
      <c r="A74" s="16">
        <v>2.54</v>
      </c>
      <c r="B74" s="45">
        <f t="shared" si="12"/>
        <v>2540</v>
      </c>
      <c r="C74" s="16">
        <f t="shared" si="13"/>
        <v>0.85810810810810811</v>
      </c>
      <c r="D74" s="15">
        <f t="shared" si="14"/>
        <v>7.8376210532000006E+19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3.0845446514445939E+40</v>
      </c>
      <c r="F74" s="15">
        <f t="shared" si="7"/>
        <v>1.3931558909567709E+40</v>
      </c>
      <c r="G74" s="15">
        <f t="shared" si="8"/>
        <v>1.6018543779122906E+40</v>
      </c>
      <c r="H74" s="15">
        <f t="shared" si="9"/>
        <v>6.0795549203136559E+40</v>
      </c>
      <c r="I74" s="16">
        <v>206.24</v>
      </c>
      <c r="J74" s="45">
        <v>1</v>
      </c>
      <c r="K74" s="19">
        <f t="shared" si="10"/>
        <v>227.53041883403566</v>
      </c>
      <c r="L74" s="16">
        <f t="shared" si="11"/>
        <v>453.28193412865988</v>
      </c>
      <c r="M74" s="45"/>
    </row>
    <row r="75" spans="1:13" x14ac:dyDescent="0.25">
      <c r="A75" s="16">
        <v>2.89</v>
      </c>
      <c r="B75" s="45">
        <f t="shared" si="12"/>
        <v>2890</v>
      </c>
      <c r="C75" s="16">
        <f t="shared" si="13"/>
        <v>0.97635135135135132</v>
      </c>
      <c r="D75" s="15">
        <f t="shared" si="14"/>
        <v>8.9176082061999997E+19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3.372711804541892E+40</v>
      </c>
      <c r="F75" s="15">
        <f t="shared" si="7"/>
        <v>1.6124939290765423E+40</v>
      </c>
      <c r="G75" s="15">
        <f t="shared" si="8"/>
        <v>1.9805984039218824E+40</v>
      </c>
      <c r="H75" s="15">
        <f t="shared" si="9"/>
        <v>6.9658041375403174E+40</v>
      </c>
      <c r="I75" s="16">
        <v>206.97</v>
      </c>
      <c r="J75" s="45">
        <v>1</v>
      </c>
      <c r="K75" s="19">
        <f t="shared" si="10"/>
        <v>228.32693120427905</v>
      </c>
      <c r="L75" s="16">
        <f t="shared" si="11"/>
        <v>456.1185104643082</v>
      </c>
      <c r="M75" s="45"/>
    </row>
    <row r="76" spans="1:13" x14ac:dyDescent="0.25">
      <c r="A76" s="16">
        <v>3.27</v>
      </c>
      <c r="B76" s="45">
        <f t="shared" si="12"/>
        <v>3270</v>
      </c>
      <c r="C76" s="16">
        <f t="shared" si="13"/>
        <v>1.1047297297297298</v>
      </c>
      <c r="D76" s="15">
        <f t="shared" si="14"/>
        <v>1.0090165686599999E+20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3.6574911574628378E+40</v>
      </c>
      <c r="F76" s="15">
        <f t="shared" si="7"/>
        <v>1.8331073585641225E+40</v>
      </c>
      <c r="G76" s="15">
        <f t="shared" si="8"/>
        <v>2.4160444278949635E+40</v>
      </c>
      <c r="H76" s="15">
        <f t="shared" si="9"/>
        <v>7.9066429439219241E+40</v>
      </c>
      <c r="I76" s="16">
        <v>207.49</v>
      </c>
      <c r="J76" s="45">
        <v>1</v>
      </c>
      <c r="K76" s="19">
        <f t="shared" si="10"/>
        <v>228.68760102227958</v>
      </c>
      <c r="L76" s="16">
        <f t="shared" si="11"/>
        <v>449.3382890997479</v>
      </c>
      <c r="M76" s="45"/>
    </row>
    <row r="77" spans="1:13" x14ac:dyDescent="0.25">
      <c r="A77" s="16">
        <v>3.69</v>
      </c>
      <c r="B77" s="45">
        <f t="shared" si="12"/>
        <v>3690</v>
      </c>
      <c r="C77" s="16">
        <f t="shared" si="13"/>
        <v>1.2466216216216217</v>
      </c>
      <c r="D77" s="15">
        <f t="shared" si="14"/>
        <v>1.13861502702E+20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3.9397489027780402E+40</v>
      </c>
      <c r="F77" s="15">
        <f t="shared" si="7"/>
        <v>2.0537646959730902E+40</v>
      </c>
      <c r="G77" s="15">
        <f t="shared" si="8"/>
        <v>2.9216215243643143E+40</v>
      </c>
      <c r="H77" s="15">
        <f t="shared" si="9"/>
        <v>8.915135123115444E+40</v>
      </c>
      <c r="I77" s="16">
        <v>208.36</v>
      </c>
      <c r="J77" s="45">
        <v>1</v>
      </c>
      <c r="K77" s="19">
        <f t="shared" si="10"/>
        <v>228.59736152637484</v>
      </c>
      <c r="L77" s="16">
        <f t="shared" si="11"/>
        <v>409.55080154919602</v>
      </c>
      <c r="M77" s="45"/>
    </row>
    <row r="78" spans="1:13" x14ac:dyDescent="0.25">
      <c r="A78" s="16">
        <v>4.1500000000000004</v>
      </c>
      <c r="B78" s="45">
        <f t="shared" si="12"/>
        <v>4150</v>
      </c>
      <c r="C78" s="16">
        <f t="shared" si="13"/>
        <v>1.402027027027027</v>
      </c>
      <c r="D78" s="15">
        <f t="shared" si="14"/>
        <v>1.2805561957E+20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4.221039501977703E+40</v>
      </c>
      <c r="F78" s="15">
        <f t="shared" si="7"/>
        <v>2.2670216542651184E+40</v>
      </c>
      <c r="G78" s="15">
        <f t="shared" si="8"/>
        <v>3.4990297373629527E+40</v>
      </c>
      <c r="H78" s="15">
        <f t="shared" si="9"/>
        <v>9.9870908936057741E+40</v>
      </c>
      <c r="I78" s="16">
        <v>209.19</v>
      </c>
      <c r="J78" s="45">
        <v>1</v>
      </c>
      <c r="K78" s="19">
        <f t="shared" si="10"/>
        <v>228.14758941139061</v>
      </c>
      <c r="L78" s="16">
        <f t="shared" si="11"/>
        <v>359.39019629086954</v>
      </c>
      <c r="M78" s="45"/>
    </row>
    <row r="79" spans="1:13" x14ac:dyDescent="0.25">
      <c r="A79" s="16">
        <v>4.6500000000000004</v>
      </c>
      <c r="B79" s="45">
        <f t="shared" si="12"/>
        <v>4650</v>
      </c>
      <c r="C79" s="16">
        <f t="shared" si="13"/>
        <v>1.5709459459459461</v>
      </c>
      <c r="D79" s="15">
        <f t="shared" si="14"/>
        <v>1.4348400747000001E+20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4.4928750487260141E+40</v>
      </c>
      <c r="F79" s="15">
        <f t="shared" si="7"/>
        <v>2.4663767819419512E+40</v>
      </c>
      <c r="G79" s="15">
        <f t="shared" si="8"/>
        <v>4.1487327165556511E+40</v>
      </c>
      <c r="H79" s="15">
        <f t="shared" si="9"/>
        <v>1.1107984547223616E+41</v>
      </c>
      <c r="I79" s="16">
        <v>209.93</v>
      </c>
      <c r="J79" s="45">
        <v>1</v>
      </c>
      <c r="K79" s="19">
        <f t="shared" si="10"/>
        <v>227.30636060696827</v>
      </c>
      <c r="L79" s="16">
        <f t="shared" si="11"/>
        <v>301.93790794339844</v>
      </c>
      <c r="M79" s="45"/>
    </row>
    <row r="80" spans="1:13" x14ac:dyDescent="0.25">
      <c r="A80" s="16">
        <v>5.21</v>
      </c>
      <c r="B80" s="45">
        <f t="shared" si="12"/>
        <v>5210</v>
      </c>
      <c r="C80" s="16">
        <f t="shared" si="13"/>
        <v>1.7601351351351351</v>
      </c>
      <c r="D80" s="15">
        <f t="shared" si="14"/>
        <v>1.6076380191800001E+20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4.7655946361854727E+40</v>
      </c>
      <c r="F80" s="15">
        <f t="shared" si="7"/>
        <v>2.6528353817168067E+40</v>
      </c>
      <c r="G80" s="15">
        <f t="shared" si="8"/>
        <v>4.8970651025191392E+40</v>
      </c>
      <c r="H80" s="15">
        <f t="shared" si="9"/>
        <v>1.2315495120421419E+41</v>
      </c>
      <c r="I80" s="16">
        <v>210.87</v>
      </c>
      <c r="J80" s="45">
        <v>1</v>
      </c>
      <c r="K80" s="19">
        <f t="shared" si="10"/>
        <v>226.11402880385421</v>
      </c>
      <c r="L80" s="16">
        <f t="shared" si="11"/>
        <v>232.38041417273672</v>
      </c>
      <c r="M80" s="45"/>
    </row>
    <row r="81" spans="1:13" x14ac:dyDescent="0.25">
      <c r="A81" s="16">
        <v>5.82</v>
      </c>
      <c r="B81" s="45">
        <f t="shared" si="12"/>
        <v>5820</v>
      </c>
      <c r="C81" s="16">
        <f t="shared" si="13"/>
        <v>1.9662162162162162</v>
      </c>
      <c r="D81" s="15">
        <f t="shared" si="14"/>
        <v>1.7958643515600001E+20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5.0294933379371612E+40</v>
      </c>
      <c r="F81" s="15">
        <f t="shared" si="7"/>
        <v>2.8170931643870583E+40</v>
      </c>
      <c r="G81" s="15">
        <f t="shared" si="8"/>
        <v>5.7300175337917636E+40</v>
      </c>
      <c r="H81" s="15">
        <f t="shared" si="9"/>
        <v>1.3576604036115983E+41</v>
      </c>
      <c r="I81" s="16">
        <v>212.07</v>
      </c>
      <c r="J81" s="45">
        <v>1</v>
      </c>
      <c r="K81" s="19">
        <f t="shared" si="10"/>
        <v>224.62315098254354</v>
      </c>
      <c r="L81" s="16">
        <f t="shared" si="11"/>
        <v>157.5815995905339</v>
      </c>
      <c r="M81" s="45"/>
    </row>
    <row r="82" spans="1:13" x14ac:dyDescent="0.25">
      <c r="A82" s="16">
        <v>6.49</v>
      </c>
      <c r="B82" s="45">
        <f t="shared" si="12"/>
        <v>6490</v>
      </c>
      <c r="C82" s="16">
        <f t="shared" si="13"/>
        <v>2.1925675675675675</v>
      </c>
      <c r="D82" s="15">
        <f t="shared" si="14"/>
        <v>2.0026047494200001E+20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5.2860369325229718E+40</v>
      </c>
      <c r="F82" s="15">
        <f t="shared" si="7"/>
        <v>2.9583001843750691E+40</v>
      </c>
      <c r="G82" s="15">
        <f t="shared" si="8"/>
        <v>6.6589413028071886E+40</v>
      </c>
      <c r="H82" s="15">
        <f t="shared" si="9"/>
        <v>1.4903278419705229E+41</v>
      </c>
      <c r="I82" s="16">
        <v>213.2</v>
      </c>
      <c r="J82" s="45">
        <v>1</v>
      </c>
      <c r="K82" s="19">
        <f t="shared" si="10"/>
        <v>222.86352253265463</v>
      </c>
      <c r="L82" s="16">
        <f t="shared" si="11"/>
        <v>93.383667739123922</v>
      </c>
      <c r="M82" s="45"/>
    </row>
    <row r="83" spans="1:13" x14ac:dyDescent="0.25">
      <c r="A83" s="16">
        <v>7.23</v>
      </c>
      <c r="B83" s="45">
        <f t="shared" si="12"/>
        <v>7230</v>
      </c>
      <c r="C83" s="16">
        <f t="shared" si="13"/>
        <v>2.4425675675675675</v>
      </c>
      <c r="D83" s="15">
        <f t="shared" si="14"/>
        <v>2.2309448903400001E+20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5.5342448877219581E+40</v>
      </c>
      <c r="F83" s="15">
        <f t="shared" si="7"/>
        <v>3.0759042913647118E+40</v>
      </c>
      <c r="G83" s="15">
        <f t="shared" si="8"/>
        <v>7.6944031427479779E+40</v>
      </c>
      <c r="H83" s="15">
        <f t="shared" si="9"/>
        <v>1.6304552321834648E+41</v>
      </c>
      <c r="I83" s="16">
        <v>214.27</v>
      </c>
      <c r="J83" s="45">
        <v>1</v>
      </c>
      <c r="K83" s="19">
        <f t="shared" si="10"/>
        <v>220.8542303082024</v>
      </c>
      <c r="L83" s="16">
        <f t="shared" si="11"/>
        <v>43.352088751450978</v>
      </c>
      <c r="M83" s="45"/>
    </row>
    <row r="84" spans="1:13" x14ac:dyDescent="0.25">
      <c r="A84" s="16">
        <v>8.0500000000000007</v>
      </c>
      <c r="B84" s="45">
        <f t="shared" si="12"/>
        <v>8050.0000000000009</v>
      </c>
      <c r="C84" s="16">
        <f t="shared" si="13"/>
        <v>2.7195945945945947</v>
      </c>
      <c r="D84" s="15">
        <f t="shared" si="14"/>
        <v>2.4839704519000002E+20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5.7751719170891889E+40</v>
      </c>
      <c r="F84" s="15">
        <f t="shared" si="7"/>
        <v>3.1701172849339542E+40</v>
      </c>
      <c r="G84" s="15">
        <f t="shared" si="8"/>
        <v>8.8456510158426602E+40</v>
      </c>
      <c r="H84" s="15">
        <f t="shared" si="9"/>
        <v>1.7790940217865804E+41</v>
      </c>
      <c r="I84" s="16">
        <v>214.83</v>
      </c>
      <c r="J84" s="45">
        <v>1</v>
      </c>
      <c r="K84" s="19">
        <f t="shared" si="10"/>
        <v>218.63613506768985</v>
      </c>
      <c r="L84" s="16">
        <f t="shared" si="11"/>
        <v>14.486664153498321</v>
      </c>
      <c r="M84" s="45"/>
    </row>
    <row r="85" spans="1:13" x14ac:dyDescent="0.25">
      <c r="A85" s="16">
        <v>8.94</v>
      </c>
      <c r="B85" s="45">
        <f t="shared" si="12"/>
        <v>8940</v>
      </c>
      <c r="C85" s="16">
        <f t="shared" si="13"/>
        <v>3.0202702702702702</v>
      </c>
      <c r="D85" s="15">
        <f t="shared" si="14"/>
        <v>2.7585957565199997E+20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6.0024088649074326E+40</v>
      </c>
      <c r="F85" s="15">
        <f t="shared" si="7"/>
        <v>3.2409165894661272E+40</v>
      </c>
      <c r="G85" s="15">
        <f t="shared" si="8"/>
        <v>1.0092230680738414E+41</v>
      </c>
      <c r="H85" s="15">
        <f t="shared" si="9"/>
        <v>1.9335556135111971E+41</v>
      </c>
      <c r="I85" s="16">
        <v>214.52</v>
      </c>
      <c r="J85" s="45">
        <v>1</v>
      </c>
      <c r="K85" s="19">
        <f t="shared" si="10"/>
        <v>216.28679545312238</v>
      </c>
      <c r="L85" s="16">
        <f t="shared" si="11"/>
        <v>3.1215661731738806</v>
      </c>
      <c r="M85" s="45"/>
    </row>
    <row r="86" spans="1:13" x14ac:dyDescent="0.25">
      <c r="A86" s="16">
        <v>9.93</v>
      </c>
      <c r="B86" s="45">
        <f t="shared" si="12"/>
        <v>9930</v>
      </c>
      <c r="C86" s="16">
        <f t="shared" si="13"/>
        <v>3.3547297297297298</v>
      </c>
      <c r="D86" s="15">
        <f t="shared" si="14"/>
        <v>3.06407783694E+20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6.2208578345270267E+40</v>
      </c>
      <c r="F86" s="15">
        <f t="shared" si="7"/>
        <v>3.2929027512560423E+40</v>
      </c>
      <c r="G86" s="15">
        <f t="shared" si="8"/>
        <v>1.1468013537585412E+41</v>
      </c>
      <c r="H86" s="15">
        <f t="shared" si="9"/>
        <v>2.0981774123368478E+41</v>
      </c>
      <c r="I86" s="16">
        <v>213.72</v>
      </c>
      <c r="J86" s="45">
        <v>1</v>
      </c>
      <c r="K86" s="19">
        <f t="shared" si="10"/>
        <v>213.77992037760831</v>
      </c>
      <c r="L86" s="16">
        <f t="shared" si="11"/>
        <v>3.5904516527221304E-3</v>
      </c>
      <c r="M86" s="45"/>
    </row>
    <row r="87" spans="1:13" x14ac:dyDescent="0.25">
      <c r="A87" s="16">
        <v>11.01</v>
      </c>
      <c r="B87" s="45">
        <f t="shared" si="12"/>
        <v>11010</v>
      </c>
      <c r="C87" s="16">
        <f t="shared" si="13"/>
        <v>3.7195945945945947</v>
      </c>
      <c r="D87" s="15">
        <f t="shared" si="14"/>
        <v>3.3973310155799999E+20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6.4259943223209464E+40</v>
      </c>
      <c r="F87" s="15">
        <f t="shared" si="7"/>
        <v>3.3283879627479022E+40</v>
      </c>
      <c r="G87" s="15">
        <f t="shared" si="8"/>
        <v>1.2949227425284273E+41</v>
      </c>
      <c r="H87" s="15">
        <f t="shared" si="9"/>
        <v>2.2703609710353121E+41</v>
      </c>
      <c r="I87" s="16">
        <v>212.7</v>
      </c>
      <c r="J87" s="45">
        <v>1</v>
      </c>
      <c r="K87" s="19">
        <f t="shared" si="10"/>
        <v>211.19042698329034</v>
      </c>
      <c r="L87" s="16">
        <f t="shared" si="11"/>
        <v>2.2788106927778791</v>
      </c>
      <c r="M87" s="45"/>
    </row>
    <row r="88" spans="1:13" x14ac:dyDescent="0.25">
      <c r="A88" s="16">
        <v>12.2</v>
      </c>
      <c r="B88" s="45">
        <f t="shared" si="12"/>
        <v>12200</v>
      </c>
      <c r="C88" s="16">
        <f t="shared" si="13"/>
        <v>4.1216216216216219</v>
      </c>
      <c r="D88" s="15">
        <f t="shared" si="14"/>
        <v>3.7645266475999999E+20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6.6191502457770259E+40</v>
      </c>
      <c r="F88" s="15">
        <f t="shared" si="7"/>
        <v>3.3515191204290494E+40</v>
      </c>
      <c r="G88" s="15">
        <f t="shared" si="8"/>
        <v>1.4551826644519544E+41</v>
      </c>
      <c r="H88" s="15">
        <f t="shared" si="9"/>
        <v>2.4522496010725621E+41</v>
      </c>
      <c r="I88" s="16">
        <v>210.9</v>
      </c>
      <c r="J88" s="45">
        <v>1</v>
      </c>
      <c r="K88" s="19">
        <f t="shared" si="10"/>
        <v>208.50806237295333</v>
      </c>
      <c r="L88" s="16">
        <f t="shared" si="11"/>
        <v>5.7213656116816676</v>
      </c>
      <c r="M88" s="45"/>
    </row>
    <row r="89" spans="1:13" x14ac:dyDescent="0.25">
      <c r="A89" s="16">
        <v>13.51</v>
      </c>
      <c r="B89" s="45">
        <f t="shared" si="12"/>
        <v>13510</v>
      </c>
      <c r="C89" s="16">
        <f t="shared" si="13"/>
        <v>4.5641891891891895</v>
      </c>
      <c r="D89" s="15">
        <f t="shared" si="14"/>
        <v>4.1687504105800001E+20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6.799861553241215E+40</v>
      </c>
      <c r="F89" s="15">
        <f t="shared" si="7"/>
        <v>3.3656507145409008E+40</v>
      </c>
      <c r="G89" s="15">
        <f t="shared" si="8"/>
        <v>1.6275665719445311E+41</v>
      </c>
      <c r="H89" s="15">
        <f t="shared" si="9"/>
        <v>2.6441177987227425E+41</v>
      </c>
      <c r="I89" s="16">
        <v>208.25</v>
      </c>
      <c r="J89" s="45">
        <v>1</v>
      </c>
      <c r="K89" s="19">
        <f t="shared" si="10"/>
        <v>205.74683198694646</v>
      </c>
      <c r="L89" s="16">
        <f t="shared" si="11"/>
        <v>6.2658501015744035</v>
      </c>
      <c r="M89" s="45"/>
    </row>
    <row r="90" spans="1:13" x14ac:dyDescent="0.25">
      <c r="A90" s="16">
        <v>14.95</v>
      </c>
      <c r="B90" s="45">
        <f t="shared" si="12"/>
        <v>14950</v>
      </c>
      <c r="C90" s="16">
        <f t="shared" si="13"/>
        <v>5.0506756756756754</v>
      </c>
      <c r="D90" s="15">
        <f t="shared" si="14"/>
        <v>4.6130879820999996E+20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6.965547515142229E+40</v>
      </c>
      <c r="F90" s="15">
        <f t="shared" si="7"/>
        <v>3.3736933796384132E+40</v>
      </c>
      <c r="G90" s="15">
        <f t="shared" si="8"/>
        <v>1.811853578466118E+41</v>
      </c>
      <c r="H90" s="15">
        <f t="shared" si="9"/>
        <v>2.8457776679441822E+41</v>
      </c>
      <c r="I90" s="16">
        <v>204.15</v>
      </c>
      <c r="J90" s="45">
        <v>1</v>
      </c>
      <c r="K90" s="19">
        <f t="shared" si="10"/>
        <v>202.90853659580173</v>
      </c>
      <c r="L90" s="16">
        <f t="shared" si="11"/>
        <v>1.5412313839635592</v>
      </c>
      <c r="M90" s="45"/>
    </row>
    <row r="91" spans="1:13" x14ac:dyDescent="0.25">
      <c r="A91" s="16">
        <v>16.54</v>
      </c>
      <c r="B91" s="45">
        <f t="shared" si="12"/>
        <v>16540</v>
      </c>
      <c r="C91" s="16">
        <f t="shared" si="13"/>
        <v>5.5878378378378377</v>
      </c>
      <c r="D91" s="15">
        <f t="shared" si="14"/>
        <v>5.1037107173199997E+20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7.1126725263898638E+40</v>
      </c>
      <c r="F91" s="15">
        <f t="shared" si="7"/>
        <v>3.3779499516749938E+40</v>
      </c>
      <c r="G91" s="15">
        <f t="shared" si="8"/>
        <v>2.0088509299104606E+41</v>
      </c>
      <c r="H91" s="15">
        <f t="shared" si="9"/>
        <v>3.0579131777169463E+41</v>
      </c>
      <c r="I91" s="16">
        <v>197.98</v>
      </c>
      <c r="J91" s="45">
        <v>1</v>
      </c>
      <c r="K91" s="19">
        <f t="shared" si="10"/>
        <v>199.97018766302966</v>
      </c>
      <c r="L91" s="16">
        <f t="shared" si="11"/>
        <v>3.9608469340755099</v>
      </c>
      <c r="M91" s="45"/>
    </row>
    <row r="92" spans="1:13" x14ac:dyDescent="0.25">
      <c r="A92" s="16">
        <v>18.29</v>
      </c>
      <c r="B92" s="45">
        <f t="shared" si="12"/>
        <v>18290</v>
      </c>
      <c r="C92" s="16">
        <f t="shared" si="13"/>
        <v>6.1790540540540544</v>
      </c>
      <c r="D92" s="15">
        <f t="shared" si="14"/>
        <v>5.6437042938199998E+20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7.2614774938658775E+40</v>
      </c>
      <c r="F92" s="15">
        <f t="shared" si="7"/>
        <v>3.3800115266937162E+40</v>
      </c>
      <c r="G92" s="15">
        <f t="shared" si="8"/>
        <v>2.2178445022977101E+41</v>
      </c>
      <c r="H92" s="15">
        <f t="shared" si="9"/>
        <v>3.2819934043536695E+41</v>
      </c>
      <c r="I92" s="16">
        <v>190.38</v>
      </c>
      <c r="J92" s="45">
        <v>1</v>
      </c>
      <c r="K92" s="19">
        <f t="shared" si="10"/>
        <v>197.00735069895842</v>
      </c>
      <c r="L92" s="16">
        <f t="shared" si="11"/>
        <v>43.921777286984707</v>
      </c>
      <c r="M92" s="45"/>
    </row>
    <row r="93" spans="1:13" x14ac:dyDescent="0.25">
      <c r="A93" s="16">
        <v>20.2</v>
      </c>
      <c r="B93" s="45">
        <f t="shared" si="12"/>
        <v>20200</v>
      </c>
      <c r="C93" s="16">
        <f t="shared" si="13"/>
        <v>6.8243243243243246</v>
      </c>
      <c r="D93" s="15">
        <f t="shared" si="14"/>
        <v>6.2330687115999995E+20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7.3909127668202696E+40</v>
      </c>
      <c r="F93" s="15">
        <f t="shared" si="7"/>
        <v>3.3809172782831331E+40</v>
      </c>
      <c r="G93" s="15">
        <f t="shared" si="8"/>
        <v>2.436846809340296E+41</v>
      </c>
      <c r="H93" s="15">
        <f t="shared" si="9"/>
        <v>3.5140298138506367E+41</v>
      </c>
      <c r="I93" s="16">
        <v>184.73</v>
      </c>
      <c r="J93" s="45">
        <v>1</v>
      </c>
      <c r="K93" s="19">
        <f t="shared" si="10"/>
        <v>193.97576250907025</v>
      </c>
      <c r="L93" s="16">
        <f t="shared" si="11"/>
        <v>85.484124374129195</v>
      </c>
      <c r="M93" s="45"/>
    </row>
    <row r="94" spans="1:13" x14ac:dyDescent="0.25">
      <c r="A94" s="16">
        <v>22.32</v>
      </c>
      <c r="B94" s="45">
        <f t="shared" si="12"/>
        <v>22320</v>
      </c>
      <c r="C94" s="16">
        <f t="shared" si="13"/>
        <v>7.5405405405405403</v>
      </c>
      <c r="D94" s="15">
        <f t="shared" si="14"/>
        <v>6.8872323585599996E+20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7.5078515526243237E+40</v>
      </c>
      <c r="F94" s="15">
        <f t="shared" si="7"/>
        <v>3.3812833797522976E+40</v>
      </c>
      <c r="G94" s="15">
        <f t="shared" si="8"/>
        <v>2.6693200262860739E+41</v>
      </c>
      <c r="H94" s="15">
        <f t="shared" si="9"/>
        <v>3.7582335195237361E+41</v>
      </c>
      <c r="I94" s="16">
        <v>183.76</v>
      </c>
      <c r="J94" s="45">
        <v>1</v>
      </c>
      <c r="K94" s="19">
        <f t="shared" si="10"/>
        <v>190.8381585373607</v>
      </c>
      <c r="L94" s="16">
        <f t="shared" si="11"/>
        <v>50.100328280012263</v>
      </c>
      <c r="M94" s="45"/>
    </row>
    <row r="95" spans="1:13" x14ac:dyDescent="0.25">
      <c r="A95" s="16">
        <v>24.64</v>
      </c>
      <c r="B95" s="45">
        <f t="shared" si="12"/>
        <v>24640</v>
      </c>
      <c r="C95" s="16">
        <f t="shared" si="13"/>
        <v>8.3243243243243246</v>
      </c>
      <c r="D95" s="15">
        <f t="shared" si="14"/>
        <v>7.6031095571200003E+20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7.6150184814824311E+40</v>
      </c>
      <c r="F95" s="15">
        <f t="shared" si="7"/>
        <v>3.3814136251269824E+40</v>
      </c>
      <c r="G95" s="15">
        <f t="shared" si="8"/>
        <v>2.9117131436030108E+41</v>
      </c>
      <c r="H95" s="15">
        <f t="shared" si="9"/>
        <v>4.011356354263952E+41</v>
      </c>
      <c r="I95" s="16">
        <v>184.22</v>
      </c>
      <c r="J95" s="45">
        <v>1</v>
      </c>
      <c r="K95" s="19">
        <f t="shared" si="10"/>
        <v>187.64876143028548</v>
      </c>
      <c r="L95" s="16">
        <f t="shared" si="11"/>
        <v>11.756404945813305</v>
      </c>
      <c r="M95" s="45"/>
    </row>
    <row r="96" spans="1:13" x14ac:dyDescent="0.25">
      <c r="A96" s="16">
        <v>27.19</v>
      </c>
      <c r="B96" s="45">
        <f t="shared" si="12"/>
        <v>27190</v>
      </c>
      <c r="C96" s="16">
        <f t="shared" si="13"/>
        <v>9.1858108108108105</v>
      </c>
      <c r="D96" s="15">
        <f t="shared" si="14"/>
        <v>8.3899573400200007E+20</v>
      </c>
      <c r="E96" s="15">
        <f>FORECAST($C96, OFFSET('De Vaucouleurs Deprojection'!$F$3:$F$126, MATCH($C96, 'De Vaucouleurs Deprojection'!$A$3:$A$126,1)-1,0,2), OFFSET('De Vaucouleurs Deprojection'!$A$3:$A$126, MATCH($C96, 'De Vaucouleurs Deprojection'!$A$3:$A$126,1)-1,0,2))*LCDMTotalBulgeMass</f>
        <v>7.7105701751293906E+40</v>
      </c>
      <c r="F96" s="15">
        <f t="shared" si="7"/>
        <v>3.3814550093030307E+40</v>
      </c>
      <c r="G96" s="15">
        <f t="shared" si="8"/>
        <v>3.1647170102960201E+41</v>
      </c>
      <c r="H96" s="15">
        <f t="shared" si="9"/>
        <v>4.2739195287392622E+41</v>
      </c>
      <c r="I96" s="16">
        <v>181.96</v>
      </c>
      <c r="J96" s="45">
        <v>1</v>
      </c>
      <c r="K96" s="19">
        <f t="shared" si="10"/>
        <v>184.38644798200295</v>
      </c>
      <c r="L96" s="16">
        <f t="shared" si="11"/>
        <v>5.8876498093661436</v>
      </c>
      <c r="M96" s="45"/>
    </row>
    <row r="97" spans="1:29" x14ac:dyDescent="0.25">
      <c r="A97" s="16">
        <v>30</v>
      </c>
      <c r="B97" s="45">
        <f t="shared" si="12"/>
        <v>30000</v>
      </c>
      <c r="C97" s="16">
        <f t="shared" si="13"/>
        <v>10.135135135135135</v>
      </c>
      <c r="D97" s="15">
        <f t="shared" si="14"/>
        <v>9.2570327399999996E+20</v>
      </c>
      <c r="E97" s="15">
        <f>FORECAST($C97, OFFSET('De Vaucouleurs Deprojection'!$F$3:$F$126, MATCH($C97, 'De Vaucouleurs Deprojection'!$A$3:$A$126,1)-1,0,2), OFFSET('De Vaucouleurs Deprojection'!$A$3:$A$126, MATCH($C97, 'De Vaucouleurs Deprojection'!$A$3:$A$126,1)-1,0,2))*LCDMTotalBulgeMass</f>
        <v>7.7947202534972964E+40</v>
      </c>
      <c r="F97" s="15">
        <f t="shared" si="7"/>
        <v>3.3814665484132858E+40</v>
      </c>
      <c r="G97" s="15">
        <f t="shared" si="8"/>
        <v>3.4286054887893991E+41</v>
      </c>
      <c r="H97" s="15">
        <f t="shared" si="9"/>
        <v>4.546224168980457E+41</v>
      </c>
      <c r="I97" s="16">
        <v>179.66</v>
      </c>
      <c r="J97" s="45">
        <v>1</v>
      </c>
      <c r="K97" s="19">
        <f t="shared" si="10"/>
        <v>181.04445481634787</v>
      </c>
      <c r="L97" s="16">
        <f t="shared" si="11"/>
        <v>1.9167151385088121</v>
      </c>
      <c r="M97" s="45"/>
    </row>
    <row r="98" spans="1:29" x14ac:dyDescent="0.25">
      <c r="A98" s="16">
        <v>33.090000000000003</v>
      </c>
      <c r="B98" s="45">
        <f t="shared" si="12"/>
        <v>33090</v>
      </c>
      <c r="C98" s="16">
        <f t="shared" si="13"/>
        <v>11.179054054054054</v>
      </c>
      <c r="D98" s="15">
        <f t="shared" si="14"/>
        <v>1.0210507112220002E+21</v>
      </c>
      <c r="E98" s="15">
        <f>FORECAST($C98, OFFSET('De Vaucouleurs Deprojection'!$F$3:$F$126, MATCH($C98, 'De Vaucouleurs Deprojection'!$A$3:$A$126,1)-1,0,2), OFFSET('De Vaucouleurs Deprojection'!$A$3:$A$126, MATCH($C98, 'De Vaucouleurs Deprojection'!$A$3:$A$126,1)-1,0,2))*LCDMTotalBulgeMass</f>
        <v>7.8680546375748295E+40</v>
      </c>
      <c r="F98" s="15">
        <f t="shared" si="7"/>
        <v>3.3814693196164925E+40</v>
      </c>
      <c r="G98" s="15">
        <f t="shared" si="8"/>
        <v>3.7024176289082518E+41</v>
      </c>
      <c r="H98" s="15">
        <f t="shared" si="9"/>
        <v>4.8273700246273837E+41</v>
      </c>
      <c r="I98" s="16">
        <v>179.05</v>
      </c>
      <c r="J98" s="45">
        <v>1</v>
      </c>
      <c r="K98" s="19">
        <f t="shared" si="10"/>
        <v>177.63451012723317</v>
      </c>
      <c r="L98" s="16">
        <f t="shared" si="11"/>
        <v>2.0036115799054879</v>
      </c>
      <c r="M98" s="45"/>
    </row>
    <row r="99" spans="1:29" x14ac:dyDescent="0.25">
      <c r="A99" s="16">
        <v>36.5</v>
      </c>
      <c r="B99" s="45">
        <f t="shared" si="12"/>
        <v>36500</v>
      </c>
      <c r="C99" s="16">
        <f t="shared" si="13"/>
        <v>12.331081081081081</v>
      </c>
      <c r="D99" s="15">
        <f t="shared" si="14"/>
        <v>1.1262723167E+21</v>
      </c>
      <c r="E99" s="15">
        <f>FORECAST($C99, OFFSET('De Vaucouleurs Deprojection'!$F$3:$F$126, MATCH($C99, 'De Vaucouleurs Deprojection'!$A$3:$A$126,1)-1,0,2), OFFSET('De Vaucouleurs Deprojection'!$A$3:$A$126, MATCH($C99, 'De Vaucouleurs Deprojection'!$A$3:$A$126,1)-1,0,2))*LCDMTotalBulgeMass</f>
        <v>7.932088467167567E+40</v>
      </c>
      <c r="F99" s="15">
        <f t="shared" si="7"/>
        <v>3.3814698876676577E+40</v>
      </c>
      <c r="G99" s="15">
        <f t="shared" si="8"/>
        <v>3.9866954603169288E+41</v>
      </c>
      <c r="H99" s="15">
        <f t="shared" si="9"/>
        <v>5.1180512958004516E+41</v>
      </c>
      <c r="I99" s="16">
        <v>179</v>
      </c>
      <c r="J99" s="45">
        <v>1</v>
      </c>
      <c r="K99" s="19">
        <f t="shared" si="10"/>
        <v>174.15113789541209</v>
      </c>
      <c r="L99" s="16">
        <f t="shared" si="11"/>
        <v>23.511463709308682</v>
      </c>
      <c r="M99" s="45"/>
    </row>
    <row r="100" spans="1:29" x14ac:dyDescent="0.25">
      <c r="H100" s="15"/>
      <c r="K100" s="45"/>
      <c r="L100" s="16">
        <f>SUM(L61:L99)/(COUNT(L61:L99)-6)</f>
        <v>385.31412755335896</v>
      </c>
      <c r="M100" s="45"/>
    </row>
    <row r="101" spans="1:29" x14ac:dyDescent="0.25">
      <c r="H101" s="15"/>
      <c r="K101" s="45"/>
      <c r="L101" s="17"/>
      <c r="M101" s="45"/>
    </row>
    <row r="102" spans="1:29" x14ac:dyDescent="0.25">
      <c r="I102" s="45"/>
      <c r="J102" s="45"/>
      <c r="L102" s="16"/>
    </row>
    <row r="103" spans="1:29" x14ac:dyDescent="0.25">
      <c r="I103" s="45"/>
      <c r="J103" s="45"/>
      <c r="L103" s="16"/>
    </row>
    <row r="104" spans="1:29" x14ac:dyDescent="0.25">
      <c r="I104" s="45"/>
      <c r="J104" s="45"/>
      <c r="L104" s="16"/>
    </row>
    <row r="105" spans="1:29" x14ac:dyDescent="0.25">
      <c r="I105" s="45"/>
      <c r="J105" s="45"/>
      <c r="L105" s="16"/>
    </row>
    <row r="106" spans="1:29" x14ac:dyDescent="0.25">
      <c r="I106" s="45"/>
      <c r="J106" s="45"/>
      <c r="L106" s="16"/>
    </row>
    <row r="107" spans="1:29" x14ac:dyDescent="0.25">
      <c r="I107" s="45"/>
      <c r="J107" s="45"/>
      <c r="L107" s="16"/>
    </row>
    <row r="108" spans="1:29" x14ac:dyDescent="0.25">
      <c r="I108" s="45"/>
      <c r="J108" s="45"/>
      <c r="L108" s="16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45"/>
      <c r="J145" s="4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45"/>
      <c r="J146" s="4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45"/>
      <c r="J147" s="4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45"/>
      <c r="J148" s="4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s="17" customFormat="1" x14ac:dyDescent="0.25">
      <c r="A551" s="16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16"/>
      <c r="W551" s="16"/>
      <c r="X551" s="45"/>
      <c r="Y551" s="45"/>
      <c r="Z551" s="45"/>
      <c r="AA551" s="45"/>
      <c r="AB551" s="45"/>
      <c r="AC551" s="45"/>
    </row>
    <row r="552" spans="1:29" s="17" customFormat="1" x14ac:dyDescent="0.25">
      <c r="A552" s="16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16"/>
      <c r="W552" s="16"/>
      <c r="X552" s="45"/>
      <c r="Y552" s="45"/>
      <c r="Z552" s="45"/>
      <c r="AA552" s="45"/>
      <c r="AB552" s="45"/>
      <c r="AC552" s="45"/>
    </row>
    <row r="553" spans="1:29" s="17" customFormat="1" x14ac:dyDescent="0.25">
      <c r="A553" s="16"/>
      <c r="B553" s="45"/>
      <c r="C553" s="16"/>
      <c r="D553" s="15"/>
      <c r="E553" s="15"/>
      <c r="F553" s="15"/>
      <c r="G553" s="15"/>
      <c r="H553" s="18"/>
      <c r="I553" s="15"/>
      <c r="J553" s="15"/>
      <c r="K553" s="19"/>
      <c r="L553" s="16"/>
      <c r="N553" s="45"/>
      <c r="O553" s="45"/>
      <c r="P553" s="45"/>
      <c r="Q553" s="45"/>
      <c r="R553" s="45"/>
      <c r="S553" s="45"/>
      <c r="T553" s="45"/>
      <c r="U553" s="45"/>
      <c r="V553" s="16"/>
      <c r="W553" s="16"/>
      <c r="X553" s="45"/>
      <c r="Y553" s="45"/>
      <c r="Z553" s="45"/>
      <c r="AA553" s="45"/>
      <c r="AB553" s="45"/>
      <c r="AC553" s="45"/>
    </row>
    <row r="554" spans="1:29" s="17" customFormat="1" x14ac:dyDescent="0.25">
      <c r="A554" s="16"/>
      <c r="B554" s="45"/>
      <c r="C554" s="16"/>
      <c r="D554" s="15"/>
      <c r="E554" s="15"/>
      <c r="F554" s="15"/>
      <c r="G554" s="15"/>
      <c r="H554" s="18"/>
      <c r="I554" s="15"/>
      <c r="J554" s="15"/>
      <c r="K554" s="19"/>
      <c r="L554" s="16"/>
      <c r="N554" s="45"/>
      <c r="O554" s="45"/>
      <c r="P554" s="45"/>
      <c r="Q554" s="45"/>
      <c r="R554" s="45"/>
      <c r="S554" s="45"/>
      <c r="T554" s="45"/>
      <c r="U554" s="45"/>
      <c r="V554" s="16"/>
      <c r="W554" s="16"/>
      <c r="X554" s="45"/>
      <c r="Y554" s="45"/>
      <c r="Z554" s="45"/>
      <c r="AA554" s="45"/>
      <c r="AB554" s="45"/>
      <c r="AC554" s="45"/>
    </row>
    <row r="555" spans="1:29" s="17" customFormat="1" x14ac:dyDescent="0.25">
      <c r="A555" s="16"/>
      <c r="B555" s="45"/>
      <c r="C555" s="16"/>
      <c r="D555" s="15"/>
      <c r="E555" s="15"/>
      <c r="F555" s="15"/>
      <c r="G555" s="15"/>
      <c r="H555" s="18"/>
      <c r="I555" s="15"/>
      <c r="J555" s="15"/>
      <c r="K555" s="19"/>
      <c r="L555" s="16"/>
      <c r="N555" s="45"/>
      <c r="O555" s="45"/>
      <c r="P555" s="45"/>
      <c r="Q555" s="45"/>
      <c r="R555" s="45"/>
      <c r="S555" s="45"/>
      <c r="T555" s="45"/>
      <c r="U555" s="45"/>
      <c r="V555" s="16"/>
      <c r="W555" s="16"/>
      <c r="X555" s="45"/>
      <c r="Y555" s="45"/>
      <c r="Z555" s="45"/>
      <c r="AA555" s="45"/>
      <c r="AB555" s="45"/>
      <c r="AC555" s="45"/>
    </row>
    <row r="556" spans="1:29" s="17" customFormat="1" x14ac:dyDescent="0.25">
      <c r="A556" s="16"/>
      <c r="B556" s="45"/>
      <c r="C556" s="16"/>
      <c r="D556" s="15"/>
      <c r="E556" s="15"/>
      <c r="F556" s="15"/>
      <c r="G556" s="15"/>
      <c r="H556" s="18"/>
      <c r="I556" s="15"/>
      <c r="J556" s="15"/>
      <c r="K556" s="19"/>
      <c r="L556" s="16"/>
      <c r="N556" s="45"/>
      <c r="O556" s="45"/>
      <c r="P556" s="45"/>
      <c r="Q556" s="45"/>
      <c r="R556" s="45"/>
      <c r="S556" s="45"/>
      <c r="T556" s="45"/>
      <c r="U556" s="45"/>
      <c r="V556" s="16"/>
      <c r="W556" s="16"/>
      <c r="X556" s="45"/>
      <c r="Y556" s="45"/>
      <c r="Z556" s="45"/>
      <c r="AA556" s="45"/>
      <c r="AB556" s="45"/>
      <c r="AC556" s="45"/>
    </row>
    <row r="557" spans="1:29" x14ac:dyDescent="0.25">
      <c r="L557" s="16"/>
    </row>
    <row r="558" spans="1:29" x14ac:dyDescent="0.25">
      <c r="L558" s="16"/>
      <c r="N558" s="17"/>
      <c r="O558" s="38"/>
    </row>
    <row r="559" spans="1:29" x14ac:dyDescent="0.25">
      <c r="L559" s="16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C55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165.09201908100201</v>
      </c>
      <c r="E2" s="55"/>
      <c r="F2" s="53" t="s">
        <v>620</v>
      </c>
      <c r="G2" s="53">
        <v>31332739902</v>
      </c>
      <c r="H2" s="62"/>
      <c r="K2" s="51" t="s">
        <v>1</v>
      </c>
      <c r="L2" s="60" t="s">
        <v>587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7.8742154206055605E+39</v>
      </c>
      <c r="E3" s="53"/>
      <c r="F3" s="53" t="s">
        <v>621</v>
      </c>
      <c r="G3" s="53">
        <f>H46/SolarMass</f>
        <v>45725469358.360687</v>
      </c>
      <c r="H3" s="62"/>
      <c r="K3" s="51" t="s">
        <v>562</v>
      </c>
      <c r="L3" s="57">
        <v>1.7110000000000001E-3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2658.2029172776902</v>
      </c>
      <c r="E4" s="55"/>
      <c r="F4" s="53" t="s">
        <v>622</v>
      </c>
      <c r="G4" s="52">
        <f>G3/G2</f>
        <v>1.4593511292461845</v>
      </c>
      <c r="H4" s="62"/>
      <c r="K4" s="61" t="s">
        <v>614</v>
      </c>
      <c r="L4" s="52">
        <f>QEHModelChiSquare</f>
        <v>585.40916040118884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940.76661692051096</v>
      </c>
      <c r="F5" s="53"/>
      <c r="G5" s="52"/>
      <c r="H5" s="62"/>
      <c r="K5" s="61" t="s">
        <v>615</v>
      </c>
      <c r="L5" s="52">
        <f>LCDMModelChiSquare</f>
        <v>249.21195677851134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6" si="0">RadiusKpc*1000</f>
        <v>90</v>
      </c>
      <c r="C8" s="16">
        <f t="shared" ref="C8:C46" si="1">IF(QESBulgeEffectiveRadius=0,0,RadiusPc/QESBulgeEffectiveRadius)</f>
        <v>0.54515051969799777</v>
      </c>
      <c r="D8" s="15">
        <f t="shared" ref="D8:D46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2.0712299944002208E+39</v>
      </c>
      <c r="F8" s="15">
        <f t="shared" ref="F8:F46" si="3">2*PI()*QESDiskSurfaceDensity*QESDiskScaleLength*(QESDiskScaleLength-EXP(-RadiusPc/QESDiskScaleLength)*(RadiusPc+QESDiskScaleLength))*SolarMass</f>
        <v>4.6556949629955766E+37</v>
      </c>
      <c r="H8" s="18">
        <f t="shared" ref="H8:H46" si="4">BulgeMass+DiskMass+HaloMass</f>
        <v>2.1177869440301766E+39</v>
      </c>
      <c r="I8" s="16">
        <v>193.21</v>
      </c>
      <c r="J8" s="45">
        <v>1</v>
      </c>
      <c r="K8" s="19">
        <f t="shared" ref="K8:K46" si="5">SQRT(TotalMass*GravitationalConstant/RadiusKm+UniverseAcceleration*RadiusKm)/km</f>
        <v>225.82496598890009</v>
      </c>
      <c r="L8" s="16">
        <f t="shared" ref="L8:L46" si="6">(ObservedVelocity-ModelVelocity)^2/(VelocityError)^2</f>
        <v>1063.7360064571092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1.1508733193624396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3.5784794080572894E+39</v>
      </c>
      <c r="F9" s="15">
        <f t="shared" si="3"/>
        <v>2.0237774248513105E+38</v>
      </c>
      <c r="H9" s="18">
        <f t="shared" si="4"/>
        <v>3.7808571505424203E+39</v>
      </c>
      <c r="I9" s="16">
        <v>231.45</v>
      </c>
      <c r="J9" s="45">
        <v>1</v>
      </c>
      <c r="K9" s="19">
        <f t="shared" si="5"/>
        <v>207.97671860137407</v>
      </c>
      <c r="L9" s="16">
        <f t="shared" si="6"/>
        <v>550.9949396190774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1.8171683989933258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4.6190146640148646E+39</v>
      </c>
      <c r="F10" s="15">
        <f t="shared" si="3"/>
        <v>4.909186397634042E+38</v>
      </c>
      <c r="H10" s="18">
        <f t="shared" si="4"/>
        <v>5.109933303778269E+39</v>
      </c>
      <c r="I10" s="16">
        <v>221.92</v>
      </c>
      <c r="J10" s="45">
        <v>1</v>
      </c>
      <c r="K10" s="19">
        <f t="shared" si="5"/>
        <v>192.81820301447144</v>
      </c>
      <c r="L10" s="16">
        <f t="shared" si="6"/>
        <v>846.91458778691867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2.5440357585906561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5.3669315187703503E+39</v>
      </c>
      <c r="F11" s="15">
        <f t="shared" si="3"/>
        <v>9.3399405648789984E+38</v>
      </c>
      <c r="H11" s="18">
        <f t="shared" si="4"/>
        <v>6.3009255752582506E+39</v>
      </c>
      <c r="I11" s="16">
        <v>205.77</v>
      </c>
      <c r="J11" s="45">
        <v>1</v>
      </c>
      <c r="K11" s="19">
        <f t="shared" si="5"/>
        <v>181.44198176195331</v>
      </c>
      <c r="L11" s="16">
        <f t="shared" si="6"/>
        <v>591.8524713907326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3.3920476781208748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5.9556999139192048E+39</v>
      </c>
      <c r="F12" s="15">
        <f t="shared" si="3"/>
        <v>1.604020709781952E+39</v>
      </c>
      <c r="H12" s="18">
        <f t="shared" si="4"/>
        <v>7.5597206237011564E+39</v>
      </c>
      <c r="I12" s="16">
        <v>187.63</v>
      </c>
      <c r="J12" s="45">
        <v>1</v>
      </c>
      <c r="K12" s="19">
        <f t="shared" si="5"/>
        <v>172.70928191146197</v>
      </c>
      <c r="L12" s="16">
        <f t="shared" si="6"/>
        <v>222.62782827762578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4.2400595976510935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6.3629255338767503E+39</v>
      </c>
      <c r="F13" s="15">
        <f t="shared" si="3"/>
        <v>2.4215148383503061E+39</v>
      </c>
      <c r="H13" s="18">
        <f t="shared" si="4"/>
        <v>8.7844403722270565E+39</v>
      </c>
      <c r="I13" s="16">
        <v>170.91</v>
      </c>
      <c r="J13" s="45">
        <v>1</v>
      </c>
      <c r="K13" s="19">
        <f t="shared" si="5"/>
        <v>167.1245102975351</v>
      </c>
      <c r="L13" s="16">
        <f t="shared" si="6"/>
        <v>14.329932287467802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5.2092160771142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6.6858529197531739E+39</v>
      </c>
      <c r="F14" s="15">
        <f t="shared" si="3"/>
        <v>3.5147557376729948E+39</v>
      </c>
      <c r="H14" s="18">
        <f t="shared" si="4"/>
        <v>1.0200608657426169E+40</v>
      </c>
      <c r="I14" s="16">
        <v>153.41</v>
      </c>
      <c r="J14" s="45">
        <v>1</v>
      </c>
      <c r="K14" s="19">
        <f t="shared" si="5"/>
        <v>163.163991854762</v>
      </c>
      <c r="L14" s="16">
        <f t="shared" si="6"/>
        <v>95.140357102763559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6.299517116510196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6.9497688757951649E+39</v>
      </c>
      <c r="F15" s="15">
        <f t="shared" si="3"/>
        <v>4.9199063618072097E+39</v>
      </c>
      <c r="H15" s="18">
        <f t="shared" si="4"/>
        <v>1.1869675237602374E+40</v>
      </c>
      <c r="I15" s="16">
        <v>140.15</v>
      </c>
      <c r="J15" s="45">
        <v>1</v>
      </c>
      <c r="K15" s="19">
        <f t="shared" si="5"/>
        <v>160.7979764047852</v>
      </c>
      <c r="L15" s="16">
        <f t="shared" si="6"/>
        <v>426.33892961256623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7.4503904358726354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7.1487375664709103E+39</v>
      </c>
      <c r="F16" s="15">
        <f t="shared" si="3"/>
        <v>6.5729789783708249E+39</v>
      </c>
      <c r="H16" s="18">
        <f t="shared" si="4"/>
        <v>1.3721716544841734E+40</v>
      </c>
      <c r="I16" s="16">
        <v>129.4</v>
      </c>
      <c r="J16" s="45">
        <v>1</v>
      </c>
      <c r="K16" s="19">
        <f t="shared" si="5"/>
        <v>159.72883685320525</v>
      </c>
      <c r="L16" s="16">
        <f t="shared" si="6"/>
        <v>919.83834486834064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8.7829805951344078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7.3148484535127153E+39</v>
      </c>
      <c r="F17" s="15">
        <f t="shared" si="3"/>
        <v>8.6649226487396322E+39</v>
      </c>
      <c r="H17" s="18">
        <f t="shared" si="4"/>
        <v>1.5979771102252349E+40</v>
      </c>
      <c r="I17" s="16">
        <v>124.95</v>
      </c>
      <c r="J17" s="45">
        <v>1</v>
      </c>
      <c r="K17" s="19">
        <f t="shared" si="5"/>
        <v>159.58737978040742</v>
      </c>
      <c r="L17" s="16">
        <f t="shared" si="6"/>
        <v>1199.7480780521764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10.176143034362624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7.4382205750019044E+39</v>
      </c>
      <c r="F18" s="15">
        <f t="shared" si="3"/>
        <v>1.1012108752678131E+40</v>
      </c>
      <c r="H18" s="18">
        <f t="shared" si="4"/>
        <v>1.8450329327680037E+40</v>
      </c>
      <c r="I18" s="16">
        <v>135.07</v>
      </c>
      <c r="J18" s="45">
        <v>1</v>
      </c>
      <c r="K18" s="19">
        <f t="shared" si="5"/>
        <v>160.13845877450368</v>
      </c>
      <c r="L18" s="16">
        <f t="shared" si="6"/>
        <v>628.42762532899064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11.751022313490173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7.5373546632037747E+39</v>
      </c>
      <c r="F19" s="15">
        <f t="shared" si="3"/>
        <v>1.3810566471369066E+40</v>
      </c>
      <c r="H19" s="18">
        <f t="shared" si="4"/>
        <v>2.1347921134572841E+40</v>
      </c>
      <c r="I19" s="16">
        <v>147.16</v>
      </c>
      <c r="J19" s="45">
        <v>1</v>
      </c>
      <c r="K19" s="19">
        <f t="shared" si="5"/>
        <v>161.19527366932314</v>
      </c>
      <c r="L19" s="16">
        <f t="shared" si="6"/>
        <v>196.9889069727956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13.507618432517054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7.6161103897448725E+39</v>
      </c>
      <c r="F20" s="15">
        <f t="shared" si="3"/>
        <v>1.7052791944836031E+40</v>
      </c>
      <c r="G20" s="15"/>
      <c r="H20" s="18">
        <f t="shared" si="4"/>
        <v>2.4668902334580906E+40</v>
      </c>
      <c r="I20" s="16">
        <v>157.27000000000001</v>
      </c>
      <c r="J20" s="45">
        <v>1</v>
      </c>
      <c r="K20" s="19">
        <f t="shared" si="5"/>
        <v>162.59189789633771</v>
      </c>
      <c r="L20" s="16">
        <f t="shared" si="6"/>
        <v>28.322597219043665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15.385359111476825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7.67353434091411E+39</v>
      </c>
      <c r="F21" s="15">
        <f t="shared" si="3"/>
        <v>2.0594451852886308E+40</v>
      </c>
      <c r="G21" s="15"/>
      <c r="H21" s="18">
        <f t="shared" si="4"/>
        <v>2.8267986193800419E+40</v>
      </c>
      <c r="I21" s="16">
        <v>166.76</v>
      </c>
      <c r="J21" s="45">
        <v>1</v>
      </c>
      <c r="K21" s="19">
        <f t="shared" si="5"/>
        <v>164.10215270791448</v>
      </c>
      <c r="L21" s="16">
        <f t="shared" si="6"/>
        <v>7.0641522280462583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17.505388910302372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7.7148676235372314E+39</v>
      </c>
      <c r="F22" s="15">
        <f t="shared" si="3"/>
        <v>2.4614964573772422E+40</v>
      </c>
      <c r="G22" s="15"/>
      <c r="H22" s="18">
        <f t="shared" si="4"/>
        <v>3.2329832197309654E+40</v>
      </c>
      <c r="I22" s="16">
        <v>174.56</v>
      </c>
      <c r="J22" s="45">
        <v>1</v>
      </c>
      <c r="K22" s="19">
        <f t="shared" si="5"/>
        <v>165.67459275634127</v>
      </c>
      <c r="L22" s="16">
        <f t="shared" si="6"/>
        <v>78.950461885663088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19.807135549027251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7.7597437589566207E+39</v>
      </c>
      <c r="F23" s="15">
        <f t="shared" si="3"/>
        <v>2.8931910520333691E+40</v>
      </c>
      <c r="G23" s="15"/>
      <c r="H23" s="18">
        <f t="shared" si="4"/>
        <v>3.6691654279290313E+40</v>
      </c>
      <c r="I23" s="16">
        <v>180.32</v>
      </c>
      <c r="J23" s="45">
        <v>1</v>
      </c>
      <c r="K23" s="19">
        <f t="shared" si="5"/>
        <v>167.17946135523263</v>
      </c>
      <c r="L23" s="16">
        <f t="shared" si="6"/>
        <v>172.67375587462442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22.351171307617907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7.7842392166828075E+39</v>
      </c>
      <c r="F24" s="15">
        <f t="shared" si="3"/>
        <v>3.3570108936499441E+40</v>
      </c>
      <c r="G24" s="15"/>
      <c r="H24" s="18">
        <f t="shared" si="4"/>
        <v>4.1354348153182247E+40</v>
      </c>
      <c r="I24" s="16">
        <v>183.92</v>
      </c>
      <c r="J24" s="45">
        <v>1</v>
      </c>
      <c r="K24" s="19">
        <f t="shared" si="5"/>
        <v>168.50003792795343</v>
      </c>
      <c r="L24" s="16">
        <f t="shared" si="6"/>
        <v>237.77523030335442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25.13749618607434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7.8083422729150591E+39</v>
      </c>
      <c r="F25" s="15">
        <f t="shared" si="3"/>
        <v>3.8419902508354089E+40</v>
      </c>
      <c r="G25" s="15"/>
      <c r="H25" s="18">
        <f t="shared" si="4"/>
        <v>4.622824478126915E+40</v>
      </c>
      <c r="I25" s="16">
        <v>186.44</v>
      </c>
      <c r="J25" s="45">
        <v>1</v>
      </c>
      <c r="K25" s="19">
        <f t="shared" si="5"/>
        <v>169.59720593441787</v>
      </c>
      <c r="L25" s="16">
        <f t="shared" si="6"/>
        <v>283.67971193560851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28.166110184396548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7.8247019728224339E+39</v>
      </c>
      <c r="F26" s="15">
        <f t="shared" si="3"/>
        <v>4.3360048531506763E+40</v>
      </c>
      <c r="G26" s="15"/>
      <c r="H26" s="18">
        <f t="shared" si="4"/>
        <v>5.11847505043292E+40</v>
      </c>
      <c r="I26" s="16">
        <v>188.25</v>
      </c>
      <c r="J26" s="45">
        <v>1</v>
      </c>
      <c r="K26" s="19">
        <f t="shared" si="5"/>
        <v>170.41307827682587</v>
      </c>
      <c r="L26" s="16">
        <f t="shared" si="6"/>
        <v>318.15577655864115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31.558157862517422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7.838975977397997E+39</v>
      </c>
      <c r="F27" s="15">
        <f t="shared" si="3"/>
        <v>4.8439671649110762E+40</v>
      </c>
      <c r="G27" s="15"/>
      <c r="H27" s="18">
        <f t="shared" si="4"/>
        <v>5.6278647626508759E+40</v>
      </c>
      <c r="I27" s="16">
        <v>189.21</v>
      </c>
      <c r="J27" s="45">
        <v>1</v>
      </c>
      <c r="K27" s="19">
        <f t="shared" si="5"/>
        <v>170.95735418820385</v>
      </c>
      <c r="L27" s="16">
        <f t="shared" si="6"/>
        <v>333.15907913087977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35.253066940470518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7.849050659060083E+39</v>
      </c>
      <c r="F28" s="15">
        <f t="shared" si="3"/>
        <v>5.3407795230130722E+40</v>
      </c>
      <c r="G28" s="15"/>
      <c r="H28" s="18">
        <f t="shared" si="4"/>
        <v>6.1256845889190803E+40</v>
      </c>
      <c r="I28" s="16">
        <v>189.76</v>
      </c>
      <c r="J28" s="45">
        <v>1</v>
      </c>
      <c r="K28" s="19">
        <f t="shared" si="5"/>
        <v>171.21355791165726</v>
      </c>
      <c r="L28" s="16">
        <f t="shared" si="6"/>
        <v>343.97051413625064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39.311409698222278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7.8558892997968741E+39</v>
      </c>
      <c r="F29" s="15">
        <f t="shared" si="3"/>
        <v>5.8196075424791237E+40</v>
      </c>
      <c r="G29" s="15"/>
      <c r="H29" s="18">
        <f t="shared" si="4"/>
        <v>6.6051964724588109E+40</v>
      </c>
      <c r="I29" s="16">
        <v>190.01</v>
      </c>
      <c r="J29" s="45">
        <v>1</v>
      </c>
      <c r="K29" s="19">
        <f t="shared" si="5"/>
        <v>171.21876729458535</v>
      </c>
      <c r="L29" s="16">
        <f t="shared" si="6"/>
        <v>353.11042658904495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43.793758415739148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7.8610525957052223E+39</v>
      </c>
      <c r="F30" s="15">
        <f t="shared" si="3"/>
        <v>6.2718893337964014E+40</v>
      </c>
      <c r="G30" s="15"/>
      <c r="H30" s="18">
        <f t="shared" si="4"/>
        <v>7.0579945933669239E+40</v>
      </c>
      <c r="I30" s="16">
        <v>189.69</v>
      </c>
      <c r="J30" s="45">
        <v>1</v>
      </c>
      <c r="K30" s="19">
        <f t="shared" si="5"/>
        <v>171.02645889520602</v>
      </c>
      <c r="L30" s="16">
        <f t="shared" si="6"/>
        <v>348.32776657033446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48.760685372987581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7.8649312506349754E+39</v>
      </c>
      <c r="F31" s="15">
        <f t="shared" si="3"/>
        <v>6.6883104828892755E+40</v>
      </c>
      <c r="G31" s="15"/>
      <c r="H31" s="18">
        <f t="shared" si="4"/>
        <v>7.4748036079527729E+40</v>
      </c>
      <c r="I31" s="16">
        <v>189.33</v>
      </c>
      <c r="J31" s="45">
        <v>1</v>
      </c>
      <c r="K31" s="19">
        <f t="shared" si="5"/>
        <v>170.70979759299104</v>
      </c>
      <c r="L31" s="16">
        <f t="shared" si="6"/>
        <v>346.7119376779828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54.151618290001103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7.8677514543110879E+39</v>
      </c>
      <c r="F32" s="15">
        <f t="shared" si="3"/>
        <v>7.0528335116413399E+40</v>
      </c>
      <c r="G32" s="15"/>
      <c r="H32" s="18">
        <f t="shared" si="4"/>
        <v>7.8396086570724482E+40</v>
      </c>
      <c r="I32" s="16">
        <v>188.94</v>
      </c>
      <c r="J32" s="45">
        <v>1</v>
      </c>
      <c r="K32" s="19">
        <f t="shared" si="5"/>
        <v>170.37165193466765</v>
      </c>
      <c r="L32" s="16">
        <f t="shared" si="6"/>
        <v>344.7835498753314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60.148274006679081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7.8697493011037423E+39</v>
      </c>
      <c r="F33" s="15">
        <f t="shared" si="3"/>
        <v>7.3692860088718251E+40</v>
      </c>
      <c r="G33" s="15"/>
      <c r="H33" s="18">
        <f t="shared" si="4"/>
        <v>8.1562609389821989E+40</v>
      </c>
      <c r="I33" s="16">
        <v>188.23</v>
      </c>
      <c r="J33" s="45">
        <v>1</v>
      </c>
      <c r="K33" s="19">
        <f t="shared" si="5"/>
        <v>170.11534944491586</v>
      </c>
      <c r="L33" s="16">
        <f t="shared" si="6"/>
        <v>328.14056473280959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66.69008024305505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7.8707280213430989E+39</v>
      </c>
      <c r="F34" s="15">
        <f t="shared" si="3"/>
        <v>7.6290498049899191E+40</v>
      </c>
      <c r="G34" s="15"/>
      <c r="H34" s="18">
        <f t="shared" si="4"/>
        <v>8.416122607124229E+40</v>
      </c>
      <c r="I34" s="16">
        <v>187.44</v>
      </c>
      <c r="J34" s="45">
        <v>1</v>
      </c>
      <c r="K34" s="19">
        <f t="shared" si="5"/>
        <v>170.06555346745225</v>
      </c>
      <c r="L34" s="16">
        <f t="shared" si="6"/>
        <v>301.87139231236057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73.898181559061911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7.8718064260512784E+39</v>
      </c>
      <c r="F35" s="15">
        <f t="shared" si="3"/>
        <v>7.8362828033804781E+40</v>
      </c>
      <c r="G35" s="15"/>
      <c r="H35" s="18">
        <f t="shared" si="4"/>
        <v>8.6234634459856055E+40</v>
      </c>
      <c r="I35" s="16">
        <v>186.56</v>
      </c>
      <c r="J35" s="45">
        <v>1</v>
      </c>
      <c r="K35" s="19">
        <f t="shared" si="5"/>
        <v>170.34144837419024</v>
      </c>
      <c r="L35" s="16">
        <f t="shared" si="6"/>
        <v>263.04141683905664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81.833150234666107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7.8727987100847988E+39</v>
      </c>
      <c r="F36" s="15">
        <f t="shared" si="3"/>
        <v>7.9944064776054862E+40</v>
      </c>
      <c r="G36" s="15"/>
      <c r="H36" s="18">
        <f t="shared" si="4"/>
        <v>8.7816863486139654E+40</v>
      </c>
      <c r="I36" s="16">
        <v>185.37</v>
      </c>
      <c r="J36" s="45">
        <v>1</v>
      </c>
      <c r="K36" s="19">
        <f t="shared" si="5"/>
        <v>171.05883200517113</v>
      </c>
      <c r="L36" s="16">
        <f t="shared" si="6"/>
        <v>204.80952937621441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90.55555854983406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7.8731764617561292E+39</v>
      </c>
      <c r="F37" s="15">
        <f t="shared" si="3"/>
        <v>8.1093068561880327E+40</v>
      </c>
      <c r="G37" s="15"/>
      <c r="H37" s="18">
        <f t="shared" si="4"/>
        <v>8.8966245023636454E+40</v>
      </c>
      <c r="I37" s="16">
        <v>184</v>
      </c>
      <c r="J37" s="45">
        <v>1</v>
      </c>
      <c r="K37" s="19">
        <f t="shared" si="5"/>
        <v>172.31812353811546</v>
      </c>
      <c r="L37" s="16">
        <f t="shared" si="6"/>
        <v>136.46623767073211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100.18655106449869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7.8735891557300841E+39</v>
      </c>
      <c r="F38" s="15">
        <f t="shared" si="3"/>
        <v>8.1888737852737174E+40</v>
      </c>
      <c r="G38" s="15"/>
      <c r="H38" s="18">
        <f t="shared" si="4"/>
        <v>8.976232700846725E+40</v>
      </c>
      <c r="I38" s="16">
        <v>182.53</v>
      </c>
      <c r="J38" s="45">
        <v>1</v>
      </c>
      <c r="K38" s="19">
        <f t="shared" si="5"/>
        <v>174.21084521135339</v>
      </c>
      <c r="L38" s="16">
        <f t="shared" si="6"/>
        <v>69.208336397461892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110.78670005862642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7.8737978253717604E+39</v>
      </c>
      <c r="F39" s="15">
        <f t="shared" si="3"/>
        <v>8.2406900399607789E+40</v>
      </c>
      <c r="G39" s="15"/>
      <c r="H39" s="18">
        <f t="shared" si="4"/>
        <v>9.0280698224979542E+40</v>
      </c>
      <c r="I39" s="16">
        <v>180.47</v>
      </c>
      <c r="J39" s="45">
        <v>1</v>
      </c>
      <c r="K39" s="19">
        <f t="shared" si="5"/>
        <v>176.795800404136</v>
      </c>
      <c r="L39" s="16">
        <f t="shared" si="6"/>
        <v>13.499742670247153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122.35600553221727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7.8739884699904892E+39</v>
      </c>
      <c r="F40" s="15">
        <f t="shared" si="3"/>
        <v>8.2721803796984885E+40</v>
      </c>
      <c r="G40" s="15"/>
      <c r="H40" s="18">
        <f t="shared" si="4"/>
        <v>9.0595792266975372E+40</v>
      </c>
      <c r="I40" s="16">
        <v>177.77</v>
      </c>
      <c r="J40" s="45">
        <v>1</v>
      </c>
      <c r="K40" s="19">
        <f t="shared" si="5"/>
        <v>180.08382739494098</v>
      </c>
      <c r="L40" s="16">
        <f t="shared" si="6"/>
        <v>5.3537972135793259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135.19732888510345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7.8740390276636724E+39</v>
      </c>
      <c r="F41" s="15">
        <f t="shared" si="3"/>
        <v>8.2903511051590982E+40</v>
      </c>
      <c r="H41" s="18">
        <f t="shared" si="4"/>
        <v>9.0777550079254651E+40</v>
      </c>
      <c r="I41" s="16">
        <v>174.73</v>
      </c>
      <c r="J41" s="45">
        <v>1</v>
      </c>
      <c r="K41" s="19">
        <f t="shared" si="5"/>
        <v>184.15184220533908</v>
      </c>
      <c r="L41" s="16">
        <f t="shared" si="6"/>
        <v>88.771110542308961</v>
      </c>
    </row>
    <row r="42" spans="1:29" x14ac:dyDescent="0.25">
      <c r="A42" s="16">
        <v>24.64</v>
      </c>
      <c r="B42" s="45">
        <f t="shared" si="0"/>
        <v>24640</v>
      </c>
      <c r="C42" s="16">
        <f t="shared" si="1"/>
        <v>149.25009783731849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7.8740943549286657E+39</v>
      </c>
      <c r="F42" s="15">
        <f t="shared" si="3"/>
        <v>8.2999223936912579E+40</v>
      </c>
      <c r="H42" s="18">
        <f t="shared" si="4"/>
        <v>9.0873318291841236E+40</v>
      </c>
      <c r="I42" s="16">
        <v>171.42</v>
      </c>
      <c r="J42" s="45">
        <v>1</v>
      </c>
      <c r="K42" s="19">
        <f t="shared" si="5"/>
        <v>188.9512266050688</v>
      </c>
      <c r="L42" s="16">
        <f t="shared" si="6"/>
        <v>307.34390627827247</v>
      </c>
    </row>
    <row r="43" spans="1:29" x14ac:dyDescent="0.25">
      <c r="A43" s="16">
        <v>27.19</v>
      </c>
      <c r="B43" s="45">
        <f t="shared" si="0"/>
        <v>27190</v>
      </c>
      <c r="C43" s="16">
        <f t="shared" si="1"/>
        <v>164.69602922876174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7.8741551672242389E+39</v>
      </c>
      <c r="F43" s="15">
        <f t="shared" si="3"/>
        <v>8.3045953531393061E+40</v>
      </c>
      <c r="H43" s="18">
        <f t="shared" si="4"/>
        <v>9.0920108698617293E+40</v>
      </c>
      <c r="I43" s="16">
        <v>167.45</v>
      </c>
      <c r="J43" s="45">
        <v>1</v>
      </c>
      <c r="K43" s="19">
        <f t="shared" si="5"/>
        <v>194.49294694612263</v>
      </c>
      <c r="L43" s="16">
        <f t="shared" si="6"/>
        <v>731.32097953080381</v>
      </c>
    </row>
    <row r="44" spans="1:29" x14ac:dyDescent="0.25">
      <c r="A44" s="16">
        <v>30</v>
      </c>
      <c r="B44" s="45">
        <f t="shared" si="0"/>
        <v>30000</v>
      </c>
      <c r="C44" s="16">
        <f t="shared" si="1"/>
        <v>181.71683989933257</v>
      </c>
      <c r="D44" s="15">
        <f t="shared" si="2"/>
        <v>9.2570327399999996E+20</v>
      </c>
      <c r="E44" s="15">
        <f>IF($C44=0,0,FORECAST($C44, OFFSET('De Vaucouleurs Deprojection'!$F$2:$F$127, MATCH($C44, 'De Vaucouleurs Deprojection'!$A$2:$A$127,1)-1,0,2), OFFSET('De Vaucouleurs Deprojection'!$A$2:$A$127, MATCH($C44, 'De Vaucouleurs Deprojection'!$A$2:$A$127,1)-1,0,2))*QESTotalBulgeMass)</f>
        <v>7.8742154206055605E+39</v>
      </c>
      <c r="F44" s="15">
        <f t="shared" si="3"/>
        <v>8.3066837931949976E+40</v>
      </c>
      <c r="H44" s="18">
        <f t="shared" si="4"/>
        <v>9.0941053352555542E+40</v>
      </c>
      <c r="I44" s="16">
        <v>162.9</v>
      </c>
      <c r="J44" s="45">
        <v>1</v>
      </c>
      <c r="K44" s="19">
        <f t="shared" si="5"/>
        <v>200.78211701856316</v>
      </c>
      <c r="L44" s="16">
        <f t="shared" si="6"/>
        <v>1435.0547898081118</v>
      </c>
    </row>
    <row r="45" spans="1:29" x14ac:dyDescent="0.25">
      <c r="A45" s="16">
        <v>33.090000000000003</v>
      </c>
      <c r="B45" s="45">
        <f t="shared" si="0"/>
        <v>33090</v>
      </c>
      <c r="C45" s="16">
        <f t="shared" si="1"/>
        <v>200.43367440896384</v>
      </c>
      <c r="D45" s="15">
        <f t="shared" si="2"/>
        <v>1.0210507112220002E+21</v>
      </c>
      <c r="E45" s="15">
        <f>IF($C45=0,0,FORECAST($C45, OFFSET('De Vaucouleurs Deprojection'!$F$2:$F$127, MATCH($C45, 'De Vaucouleurs Deprojection'!$A$2:$A$127,1)-1,0,2), OFFSET('De Vaucouleurs Deprojection'!$A$2:$A$127, MATCH($C45, 'De Vaucouleurs Deprojection'!$A$2:$A$127,1)-1,0,2))*QESTotalBulgeMass)</f>
        <v>7.8742154206055605E+39</v>
      </c>
      <c r="F45" s="15">
        <f t="shared" si="3"/>
        <v>8.3075262544837268E+40</v>
      </c>
      <c r="H45" s="18">
        <f t="shared" si="4"/>
        <v>9.0949477965442824E+40</v>
      </c>
      <c r="I45" s="16">
        <v>157.36000000000001</v>
      </c>
      <c r="J45" s="45">
        <v>1</v>
      </c>
      <c r="K45" s="19">
        <f t="shared" si="5"/>
        <v>207.7948425352721</v>
      </c>
      <c r="L45" s="16">
        <f t="shared" si="6"/>
        <v>2543.67334155769</v>
      </c>
    </row>
    <row r="46" spans="1:29" x14ac:dyDescent="0.25">
      <c r="A46" s="16">
        <v>36.5</v>
      </c>
      <c r="B46" s="45">
        <f t="shared" si="0"/>
        <v>36500</v>
      </c>
      <c r="C46" s="16">
        <f t="shared" si="1"/>
        <v>221.0888218775213</v>
      </c>
      <c r="D46" s="15">
        <f t="shared" si="2"/>
        <v>1.1262723167E+21</v>
      </c>
      <c r="E46" s="15">
        <f>IF($C46=0,0,FORECAST($C46, OFFSET('De Vaucouleurs Deprojection'!$F$2:$F$127, MATCH($C46, 'De Vaucouleurs Deprojection'!$A$2:$A$127,1)-1,0,2), OFFSET('De Vaucouleurs Deprojection'!$A$2:$A$127, MATCH($C46, 'De Vaucouleurs Deprojection'!$A$2:$A$127,1)-1,0,2))*QESTotalBulgeMass)</f>
        <v>7.8742154206055605E+39</v>
      </c>
      <c r="F46" s="15">
        <f t="shared" si="3"/>
        <v>8.3078315680109679E+40</v>
      </c>
      <c r="H46" s="18">
        <f t="shared" si="4"/>
        <v>9.0952531100715244E+40</v>
      </c>
      <c r="I46" s="16">
        <v>151.46</v>
      </c>
      <c r="J46" s="45">
        <v>1</v>
      </c>
      <c r="K46" s="19">
        <f t="shared" si="5"/>
        <v>215.54699167046763</v>
      </c>
      <c r="L46" s="16">
        <f t="shared" si="6"/>
        <v>4107.1425013705866</v>
      </c>
    </row>
    <row r="47" spans="1:29" x14ac:dyDescent="0.25">
      <c r="I47" s="45"/>
      <c r="J47" s="45"/>
      <c r="L47" s="16">
        <f>SUM(L8:L46)/(COUNT(L8:L46)-4)</f>
        <v>585.40916040118884</v>
      </c>
    </row>
    <row r="48" spans="1:29" x14ac:dyDescent="0.25">
      <c r="I48" s="45"/>
      <c r="J48" s="45"/>
      <c r="L48" s="16"/>
    </row>
    <row r="49" spans="1:29" ht="21" x14ac:dyDescent="0.35">
      <c r="A49" s="48" t="s">
        <v>564</v>
      </c>
      <c r="I49" s="45"/>
      <c r="J49" s="45"/>
      <c r="L49" s="16"/>
    </row>
    <row r="50" spans="1:29" x14ac:dyDescent="0.25">
      <c r="A50" s="16" t="s">
        <v>30</v>
      </c>
      <c r="D50" s="16">
        <v>0.19</v>
      </c>
      <c r="E50" s="17">
        <f>$D$50*1000</f>
        <v>190</v>
      </c>
      <c r="F50" s="17"/>
      <c r="G50" s="17"/>
      <c r="H50" s="15"/>
      <c r="K50" s="15"/>
      <c r="L50" s="17"/>
      <c r="M50" s="45"/>
    </row>
    <row r="51" spans="1:29" x14ac:dyDescent="0.25">
      <c r="A51" s="16" t="s">
        <v>16</v>
      </c>
      <c r="D51" s="16">
        <v>0.47</v>
      </c>
      <c r="E51" s="15">
        <f>D51*10000000000*SolarMass</f>
        <v>9.3487699999999994E+39</v>
      </c>
      <c r="F51" s="43"/>
      <c r="G51" s="43"/>
      <c r="H51" s="15"/>
      <c r="K51" s="15"/>
      <c r="L51" s="17"/>
      <c r="M51" s="45"/>
    </row>
    <row r="52" spans="1:29" x14ac:dyDescent="0.25">
      <c r="A52" s="16" t="s">
        <v>569</v>
      </c>
      <c r="D52" s="16">
        <v>3</v>
      </c>
      <c r="E52" s="15">
        <f>D52*1000</f>
        <v>3000</v>
      </c>
      <c r="H52" s="15"/>
      <c r="K52" s="15"/>
      <c r="L52" s="17"/>
      <c r="M52" s="45"/>
    </row>
    <row r="53" spans="1:29" x14ac:dyDescent="0.25">
      <c r="A53" s="16" t="s">
        <v>17</v>
      </c>
      <c r="D53" s="45">
        <v>1.8</v>
      </c>
      <c r="G53" s="16"/>
      <c r="H53" s="15"/>
      <c r="K53" s="15"/>
      <c r="L53" s="17"/>
      <c r="M53" s="45"/>
    </row>
    <row r="54" spans="1:29" x14ac:dyDescent="0.25">
      <c r="A54" s="16" t="s">
        <v>570</v>
      </c>
      <c r="D54" s="16">
        <v>8.1</v>
      </c>
      <c r="E54" s="17">
        <f>D54*1000</f>
        <v>8100</v>
      </c>
      <c r="H54" s="15"/>
      <c r="K54" s="15"/>
      <c r="L54" s="17"/>
      <c r="M54" s="45"/>
    </row>
    <row r="55" spans="1:29" x14ac:dyDescent="0.25">
      <c r="A55" s="16" t="s">
        <v>571</v>
      </c>
      <c r="D55" s="16">
        <v>4.4000000000000004</v>
      </c>
      <c r="G55" s="9"/>
      <c r="H55" s="15"/>
      <c r="K55" s="15"/>
      <c r="L55" s="17"/>
      <c r="M55" s="45"/>
    </row>
    <row r="56" spans="1:29" x14ac:dyDescent="0.25">
      <c r="D56" s="12"/>
      <c r="H56" s="15"/>
      <c r="K56" s="15"/>
      <c r="L56" s="17"/>
      <c r="M56" s="45"/>
    </row>
    <row r="57" spans="1:29" x14ac:dyDescent="0.25">
      <c r="A57" s="16" t="s">
        <v>567</v>
      </c>
      <c r="D57" s="17">
        <f>(D53*10000000000)/(2*PI()*DiskScaleLengthPc^2)</f>
        <v>318.3098861837907</v>
      </c>
      <c r="H57" s="15"/>
      <c r="K57" s="15"/>
      <c r="L57" s="17"/>
      <c r="M57" s="45"/>
    </row>
    <row r="58" spans="1:29" x14ac:dyDescent="0.25">
      <c r="A58" s="16" t="s">
        <v>565</v>
      </c>
      <c r="D58" s="9">
        <f>(D55*10000000000)/(4*PI()*(LCDMHaloScaleLengthPc)^3*(LN(2)-1/2))</f>
        <v>3.411138733630132E-2</v>
      </c>
      <c r="H58" s="15"/>
      <c r="K58" s="15"/>
      <c r="L58" s="17"/>
      <c r="M58" s="45"/>
    </row>
    <row r="59" spans="1:29" x14ac:dyDescent="0.25">
      <c r="H59" s="15"/>
      <c r="K59" s="15"/>
      <c r="L59" s="17"/>
      <c r="M59" s="45"/>
    </row>
    <row r="60" spans="1:29" ht="45" x14ac:dyDescent="0.25">
      <c r="A60" s="7" t="s">
        <v>20</v>
      </c>
      <c r="B60" s="3" t="s">
        <v>19</v>
      </c>
      <c r="C60" s="7" t="s">
        <v>27</v>
      </c>
      <c r="D60" s="4" t="s">
        <v>649</v>
      </c>
      <c r="E60" s="4" t="s">
        <v>21</v>
      </c>
      <c r="F60" s="4" t="s">
        <v>22</v>
      </c>
      <c r="G60" s="4" t="s">
        <v>28</v>
      </c>
      <c r="H60" s="4" t="s">
        <v>23</v>
      </c>
      <c r="I60" s="7" t="s">
        <v>645</v>
      </c>
      <c r="J60" s="7" t="s">
        <v>646</v>
      </c>
      <c r="K60" s="25" t="s">
        <v>647</v>
      </c>
      <c r="L60" s="3" t="s">
        <v>648</v>
      </c>
      <c r="M60" s="3"/>
      <c r="N60" s="3"/>
      <c r="O60" s="3"/>
      <c r="P60" s="3"/>
      <c r="Q60" s="3"/>
      <c r="R60" s="3"/>
      <c r="S60" s="3"/>
      <c r="T60" s="3"/>
      <c r="U60" s="3"/>
      <c r="V60" s="7"/>
      <c r="W60" s="7"/>
      <c r="X60" s="3"/>
      <c r="Y60" s="3"/>
      <c r="Z60" s="3"/>
      <c r="AA60" s="3"/>
      <c r="AB60" s="3"/>
      <c r="AC60" s="3"/>
    </row>
    <row r="61" spans="1:29" x14ac:dyDescent="0.25">
      <c r="A61" s="16">
        <v>0.09</v>
      </c>
      <c r="B61" s="45">
        <f>A61*1000</f>
        <v>90</v>
      </c>
      <c r="C61" s="16">
        <f>B61/LCDMBulgeEffectiveRadius</f>
        <v>0.47368421052631576</v>
      </c>
      <c r="D61" s="15">
        <f>A61*kpc</f>
        <v>2.777109822E+18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2.1808810655999997E+39</v>
      </c>
      <c r="F61" s="15">
        <f t="shared" ref="F61:F99" si="7">2*PI()*LCDMDiskSurfaceDensity*LCDMScaleLength*(LCDMScaleLength-EXP(-RadiusPc/LCDMScaleLength)*(RadiusPc+LCDMScaleLength))*SolarMass</f>
        <v>1.5793072113998919E+37</v>
      </c>
      <c r="G61" s="15">
        <f t="shared" ref="G61:G99" si="8">4*PI()*LCDMHaloRepresentativeDensity*LCDMHaloScaleLengthPc^3*(LN(1+RadiusPc/LCDMHaloScaleLengthPc)-RadiusPc/(RadiusPc+LCDMHaloScaleLengthPc))*SolarMass</f>
        <v>2.7561601501599719E+37</v>
      </c>
      <c r="H61" s="15">
        <f t="shared" ref="H61:H99" si="9">BulgeMass+DiskMass+HaloMass</f>
        <v>2.2242357392155984E+39</v>
      </c>
      <c r="I61" s="16">
        <v>193.21</v>
      </c>
      <c r="J61" s="45">
        <v>1</v>
      </c>
      <c r="K61" s="19">
        <f t="shared" ref="K61:K99" si="10">SQRT(TotalMass*GravitationalConstant/RadiusKm)/km</f>
        <v>231.20093399618173</v>
      </c>
      <c r="L61" s="16">
        <f t="shared" ref="L61:L99" si="11">(ObservedVelocity-ModelVelocity)^2/(VelocityError)^2</f>
        <v>1443.3110659022364</v>
      </c>
      <c r="M61" s="45"/>
    </row>
    <row r="62" spans="1:29" x14ac:dyDescent="0.25">
      <c r="A62" s="16">
        <v>0.19</v>
      </c>
      <c r="B62" s="45">
        <f t="shared" ref="B62:B99" si="12">A62*1000</f>
        <v>190</v>
      </c>
      <c r="C62" s="16">
        <f t="shared" ref="C62:C99" si="13">B62/LCDMBulgeEffectiveRadius</f>
        <v>1</v>
      </c>
      <c r="D62" s="15">
        <f t="shared" ref="D62:D99" si="14">A62*kpc</f>
        <v>5.862787402E+18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3.8831051071999992E+39</v>
      </c>
      <c r="F62" s="15">
        <f t="shared" si="7"/>
        <v>6.8845485322600668E+37</v>
      </c>
      <c r="G62" s="15">
        <f t="shared" si="8"/>
        <v>1.208618107692376E+38</v>
      </c>
      <c r="H62" s="15">
        <f t="shared" si="9"/>
        <v>4.0728124032918376E+39</v>
      </c>
      <c r="I62" s="16">
        <v>231.45</v>
      </c>
      <c r="J62" s="45">
        <v>1</v>
      </c>
      <c r="K62" s="19">
        <f t="shared" si="10"/>
        <v>215.3232044477931</v>
      </c>
      <c r="L62" s="16">
        <f t="shared" si="11"/>
        <v>260.07353478267981</v>
      </c>
      <c r="M62" s="45"/>
    </row>
    <row r="63" spans="1:29" x14ac:dyDescent="0.25">
      <c r="A63" s="16">
        <v>0.3</v>
      </c>
      <c r="B63" s="45">
        <f t="shared" si="12"/>
        <v>300</v>
      </c>
      <c r="C63" s="16">
        <f t="shared" si="13"/>
        <v>1.5789473684210527</v>
      </c>
      <c r="D63" s="15">
        <f t="shared" si="14"/>
        <v>9.25703274E+18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5.1023569293842116E+39</v>
      </c>
      <c r="F63" s="15">
        <f t="shared" si="7"/>
        <v>1.6752025733652647E+38</v>
      </c>
      <c r="G63" s="15">
        <f t="shared" si="8"/>
        <v>2.9605502549032397E+38</v>
      </c>
      <c r="H63" s="15">
        <f t="shared" si="9"/>
        <v>5.5659322122110624E+39</v>
      </c>
      <c r="I63" s="16">
        <v>221.92</v>
      </c>
      <c r="J63" s="45">
        <v>1</v>
      </c>
      <c r="K63" s="19">
        <f t="shared" si="10"/>
        <v>200.32205213733266</v>
      </c>
      <c r="L63" s="16">
        <f t="shared" si="11"/>
        <v>466.47135187849608</v>
      </c>
      <c r="M63" s="45"/>
    </row>
    <row r="64" spans="1:29" x14ac:dyDescent="0.25">
      <c r="A64" s="16">
        <v>0.42</v>
      </c>
      <c r="B64" s="45">
        <f t="shared" si="12"/>
        <v>420</v>
      </c>
      <c r="C64" s="16">
        <f t="shared" si="13"/>
        <v>2.2105263157894739</v>
      </c>
      <c r="D64" s="15">
        <f t="shared" si="14"/>
        <v>1.2959845836E+19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6.0080214833368421E+39</v>
      </c>
      <c r="F64" s="15">
        <f t="shared" si="7"/>
        <v>3.197856370281886E+38</v>
      </c>
      <c r="G64" s="15">
        <f t="shared" si="8"/>
        <v>5.693574062582193E+38</v>
      </c>
      <c r="H64" s="15">
        <f t="shared" si="9"/>
        <v>6.8971645266232499E+39</v>
      </c>
      <c r="I64" s="16">
        <v>205.77</v>
      </c>
      <c r="J64" s="45">
        <v>1</v>
      </c>
      <c r="K64" s="19">
        <f t="shared" si="10"/>
        <v>188.46516076339609</v>
      </c>
      <c r="L64" s="16">
        <f t="shared" si="11"/>
        <v>299.45746100470672</v>
      </c>
      <c r="M64" s="45"/>
    </row>
    <row r="65" spans="1:13" x14ac:dyDescent="0.25">
      <c r="A65" s="16">
        <v>0.56000000000000005</v>
      </c>
      <c r="B65" s="45">
        <f t="shared" si="12"/>
        <v>560</v>
      </c>
      <c r="C65" s="16">
        <f t="shared" si="13"/>
        <v>2.9473684210526314</v>
      </c>
      <c r="D65" s="15">
        <f t="shared" si="14"/>
        <v>1.7279794448000002E+19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6.738622938431578E+39</v>
      </c>
      <c r="F65" s="15">
        <f t="shared" si="7"/>
        <v>5.5132912472366296E+38</v>
      </c>
      <c r="G65" s="15">
        <f t="shared" si="8"/>
        <v>9.9032664320287219E+38</v>
      </c>
      <c r="H65" s="15">
        <f t="shared" si="9"/>
        <v>8.2802787063581136E+39</v>
      </c>
      <c r="I65" s="16">
        <v>187.63</v>
      </c>
      <c r="J65" s="45">
        <v>1</v>
      </c>
      <c r="K65" s="19">
        <f t="shared" si="10"/>
        <v>178.83350790397384</v>
      </c>
      <c r="L65" s="16">
        <f t="shared" si="11"/>
        <v>77.378273195450646</v>
      </c>
      <c r="M65" s="45"/>
    </row>
    <row r="66" spans="1:13" x14ac:dyDescent="0.25">
      <c r="A66" s="16">
        <v>0.7</v>
      </c>
      <c r="B66" s="45">
        <f t="shared" si="12"/>
        <v>700</v>
      </c>
      <c r="C66" s="16">
        <f t="shared" si="13"/>
        <v>3.6842105263157894</v>
      </c>
      <c r="D66" s="15">
        <f t="shared" si="14"/>
        <v>2.1599743059999998E+19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7.256657965752631E+39</v>
      </c>
      <c r="F66" s="15">
        <f t="shared" si="7"/>
        <v>8.3552469190906849E+38</v>
      </c>
      <c r="G66" s="15">
        <f t="shared" si="8"/>
        <v>1.5144468607654518E+39</v>
      </c>
      <c r="H66" s="15">
        <f t="shared" si="9"/>
        <v>9.606629518427151E+39</v>
      </c>
      <c r="I66" s="16">
        <v>170.91</v>
      </c>
      <c r="J66" s="45">
        <v>1</v>
      </c>
      <c r="K66" s="19">
        <f t="shared" si="10"/>
        <v>172.28875500967354</v>
      </c>
      <c r="L66" s="16">
        <f t="shared" si="11"/>
        <v>1.9009653766998837</v>
      </c>
      <c r="M66" s="45"/>
    </row>
    <row r="67" spans="1:13" x14ac:dyDescent="0.25">
      <c r="A67" s="16">
        <v>0.86</v>
      </c>
      <c r="B67" s="45">
        <f t="shared" si="12"/>
        <v>860</v>
      </c>
      <c r="C67" s="16">
        <f t="shared" si="13"/>
        <v>4.5263157894736841</v>
      </c>
      <c r="D67" s="15">
        <f t="shared" si="14"/>
        <v>2.6536827187999998E+19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7.6848316317526316E+39</v>
      </c>
      <c r="F67" s="15">
        <f t="shared" si="7"/>
        <v>1.2180322351046585E+39</v>
      </c>
      <c r="G67" s="15">
        <f t="shared" si="8"/>
        <v>2.2312125566507611E+39</v>
      </c>
      <c r="H67" s="15">
        <f t="shared" si="9"/>
        <v>1.1134076423508052E+40</v>
      </c>
      <c r="I67" s="16">
        <v>153.41</v>
      </c>
      <c r="J67" s="45">
        <v>1</v>
      </c>
      <c r="K67" s="19">
        <f t="shared" si="10"/>
        <v>167.33943753553416</v>
      </c>
      <c r="L67" s="16">
        <f t="shared" si="11"/>
        <v>194.02923005634804</v>
      </c>
      <c r="M67" s="45"/>
    </row>
    <row r="68" spans="1:13" x14ac:dyDescent="0.25">
      <c r="A68" s="16">
        <v>1.04</v>
      </c>
      <c r="B68" s="45">
        <f t="shared" si="12"/>
        <v>1040</v>
      </c>
      <c r="C68" s="16">
        <f t="shared" si="13"/>
        <v>5.4736842105263159</v>
      </c>
      <c r="D68" s="15">
        <f t="shared" si="14"/>
        <v>3.2091046832E+19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8.0199063097684208E+39</v>
      </c>
      <c r="F68" s="15">
        <f t="shared" si="7"/>
        <v>1.7132653448317078E+39</v>
      </c>
      <c r="G68" s="15">
        <f t="shared" si="8"/>
        <v>3.1767744443022787E+39</v>
      </c>
      <c r="H68" s="15">
        <f t="shared" si="9"/>
        <v>1.2909946098902408E+40</v>
      </c>
      <c r="I68" s="16">
        <v>140.15</v>
      </c>
      <c r="J68" s="45">
        <v>1</v>
      </c>
      <c r="K68" s="19">
        <f t="shared" si="10"/>
        <v>163.85736867420343</v>
      </c>
      <c r="L68" s="16">
        <f t="shared" si="11"/>
        <v>562.03932945460178</v>
      </c>
      <c r="M68" s="45"/>
    </row>
    <row r="69" spans="1:13" x14ac:dyDescent="0.25">
      <c r="A69" s="16">
        <v>1.23</v>
      </c>
      <c r="B69" s="45">
        <f t="shared" si="12"/>
        <v>1230</v>
      </c>
      <c r="C69" s="16">
        <f t="shared" si="13"/>
        <v>6.4736842105263159</v>
      </c>
      <c r="D69" s="15">
        <f t="shared" si="14"/>
        <v>3.7953834233999999E+19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8.2907746195052625E+39</v>
      </c>
      <c r="F69" s="15">
        <f t="shared" si="7"/>
        <v>2.3005068355786364E+39</v>
      </c>
      <c r="G69" s="15">
        <f t="shared" si="8"/>
        <v>4.3220056558054116E+39</v>
      </c>
      <c r="H69" s="15">
        <f t="shared" si="9"/>
        <v>1.491328711088931E+40</v>
      </c>
      <c r="I69" s="16">
        <v>129.4</v>
      </c>
      <c r="J69" s="45">
        <v>1</v>
      </c>
      <c r="K69" s="19">
        <f t="shared" si="10"/>
        <v>161.94016047817991</v>
      </c>
      <c r="L69" s="16">
        <f t="shared" si="11"/>
        <v>1058.8620439457011</v>
      </c>
      <c r="M69" s="45"/>
    </row>
    <row r="70" spans="1:13" x14ac:dyDescent="0.25">
      <c r="A70" s="16">
        <v>1.45</v>
      </c>
      <c r="B70" s="45">
        <f t="shared" si="12"/>
        <v>1450</v>
      </c>
      <c r="C70" s="16">
        <f t="shared" si="13"/>
        <v>7.6315789473684212</v>
      </c>
      <c r="D70" s="15">
        <f t="shared" si="14"/>
        <v>4.4742324909999997E+19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8.5184516118421046E+39</v>
      </c>
      <c r="F70" s="15">
        <f t="shared" si="7"/>
        <v>3.0502122007946685E+39</v>
      </c>
      <c r="G70" s="15">
        <f t="shared" si="8"/>
        <v>5.8202627361466248E+39</v>
      </c>
      <c r="H70" s="15">
        <f t="shared" si="9"/>
        <v>1.7388926548783397E+40</v>
      </c>
      <c r="I70" s="16">
        <v>124.95</v>
      </c>
      <c r="J70" s="45">
        <v>1</v>
      </c>
      <c r="K70" s="19">
        <f t="shared" si="10"/>
        <v>161.05448258795022</v>
      </c>
      <c r="L70" s="16">
        <f t="shared" si="11"/>
        <v>1303.5336629436003</v>
      </c>
      <c r="M70" s="45"/>
    </row>
    <row r="71" spans="1:13" x14ac:dyDescent="0.25">
      <c r="A71" s="16">
        <v>1.68</v>
      </c>
      <c r="B71" s="45">
        <f t="shared" si="12"/>
        <v>1680</v>
      </c>
      <c r="C71" s="16">
        <f t="shared" si="13"/>
        <v>8.8421052631578956</v>
      </c>
      <c r="D71" s="15">
        <f t="shared" si="14"/>
        <v>5.1839383344E+19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8.6924420623526304E+39</v>
      </c>
      <c r="F71" s="15">
        <f t="shared" si="7"/>
        <v>3.8995300748408891E+39</v>
      </c>
      <c r="G71" s="15">
        <f t="shared" si="8"/>
        <v>7.5655529141292988E+39</v>
      </c>
      <c r="H71" s="15">
        <f t="shared" si="9"/>
        <v>2.0157525051322817E+40</v>
      </c>
      <c r="I71" s="16">
        <v>135.07</v>
      </c>
      <c r="J71" s="45">
        <v>1</v>
      </c>
      <c r="K71" s="19">
        <f t="shared" si="10"/>
        <v>161.09586561767483</v>
      </c>
      <c r="L71" s="16">
        <f t="shared" si="11"/>
        <v>677.34568114926935</v>
      </c>
      <c r="M71" s="45"/>
    </row>
    <row r="72" spans="1:13" x14ac:dyDescent="0.25">
      <c r="A72" s="16">
        <v>1.94</v>
      </c>
      <c r="B72" s="45">
        <f t="shared" si="12"/>
        <v>1940</v>
      </c>
      <c r="C72" s="16">
        <f t="shared" si="13"/>
        <v>10.210526315789474</v>
      </c>
      <c r="D72" s="15">
        <f t="shared" si="14"/>
        <v>5.9862145052000002E+19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8.8339578381263146E+39</v>
      </c>
      <c r="F72" s="15">
        <f t="shared" si="7"/>
        <v>4.9228215908090928E+39</v>
      </c>
      <c r="G72" s="15">
        <f t="shared" si="8"/>
        <v>9.7358909999498777E+39</v>
      </c>
      <c r="H72" s="15">
        <f t="shared" si="9"/>
        <v>2.3492670428885283E+40</v>
      </c>
      <c r="I72" s="16">
        <v>147.16</v>
      </c>
      <c r="J72" s="45">
        <v>1</v>
      </c>
      <c r="K72" s="19">
        <f t="shared" si="10"/>
        <v>161.83995896734567</v>
      </c>
      <c r="L72" s="16">
        <f t="shared" si="11"/>
        <v>215.50119528295252</v>
      </c>
      <c r="M72" s="45"/>
    </row>
    <row r="73" spans="1:13" x14ac:dyDescent="0.25">
      <c r="A73" s="16">
        <v>2.23</v>
      </c>
      <c r="B73" s="45">
        <f t="shared" si="12"/>
        <v>2230</v>
      </c>
      <c r="C73" s="16">
        <f t="shared" si="13"/>
        <v>11.736842105263158</v>
      </c>
      <c r="D73" s="15">
        <f t="shared" si="14"/>
        <v>6.8810610034000003E+19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8.947884901589473E+39</v>
      </c>
      <c r="F73" s="15">
        <f t="shared" si="7"/>
        <v>6.1224266508461125E+39</v>
      </c>
      <c r="G73" s="15">
        <f t="shared" si="8"/>
        <v>1.2375892544149798E+40</v>
      </c>
      <c r="H73" s="15">
        <f t="shared" si="9"/>
        <v>2.744620409658538E+40</v>
      </c>
      <c r="I73" s="16">
        <v>157.27000000000001</v>
      </c>
      <c r="J73" s="45">
        <v>1</v>
      </c>
      <c r="K73" s="19">
        <f t="shared" si="10"/>
        <v>163.15828973366382</v>
      </c>
      <c r="L73" s="16">
        <f t="shared" si="11"/>
        <v>34.671955987570634</v>
      </c>
      <c r="M73" s="45"/>
    </row>
    <row r="74" spans="1:13" x14ac:dyDescent="0.25">
      <c r="A74" s="16">
        <v>2.54</v>
      </c>
      <c r="B74" s="45">
        <f t="shared" si="12"/>
        <v>2540</v>
      </c>
      <c r="C74" s="16">
        <f t="shared" si="13"/>
        <v>13.368421052631579</v>
      </c>
      <c r="D74" s="15">
        <f t="shared" si="14"/>
        <v>7.8376210532000006E+19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9.0360979271473662E+39</v>
      </c>
      <c r="F74" s="15">
        <f t="shared" si="7"/>
        <v>7.4497584683341289E+39</v>
      </c>
      <c r="G74" s="15">
        <f t="shared" si="8"/>
        <v>1.5422039029515892E+40</v>
      </c>
      <c r="H74" s="15">
        <f t="shared" si="9"/>
        <v>3.1907895424997387E+40</v>
      </c>
      <c r="I74" s="16">
        <v>166.76</v>
      </c>
      <c r="J74" s="45">
        <v>1</v>
      </c>
      <c r="K74" s="19">
        <f t="shared" si="10"/>
        <v>164.83622244957738</v>
      </c>
      <c r="L74" s="16">
        <f t="shared" si="11"/>
        <v>3.7009200635100314</v>
      </c>
      <c r="M74" s="45"/>
    </row>
    <row r="75" spans="1:13" x14ac:dyDescent="0.25">
      <c r="A75" s="16">
        <v>2.89</v>
      </c>
      <c r="B75" s="45">
        <f t="shared" si="12"/>
        <v>2890</v>
      </c>
      <c r="C75" s="16">
        <f t="shared" si="13"/>
        <v>15.210526315789474</v>
      </c>
      <c r="D75" s="15">
        <f t="shared" si="14"/>
        <v>8.9176082061999997E+19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9.1064616905726299E+39</v>
      </c>
      <c r="F75" s="15">
        <f t="shared" si="7"/>
        <v>8.9779920142625489E+39</v>
      </c>
      <c r="G75" s="15">
        <f t="shared" si="8"/>
        <v>1.9101781130326401E+40</v>
      </c>
      <c r="H75" s="15">
        <f t="shared" si="9"/>
        <v>3.718623483516158E+40</v>
      </c>
      <c r="I75" s="16">
        <v>174.56</v>
      </c>
      <c r="J75" s="45">
        <v>1</v>
      </c>
      <c r="K75" s="19">
        <f t="shared" si="10"/>
        <v>166.82556867773081</v>
      </c>
      <c r="L75" s="16">
        <f t="shared" si="11"/>
        <v>59.821427878898703</v>
      </c>
      <c r="M75" s="45"/>
    </row>
    <row r="76" spans="1:13" x14ac:dyDescent="0.25">
      <c r="A76" s="16">
        <v>3.27</v>
      </c>
      <c r="B76" s="45">
        <f t="shared" si="12"/>
        <v>3270</v>
      </c>
      <c r="C76" s="16">
        <f t="shared" si="13"/>
        <v>17.210526315789473</v>
      </c>
      <c r="D76" s="15">
        <f t="shared" si="14"/>
        <v>1.0090165686599999E+20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9.1527567996126307E+39</v>
      </c>
      <c r="F76" s="15">
        <f t="shared" si="7"/>
        <v>1.0644739276481776E+40</v>
      </c>
      <c r="G76" s="15">
        <f t="shared" si="8"/>
        <v>2.3343026699738045E+40</v>
      </c>
      <c r="H76" s="15">
        <f t="shared" si="9"/>
        <v>4.314052277583245E+40</v>
      </c>
      <c r="I76" s="16">
        <v>180.32</v>
      </c>
      <c r="J76" s="45">
        <v>1</v>
      </c>
      <c r="K76" s="19">
        <f t="shared" si="10"/>
        <v>168.92318331306848</v>
      </c>
      <c r="L76" s="16">
        <f t="shared" si="11"/>
        <v>129.88743059552064</v>
      </c>
      <c r="M76" s="45"/>
    </row>
    <row r="77" spans="1:13" x14ac:dyDescent="0.25">
      <c r="A77" s="16">
        <v>3.69</v>
      </c>
      <c r="B77" s="45">
        <f t="shared" si="12"/>
        <v>3690</v>
      </c>
      <c r="C77" s="16">
        <f t="shared" si="13"/>
        <v>19.421052631578949</v>
      </c>
      <c r="D77" s="15">
        <f t="shared" si="14"/>
        <v>1.13861502702E+20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9.2039250780252629E+39</v>
      </c>
      <c r="F77" s="15">
        <f t="shared" si="7"/>
        <v>1.2466437466123001E+40</v>
      </c>
      <c r="G77" s="15">
        <f t="shared" si="8"/>
        <v>2.8279970758337534E+40</v>
      </c>
      <c r="H77" s="15">
        <f t="shared" si="9"/>
        <v>4.9950333302485793E+40</v>
      </c>
      <c r="I77" s="16">
        <v>183.92</v>
      </c>
      <c r="J77" s="45">
        <v>1</v>
      </c>
      <c r="K77" s="19">
        <f t="shared" si="10"/>
        <v>171.11041464407964</v>
      </c>
      <c r="L77" s="16">
        <f t="shared" si="11"/>
        <v>164.08547699060901</v>
      </c>
      <c r="M77" s="45"/>
    </row>
    <row r="78" spans="1:13" x14ac:dyDescent="0.25">
      <c r="A78" s="16">
        <v>4.1500000000000004</v>
      </c>
      <c r="B78" s="45">
        <f t="shared" si="12"/>
        <v>4150</v>
      </c>
      <c r="C78" s="16">
        <f t="shared" si="13"/>
        <v>21.842105263157894</v>
      </c>
      <c r="D78" s="15">
        <f t="shared" si="14"/>
        <v>1.2805561957E+20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9.236614282431577E+39</v>
      </c>
      <c r="F78" s="15">
        <f t="shared" si="7"/>
        <v>1.4407440992209378E+40</v>
      </c>
      <c r="G78" s="15">
        <f t="shared" si="8"/>
        <v>3.3933110542024932E+40</v>
      </c>
      <c r="H78" s="15">
        <f t="shared" si="9"/>
        <v>5.7577165816665889E+40</v>
      </c>
      <c r="I78" s="16">
        <v>186.44</v>
      </c>
      <c r="J78" s="45">
        <v>1</v>
      </c>
      <c r="K78" s="19">
        <f t="shared" si="10"/>
        <v>173.22936956052811</v>
      </c>
      <c r="L78" s="16">
        <f t="shared" si="11"/>
        <v>174.52075660830113</v>
      </c>
      <c r="M78" s="45"/>
    </row>
    <row r="79" spans="1:13" x14ac:dyDescent="0.25">
      <c r="A79" s="16">
        <v>4.6500000000000004</v>
      </c>
      <c r="B79" s="45">
        <f t="shared" si="12"/>
        <v>4650</v>
      </c>
      <c r="C79" s="16">
        <f t="shared" si="13"/>
        <v>24.473684210526315</v>
      </c>
      <c r="D79" s="15">
        <f t="shared" si="14"/>
        <v>1.4348400747000001E+20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9.264168551905262E+39</v>
      </c>
      <c r="F79" s="15">
        <f t="shared" si="7"/>
        <v>1.6425625786490245E+40</v>
      </c>
      <c r="G79" s="15">
        <f t="shared" si="8"/>
        <v>4.0310870452040412E+40</v>
      </c>
      <c r="H79" s="15">
        <f t="shared" si="9"/>
        <v>6.6000664790435912E+40</v>
      </c>
      <c r="I79" s="16">
        <v>188.25</v>
      </c>
      <c r="J79" s="45">
        <v>1</v>
      </c>
      <c r="K79" s="19">
        <f t="shared" si="10"/>
        <v>175.21371990732578</v>
      </c>
      <c r="L79" s="16">
        <f t="shared" si="11"/>
        <v>169.94459865465413</v>
      </c>
      <c r="M79" s="45"/>
    </row>
    <row r="80" spans="1:13" x14ac:dyDescent="0.25">
      <c r="A80" s="16">
        <v>5.21</v>
      </c>
      <c r="B80" s="45">
        <f t="shared" si="12"/>
        <v>5210</v>
      </c>
      <c r="C80" s="16">
        <f t="shared" si="13"/>
        <v>27.421052631578949</v>
      </c>
      <c r="D80" s="15">
        <f t="shared" si="14"/>
        <v>1.6076380191800001E+20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9.2852062366484201E+39</v>
      </c>
      <c r="F80" s="15">
        <f t="shared" si="7"/>
        <v>1.854835059449473E+40</v>
      </c>
      <c r="G80" s="15">
        <f t="shared" si="8"/>
        <v>4.7676571533536669E+40</v>
      </c>
      <c r="H80" s="15">
        <f t="shared" si="9"/>
        <v>7.5510128364679816E+40</v>
      </c>
      <c r="I80" s="16">
        <v>189.21</v>
      </c>
      <c r="J80" s="45">
        <v>1</v>
      </c>
      <c r="K80" s="19">
        <f t="shared" si="10"/>
        <v>177.05336050837951</v>
      </c>
      <c r="L80" s="16">
        <f t="shared" si="11"/>
        <v>147.78388372922703</v>
      </c>
      <c r="M80" s="45"/>
    </row>
    <row r="81" spans="1:13" x14ac:dyDescent="0.25">
      <c r="A81" s="16">
        <v>5.82</v>
      </c>
      <c r="B81" s="45">
        <f t="shared" si="12"/>
        <v>5820</v>
      </c>
      <c r="C81" s="16">
        <f t="shared" si="13"/>
        <v>30.631578947368421</v>
      </c>
      <c r="D81" s="15">
        <f t="shared" si="14"/>
        <v>1.7958643515600001E+20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9.3038476840284196E+39</v>
      </c>
      <c r="F81" s="15">
        <f t="shared" si="7"/>
        <v>2.0677066417470295E+40</v>
      </c>
      <c r="G81" s="15">
        <f t="shared" si="8"/>
        <v>5.5897485423080472E+40</v>
      </c>
      <c r="H81" s="15">
        <f t="shared" si="9"/>
        <v>8.5878399524579191E+40</v>
      </c>
      <c r="I81" s="16">
        <v>189.76</v>
      </c>
      <c r="J81" s="45">
        <v>1</v>
      </c>
      <c r="K81" s="19">
        <f t="shared" si="10"/>
        <v>178.64913192672998</v>
      </c>
      <c r="L81" s="16">
        <f t="shared" si="11"/>
        <v>123.45138934161088</v>
      </c>
      <c r="M81" s="45"/>
    </row>
    <row r="82" spans="1:13" x14ac:dyDescent="0.25">
      <c r="A82" s="16">
        <v>6.49</v>
      </c>
      <c r="B82" s="45">
        <f t="shared" si="12"/>
        <v>6490</v>
      </c>
      <c r="C82" s="16">
        <f t="shared" si="13"/>
        <v>34.157894736842103</v>
      </c>
      <c r="D82" s="15">
        <f t="shared" si="14"/>
        <v>2.0026047494200001E+20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9.3155838346621032E+39</v>
      </c>
      <c r="F82" s="15">
        <f t="shared" si="7"/>
        <v>2.2785617636131639E+40</v>
      </c>
      <c r="G82" s="15">
        <f t="shared" si="8"/>
        <v>6.5090516453735953E+40</v>
      </c>
      <c r="H82" s="15">
        <f t="shared" si="9"/>
        <v>9.7191717924529694E+40</v>
      </c>
      <c r="I82" s="16">
        <v>190.01</v>
      </c>
      <c r="J82" s="45">
        <v>1</v>
      </c>
      <c r="K82" s="19">
        <f t="shared" si="10"/>
        <v>179.97521972548481</v>
      </c>
      <c r="L82" s="16">
        <f t="shared" si="11"/>
        <v>100.69681515779905</v>
      </c>
      <c r="M82" s="45"/>
    </row>
    <row r="83" spans="1:13" x14ac:dyDescent="0.25">
      <c r="A83" s="16">
        <v>7.23</v>
      </c>
      <c r="B83" s="45">
        <f t="shared" si="12"/>
        <v>7230</v>
      </c>
      <c r="C83" s="16">
        <f t="shared" si="13"/>
        <v>38.05263157894737</v>
      </c>
      <c r="D83" s="15">
        <f t="shared" si="14"/>
        <v>2.2309448903400001E+20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9.3244937045126294E+39</v>
      </c>
      <c r="F83" s="15">
        <f t="shared" si="7"/>
        <v>2.4838164642622087E+40</v>
      </c>
      <c r="G83" s="15">
        <f t="shared" si="8"/>
        <v>7.5365777523863627E+40</v>
      </c>
      <c r="H83" s="15">
        <f t="shared" si="9"/>
        <v>1.0952843587099835E+41</v>
      </c>
      <c r="I83" s="16">
        <v>189.69</v>
      </c>
      <c r="J83" s="45">
        <v>1</v>
      </c>
      <c r="K83" s="19">
        <f t="shared" si="10"/>
        <v>181.0150671594883</v>
      </c>
      <c r="L83" s="16">
        <f t="shared" si="11"/>
        <v>75.254459787388413</v>
      </c>
      <c r="M83" s="45"/>
    </row>
    <row r="84" spans="1:13" x14ac:dyDescent="0.25">
      <c r="A84" s="16">
        <v>8.0500000000000007</v>
      </c>
      <c r="B84" s="45">
        <f t="shared" si="12"/>
        <v>8050.0000000000009</v>
      </c>
      <c r="C84" s="16">
        <f t="shared" si="13"/>
        <v>42.368421052631582</v>
      </c>
      <c r="D84" s="15">
        <f t="shared" si="14"/>
        <v>2.4839704519000002E+20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9.3313566857736839E+39</v>
      </c>
      <c r="F84" s="15">
        <f t="shared" si="7"/>
        <v>2.6791963868956849E+40</v>
      </c>
      <c r="G84" s="15">
        <f t="shared" si="8"/>
        <v>8.6821130590903743E+40</v>
      </c>
      <c r="H84" s="15">
        <f t="shared" si="9"/>
        <v>1.2294445114563426E+41</v>
      </c>
      <c r="I84" s="16">
        <v>189.33</v>
      </c>
      <c r="J84" s="45">
        <v>1</v>
      </c>
      <c r="K84" s="19">
        <f t="shared" si="10"/>
        <v>181.75106217403001</v>
      </c>
      <c r="L84" s="16">
        <f t="shared" si="11"/>
        <v>57.440298569918895</v>
      </c>
      <c r="M84" s="45"/>
    </row>
    <row r="85" spans="1:13" x14ac:dyDescent="0.25">
      <c r="A85" s="16">
        <v>8.94</v>
      </c>
      <c r="B85" s="45">
        <f t="shared" si="12"/>
        <v>8940</v>
      </c>
      <c r="C85" s="16">
        <f t="shared" si="13"/>
        <v>47.05263157894737</v>
      </c>
      <c r="D85" s="15">
        <f t="shared" si="14"/>
        <v>2.7585957565199997E+20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9.3363420403863147E+39</v>
      </c>
      <c r="F85" s="15">
        <f t="shared" si="7"/>
        <v>2.8565865668774424E+40</v>
      </c>
      <c r="G85" s="15">
        <f t="shared" si="8"/>
        <v>9.9258405850893278E+40</v>
      </c>
      <c r="H85" s="15">
        <f t="shared" si="9"/>
        <v>1.3716061356005401E+41</v>
      </c>
      <c r="I85" s="16">
        <v>188.94</v>
      </c>
      <c r="J85" s="45">
        <v>1</v>
      </c>
      <c r="K85" s="19">
        <f t="shared" si="10"/>
        <v>182.16560551967268</v>
      </c>
      <c r="L85" s="16">
        <f t="shared" si="11"/>
        <v>45.892420575089211</v>
      </c>
      <c r="M85" s="45"/>
    </row>
    <row r="86" spans="1:13" x14ac:dyDescent="0.25">
      <c r="A86" s="16">
        <v>9.93</v>
      </c>
      <c r="B86" s="45">
        <f t="shared" si="12"/>
        <v>9930</v>
      </c>
      <c r="C86" s="16">
        <f t="shared" si="13"/>
        <v>52.263157894736842</v>
      </c>
      <c r="D86" s="15">
        <f t="shared" si="14"/>
        <v>3.06407783694E+20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9.3400362806578939E+39</v>
      </c>
      <c r="F86" s="15">
        <f t="shared" si="7"/>
        <v>3.0168829360251619E+40</v>
      </c>
      <c r="G86" s="15">
        <f t="shared" si="8"/>
        <v>1.1302110516631619E+41</v>
      </c>
      <c r="H86" s="15">
        <f t="shared" si="9"/>
        <v>1.525299708072257E+41</v>
      </c>
      <c r="I86" s="16">
        <v>188.23</v>
      </c>
      <c r="J86" s="45">
        <v>1</v>
      </c>
      <c r="K86" s="19">
        <f t="shared" si="10"/>
        <v>182.27344456653989</v>
      </c>
      <c r="L86" s="16">
        <f t="shared" si="11"/>
        <v>35.480552631882993</v>
      </c>
      <c r="M86" s="45"/>
    </row>
    <row r="87" spans="1:13" x14ac:dyDescent="0.25">
      <c r="A87" s="16">
        <v>11.01</v>
      </c>
      <c r="B87" s="45">
        <f t="shared" si="12"/>
        <v>11010</v>
      </c>
      <c r="C87" s="16">
        <f t="shared" si="13"/>
        <v>57.94736842105263</v>
      </c>
      <c r="D87" s="15">
        <f t="shared" si="14"/>
        <v>3.3973310155799999E+20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9.3426736178789475E+39</v>
      </c>
      <c r="F87" s="15">
        <f t="shared" si="7"/>
        <v>3.1544038790058515E+40</v>
      </c>
      <c r="G87" s="15">
        <f t="shared" si="8"/>
        <v>1.278770549034895E+41</v>
      </c>
      <c r="H87" s="15">
        <f t="shared" si="9"/>
        <v>1.6876376731142696E+41</v>
      </c>
      <c r="I87" s="16">
        <v>187.44</v>
      </c>
      <c r="J87" s="45">
        <v>1</v>
      </c>
      <c r="K87" s="19">
        <f t="shared" si="10"/>
        <v>182.08173284014748</v>
      </c>
      <c r="L87" s="16">
        <f t="shared" si="11"/>
        <v>28.711026956353955</v>
      </c>
      <c r="M87" s="45"/>
    </row>
    <row r="88" spans="1:13" x14ac:dyDescent="0.25">
      <c r="A88" s="16">
        <v>12.2</v>
      </c>
      <c r="B88" s="45">
        <f t="shared" si="12"/>
        <v>12200</v>
      </c>
      <c r="C88" s="16">
        <f t="shared" si="13"/>
        <v>64.21052631578948</v>
      </c>
      <c r="D88" s="15">
        <f t="shared" si="14"/>
        <v>3.7645266475999999E+20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9.3441891026999988E+39</v>
      </c>
      <c r="F88" s="15">
        <f t="shared" si="7"/>
        <v>3.2695516932110974E+40</v>
      </c>
      <c r="G88" s="15">
        <f t="shared" si="8"/>
        <v>1.4399121797084502E+41</v>
      </c>
      <c r="H88" s="15">
        <f t="shared" si="9"/>
        <v>1.8603092400565598E+41</v>
      </c>
      <c r="I88" s="16">
        <v>186.56</v>
      </c>
      <c r="J88" s="45">
        <v>1</v>
      </c>
      <c r="K88" s="19">
        <f t="shared" si="10"/>
        <v>181.60721055075973</v>
      </c>
      <c r="L88" s="16">
        <f t="shared" si="11"/>
        <v>24.530123328505745</v>
      </c>
      <c r="M88" s="45"/>
    </row>
    <row r="89" spans="1:13" x14ac:dyDescent="0.25">
      <c r="A89" s="16">
        <v>13.51</v>
      </c>
      <c r="B89" s="45">
        <f t="shared" si="12"/>
        <v>13510</v>
      </c>
      <c r="C89" s="16">
        <f t="shared" si="13"/>
        <v>71.10526315789474</v>
      </c>
      <c r="D89" s="15">
        <f t="shared" si="14"/>
        <v>4.1687504105800001E+20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9.3454137915699982E+39</v>
      </c>
      <c r="F89" s="15">
        <f t="shared" si="7"/>
        <v>3.3622164840164484E+40</v>
      </c>
      <c r="G89" s="15">
        <f t="shared" si="8"/>
        <v>1.6136730709478486E+41</v>
      </c>
      <c r="H89" s="15">
        <f t="shared" si="9"/>
        <v>2.0433488572651933E+41</v>
      </c>
      <c r="I89" s="16">
        <v>185.37</v>
      </c>
      <c r="J89" s="45">
        <v>1</v>
      </c>
      <c r="K89" s="19">
        <f t="shared" si="10"/>
        <v>180.8689497040836</v>
      </c>
      <c r="L89" s="16">
        <f t="shared" si="11"/>
        <v>20.259453766369113</v>
      </c>
      <c r="M89" s="45"/>
    </row>
    <row r="90" spans="1:13" x14ac:dyDescent="0.25">
      <c r="A90" s="16">
        <v>14.95</v>
      </c>
      <c r="B90" s="45">
        <f t="shared" si="12"/>
        <v>14950</v>
      </c>
      <c r="C90" s="16">
        <f t="shared" si="13"/>
        <v>78.684210526315795</v>
      </c>
      <c r="D90" s="15">
        <f t="shared" si="14"/>
        <v>4.6130879820999996E+20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9.346760014449999E+39</v>
      </c>
      <c r="F90" s="15">
        <f t="shared" si="7"/>
        <v>3.4336097099348054E+40</v>
      </c>
      <c r="G90" s="15">
        <f t="shared" si="8"/>
        <v>1.7998774586788158E+41</v>
      </c>
      <c r="H90" s="15">
        <f t="shared" si="9"/>
        <v>2.2367060298167963E+41</v>
      </c>
      <c r="I90" s="16">
        <v>184</v>
      </c>
      <c r="J90" s="45">
        <v>1</v>
      </c>
      <c r="K90" s="19">
        <f t="shared" si="10"/>
        <v>179.8888682478439</v>
      </c>
      <c r="L90" s="16">
        <f t="shared" si="11"/>
        <v>16.901404283586068</v>
      </c>
      <c r="M90" s="45"/>
    </row>
    <row r="91" spans="1:13" x14ac:dyDescent="0.25">
      <c r="A91" s="16">
        <v>16.54</v>
      </c>
      <c r="B91" s="45">
        <f t="shared" si="12"/>
        <v>16540</v>
      </c>
      <c r="C91" s="16">
        <f t="shared" si="13"/>
        <v>87.05263157894737</v>
      </c>
      <c r="D91" s="15">
        <f t="shared" si="14"/>
        <v>5.1037107173199997E+20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9.3473563675678937E+39</v>
      </c>
      <c r="F91" s="15">
        <f t="shared" si="7"/>
        <v>3.4863379292206837E+40</v>
      </c>
      <c r="G91" s="15">
        <f t="shared" si="8"/>
        <v>1.9993859078376195E+41</v>
      </c>
      <c r="H91" s="15">
        <f t="shared" si="9"/>
        <v>2.4414932644353668E+41</v>
      </c>
      <c r="I91" s="16">
        <v>182.53</v>
      </c>
      <c r="J91" s="45">
        <v>1</v>
      </c>
      <c r="K91" s="19">
        <f t="shared" si="10"/>
        <v>178.68185158283057</v>
      </c>
      <c r="L91" s="16">
        <f t="shared" si="11"/>
        <v>14.808246240563561</v>
      </c>
      <c r="M91" s="45"/>
    </row>
    <row r="92" spans="1:13" x14ac:dyDescent="0.25">
      <c r="A92" s="16">
        <v>18.29</v>
      </c>
      <c r="B92" s="45">
        <f t="shared" si="12"/>
        <v>18290</v>
      </c>
      <c r="C92" s="16">
        <f t="shared" si="13"/>
        <v>96.263157894736835</v>
      </c>
      <c r="D92" s="15">
        <f t="shared" si="14"/>
        <v>5.6437042938199998E+20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9.3478299565744734E+39</v>
      </c>
      <c r="F92" s="15">
        <f t="shared" si="7"/>
        <v>3.5232012261725223E+40</v>
      </c>
      <c r="G92" s="15">
        <f t="shared" si="8"/>
        <v>2.2115163891084318E+41</v>
      </c>
      <c r="H92" s="15">
        <f t="shared" si="9"/>
        <v>2.6573148112914287E+41</v>
      </c>
      <c r="I92" s="16">
        <v>180.47</v>
      </c>
      <c r="J92" s="45">
        <v>1</v>
      </c>
      <c r="K92" s="19">
        <f t="shared" si="10"/>
        <v>177.26993395728465</v>
      </c>
      <c r="L92" s="16">
        <f t="shared" si="11"/>
        <v>10.240422677739874</v>
      </c>
      <c r="M92" s="45"/>
    </row>
    <row r="93" spans="1:13" x14ac:dyDescent="0.25">
      <c r="A93" s="16">
        <v>20.2</v>
      </c>
      <c r="B93" s="45">
        <f t="shared" si="12"/>
        <v>20200</v>
      </c>
      <c r="C93" s="16">
        <f t="shared" si="13"/>
        <v>106.31578947368421</v>
      </c>
      <c r="D93" s="15">
        <f t="shared" si="14"/>
        <v>6.2330687115999995E+20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9.3481697105578938E+39</v>
      </c>
      <c r="F93" s="15">
        <f t="shared" si="7"/>
        <v>3.547415511510023E+40</v>
      </c>
      <c r="G93" s="15">
        <f t="shared" si="8"/>
        <v>2.4342799728248951E+41</v>
      </c>
      <c r="H93" s="15">
        <f t="shared" si="9"/>
        <v>2.8825032210814762E+41</v>
      </c>
      <c r="I93" s="16">
        <v>177.77</v>
      </c>
      <c r="J93" s="45">
        <v>1</v>
      </c>
      <c r="K93" s="19">
        <f t="shared" si="10"/>
        <v>175.6829629929544</v>
      </c>
      <c r="L93" s="16">
        <f t="shared" si="11"/>
        <v>4.3557234687778932</v>
      </c>
      <c r="M93" s="45"/>
    </row>
    <row r="94" spans="1:13" x14ac:dyDescent="0.25">
      <c r="A94" s="16">
        <v>22.32</v>
      </c>
      <c r="B94" s="45">
        <f t="shared" si="12"/>
        <v>22320</v>
      </c>
      <c r="C94" s="16">
        <f t="shared" si="13"/>
        <v>117.47368421052632</v>
      </c>
      <c r="D94" s="15">
        <f t="shared" si="14"/>
        <v>6.8872323585599996E+20</v>
      </c>
      <c r="E94" s="15">
        <f>FORECAST($C94, OFFSET('De Vaucouleurs Deprojection'!$F$3:$F$126, MATCH($C94, 'De Vaucouleurs Deprojection'!$A$3:$A$126,1)-1,0,2), OFFSET('De Vaucouleurs Deprojection'!$A$3:$A$126, MATCH($C94, 'De Vaucouleurs Deprojection'!$A$3:$A$126,1)-1,0,2))*LCDMTotalBulgeMass</f>
        <v>9.3484304920368422E+39</v>
      </c>
      <c r="F94" s="15">
        <f t="shared" si="7"/>
        <v>3.5626331767580221E+40</v>
      </c>
      <c r="G94" s="15">
        <f t="shared" si="8"/>
        <v>2.6712278217572205E+41</v>
      </c>
      <c r="H94" s="15">
        <f t="shared" si="9"/>
        <v>3.1209754443533912E+41</v>
      </c>
      <c r="I94" s="16">
        <v>174.73</v>
      </c>
      <c r="J94" s="45">
        <v>1</v>
      </c>
      <c r="K94" s="19">
        <f t="shared" si="10"/>
        <v>173.90758020489244</v>
      </c>
      <c r="L94" s="16">
        <f t="shared" si="11"/>
        <v>0.67637431938474379</v>
      </c>
      <c r="M94" s="45"/>
    </row>
    <row r="95" spans="1:13" x14ac:dyDescent="0.25">
      <c r="A95" s="16">
        <v>24.64</v>
      </c>
      <c r="B95" s="45">
        <f t="shared" si="12"/>
        <v>24640</v>
      </c>
      <c r="C95" s="16">
        <f t="shared" si="13"/>
        <v>129.68421052631578</v>
      </c>
      <c r="D95" s="15">
        <f t="shared" si="14"/>
        <v>7.6031095571200003E+20</v>
      </c>
      <c r="E95" s="15">
        <f>FORECAST($C95, OFFSET('De Vaucouleurs Deprojection'!$F$3:$F$126, MATCH($C95, 'De Vaucouleurs Deprojection'!$A$3:$A$126,1)-1,0,2), OFFSET('De Vaucouleurs Deprojection'!$A$3:$A$126, MATCH($C95, 'De Vaucouleurs Deprojection'!$A$3:$A$126,1)-1,0,2))*LCDMTotalBulgeMass</f>
        <v>9.3485348046284196E+39</v>
      </c>
      <c r="F95" s="15">
        <f t="shared" si="7"/>
        <v>3.5714399373596523E+40</v>
      </c>
      <c r="G95" s="15">
        <f t="shared" si="8"/>
        <v>2.9187665998794426E+41</v>
      </c>
      <c r="H95" s="15">
        <f t="shared" si="9"/>
        <v>3.3693959416616919E+41</v>
      </c>
      <c r="I95" s="16">
        <v>171.42</v>
      </c>
      <c r="J95" s="45">
        <v>1</v>
      </c>
      <c r="K95" s="19">
        <f t="shared" si="10"/>
        <v>171.97927112602727</v>
      </c>
      <c r="L95" s="16">
        <f t="shared" si="11"/>
        <v>0.31278419240782568</v>
      </c>
      <c r="M95" s="45"/>
    </row>
    <row r="96" spans="1:13" x14ac:dyDescent="0.25">
      <c r="A96" s="16">
        <v>27.19</v>
      </c>
      <c r="B96" s="45">
        <f t="shared" si="12"/>
        <v>27190</v>
      </c>
      <c r="C96" s="16">
        <f t="shared" si="13"/>
        <v>143.10526315789474</v>
      </c>
      <c r="D96" s="15">
        <f t="shared" si="14"/>
        <v>8.3899573400200007E+20</v>
      </c>
      <c r="E96" s="15">
        <f>FORECAST($C96, OFFSET('De Vaucouleurs Deprojection'!$F$3:$F$126, MATCH($C96, 'De Vaucouleurs Deprojection'!$A$3:$A$126,1)-1,0,2), OFFSET('De Vaucouleurs Deprojection'!$A$3:$A$126, MATCH($C96, 'De Vaucouleurs Deprojection'!$A$3:$A$126,1)-1,0,2))*LCDMTotalBulgeMass</f>
        <v>9.3485975397955251E+39</v>
      </c>
      <c r="F96" s="15">
        <f t="shared" si="7"/>
        <v>3.5762063567278728E+40</v>
      </c>
      <c r="G96" s="15">
        <f t="shared" si="8"/>
        <v>3.1776162385971122E+41</v>
      </c>
      <c r="H96" s="15">
        <f t="shared" si="9"/>
        <v>3.6287228496678544E+41</v>
      </c>
      <c r="I96" s="16">
        <v>167.45</v>
      </c>
      <c r="J96" s="45">
        <v>1</v>
      </c>
      <c r="K96" s="19">
        <f t="shared" si="10"/>
        <v>169.89974516464594</v>
      </c>
      <c r="L96" s="16">
        <f t="shared" si="11"/>
        <v>6.0012513717061964</v>
      </c>
      <c r="M96" s="45"/>
    </row>
    <row r="97" spans="1:29" x14ac:dyDescent="0.25">
      <c r="A97" s="16">
        <v>30</v>
      </c>
      <c r="B97" s="45">
        <f t="shared" si="12"/>
        <v>30000</v>
      </c>
      <c r="C97" s="16">
        <f t="shared" si="13"/>
        <v>157.89473684210526</v>
      </c>
      <c r="D97" s="15">
        <f t="shared" si="14"/>
        <v>9.2570327399999996E+20</v>
      </c>
      <c r="E97" s="15">
        <f>FORECAST($C97, OFFSET('De Vaucouleurs Deprojection'!$F$3:$F$126, MATCH($C97, 'De Vaucouleurs Deprojection'!$A$3:$A$126,1)-1,0,2), OFFSET('De Vaucouleurs Deprojection'!$A$3:$A$126, MATCH($C97, 'De Vaucouleurs Deprojection'!$A$3:$A$126,1)-1,0,2))*LCDMTotalBulgeMass</f>
        <v>9.3486666714894735E+39</v>
      </c>
      <c r="F97" s="15">
        <f t="shared" si="7"/>
        <v>3.5785919609942468E+40</v>
      </c>
      <c r="G97" s="15">
        <f t="shared" si="8"/>
        <v>3.4480715511233705E+41</v>
      </c>
      <c r="H97" s="15">
        <f t="shared" si="9"/>
        <v>3.8994174139376901E+41</v>
      </c>
      <c r="I97" s="16">
        <v>162.9</v>
      </c>
      <c r="J97" s="45">
        <v>1</v>
      </c>
      <c r="K97" s="19">
        <f t="shared" si="10"/>
        <v>167.67166138506451</v>
      </c>
      <c r="L97" s="16">
        <f t="shared" si="11"/>
        <v>22.768752373715706</v>
      </c>
      <c r="M97" s="45"/>
    </row>
    <row r="98" spans="1:29" x14ac:dyDescent="0.25">
      <c r="A98" s="16">
        <v>33.090000000000003</v>
      </c>
      <c r="B98" s="45">
        <f t="shared" si="12"/>
        <v>33090</v>
      </c>
      <c r="C98" s="16">
        <f t="shared" si="13"/>
        <v>174.15789473684211</v>
      </c>
      <c r="D98" s="15">
        <f t="shared" si="14"/>
        <v>1.0210507112220002E+21</v>
      </c>
      <c r="E98" s="15">
        <f>FORECAST($C98, OFFSET('De Vaucouleurs Deprojection'!$F$3:$F$126, MATCH($C98, 'De Vaucouleurs Deprojection'!$A$3:$A$126,1)-1,0,2), OFFSET('De Vaucouleurs Deprojection'!$A$3:$A$126, MATCH($C98, 'De Vaucouleurs Deprojection'!$A$3:$A$126,1)-1,0,2))*LCDMTotalBulgeMass</f>
        <v>9.3487426917507885E+39</v>
      </c>
      <c r="F98" s="15">
        <f t="shared" si="7"/>
        <v>3.5796818855708185E+40</v>
      </c>
      <c r="G98" s="15">
        <f t="shared" si="8"/>
        <v>3.7291580710770954E+41</v>
      </c>
      <c r="H98" s="15">
        <f t="shared" si="9"/>
        <v>4.1806136865516849E+41</v>
      </c>
      <c r="I98" s="16">
        <v>157.36000000000001</v>
      </c>
      <c r="J98" s="45">
        <v>1</v>
      </c>
      <c r="K98" s="19">
        <f t="shared" si="10"/>
        <v>165.30731311524568</v>
      </c>
      <c r="L98" s="16">
        <f t="shared" si="11"/>
        <v>63.159785751755727</v>
      </c>
      <c r="M98" s="45"/>
    </row>
    <row r="99" spans="1:29" x14ac:dyDescent="0.25">
      <c r="A99" s="16">
        <v>36.5</v>
      </c>
      <c r="B99" s="45">
        <f t="shared" si="12"/>
        <v>36500</v>
      </c>
      <c r="C99" s="16">
        <f t="shared" si="13"/>
        <v>192.10526315789474</v>
      </c>
      <c r="D99" s="15">
        <f t="shared" si="14"/>
        <v>1.1262723167E+21</v>
      </c>
      <c r="E99" s="15">
        <f>FORECAST($C99, OFFSET('De Vaucouleurs Deprojection'!$F$3:$F$126, MATCH($C99, 'De Vaucouleurs Deprojection'!$A$3:$A$126,1)-1,0,2), OFFSET('De Vaucouleurs Deprojection'!$A$3:$A$126, MATCH($C99, 'De Vaucouleurs Deprojection'!$A$3:$A$126,1)-1,0,2))*LCDMTotalBulgeMass</f>
        <v>9.3487699999999994E+39</v>
      </c>
      <c r="F99" s="15">
        <f t="shared" si="7"/>
        <v>3.5801348178963706E+40</v>
      </c>
      <c r="G99" s="15">
        <f t="shared" si="8"/>
        <v>4.0214393668455873E+41</v>
      </c>
      <c r="H99" s="15">
        <f t="shared" si="9"/>
        <v>4.4729405486352245E+41</v>
      </c>
      <c r="I99" s="16">
        <v>151.46</v>
      </c>
      <c r="J99" s="45">
        <v>1</v>
      </c>
      <c r="K99" s="19">
        <f t="shared" si="10"/>
        <v>162.80605849690906</v>
      </c>
      <c r="L99" s="16">
        <f t="shared" si="11"/>
        <v>128.73304341528208</v>
      </c>
      <c r="M99" s="45"/>
    </row>
    <row r="100" spans="1:29" x14ac:dyDescent="0.25">
      <c r="H100" s="15"/>
      <c r="K100" s="45"/>
      <c r="L100" s="16">
        <f>SUM(L61:L99)/(COUNT(L61:L99)-6)</f>
        <v>249.21195677851134</v>
      </c>
      <c r="M100" s="45"/>
    </row>
    <row r="101" spans="1:29" x14ac:dyDescent="0.25">
      <c r="H101" s="15"/>
      <c r="K101" s="45"/>
      <c r="L101" s="17"/>
      <c r="M101" s="45"/>
    </row>
    <row r="102" spans="1:29" x14ac:dyDescent="0.25">
      <c r="I102" s="45"/>
      <c r="J102" s="45"/>
      <c r="L102" s="16"/>
    </row>
    <row r="103" spans="1:29" x14ac:dyDescent="0.25">
      <c r="I103" s="45"/>
      <c r="J103" s="45"/>
      <c r="L103" s="16"/>
    </row>
    <row r="104" spans="1:29" x14ac:dyDescent="0.25">
      <c r="I104" s="45"/>
      <c r="J104" s="45"/>
      <c r="L104" s="16"/>
    </row>
    <row r="105" spans="1:29" x14ac:dyDescent="0.25">
      <c r="I105" s="45"/>
      <c r="J105" s="45"/>
      <c r="L105" s="16"/>
    </row>
    <row r="106" spans="1:29" x14ac:dyDescent="0.25">
      <c r="I106" s="45"/>
      <c r="J106" s="45"/>
      <c r="L106" s="16"/>
    </row>
    <row r="107" spans="1:29" x14ac:dyDescent="0.25">
      <c r="I107" s="45"/>
      <c r="J107" s="45"/>
      <c r="L107" s="16"/>
    </row>
    <row r="108" spans="1:29" x14ac:dyDescent="0.25">
      <c r="I108" s="45"/>
      <c r="J108" s="45"/>
      <c r="L108" s="16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45"/>
      <c r="J143" s="4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45"/>
      <c r="J144" s="4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45"/>
      <c r="J145" s="4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45"/>
      <c r="J146" s="4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45"/>
      <c r="J147" s="4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45"/>
      <c r="J148" s="4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s="17" customFormat="1" x14ac:dyDescent="0.25">
      <c r="A551" s="16"/>
      <c r="B551" s="45"/>
      <c r="C551" s="16"/>
      <c r="D551" s="15"/>
      <c r="E551" s="15"/>
      <c r="F551" s="15"/>
      <c r="G551" s="15"/>
      <c r="H551" s="18"/>
      <c r="I551" s="15"/>
      <c r="J551" s="15"/>
      <c r="K551" s="19"/>
      <c r="L551" s="16"/>
      <c r="N551" s="45"/>
      <c r="O551" s="45"/>
      <c r="P551" s="45"/>
      <c r="Q551" s="45"/>
      <c r="R551" s="45"/>
      <c r="S551" s="45"/>
      <c r="T551" s="45"/>
      <c r="U551" s="45"/>
      <c r="V551" s="16"/>
      <c r="W551" s="16"/>
      <c r="X551" s="45"/>
      <c r="Y551" s="45"/>
      <c r="Z551" s="45"/>
      <c r="AA551" s="45"/>
      <c r="AB551" s="45"/>
      <c r="AC551" s="45"/>
    </row>
    <row r="552" spans="1:29" s="17" customFormat="1" x14ac:dyDescent="0.25">
      <c r="A552" s="16"/>
      <c r="B552" s="45"/>
      <c r="C552" s="16"/>
      <c r="D552" s="15"/>
      <c r="E552" s="15"/>
      <c r="F552" s="15"/>
      <c r="G552" s="15"/>
      <c r="H552" s="18"/>
      <c r="I552" s="15"/>
      <c r="J552" s="15"/>
      <c r="K552" s="19"/>
      <c r="L552" s="16"/>
      <c r="N552" s="45"/>
      <c r="O552" s="45"/>
      <c r="P552" s="45"/>
      <c r="Q552" s="45"/>
      <c r="R552" s="45"/>
      <c r="S552" s="45"/>
      <c r="T552" s="45"/>
      <c r="U552" s="45"/>
      <c r="V552" s="16"/>
      <c r="W552" s="16"/>
      <c r="X552" s="45"/>
      <c r="Y552" s="45"/>
      <c r="Z552" s="45"/>
      <c r="AA552" s="45"/>
      <c r="AB552" s="45"/>
      <c r="AC552" s="45"/>
    </row>
    <row r="553" spans="1:29" s="17" customFormat="1" x14ac:dyDescent="0.25">
      <c r="A553" s="16"/>
      <c r="B553" s="45"/>
      <c r="C553" s="16"/>
      <c r="D553" s="15"/>
      <c r="E553" s="15"/>
      <c r="F553" s="15"/>
      <c r="G553" s="15"/>
      <c r="H553" s="18"/>
      <c r="I553" s="15"/>
      <c r="J553" s="15"/>
      <c r="K553" s="19"/>
      <c r="L553" s="16"/>
      <c r="N553" s="45"/>
      <c r="O553" s="45"/>
      <c r="P553" s="45"/>
      <c r="Q553" s="45"/>
      <c r="R553" s="45"/>
      <c r="S553" s="45"/>
      <c r="T553" s="45"/>
      <c r="U553" s="45"/>
      <c r="V553" s="16"/>
      <c r="W553" s="16"/>
      <c r="X553" s="45"/>
      <c r="Y553" s="45"/>
      <c r="Z553" s="45"/>
      <c r="AA553" s="45"/>
      <c r="AB553" s="45"/>
      <c r="AC553" s="45"/>
    </row>
    <row r="554" spans="1:29" s="17" customFormat="1" x14ac:dyDescent="0.25">
      <c r="A554" s="16"/>
      <c r="B554" s="45"/>
      <c r="C554" s="16"/>
      <c r="D554" s="15"/>
      <c r="E554" s="15"/>
      <c r="F554" s="15"/>
      <c r="G554" s="15"/>
      <c r="H554" s="18"/>
      <c r="I554" s="15"/>
      <c r="J554" s="15"/>
      <c r="K554" s="19"/>
      <c r="L554" s="16"/>
      <c r="N554" s="45"/>
      <c r="O554" s="45"/>
      <c r="P554" s="45"/>
      <c r="Q554" s="45"/>
      <c r="R554" s="45"/>
      <c r="S554" s="45"/>
      <c r="T554" s="45"/>
      <c r="U554" s="45"/>
      <c r="V554" s="16"/>
      <c r="W554" s="16"/>
      <c r="X554" s="45"/>
      <c r="Y554" s="45"/>
      <c r="Z554" s="45"/>
      <c r="AA554" s="45"/>
      <c r="AB554" s="45"/>
      <c r="AC554" s="45"/>
    </row>
    <row r="555" spans="1:29" s="17" customFormat="1" x14ac:dyDescent="0.25">
      <c r="A555" s="16"/>
      <c r="B555" s="45"/>
      <c r="C555" s="16"/>
      <c r="D555" s="15"/>
      <c r="E555" s="15"/>
      <c r="F555" s="15"/>
      <c r="G555" s="15"/>
      <c r="H555" s="18"/>
      <c r="I555" s="15"/>
      <c r="J555" s="15"/>
      <c r="K555" s="19"/>
      <c r="L555" s="16"/>
      <c r="N555" s="45"/>
      <c r="O555" s="45"/>
      <c r="P555" s="45"/>
      <c r="Q555" s="45"/>
      <c r="R555" s="45"/>
      <c r="S555" s="45"/>
      <c r="T555" s="45"/>
      <c r="U555" s="45"/>
      <c r="V555" s="16"/>
      <c r="W555" s="16"/>
      <c r="X555" s="45"/>
      <c r="Y555" s="45"/>
      <c r="Z555" s="45"/>
      <c r="AA555" s="45"/>
      <c r="AB555" s="45"/>
      <c r="AC555" s="45"/>
    </row>
    <row r="556" spans="1:29" s="17" customFormat="1" x14ac:dyDescent="0.25">
      <c r="A556" s="16"/>
      <c r="B556" s="45"/>
      <c r="C556" s="16"/>
      <c r="D556" s="15"/>
      <c r="E556" s="15"/>
      <c r="F556" s="15"/>
      <c r="G556" s="15"/>
      <c r="H556" s="18"/>
      <c r="I556" s="15"/>
      <c r="J556" s="15"/>
      <c r="K556" s="19"/>
      <c r="L556" s="16"/>
      <c r="N556" s="45"/>
      <c r="O556" s="45"/>
      <c r="P556" s="45"/>
      <c r="Q556" s="45"/>
      <c r="R556" s="45"/>
      <c r="S556" s="45"/>
      <c r="T556" s="45"/>
      <c r="U556" s="45"/>
      <c r="V556" s="16"/>
      <c r="W556" s="16"/>
      <c r="X556" s="45"/>
      <c r="Y556" s="45"/>
      <c r="Z556" s="45"/>
      <c r="AA556" s="45"/>
      <c r="AB556" s="45"/>
      <c r="AC556" s="45"/>
    </row>
    <row r="557" spans="1:29" x14ac:dyDescent="0.25">
      <c r="L557" s="16"/>
    </row>
    <row r="558" spans="1:29" x14ac:dyDescent="0.25">
      <c r="L558" s="16"/>
      <c r="N558" s="17"/>
      <c r="O558" s="38"/>
    </row>
    <row r="559" spans="1:29" x14ac:dyDescent="0.25">
      <c r="L559" s="16"/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C537"/>
  <sheetViews>
    <sheetView zoomScaleNormal="100" workbookViewId="0">
      <selection activeCell="O11" sqref="O11"/>
    </sheetView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2099.8314307093301</v>
      </c>
      <c r="E2" s="55"/>
      <c r="F2" s="53" t="s">
        <v>620</v>
      </c>
      <c r="G2" s="53">
        <v>26061437900</v>
      </c>
      <c r="H2" s="62"/>
      <c r="K2" s="51" t="s">
        <v>1</v>
      </c>
      <c r="L2" s="60" t="s">
        <v>588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2.51329703476004E+40</v>
      </c>
      <c r="E3" s="53"/>
      <c r="F3" s="53" t="s">
        <v>621</v>
      </c>
      <c r="G3" s="53">
        <f>H35/SolarMass</f>
        <v>80807384808.938385</v>
      </c>
      <c r="H3" s="62"/>
      <c r="K3" s="51" t="s">
        <v>562</v>
      </c>
      <c r="L3" s="57">
        <v>8.0400000000000003E-4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2812.2900119211199</v>
      </c>
      <c r="E4" s="55"/>
      <c r="F4" s="53" t="s">
        <v>622</v>
      </c>
      <c r="G4" s="52">
        <f>G3/G2</f>
        <v>3.1006495159247671</v>
      </c>
      <c r="H4" s="62"/>
      <c r="K4" s="61" t="s">
        <v>614</v>
      </c>
      <c r="L4" s="52">
        <f>QEHModelChiSquare</f>
        <v>318.3658738164159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1510.4670569968</v>
      </c>
      <c r="F5" s="53"/>
      <c r="G5" s="52"/>
      <c r="H5" s="62"/>
      <c r="K5" s="61" t="s">
        <v>615</v>
      </c>
      <c r="L5" s="52">
        <f>LCDMModelChiSquare</f>
        <v>426.34753254645091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35" si="0">RadiusKpc*1000</f>
        <v>90</v>
      </c>
      <c r="C8" s="16">
        <f t="shared" ref="C8:C35" si="1">IF(QESBulgeEffectiveRadius=0,0,RadiusPc/QESBulgeEffectiveRadius)</f>
        <v>4.2860583322918304E-2</v>
      </c>
      <c r="D8" s="15">
        <f t="shared" ref="D8:D35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3.5649851325959294E+38</v>
      </c>
      <c r="F8" s="15">
        <f t="shared" ref="F8:F35" si="3">2*PI()*QESDiskSurfaceDensity*QESDiskScaleLength*(QESDiskScaleLength-EXP(-RadiusPc/QESDiskScaleLength)*(RadiusPc+QESDiskScaleLength))*SolarMass</f>
        <v>7.4842708983427321E+37</v>
      </c>
      <c r="H8" s="18">
        <f t="shared" ref="H8:H35" si="4">BulgeMass+DiskMass+HaloMass</f>
        <v>4.3134122224302024E+38</v>
      </c>
      <c r="I8" s="16">
        <v>54.94</v>
      </c>
      <c r="J8" s="45">
        <v>1</v>
      </c>
      <c r="K8" s="19">
        <f t="shared" ref="K8:K35" si="5">SQRT(TotalMass*GravitationalConstant/RadiusKm+UniverseAcceleration*RadiusKm)/km</f>
        <v>102.31062603859962</v>
      </c>
      <c r="L8" s="16">
        <f t="shared" ref="L8:L35" si="6">(ObservedVelocity-ModelVelocity)^2/(VelocityError)^2</f>
        <v>2243.9762112888529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9.0483453681716425E-2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9.7665050506514409E+38</v>
      </c>
      <c r="F9" s="15">
        <f t="shared" si="3"/>
        <v>3.2577622121141062E+38</v>
      </c>
      <c r="H9" s="18">
        <f t="shared" si="4"/>
        <v>1.3024267262765547E+39</v>
      </c>
      <c r="I9" s="16">
        <v>104.12</v>
      </c>
      <c r="J9" s="45">
        <v>1</v>
      </c>
      <c r="K9" s="19">
        <f t="shared" si="5"/>
        <v>122.63914093637646</v>
      </c>
      <c r="L9" s="16">
        <f t="shared" si="6"/>
        <v>342.95858102137436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0.14286861107639434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1.7078882597326462E+39</v>
      </c>
      <c r="F10" s="15">
        <f t="shared" si="3"/>
        <v>7.9143037358297752E+38</v>
      </c>
      <c r="H10" s="18">
        <f t="shared" si="4"/>
        <v>2.4993186333156236E+39</v>
      </c>
      <c r="I10" s="16">
        <v>141.80000000000001</v>
      </c>
      <c r="J10" s="45">
        <v>1</v>
      </c>
      <c r="K10" s="19">
        <f t="shared" si="5"/>
        <v>135.48802966122093</v>
      </c>
      <c r="L10" s="16">
        <f t="shared" si="6"/>
        <v>39.840969557626849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0.20001605550695209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2.5070254170919003E+39</v>
      </c>
      <c r="F11" s="15">
        <f t="shared" si="3"/>
        <v>1.508160310708629E+39</v>
      </c>
      <c r="H11" s="18">
        <f t="shared" si="4"/>
        <v>4.0151857278005292E+39</v>
      </c>
      <c r="I11" s="16">
        <v>164.79</v>
      </c>
      <c r="J11" s="45">
        <v>1</v>
      </c>
      <c r="K11" s="19">
        <f t="shared" si="5"/>
        <v>145.43059131244118</v>
      </c>
      <c r="L11" s="16">
        <f t="shared" si="6"/>
        <v>374.78670473192761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0.26668807400926947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3.3902353807066292E+39</v>
      </c>
      <c r="F12" s="15">
        <f t="shared" si="3"/>
        <v>2.5949168486661434E+39</v>
      </c>
      <c r="H12" s="18">
        <f t="shared" si="4"/>
        <v>5.9851522293727723E+39</v>
      </c>
      <c r="I12" s="16">
        <v>177.72</v>
      </c>
      <c r="J12" s="45">
        <v>1</v>
      </c>
      <c r="K12" s="19">
        <f t="shared" si="5"/>
        <v>154.10043763635278</v>
      </c>
      <c r="L12" s="16">
        <f t="shared" si="6"/>
        <v>557.88372625022021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0.33336009251158683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4.2369062068730059E+39</v>
      </c>
      <c r="F13" s="15">
        <f t="shared" si="3"/>
        <v>3.9246711664222109E+39</v>
      </c>
      <c r="H13" s="18">
        <f t="shared" si="4"/>
        <v>8.1615773732952167E+39</v>
      </c>
      <c r="I13" s="16">
        <v>185.22</v>
      </c>
      <c r="J13" s="45">
        <v>1</v>
      </c>
      <c r="K13" s="19">
        <f t="shared" si="5"/>
        <v>161.26383555506726</v>
      </c>
      <c r="L13" s="16">
        <f t="shared" si="6"/>
        <v>573.89781491265956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0.40955668508566379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5.1525752645713749E+39</v>
      </c>
      <c r="F14" s="15">
        <f t="shared" si="3"/>
        <v>5.7084664938258853E+39</v>
      </c>
      <c r="H14" s="18">
        <f t="shared" si="4"/>
        <v>1.086104175839726E+40</v>
      </c>
      <c r="I14" s="16">
        <v>189.42</v>
      </c>
      <c r="J14" s="45">
        <v>1</v>
      </c>
      <c r="K14" s="19">
        <f t="shared" si="5"/>
        <v>168.17697345642821</v>
      </c>
      <c r="L14" s="16">
        <f t="shared" si="6"/>
        <v>451.26617673089493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0.49527785173150041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6.1022469239704225E+39</v>
      </c>
      <c r="F15" s="15">
        <f t="shared" si="3"/>
        <v>8.0092349418684361E+39</v>
      </c>
      <c r="H15" s="18">
        <f t="shared" si="4"/>
        <v>1.4111481865838857E+40</v>
      </c>
      <c r="I15" s="16">
        <v>191.52</v>
      </c>
      <c r="J15" s="45">
        <v>1</v>
      </c>
      <c r="K15" s="19">
        <f t="shared" si="5"/>
        <v>174.69501367943278</v>
      </c>
      <c r="L15" s="16">
        <f t="shared" si="6"/>
        <v>283.08016468727453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0.5857613054132168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7.0214782770501652E+39</v>
      </c>
      <c r="F16" s="15">
        <f t="shared" si="3"/>
        <v>1.0726270286999924E+40</v>
      </c>
      <c r="H16" s="18">
        <f t="shared" si="4"/>
        <v>1.7747748564050089E+40</v>
      </c>
      <c r="I16" s="16">
        <v>193.03</v>
      </c>
      <c r="J16" s="45">
        <v>1</v>
      </c>
      <c r="K16" s="19">
        <f t="shared" si="5"/>
        <v>180.53523394277377</v>
      </c>
      <c r="L16" s="16">
        <f t="shared" si="6"/>
        <v>156.11917882481271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0.69053162020257275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8.0022756779899673E+39</v>
      </c>
      <c r="F17" s="15">
        <f t="shared" si="3"/>
        <v>1.4179204405648446E+40</v>
      </c>
      <c r="H17" s="18">
        <f t="shared" si="4"/>
        <v>2.2181480083638415E+40</v>
      </c>
      <c r="I17" s="16">
        <v>193.47</v>
      </c>
      <c r="J17" s="45">
        <v>1</v>
      </c>
      <c r="K17" s="19">
        <f t="shared" si="5"/>
        <v>186.33045179766285</v>
      </c>
      <c r="L17" s="16">
        <f t="shared" si="6"/>
        <v>50.973148533495667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0.80006422202780836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8.9382882514672228E+39</v>
      </c>
      <c r="F18" s="15">
        <f t="shared" si="3"/>
        <v>1.8071420897958486E+40</v>
      </c>
      <c r="H18" s="18">
        <f t="shared" si="4"/>
        <v>2.7009709149425706E+40</v>
      </c>
      <c r="I18" s="16">
        <v>193.5</v>
      </c>
      <c r="J18" s="45">
        <v>1</v>
      </c>
      <c r="K18" s="19">
        <f t="shared" si="5"/>
        <v>191.47879837476731</v>
      </c>
      <c r="L18" s="16">
        <f t="shared" si="6"/>
        <v>4.0852560098432749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0.92388368496068352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9.8905738208966217E+39</v>
      </c>
      <c r="F19" s="15">
        <f t="shared" si="3"/>
        <v>2.273543655310375E+40</v>
      </c>
      <c r="H19" s="18">
        <f t="shared" si="4"/>
        <v>3.2626010374000373E+40</v>
      </c>
      <c r="I19" s="16">
        <v>193.62</v>
      </c>
      <c r="J19" s="45">
        <v>1</v>
      </c>
      <c r="K19" s="19">
        <f t="shared" si="5"/>
        <v>196.36178627011392</v>
      </c>
      <c r="L19" s="16">
        <f t="shared" si="6"/>
        <v>7.5173919509852016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1.061990009001198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1.0852877720498105E+40</v>
      </c>
      <c r="F20" s="15">
        <f t="shared" si="3"/>
        <v>2.8169740065603083E+40</v>
      </c>
      <c r="G20" s="15"/>
      <c r="H20" s="18">
        <f t="shared" si="4"/>
        <v>3.9022617786101186E+40</v>
      </c>
      <c r="I20" s="16">
        <v>194.07</v>
      </c>
      <c r="J20" s="45">
        <v>1</v>
      </c>
      <c r="K20" s="19">
        <f t="shared" si="5"/>
        <v>200.89321463951532</v>
      </c>
      <c r="L20" s="16">
        <f t="shared" si="6"/>
        <v>46.556258016896287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1.2096209071134723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1.17817835279293E+40</v>
      </c>
      <c r="F21" s="15">
        <f t="shared" si="3"/>
        <v>3.4142701555039244E+40</v>
      </c>
      <c r="G21" s="15"/>
      <c r="H21" s="18">
        <f t="shared" si="4"/>
        <v>4.5924485082968546E+40</v>
      </c>
      <c r="I21" s="16">
        <v>194.64</v>
      </c>
      <c r="J21" s="45">
        <v>1</v>
      </c>
      <c r="K21" s="19">
        <f t="shared" si="5"/>
        <v>204.85312801113363</v>
      </c>
      <c r="L21" s="16">
        <f t="shared" si="6"/>
        <v>104.30798377180274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1.3763009533692656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1.2713856472561056E+40</v>
      </c>
      <c r="F22" s="15">
        <f t="shared" si="3"/>
        <v>4.0969463180328425E+40</v>
      </c>
      <c r="G22" s="15"/>
      <c r="H22" s="18">
        <f t="shared" si="4"/>
        <v>5.3683319652889484E+40</v>
      </c>
      <c r="I22" s="16">
        <v>195.59</v>
      </c>
      <c r="J22" s="45">
        <v>1</v>
      </c>
      <c r="K22" s="19">
        <f t="shared" si="5"/>
        <v>208.39712273531734</v>
      </c>
      <c r="L22" s="16">
        <f t="shared" si="6"/>
        <v>164.02239275748218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1.5572678607326984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1.3614760694113308E+40</v>
      </c>
      <c r="F23" s="15">
        <f t="shared" si="3"/>
        <v>4.8354838903415454E+40</v>
      </c>
      <c r="G23" s="15"/>
      <c r="H23" s="18">
        <f t="shared" si="4"/>
        <v>6.1969599597528759E+40</v>
      </c>
      <c r="I23" s="16">
        <v>196.7</v>
      </c>
      <c r="J23" s="45">
        <v>1</v>
      </c>
      <c r="K23" s="19">
        <f t="shared" si="5"/>
        <v>211.35022754521523</v>
      </c>
      <c r="L23" s="16">
        <f t="shared" si="6"/>
        <v>214.6291671265835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1.7572839162396505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1.4497751496949377E+40</v>
      </c>
      <c r="F24" s="15">
        <f t="shared" si="3"/>
        <v>5.6355393073120892E+40</v>
      </c>
      <c r="G24" s="15"/>
      <c r="H24" s="18">
        <f t="shared" si="4"/>
        <v>7.0853144570070269E+40</v>
      </c>
      <c r="I24" s="16">
        <v>198.6</v>
      </c>
      <c r="J24" s="45">
        <v>1</v>
      </c>
      <c r="K24" s="19">
        <f t="shared" si="5"/>
        <v>213.7363102938013</v>
      </c>
      <c r="L24" s="16">
        <f t="shared" si="6"/>
        <v>229.10788931023524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1.976349119890122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1.5350620760987531E+40</v>
      </c>
      <c r="F25" s="15">
        <f t="shared" si="3"/>
        <v>6.4797008631585844E+40</v>
      </c>
      <c r="G25" s="15"/>
      <c r="H25" s="18">
        <f t="shared" si="4"/>
        <v>8.0147629392573373E+40</v>
      </c>
      <c r="I25" s="16">
        <v>202.53</v>
      </c>
      <c r="J25" s="45">
        <v>1</v>
      </c>
      <c r="K25" s="19">
        <f t="shared" si="5"/>
        <v>215.50295049234293</v>
      </c>
      <c r="L25" s="16">
        <f t="shared" si="6"/>
        <v>168.29744447678073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2.2144634716841125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1.6164145251349069E+40</v>
      </c>
      <c r="F26" s="15">
        <f t="shared" si="3"/>
        <v>7.348122284792093E+40</v>
      </c>
      <c r="G26" s="15"/>
      <c r="H26" s="18">
        <f t="shared" si="4"/>
        <v>8.9645368099270004E+40</v>
      </c>
      <c r="I26" s="16">
        <v>207.77</v>
      </c>
      <c r="J26" s="45">
        <v>1</v>
      </c>
      <c r="K26" s="19">
        <f t="shared" si="5"/>
        <v>216.6341681642981</v>
      </c>
      <c r="L26" s="16">
        <f t="shared" si="6"/>
        <v>78.573477244955825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2.4811515456933821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1.6958806477553936E+40</v>
      </c>
      <c r="F27" s="15">
        <f t="shared" si="3"/>
        <v>8.2508448914424131E+40</v>
      </c>
      <c r="G27" s="15"/>
      <c r="H27" s="18">
        <f t="shared" si="4"/>
        <v>9.9467255391978069E+40</v>
      </c>
      <c r="I27" s="16">
        <v>214.09</v>
      </c>
      <c r="J27" s="45">
        <v>1</v>
      </c>
      <c r="K27" s="19">
        <f t="shared" si="5"/>
        <v>217.15452774864971</v>
      </c>
      <c r="L27" s="16">
        <f t="shared" si="6"/>
        <v>9.3913303222440554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2.7716510548820503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1.7710093882419519E+40</v>
      </c>
      <c r="F28" s="15">
        <f t="shared" si="3"/>
        <v>9.1444360159326445E+40</v>
      </c>
      <c r="G28" s="15"/>
      <c r="H28" s="18">
        <f t="shared" si="4"/>
        <v>1.0915445404174597E+41</v>
      </c>
      <c r="I28" s="16">
        <v>219.75</v>
      </c>
      <c r="J28" s="45">
        <v>1</v>
      </c>
      <c r="K28" s="19">
        <f t="shared" si="5"/>
        <v>217.05889079387393</v>
      </c>
      <c r="L28" s="16">
        <f t="shared" si="6"/>
        <v>7.2420687592964965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3.0907242862859978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1.8424224372993725E+40</v>
      </c>
      <c r="F29" s="15">
        <f t="shared" si="3"/>
        <v>1.0017082189467665E+41</v>
      </c>
      <c r="G29" s="15"/>
      <c r="H29" s="18">
        <f t="shared" si="4"/>
        <v>1.1859504626767038E+41</v>
      </c>
      <c r="I29" s="16">
        <v>224.71</v>
      </c>
      <c r="J29" s="45">
        <v>1</v>
      </c>
      <c r="K29" s="19">
        <f t="shared" si="5"/>
        <v>216.39523292758284</v>
      </c>
      <c r="L29" s="16">
        <f t="shared" si="6"/>
        <v>69.135351468552784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3.4431335269411041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1.910057776749132E+40</v>
      </c>
      <c r="F30" s="15">
        <f t="shared" si="3"/>
        <v>1.0853372124482073E+41</v>
      </c>
      <c r="G30" s="15"/>
      <c r="H30" s="18">
        <f t="shared" si="4"/>
        <v>1.2763429901231205E+41</v>
      </c>
      <c r="I30" s="16">
        <v>230.95</v>
      </c>
      <c r="J30" s="45">
        <v>1</v>
      </c>
      <c r="K30" s="19">
        <f t="shared" si="5"/>
        <v>215.2170816374668</v>
      </c>
      <c r="L30" s="16">
        <f t="shared" si="6"/>
        <v>247.52472020213384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3.833641063883249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1.9741237840221169E+40</v>
      </c>
      <c r="F31" s="15">
        <f t="shared" si="3"/>
        <v>1.1635783055369224E+41</v>
      </c>
      <c r="G31" s="15"/>
      <c r="H31" s="18">
        <f t="shared" si="4"/>
        <v>1.360990683939134E+41</v>
      </c>
      <c r="I31" s="16">
        <v>235.63</v>
      </c>
      <c r="J31" s="45">
        <v>1</v>
      </c>
      <c r="K31" s="19">
        <f t="shared" si="5"/>
        <v>213.60242593949729</v>
      </c>
      <c r="L31" s="16">
        <f t="shared" si="6"/>
        <v>485.21401899093144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4.2574846100765518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2.0331648420398337E+40</v>
      </c>
      <c r="F32" s="15">
        <f t="shared" si="3"/>
        <v>1.2332813962910173E+41</v>
      </c>
      <c r="G32" s="15"/>
      <c r="H32" s="18">
        <f t="shared" si="4"/>
        <v>1.4365978804950006E+41</v>
      </c>
      <c r="I32" s="16">
        <v>233.61</v>
      </c>
      <c r="J32" s="45">
        <v>1</v>
      </c>
      <c r="K32" s="19">
        <f t="shared" si="5"/>
        <v>211.698470040567</v>
      </c>
      <c r="L32" s="16">
        <f t="shared" si="6"/>
        <v>480.11514516313042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4.7289510266286534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2.088633563195429E+40</v>
      </c>
      <c r="F33" s="15">
        <f t="shared" si="3"/>
        <v>1.2949702728917972E+41</v>
      </c>
      <c r="G33" s="15"/>
      <c r="H33" s="18">
        <f t="shared" si="4"/>
        <v>1.5038336292113402E+41</v>
      </c>
      <c r="I33" s="16">
        <v>224.23</v>
      </c>
      <c r="J33" s="45">
        <v>1</v>
      </c>
      <c r="K33" s="19">
        <f t="shared" si="5"/>
        <v>209.59378986163483</v>
      </c>
      <c r="L33" s="16">
        <f t="shared" si="6"/>
        <v>214.21864721438303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5.2432780265036731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2.1368352103494147E+40</v>
      </c>
      <c r="F34" s="15">
        <f t="shared" si="3"/>
        <v>1.3466948325716975E+41</v>
      </c>
      <c r="G34" s="15"/>
      <c r="H34" s="18">
        <f t="shared" si="4"/>
        <v>1.560378353606639E+41</v>
      </c>
      <c r="I34" s="16">
        <v>211.16</v>
      </c>
      <c r="J34" s="45">
        <v>1</v>
      </c>
      <c r="K34" s="19">
        <f t="shared" si="5"/>
        <v>207.46686843188093</v>
      </c>
      <c r="L34" s="16">
        <f t="shared" si="6"/>
        <v>13.639220779437629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5.8099901837733707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2.1840940147127491E+40</v>
      </c>
      <c r="F35" s="15">
        <f t="shared" si="3"/>
        <v>1.3889302897633185E+41</v>
      </c>
      <c r="G35" s="15"/>
      <c r="H35" s="18">
        <f t="shared" si="4"/>
        <v>1.6073396912345933E+41</v>
      </c>
      <c r="I35" s="16">
        <v>200.75</v>
      </c>
      <c r="J35" s="45">
        <v>1</v>
      </c>
      <c r="K35" s="19">
        <f t="shared" si="5"/>
        <v>205.48503236410988</v>
      </c>
      <c r="L35" s="16">
        <f t="shared" si="6"/>
        <v>22.420531489168038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x14ac:dyDescent="0.25">
      <c r="I36" s="45"/>
      <c r="J36" s="45"/>
      <c r="L36" s="16">
        <f>SUM(L8:L35)/(COUNT(L8:L35)-4)</f>
        <v>318.3658738164159</v>
      </c>
    </row>
    <row r="37" spans="1:29" x14ac:dyDescent="0.25">
      <c r="I37" s="45"/>
      <c r="J37" s="45"/>
      <c r="L37" s="16"/>
    </row>
    <row r="38" spans="1:29" ht="21" x14ac:dyDescent="0.35">
      <c r="A38" s="48" t="s">
        <v>564</v>
      </c>
      <c r="I38" s="45"/>
      <c r="J38" s="45"/>
      <c r="L38" s="16"/>
    </row>
    <row r="39" spans="1:29" x14ac:dyDescent="0.25">
      <c r="A39" s="16" t="s">
        <v>30</v>
      </c>
      <c r="D39" s="16">
        <v>2.76</v>
      </c>
      <c r="E39" s="17">
        <f>$D$39*1000</f>
        <v>2760</v>
      </c>
      <c r="F39" s="17"/>
      <c r="G39" s="17"/>
      <c r="H39" s="15"/>
      <c r="K39" s="15"/>
      <c r="L39" s="17"/>
      <c r="M39" s="45"/>
    </row>
    <row r="40" spans="1:29" x14ac:dyDescent="0.25">
      <c r="A40" s="16" t="s">
        <v>16</v>
      </c>
      <c r="D40" s="16">
        <v>2.9</v>
      </c>
      <c r="E40" s="15">
        <f>D40*10000000000*SolarMass</f>
        <v>5.7683899999999999E+40</v>
      </c>
      <c r="F40" s="43"/>
      <c r="G40" s="43"/>
      <c r="H40" s="15"/>
      <c r="K40" s="15"/>
      <c r="L40" s="17"/>
      <c r="M40" s="45"/>
    </row>
    <row r="41" spans="1:29" x14ac:dyDescent="0.25">
      <c r="A41" s="16" t="s">
        <v>569</v>
      </c>
      <c r="D41" s="16">
        <v>2.4</v>
      </c>
      <c r="E41" s="15">
        <f>D41*1000</f>
        <v>2400</v>
      </c>
      <c r="H41" s="15"/>
      <c r="K41" s="15"/>
      <c r="L41" s="17"/>
      <c r="M41" s="45"/>
    </row>
    <row r="42" spans="1:29" x14ac:dyDescent="0.25">
      <c r="A42" s="16" t="s">
        <v>17</v>
      </c>
      <c r="D42" s="45">
        <v>2.2000000000000002</v>
      </c>
      <c r="G42" s="16"/>
      <c r="H42" s="15"/>
      <c r="K42" s="15"/>
      <c r="L42" s="17"/>
      <c r="M42" s="45"/>
    </row>
    <row r="43" spans="1:29" x14ac:dyDescent="0.25">
      <c r="A43" s="16" t="s">
        <v>570</v>
      </c>
      <c r="D43" s="16">
        <v>8.1</v>
      </c>
      <c r="E43" s="17">
        <f>D43*1000</f>
        <v>8100</v>
      </c>
      <c r="H43" s="15"/>
      <c r="K43" s="15"/>
      <c r="L43" s="17"/>
      <c r="M43" s="45"/>
    </row>
    <row r="44" spans="1:29" x14ac:dyDescent="0.25">
      <c r="A44" s="16" t="s">
        <v>571</v>
      </c>
      <c r="D44" s="16">
        <v>4.5999999999999996</v>
      </c>
      <c r="G44" s="9"/>
      <c r="H44" s="15"/>
      <c r="K44" s="15"/>
      <c r="L44" s="17"/>
      <c r="M44" s="45"/>
    </row>
    <row r="45" spans="1:29" x14ac:dyDescent="0.25">
      <c r="D45" s="12"/>
      <c r="H45" s="15"/>
      <c r="K45" s="15"/>
      <c r="L45" s="17"/>
      <c r="M45" s="45"/>
    </row>
    <row r="46" spans="1:29" x14ac:dyDescent="0.25">
      <c r="A46" s="16" t="s">
        <v>567</v>
      </c>
      <c r="D46" s="17">
        <f>(D42*10000000000)/(2*PI()*DiskScaleLengthPc^2)</f>
        <v>607.8834631982113</v>
      </c>
      <c r="H46" s="15"/>
      <c r="K46" s="15"/>
      <c r="L46" s="17"/>
      <c r="M46" s="45"/>
    </row>
    <row r="47" spans="1:29" x14ac:dyDescent="0.25">
      <c r="A47" s="16" t="s">
        <v>565</v>
      </c>
      <c r="D47" s="9">
        <f>(D44*10000000000)/(4*PI()*(LCDMHaloScaleLengthPc)^3*(LN(2)-1/2))</f>
        <v>3.5661904942496832E-2</v>
      </c>
      <c r="H47" s="15"/>
      <c r="K47" s="15"/>
      <c r="L47" s="17"/>
      <c r="M47" s="45"/>
    </row>
    <row r="48" spans="1:29" x14ac:dyDescent="0.25">
      <c r="H48" s="15"/>
      <c r="K48" s="15"/>
      <c r="L48" s="17"/>
      <c r="M48" s="45"/>
    </row>
    <row r="49" spans="1:29" ht="45" x14ac:dyDescent="0.25">
      <c r="A49" s="7" t="s">
        <v>20</v>
      </c>
      <c r="B49" s="3" t="s">
        <v>19</v>
      </c>
      <c r="C49" s="7" t="s">
        <v>27</v>
      </c>
      <c r="D49" s="4" t="s">
        <v>649</v>
      </c>
      <c r="E49" s="4" t="s">
        <v>21</v>
      </c>
      <c r="F49" s="4" t="s">
        <v>22</v>
      </c>
      <c r="G49" s="4" t="s">
        <v>28</v>
      </c>
      <c r="H49" s="4" t="s">
        <v>23</v>
      </c>
      <c r="I49" s="7" t="s">
        <v>645</v>
      </c>
      <c r="J49" s="7" t="s">
        <v>646</v>
      </c>
      <c r="K49" s="25" t="s">
        <v>647</v>
      </c>
      <c r="L49" s="3" t="s">
        <v>648</v>
      </c>
      <c r="M49" s="3"/>
      <c r="N49" s="3"/>
      <c r="O49" s="3"/>
      <c r="P49" s="3"/>
      <c r="Q49" s="3"/>
      <c r="R49" s="3"/>
      <c r="S49" s="3"/>
      <c r="T49" s="3"/>
      <c r="U49" s="3"/>
      <c r="V49" s="7"/>
      <c r="W49" s="7"/>
      <c r="X49" s="3"/>
      <c r="Y49" s="3"/>
      <c r="Z49" s="3"/>
      <c r="AA49" s="3"/>
      <c r="AB49" s="3"/>
      <c r="AC49" s="3"/>
    </row>
    <row r="50" spans="1:29" x14ac:dyDescent="0.25">
      <c r="A50" s="16">
        <v>0.09</v>
      </c>
      <c r="B50" s="45">
        <f>A50*1000</f>
        <v>90</v>
      </c>
      <c r="C50" s="16">
        <f>B50/LCDMBulgeEffectiveRadius</f>
        <v>3.2608695652173912E-2</v>
      </c>
      <c r="D50" s="15">
        <f>A50*kpc</f>
        <v>2.777109822E+18</v>
      </c>
      <c r="E50" s="15">
        <f>FORECAST($C50, OFFSET('De Vaucouleurs Deprojection'!$F$3:$F$126, MATCH($C50, 'De Vaucouleurs Deprojection'!$A$3:$A$126,1)-1,0,2), OFFSET('De Vaucouleurs Deprojection'!$A$3:$A$126, MATCH($C50, 'De Vaucouleurs Deprojection'!$A$3:$A$126,1)-1,0,2))*LCDMTotalBulgeMass</f>
        <v>5.5199078227652167E+38</v>
      </c>
      <c r="F50" s="15">
        <f t="shared" ref="F50:F77" si="7">2*PI()*LCDMDiskSurfaceDensity*LCDMScaleLength*(LCDMScaleLength-EXP(-RadiusPc/LCDMScaleLength)*(RadiusPc+LCDMScaleLength))*SolarMass</f>
        <v>3.0010378215291064E+37</v>
      </c>
      <c r="G50" s="15">
        <f t="shared" ref="G50:G77" si="8">4*PI()*LCDMHaloRepresentativeDensity*LCDMHaloScaleLengthPc^3*(LN(1+RadiusPc/LCDMHaloScaleLengthPc)-RadiusPc/(RadiusPc+LCDMHaloScaleLengthPc))*SolarMass</f>
        <v>2.881440156985425E+37</v>
      </c>
      <c r="H50" s="15">
        <f t="shared" ref="H50:H77" si="9">BulgeMass+DiskMass+HaloMass</f>
        <v>6.1081556206166695E+38</v>
      </c>
      <c r="I50" s="16">
        <v>54.94</v>
      </c>
      <c r="J50" s="45">
        <v>1</v>
      </c>
      <c r="K50" s="19">
        <f t="shared" ref="K50:K77" si="10">SQRT(TotalMass*GravitationalConstant/RadiusKm)/km</f>
        <v>121.1585936067749</v>
      </c>
      <c r="L50" s="16">
        <f t="shared" ref="L50:L77" si="11">(ObservedVelocity-ModelVelocity)^2/(VelocityError)^2</f>
        <v>4384.9021392592103</v>
      </c>
      <c r="M50" s="45"/>
    </row>
    <row r="51" spans="1:29" x14ac:dyDescent="0.25">
      <c r="A51" s="16">
        <v>0.19</v>
      </c>
      <c r="B51" s="45">
        <f t="shared" ref="B51:B77" si="12">A51*1000</f>
        <v>190</v>
      </c>
      <c r="C51" s="16">
        <f t="shared" ref="C51:C77" si="13">B51/LCDMBulgeEffectiveRadius</f>
        <v>6.8840579710144928E-2</v>
      </c>
      <c r="D51" s="15">
        <f t="shared" ref="D51:D77" si="14">A51*kpc</f>
        <v>5.862787402E+18</v>
      </c>
      <c r="E51" s="15">
        <f>FORECAST($C51, OFFSET('De Vaucouleurs Deprojection'!$F$3:$F$126, MATCH($C51, 'De Vaucouleurs Deprojection'!$A$3:$A$126,1)-1,0,2), OFFSET('De Vaucouleurs Deprojection'!$A$3:$A$126, MATCH($C51, 'De Vaucouleurs Deprojection'!$A$3:$A$126,1)-1,0,2))*LCDMTotalBulgeMass</f>
        <v>1.5694802711710148E+39</v>
      </c>
      <c r="F51" s="15">
        <f t="shared" si="7"/>
        <v>1.3010344484646944E+38</v>
      </c>
      <c r="G51" s="15">
        <f t="shared" si="8"/>
        <v>1.2635552944056656E+38</v>
      </c>
      <c r="H51" s="15">
        <f t="shared" si="9"/>
        <v>1.825939245458051E+39</v>
      </c>
      <c r="I51" s="16">
        <v>104.12</v>
      </c>
      <c r="J51" s="45">
        <v>1</v>
      </c>
      <c r="K51" s="19">
        <f t="shared" si="10"/>
        <v>144.17394849010623</v>
      </c>
      <c r="L51" s="16">
        <f t="shared" si="11"/>
        <v>1604.3187896480824</v>
      </c>
      <c r="M51" s="45"/>
    </row>
    <row r="52" spans="1:29" x14ac:dyDescent="0.25">
      <c r="A52" s="16">
        <v>0.3</v>
      </c>
      <c r="B52" s="45">
        <f t="shared" si="12"/>
        <v>300</v>
      </c>
      <c r="C52" s="16">
        <f t="shared" si="13"/>
        <v>0.10869565217391304</v>
      </c>
      <c r="D52" s="15">
        <f t="shared" si="14"/>
        <v>9.25703274E+18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2.8230651139739127E+39</v>
      </c>
      <c r="F52" s="15">
        <f t="shared" si="7"/>
        <v>3.1467892395728342E+38</v>
      </c>
      <c r="G52" s="15">
        <f t="shared" si="8"/>
        <v>3.0951207210352044E+38</v>
      </c>
      <c r="H52" s="15">
        <f t="shared" si="9"/>
        <v>3.4472561100347169E+39</v>
      </c>
      <c r="I52" s="16">
        <v>141.80000000000001</v>
      </c>
      <c r="J52" s="45">
        <v>1</v>
      </c>
      <c r="K52" s="19">
        <f t="shared" si="10"/>
        <v>157.6509453021564</v>
      </c>
      <c r="L52" s="16">
        <f t="shared" si="11"/>
        <v>251.25246697195374</v>
      </c>
      <c r="M52" s="45"/>
    </row>
    <row r="53" spans="1:29" x14ac:dyDescent="0.25">
      <c r="A53" s="16">
        <v>0.42</v>
      </c>
      <c r="B53" s="45">
        <f t="shared" si="12"/>
        <v>420</v>
      </c>
      <c r="C53" s="16">
        <f t="shared" si="13"/>
        <v>0.15217391304347827</v>
      </c>
      <c r="D53" s="15">
        <f t="shared" si="14"/>
        <v>1.2959845836E+19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4.2185138948434777E+39</v>
      </c>
      <c r="F53" s="15">
        <f t="shared" si="7"/>
        <v>5.9680163368901847E+38</v>
      </c>
      <c r="G53" s="15">
        <f t="shared" si="8"/>
        <v>5.9523728836086548E+38</v>
      </c>
      <c r="H53" s="15">
        <f t="shared" si="9"/>
        <v>5.4105528168933619E+39</v>
      </c>
      <c r="I53" s="16">
        <v>164.79</v>
      </c>
      <c r="J53" s="45">
        <v>1</v>
      </c>
      <c r="K53" s="19">
        <f t="shared" si="10"/>
        <v>166.92316349989486</v>
      </c>
      <c r="L53" s="16">
        <f t="shared" si="11"/>
        <v>4.5503865172837008</v>
      </c>
      <c r="M53" s="45"/>
    </row>
    <row r="54" spans="1:29" x14ac:dyDescent="0.25">
      <c r="A54" s="16">
        <v>0.56000000000000005</v>
      </c>
      <c r="B54" s="45">
        <f t="shared" si="12"/>
        <v>560</v>
      </c>
      <c r="C54" s="16">
        <f t="shared" si="13"/>
        <v>0.20289855072463769</v>
      </c>
      <c r="D54" s="15">
        <f t="shared" si="14"/>
        <v>1.7279794448000002E+19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5.8416351770231881E+39</v>
      </c>
      <c r="F54" s="15">
        <f t="shared" si="7"/>
        <v>1.0211968456666426E+39</v>
      </c>
      <c r="G54" s="15">
        <f t="shared" si="8"/>
        <v>1.0353414906211843E+39</v>
      </c>
      <c r="H54" s="15">
        <f t="shared" si="9"/>
        <v>7.8981735133110149E+39</v>
      </c>
      <c r="I54" s="16">
        <v>177.72</v>
      </c>
      <c r="J54" s="45">
        <v>1</v>
      </c>
      <c r="K54" s="19">
        <f t="shared" si="10"/>
        <v>174.65851094577471</v>
      </c>
      <c r="L54" s="16">
        <f t="shared" si="11"/>
        <v>9.3727152291412654</v>
      </c>
      <c r="M54" s="45"/>
    </row>
    <row r="55" spans="1:29" x14ac:dyDescent="0.25">
      <c r="A55" s="16">
        <v>0.7</v>
      </c>
      <c r="B55" s="45">
        <f t="shared" si="12"/>
        <v>700</v>
      </c>
      <c r="C55" s="16">
        <f t="shared" si="13"/>
        <v>0.25362318840579712</v>
      </c>
      <c r="D55" s="15">
        <f t="shared" si="14"/>
        <v>2.1599743059999998E+19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7.3838685834289855E+39</v>
      </c>
      <c r="F55" s="15">
        <f t="shared" si="7"/>
        <v>1.5360878445990716E+39</v>
      </c>
      <c r="G55" s="15">
        <f t="shared" si="8"/>
        <v>1.5832853544366087E+39</v>
      </c>
      <c r="H55" s="15">
        <f t="shared" si="9"/>
        <v>1.0503241782464665E+40</v>
      </c>
      <c r="I55" s="16">
        <v>185.22</v>
      </c>
      <c r="J55" s="45">
        <v>1</v>
      </c>
      <c r="K55" s="19">
        <f t="shared" si="10"/>
        <v>180.14951324532535</v>
      </c>
      <c r="L55" s="16">
        <f t="shared" si="11"/>
        <v>25.709835929331035</v>
      </c>
      <c r="M55" s="45"/>
    </row>
    <row r="56" spans="1:29" x14ac:dyDescent="0.25">
      <c r="A56" s="16">
        <v>0.86</v>
      </c>
      <c r="B56" s="45">
        <f t="shared" si="12"/>
        <v>860</v>
      </c>
      <c r="C56" s="16">
        <f t="shared" si="13"/>
        <v>0.31159420289855072</v>
      </c>
      <c r="D56" s="15">
        <f t="shared" si="14"/>
        <v>2.6536827187999998E+19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9.1172747944202901E+39</v>
      </c>
      <c r="F56" s="15">
        <f t="shared" si="7"/>
        <v>2.2204893362827799E+39</v>
      </c>
      <c r="G56" s="15">
        <f t="shared" si="8"/>
        <v>2.3326313092257953E+39</v>
      </c>
      <c r="H56" s="15">
        <f t="shared" si="9"/>
        <v>1.3670395439928864E+40</v>
      </c>
      <c r="I56" s="16">
        <v>189.42</v>
      </c>
      <c r="J56" s="45">
        <v>1</v>
      </c>
      <c r="K56" s="19">
        <f t="shared" si="10"/>
        <v>185.42220643029461</v>
      </c>
      <c r="L56" s="16">
        <f t="shared" si="11"/>
        <v>15.982353425977681</v>
      </c>
      <c r="M56" s="45"/>
    </row>
    <row r="57" spans="1:29" x14ac:dyDescent="0.25">
      <c r="A57" s="16">
        <v>1.04</v>
      </c>
      <c r="B57" s="45">
        <f t="shared" si="12"/>
        <v>1040</v>
      </c>
      <c r="C57" s="16">
        <f t="shared" si="13"/>
        <v>0.37681159420289856</v>
      </c>
      <c r="D57" s="15">
        <f t="shared" si="14"/>
        <v>3.2091046832E+19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1.093619864115942E+40</v>
      </c>
      <c r="F57" s="15">
        <f t="shared" si="7"/>
        <v>3.0941281554315559E+39</v>
      </c>
      <c r="G57" s="15">
        <f t="shared" si="8"/>
        <v>3.3211732826796547E+39</v>
      </c>
      <c r="H57" s="15">
        <f t="shared" si="9"/>
        <v>1.735150007927063E+40</v>
      </c>
      <c r="I57" s="16">
        <v>191.52</v>
      </c>
      <c r="J57" s="45">
        <v>1</v>
      </c>
      <c r="K57" s="19">
        <f t="shared" si="10"/>
        <v>189.96442402054501</v>
      </c>
      <c r="L57" s="16">
        <f t="shared" si="11"/>
        <v>2.4198166278573825</v>
      </c>
      <c r="M57" s="45"/>
    </row>
    <row r="58" spans="1:29" x14ac:dyDescent="0.25">
      <c r="A58" s="16">
        <v>1.23</v>
      </c>
      <c r="B58" s="45">
        <f t="shared" si="12"/>
        <v>1230</v>
      </c>
      <c r="C58" s="16">
        <f t="shared" si="13"/>
        <v>0.44565217391304346</v>
      </c>
      <c r="D58" s="15">
        <f t="shared" si="14"/>
        <v>3.7953834233999999E+19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1.2743727827652174E+40</v>
      </c>
      <c r="F58" s="15">
        <f t="shared" si="7"/>
        <v>4.1142563312948949E+39</v>
      </c>
      <c r="G58" s="15">
        <f t="shared" si="8"/>
        <v>4.5184604583420209E+39</v>
      </c>
      <c r="H58" s="15">
        <f t="shared" si="9"/>
        <v>2.1376444617289089E+40</v>
      </c>
      <c r="I58" s="16">
        <v>193.03</v>
      </c>
      <c r="J58" s="45">
        <v>1</v>
      </c>
      <c r="K58" s="19">
        <f t="shared" si="10"/>
        <v>193.88116148963312</v>
      </c>
      <c r="L58" s="16">
        <f t="shared" si="11"/>
        <v>0.7244758814344614</v>
      </c>
      <c r="M58" s="45"/>
    </row>
    <row r="59" spans="1:29" x14ac:dyDescent="0.25">
      <c r="A59" s="16">
        <v>1.45</v>
      </c>
      <c r="B59" s="45">
        <f t="shared" si="12"/>
        <v>1450</v>
      </c>
      <c r="C59" s="16">
        <f t="shared" si="13"/>
        <v>0.52536231884057971</v>
      </c>
      <c r="D59" s="15">
        <f t="shared" si="14"/>
        <v>4.4742324909999997E+19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1.4714051011927536E+40</v>
      </c>
      <c r="F59" s="15">
        <f t="shared" si="7"/>
        <v>5.3945521195304169E+39</v>
      </c>
      <c r="G59" s="15">
        <f t="shared" si="8"/>
        <v>6.0848201332441978E+39</v>
      </c>
      <c r="H59" s="15">
        <f t="shared" si="9"/>
        <v>2.6193423264702152E+40</v>
      </c>
      <c r="I59" s="16">
        <v>193.47</v>
      </c>
      <c r="J59" s="45">
        <v>1</v>
      </c>
      <c r="K59" s="19">
        <f t="shared" si="10"/>
        <v>197.66626714256296</v>
      </c>
      <c r="L59" s="16">
        <f t="shared" si="11"/>
        <v>17.608657931753505</v>
      </c>
      <c r="M59" s="45"/>
    </row>
    <row r="60" spans="1:29" x14ac:dyDescent="0.25">
      <c r="A60" s="16">
        <v>1.68</v>
      </c>
      <c r="B60" s="45">
        <f t="shared" si="12"/>
        <v>1680</v>
      </c>
      <c r="C60" s="16">
        <f t="shared" si="13"/>
        <v>0.60869565217391308</v>
      </c>
      <c r="D60" s="15">
        <f t="shared" si="14"/>
        <v>5.1839383344E+19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1.6630168050173919E+40</v>
      </c>
      <c r="F60" s="15">
        <f t="shared" si="7"/>
        <v>6.8180572413461713E+39</v>
      </c>
      <c r="G60" s="15">
        <f t="shared" si="8"/>
        <v>7.9094416829533571E+39</v>
      </c>
      <c r="H60" s="15">
        <f t="shared" si="9"/>
        <v>3.1357666974473447E+40</v>
      </c>
      <c r="I60" s="16">
        <v>193.5</v>
      </c>
      <c r="J60" s="45">
        <v>1</v>
      </c>
      <c r="K60" s="19">
        <f t="shared" si="10"/>
        <v>200.92670505836116</v>
      </c>
      <c r="L60" s="16">
        <f t="shared" si="11"/>
        <v>55.155948023887312</v>
      </c>
      <c r="M60" s="45"/>
    </row>
    <row r="61" spans="1:29" x14ac:dyDescent="0.25">
      <c r="A61" s="16">
        <v>1.94</v>
      </c>
      <c r="B61" s="45">
        <f t="shared" si="12"/>
        <v>1940</v>
      </c>
      <c r="C61" s="16">
        <f t="shared" si="13"/>
        <v>0.70289855072463769</v>
      </c>
      <c r="D61" s="15">
        <f t="shared" si="14"/>
        <v>5.9862145052000002E+19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1.8623706914202898E+40</v>
      </c>
      <c r="F61" s="15">
        <f t="shared" si="7"/>
        <v>8.4985135111545238E+39</v>
      </c>
      <c r="G61" s="15">
        <f t="shared" si="8"/>
        <v>1.0178431499947599E+40</v>
      </c>
      <c r="H61" s="15">
        <f t="shared" si="9"/>
        <v>3.7300651925305023E+40</v>
      </c>
      <c r="I61" s="16">
        <v>193.62</v>
      </c>
      <c r="J61" s="45">
        <v>1</v>
      </c>
      <c r="K61" s="19">
        <f t="shared" si="10"/>
        <v>203.92843094453184</v>
      </c>
      <c r="L61" s="16">
        <f t="shared" si="11"/>
        <v>106.2637485381815</v>
      </c>
      <c r="M61" s="45"/>
    </row>
    <row r="62" spans="1:29" x14ac:dyDescent="0.25">
      <c r="A62" s="16">
        <v>2.23</v>
      </c>
      <c r="B62" s="45">
        <f t="shared" si="12"/>
        <v>2230</v>
      </c>
      <c r="C62" s="16">
        <f t="shared" si="13"/>
        <v>0.80797101449275366</v>
      </c>
      <c r="D62" s="15">
        <f t="shared" si="14"/>
        <v>6.8810610034000003E+19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2.0656362150420286E+40</v>
      </c>
      <c r="F62" s="15">
        <f t="shared" si="7"/>
        <v>1.0423923361902394E+40</v>
      </c>
      <c r="G62" s="15">
        <f t="shared" si="8"/>
        <v>1.2938433114338423E+40</v>
      </c>
      <c r="H62" s="15">
        <f t="shared" si="9"/>
        <v>4.4018718626661098E+40</v>
      </c>
      <c r="I62" s="16">
        <v>194.07</v>
      </c>
      <c r="J62" s="45">
        <v>1</v>
      </c>
      <c r="K62" s="19">
        <f t="shared" si="10"/>
        <v>206.62682294579241</v>
      </c>
      <c r="L62" s="16">
        <f t="shared" si="11"/>
        <v>157.67380249197899</v>
      </c>
      <c r="M62" s="45"/>
    </row>
    <row r="63" spans="1:29" x14ac:dyDescent="0.25">
      <c r="A63" s="16">
        <v>2.54</v>
      </c>
      <c r="B63" s="45">
        <f t="shared" si="12"/>
        <v>2540</v>
      </c>
      <c r="C63" s="16">
        <f t="shared" si="13"/>
        <v>0.92028985507246375</v>
      </c>
      <c r="D63" s="15">
        <f t="shared" si="14"/>
        <v>7.8376210532000006E+19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2.2640880590086962E+40</v>
      </c>
      <c r="F63" s="15">
        <f t="shared" si="7"/>
        <v>1.2501804721967669E+40</v>
      </c>
      <c r="G63" s="15">
        <f t="shared" si="8"/>
        <v>1.6123040803584795E+40</v>
      </c>
      <c r="H63" s="15">
        <f t="shared" si="9"/>
        <v>5.1265726115639425E+40</v>
      </c>
      <c r="I63" s="16">
        <v>194.64</v>
      </c>
      <c r="J63" s="45">
        <v>1</v>
      </c>
      <c r="K63" s="19">
        <f t="shared" si="10"/>
        <v>208.9378539880052</v>
      </c>
      <c r="L63" s="16">
        <f t="shared" si="11"/>
        <v>204.42862866231664</v>
      </c>
      <c r="M63" s="45"/>
    </row>
    <row r="64" spans="1:29" x14ac:dyDescent="0.25">
      <c r="A64" s="16">
        <v>2.89</v>
      </c>
      <c r="B64" s="45">
        <f t="shared" si="12"/>
        <v>2890</v>
      </c>
      <c r="C64" s="16">
        <f t="shared" si="13"/>
        <v>1.0471014492753623</v>
      </c>
      <c r="D64" s="15">
        <f t="shared" si="14"/>
        <v>8.9176082061999997E+19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2.4680946953456517E+40</v>
      </c>
      <c r="F64" s="15">
        <f t="shared" si="7"/>
        <v>1.4829376890770225E+40</v>
      </c>
      <c r="G64" s="15">
        <f t="shared" si="8"/>
        <v>1.9970043908977595E+40</v>
      </c>
      <c r="H64" s="15">
        <f t="shared" si="9"/>
        <v>5.948036775320434E+40</v>
      </c>
      <c r="I64" s="16">
        <v>195.59</v>
      </c>
      <c r="J64" s="45">
        <v>1</v>
      </c>
      <c r="K64" s="19">
        <f t="shared" si="10"/>
        <v>210.98828045297057</v>
      </c>
      <c r="L64" s="16">
        <f t="shared" si="11"/>
        <v>237.10704090833548</v>
      </c>
      <c r="M64" s="45"/>
    </row>
    <row r="65" spans="1:13" x14ac:dyDescent="0.25">
      <c r="A65" s="16">
        <v>3.27</v>
      </c>
      <c r="B65" s="45">
        <f t="shared" si="12"/>
        <v>3270</v>
      </c>
      <c r="C65" s="16">
        <f t="shared" si="13"/>
        <v>1.1847826086956521</v>
      </c>
      <c r="D65" s="15">
        <f t="shared" si="14"/>
        <v>1.0090165686599999E+20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2.6697112118260869E+40</v>
      </c>
      <c r="F65" s="15">
        <f t="shared" si="7"/>
        <v>1.7291970978733062E+40</v>
      </c>
      <c r="G65" s="15">
        <f t="shared" si="8"/>
        <v>2.4404073367907951E+40</v>
      </c>
      <c r="H65" s="15">
        <f t="shared" si="9"/>
        <v>6.8393156464901878E+40</v>
      </c>
      <c r="I65" s="16">
        <v>196.7</v>
      </c>
      <c r="J65" s="45">
        <v>1</v>
      </c>
      <c r="K65" s="19">
        <f t="shared" si="10"/>
        <v>212.69284430521441</v>
      </c>
      <c r="L65" s="16">
        <f t="shared" si="11"/>
        <v>255.77106897082928</v>
      </c>
      <c r="M65" s="45"/>
    </row>
    <row r="66" spans="1:13" x14ac:dyDescent="0.25">
      <c r="A66" s="16">
        <v>3.69</v>
      </c>
      <c r="B66" s="45">
        <f t="shared" si="12"/>
        <v>3690</v>
      </c>
      <c r="C66" s="16">
        <f t="shared" si="13"/>
        <v>1.3369565217391304</v>
      </c>
      <c r="D66" s="15">
        <f t="shared" si="14"/>
        <v>1.13861502702E+20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2.8694053496391299E+40</v>
      </c>
      <c r="F66" s="15">
        <f t="shared" si="7"/>
        <v>1.9895411863049455E+40</v>
      </c>
      <c r="G66" s="15">
        <f t="shared" si="8"/>
        <v>2.9565423974625598E+40</v>
      </c>
      <c r="H66" s="15">
        <f t="shared" si="9"/>
        <v>7.8154889334066344E+40</v>
      </c>
      <c r="I66" s="16">
        <v>198.6</v>
      </c>
      <c r="J66" s="45">
        <v>1</v>
      </c>
      <c r="K66" s="19">
        <f t="shared" si="10"/>
        <v>214.03526006047198</v>
      </c>
      <c r="L66" s="16">
        <f t="shared" si="11"/>
        <v>238.24725313440177</v>
      </c>
      <c r="M66" s="45"/>
    </row>
    <row r="67" spans="1:13" x14ac:dyDescent="0.25">
      <c r="A67" s="16">
        <v>4.1500000000000004</v>
      </c>
      <c r="B67" s="45">
        <f t="shared" si="12"/>
        <v>4150</v>
      </c>
      <c r="C67" s="16">
        <f t="shared" si="13"/>
        <v>1.5036231884057971</v>
      </c>
      <c r="D67" s="15">
        <f t="shared" si="14"/>
        <v>1.2805561957E+20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3.0667072775992757E+40</v>
      </c>
      <c r="F67" s="15">
        <f t="shared" si="7"/>
        <v>2.2569670204523536E+40</v>
      </c>
      <c r="G67" s="15">
        <f t="shared" si="8"/>
        <v>3.5475524657571506E+40</v>
      </c>
      <c r="H67" s="15">
        <f t="shared" si="9"/>
        <v>8.87122676380878E+40</v>
      </c>
      <c r="I67" s="16">
        <v>202.53</v>
      </c>
      <c r="J67" s="45">
        <v>1</v>
      </c>
      <c r="K67" s="19">
        <f t="shared" si="10"/>
        <v>215.02463718014627</v>
      </c>
      <c r="L67" s="16">
        <f t="shared" si="11"/>
        <v>156.11595826349355</v>
      </c>
      <c r="M67" s="45"/>
    </row>
    <row r="68" spans="1:13" x14ac:dyDescent="0.25">
      <c r="A68" s="16">
        <v>4.6500000000000004</v>
      </c>
      <c r="B68" s="45">
        <f t="shared" si="12"/>
        <v>4650</v>
      </c>
      <c r="C68" s="16">
        <f t="shared" si="13"/>
        <v>1.6847826086956521</v>
      </c>
      <c r="D68" s="15">
        <f t="shared" si="14"/>
        <v>1.4348400747000001E+20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3.2572292573130441E+40</v>
      </c>
      <c r="F68" s="15">
        <f t="shared" si="7"/>
        <v>2.5241452303403966E+40</v>
      </c>
      <c r="G68" s="15">
        <f t="shared" si="8"/>
        <v>4.2143182745314971E+40</v>
      </c>
      <c r="H68" s="15">
        <f t="shared" si="9"/>
        <v>9.9956927621849373E+40</v>
      </c>
      <c r="I68" s="16">
        <v>207.77</v>
      </c>
      <c r="J68" s="45">
        <v>1</v>
      </c>
      <c r="K68" s="19">
        <f t="shared" si="10"/>
        <v>215.62564149699841</v>
      </c>
      <c r="L68" s="16">
        <f t="shared" si="11"/>
        <v>61.71110332936329</v>
      </c>
      <c r="M68" s="45"/>
    </row>
    <row r="69" spans="1:13" x14ac:dyDescent="0.25">
      <c r="A69" s="16">
        <v>5.21</v>
      </c>
      <c r="B69" s="45">
        <f t="shared" si="12"/>
        <v>5210</v>
      </c>
      <c r="C69" s="16">
        <f t="shared" si="13"/>
        <v>1.8876811594202898</v>
      </c>
      <c r="D69" s="15">
        <f t="shared" si="14"/>
        <v>1.6076380191800001E+20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3.4472304099297107E+40</v>
      </c>
      <c r="F69" s="15">
        <f t="shared" si="7"/>
        <v>2.7930533126487353E+40</v>
      </c>
      <c r="G69" s="15">
        <f t="shared" si="8"/>
        <v>4.984368842142469E+40</v>
      </c>
      <c r="H69" s="15">
        <f t="shared" si="9"/>
        <v>1.1224652564720914E+41</v>
      </c>
      <c r="I69" s="16">
        <v>214.09</v>
      </c>
      <c r="J69" s="45">
        <v>1</v>
      </c>
      <c r="K69" s="19">
        <f t="shared" si="10"/>
        <v>215.86787855089563</v>
      </c>
      <c r="L69" s="16">
        <f t="shared" si="11"/>
        <v>3.1608521417347162</v>
      </c>
      <c r="M69" s="45"/>
    </row>
    <row r="70" spans="1:13" x14ac:dyDescent="0.25">
      <c r="A70" s="16">
        <v>5.82</v>
      </c>
      <c r="B70" s="45">
        <f t="shared" si="12"/>
        <v>5820</v>
      </c>
      <c r="C70" s="16">
        <f t="shared" si="13"/>
        <v>2.1086956521739131</v>
      </c>
      <c r="D70" s="15">
        <f t="shared" si="14"/>
        <v>1.7958643515600001E+20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3.6301882747565208E+40</v>
      </c>
      <c r="F70" s="15">
        <f t="shared" si="7"/>
        <v>3.0499215866698493E+40</v>
      </c>
      <c r="G70" s="15">
        <f t="shared" si="8"/>
        <v>5.8438280215038664E+40</v>
      </c>
      <c r="H70" s="15">
        <f t="shared" si="9"/>
        <v>1.2523937882930235E+41</v>
      </c>
      <c r="I70" s="16">
        <v>219.75</v>
      </c>
      <c r="J70" s="45">
        <v>1</v>
      </c>
      <c r="K70" s="19">
        <f t="shared" si="10"/>
        <v>215.73936279403915</v>
      </c>
      <c r="L70" s="16">
        <f t="shared" si="11"/>
        <v>16.085210797837433</v>
      </c>
      <c r="M70" s="45"/>
    </row>
    <row r="71" spans="1:13" x14ac:dyDescent="0.25">
      <c r="A71" s="16">
        <v>6.49</v>
      </c>
      <c r="B71" s="45">
        <f t="shared" si="12"/>
        <v>6490</v>
      </c>
      <c r="C71" s="16">
        <f t="shared" si="13"/>
        <v>2.3514492753623188</v>
      </c>
      <c r="D71" s="15">
        <f t="shared" si="14"/>
        <v>2.0026047494200001E+20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3.8065977629355071E+40</v>
      </c>
      <c r="F71" s="15">
        <f t="shared" si="7"/>
        <v>3.2911813340075558E+40</v>
      </c>
      <c r="G71" s="15">
        <f t="shared" si="8"/>
        <v>6.804917629254212E+40</v>
      </c>
      <c r="H71" s="15">
        <f t="shared" si="9"/>
        <v>1.3902696726197276E+41</v>
      </c>
      <c r="I71" s="16">
        <v>224.71</v>
      </c>
      <c r="J71" s="45">
        <v>1</v>
      </c>
      <c r="K71" s="19">
        <f t="shared" si="10"/>
        <v>215.25220437802679</v>
      </c>
      <c r="L71" s="16">
        <f t="shared" si="11"/>
        <v>89.449898027015777</v>
      </c>
      <c r="M71" s="45"/>
    </row>
    <row r="72" spans="1:13" x14ac:dyDescent="0.25">
      <c r="A72" s="16">
        <v>7.23</v>
      </c>
      <c r="B72" s="45">
        <f t="shared" si="12"/>
        <v>7230</v>
      </c>
      <c r="C72" s="16">
        <f t="shared" si="13"/>
        <v>2.6195652173913042</v>
      </c>
      <c r="D72" s="15">
        <f t="shared" si="14"/>
        <v>2.2309448903400001E+20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3.977580784521738E+40</v>
      </c>
      <c r="F72" s="15">
        <f t="shared" si="7"/>
        <v>3.5126792964397405E+40</v>
      </c>
      <c r="G72" s="15">
        <f t="shared" si="8"/>
        <v>7.8791494684039218E+40</v>
      </c>
      <c r="H72" s="15">
        <f t="shared" si="9"/>
        <v>1.5369409549365401E+41</v>
      </c>
      <c r="I72" s="16">
        <v>230.95</v>
      </c>
      <c r="J72" s="45">
        <v>1</v>
      </c>
      <c r="K72" s="19">
        <f t="shared" si="10"/>
        <v>214.42720000718148</v>
      </c>
      <c r="L72" s="16">
        <f t="shared" si="11"/>
        <v>273.00291960268322</v>
      </c>
      <c r="M72" s="45"/>
    </row>
    <row r="73" spans="1:13" x14ac:dyDescent="0.25">
      <c r="A73" s="16">
        <v>8.0500000000000007</v>
      </c>
      <c r="B73" s="45">
        <f t="shared" si="12"/>
        <v>8050.0000000000009</v>
      </c>
      <c r="C73" s="16">
        <f t="shared" si="13"/>
        <v>2.916666666666667</v>
      </c>
      <c r="D73" s="15">
        <f t="shared" si="14"/>
        <v>2.4839704519000002E+20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4.142271245016666E+40</v>
      </c>
      <c r="F73" s="15">
        <f t="shared" si="7"/>
        <v>3.7103051079520938E+40</v>
      </c>
      <c r="G73" s="15">
        <f t="shared" si="8"/>
        <v>9.0767545617762979E+40</v>
      </c>
      <c r="H73" s="15">
        <f t="shared" si="9"/>
        <v>1.6929330914745057E+41</v>
      </c>
      <c r="I73" s="16">
        <v>235.63</v>
      </c>
      <c r="J73" s="45">
        <v>1</v>
      </c>
      <c r="K73" s="19">
        <f t="shared" si="10"/>
        <v>213.27619717032175</v>
      </c>
      <c r="L73" s="16">
        <f t="shared" si="11"/>
        <v>499.69250094813106</v>
      </c>
      <c r="M73" s="45"/>
    </row>
    <row r="74" spans="1:13" x14ac:dyDescent="0.25">
      <c r="A74" s="16">
        <v>8.94</v>
      </c>
      <c r="B74" s="45">
        <f t="shared" si="12"/>
        <v>8940</v>
      </c>
      <c r="C74" s="16">
        <f t="shared" si="13"/>
        <v>3.2391304347826089</v>
      </c>
      <c r="D74" s="15">
        <f t="shared" si="14"/>
        <v>2.7585957565199997E+20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4.2968686950086962E+40</v>
      </c>
      <c r="F74" s="15">
        <f t="shared" si="7"/>
        <v>3.8774407890268873E+40</v>
      </c>
      <c r="G74" s="15">
        <f t="shared" si="8"/>
        <v>1.037701515713884E+41</v>
      </c>
      <c r="H74" s="15">
        <f t="shared" si="9"/>
        <v>1.8551324641174424E+41</v>
      </c>
      <c r="I74" s="16">
        <v>233.61</v>
      </c>
      <c r="J74" s="45">
        <v>1</v>
      </c>
      <c r="K74" s="19">
        <f t="shared" si="10"/>
        <v>211.85520323287975</v>
      </c>
      <c r="L74" s="16">
        <f t="shared" si="11"/>
        <v>473.2711823787065</v>
      </c>
      <c r="M74" s="45"/>
    </row>
    <row r="75" spans="1:13" x14ac:dyDescent="0.25">
      <c r="A75" s="16">
        <v>9.93</v>
      </c>
      <c r="B75" s="45">
        <f t="shared" si="12"/>
        <v>9930</v>
      </c>
      <c r="C75" s="16">
        <f t="shared" si="13"/>
        <v>3.597826086956522</v>
      </c>
      <c r="D75" s="15">
        <f t="shared" si="14"/>
        <v>3.06407783694E+20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4.4451388899695652E+40</v>
      </c>
      <c r="F75" s="15">
        <f t="shared" si="7"/>
        <v>4.0171495376383429E+40</v>
      </c>
      <c r="G75" s="15">
        <f t="shared" si="8"/>
        <v>1.1815842812842144E+41</v>
      </c>
      <c r="H75" s="15">
        <f t="shared" si="9"/>
        <v>2.0278131240450055E+41</v>
      </c>
      <c r="I75" s="16">
        <v>224.23</v>
      </c>
      <c r="J75" s="45">
        <v>1</v>
      </c>
      <c r="K75" s="19">
        <f t="shared" si="10"/>
        <v>210.16469992504614</v>
      </c>
      <c r="L75" s="16">
        <f t="shared" si="11"/>
        <v>197.83266619849687</v>
      </c>
      <c r="M75" s="45"/>
    </row>
    <row r="76" spans="1:13" x14ac:dyDescent="0.25">
      <c r="A76" s="16">
        <v>11.01</v>
      </c>
      <c r="B76" s="45">
        <f t="shared" si="12"/>
        <v>11010</v>
      </c>
      <c r="C76" s="16">
        <f t="shared" si="13"/>
        <v>3.9891304347826089</v>
      </c>
      <c r="D76" s="15">
        <f t="shared" si="14"/>
        <v>3.3973310155799999E+20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4.5833093864391307E+40</v>
      </c>
      <c r="F76" s="15">
        <f t="shared" si="7"/>
        <v>4.1271509450473737E+40</v>
      </c>
      <c r="G76" s="15">
        <f t="shared" si="8"/>
        <v>1.3368964830819355E+41</v>
      </c>
      <c r="H76" s="15">
        <f t="shared" si="9"/>
        <v>2.2079425162305859E+41</v>
      </c>
      <c r="I76" s="16">
        <v>211.16</v>
      </c>
      <c r="J76" s="45">
        <v>1</v>
      </c>
      <c r="K76" s="19">
        <f t="shared" si="10"/>
        <v>208.26709206834155</v>
      </c>
      <c r="L76" s="16">
        <f t="shared" si="11"/>
        <v>8.3689163010523249</v>
      </c>
      <c r="M76" s="45"/>
    </row>
    <row r="77" spans="1:13" x14ac:dyDescent="0.25">
      <c r="A77" s="16">
        <v>12.2</v>
      </c>
      <c r="B77" s="45">
        <f t="shared" si="12"/>
        <v>12200</v>
      </c>
      <c r="C77" s="16">
        <f t="shared" si="13"/>
        <v>4.4202898550724639</v>
      </c>
      <c r="D77" s="15">
        <f t="shared" si="14"/>
        <v>3.7645266475999999E+20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4.7129117337623186E+40</v>
      </c>
      <c r="F77" s="15">
        <f t="shared" si="7"/>
        <v>4.2109921293771199E+40</v>
      </c>
      <c r="G77" s="15">
        <f t="shared" si="8"/>
        <v>1.505362733331561E+41</v>
      </c>
      <c r="H77" s="15">
        <f t="shared" si="9"/>
        <v>2.3977531196455049E+41</v>
      </c>
      <c r="I77" s="16">
        <v>200.75</v>
      </c>
      <c r="J77" s="45">
        <v>1</v>
      </c>
      <c r="K77" s="19">
        <f t="shared" si="10"/>
        <v>206.17820226976178</v>
      </c>
      <c r="L77" s="16">
        <f t="shared" si="11"/>
        <v>29.465379881446978</v>
      </c>
      <c r="M77" s="45"/>
    </row>
    <row r="78" spans="1:13" x14ac:dyDescent="0.25">
      <c r="H78" s="15"/>
      <c r="K78" s="45"/>
      <c r="L78" s="16">
        <f>SUM(L50:L77)/(COUNT(L50:L77)-6)</f>
        <v>426.34753254645091</v>
      </c>
      <c r="M78" s="45"/>
    </row>
    <row r="79" spans="1:13" x14ac:dyDescent="0.25">
      <c r="H79" s="15"/>
      <c r="K79" s="45"/>
      <c r="L79" s="17"/>
      <c r="M79" s="45"/>
    </row>
    <row r="80" spans="1:13" x14ac:dyDescent="0.25">
      <c r="I80" s="45"/>
      <c r="J80" s="45"/>
      <c r="L80" s="16"/>
    </row>
    <row r="81" spans="1:29" x14ac:dyDescent="0.25">
      <c r="I81" s="45"/>
      <c r="J81" s="45"/>
      <c r="L81" s="16"/>
    </row>
    <row r="82" spans="1:29" x14ac:dyDescent="0.25">
      <c r="I82" s="45"/>
      <c r="J82" s="45"/>
      <c r="L82" s="16"/>
    </row>
    <row r="83" spans="1:29" x14ac:dyDescent="0.25">
      <c r="I83" s="45"/>
      <c r="J83" s="45"/>
      <c r="L83" s="16"/>
    </row>
    <row r="84" spans="1:29" x14ac:dyDescent="0.25">
      <c r="I84" s="45"/>
      <c r="J84" s="45"/>
      <c r="L84" s="16"/>
    </row>
    <row r="85" spans="1:29" x14ac:dyDescent="0.25">
      <c r="I85" s="45"/>
      <c r="J85" s="45"/>
      <c r="L85" s="16"/>
    </row>
    <row r="86" spans="1:29" x14ac:dyDescent="0.25">
      <c r="I86" s="45"/>
      <c r="J86" s="45"/>
      <c r="L86" s="16"/>
    </row>
    <row r="87" spans="1:29" s="17" customFormat="1" x14ac:dyDescent="0.25">
      <c r="A87" s="16"/>
      <c r="B87" s="45"/>
      <c r="C87" s="16"/>
      <c r="D87" s="15"/>
      <c r="E87" s="15"/>
      <c r="F87" s="15"/>
      <c r="G87" s="15"/>
      <c r="H87" s="18"/>
      <c r="I87" s="45"/>
      <c r="J87" s="45"/>
      <c r="K87" s="19"/>
      <c r="L87" s="16"/>
      <c r="N87" s="45"/>
      <c r="O87" s="45"/>
      <c r="P87" s="45"/>
      <c r="Q87" s="45"/>
      <c r="R87" s="45"/>
      <c r="S87" s="45"/>
      <c r="T87" s="45"/>
      <c r="U87" s="45"/>
      <c r="V87" s="16"/>
      <c r="W87" s="16"/>
      <c r="X87" s="45"/>
      <c r="Y87" s="45"/>
      <c r="Z87" s="45"/>
      <c r="AA87" s="45"/>
      <c r="AB87" s="45"/>
      <c r="AC87" s="45"/>
    </row>
    <row r="88" spans="1:29" s="17" customFormat="1" x14ac:dyDescent="0.25">
      <c r="A88" s="16"/>
      <c r="B88" s="45"/>
      <c r="C88" s="16"/>
      <c r="D88" s="15"/>
      <c r="E88" s="15"/>
      <c r="F88" s="15"/>
      <c r="G88" s="15"/>
      <c r="H88" s="18"/>
      <c r="I88" s="45"/>
      <c r="J88" s="45"/>
      <c r="K88" s="19"/>
      <c r="L88" s="16"/>
      <c r="N88" s="45"/>
      <c r="O88" s="45"/>
      <c r="P88" s="45"/>
      <c r="Q88" s="45"/>
      <c r="R88" s="45"/>
      <c r="S88" s="45"/>
      <c r="T88" s="45"/>
      <c r="U88" s="45"/>
      <c r="V88" s="16"/>
      <c r="W88" s="16"/>
      <c r="X88" s="45"/>
      <c r="Y88" s="45"/>
      <c r="Z88" s="45"/>
      <c r="AA88" s="45"/>
      <c r="AB88" s="45"/>
      <c r="AC88" s="45"/>
    </row>
    <row r="89" spans="1:29" s="17" customFormat="1" x14ac:dyDescent="0.25">
      <c r="A89" s="16"/>
      <c r="B89" s="45"/>
      <c r="C89" s="16"/>
      <c r="D89" s="15"/>
      <c r="E89" s="15"/>
      <c r="F89" s="15"/>
      <c r="G89" s="15"/>
      <c r="H89" s="18"/>
      <c r="I89" s="45"/>
      <c r="J89" s="45"/>
      <c r="K89" s="19"/>
      <c r="L89" s="16"/>
      <c r="N89" s="45"/>
      <c r="O89" s="45"/>
      <c r="P89" s="45"/>
      <c r="Q89" s="45"/>
      <c r="R89" s="45"/>
      <c r="S89" s="45"/>
      <c r="T89" s="45"/>
      <c r="U89" s="45"/>
      <c r="V89" s="16"/>
      <c r="W89" s="16"/>
      <c r="X89" s="45"/>
      <c r="Y89" s="45"/>
      <c r="Z89" s="45"/>
      <c r="AA89" s="45"/>
      <c r="AB89" s="45"/>
      <c r="AC89" s="45"/>
    </row>
    <row r="90" spans="1:29" s="17" customFormat="1" x14ac:dyDescent="0.25">
      <c r="A90" s="16"/>
      <c r="B90" s="45"/>
      <c r="C90" s="16"/>
      <c r="D90" s="15"/>
      <c r="E90" s="15"/>
      <c r="F90" s="15"/>
      <c r="G90" s="15"/>
      <c r="H90" s="18"/>
      <c r="I90" s="45"/>
      <c r="J90" s="45"/>
      <c r="K90" s="19"/>
      <c r="L90" s="16"/>
      <c r="N90" s="45"/>
      <c r="O90" s="45"/>
      <c r="P90" s="45"/>
      <c r="Q90" s="45"/>
      <c r="R90" s="45"/>
      <c r="S90" s="45"/>
      <c r="T90" s="45"/>
      <c r="U90" s="45"/>
      <c r="V90" s="16"/>
      <c r="W90" s="16"/>
      <c r="X90" s="45"/>
      <c r="Y90" s="45"/>
      <c r="Z90" s="45"/>
      <c r="AA90" s="45"/>
      <c r="AB90" s="45"/>
      <c r="AC90" s="45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15"/>
      <c r="J127" s="1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15"/>
      <c r="J128" s="1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15"/>
      <c r="J129" s="1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15"/>
      <c r="J130" s="1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x14ac:dyDescent="0.25">
      <c r="L535" s="16"/>
    </row>
    <row r="536" spans="1:29" x14ac:dyDescent="0.25">
      <c r="L536" s="16"/>
      <c r="N536" s="17"/>
      <c r="O536" s="38"/>
    </row>
    <row r="537" spans="1:29" x14ac:dyDescent="0.25">
      <c r="L537" s="16"/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C553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1722.60302206642</v>
      </c>
      <c r="E2" s="55"/>
      <c r="F2" s="53" t="s">
        <v>620</v>
      </c>
      <c r="G2" s="53">
        <v>34355666128</v>
      </c>
      <c r="H2" s="62"/>
      <c r="K2" s="51" t="s">
        <v>1</v>
      </c>
      <c r="L2" s="60" t="s">
        <v>589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4.1299350847548898E+40</v>
      </c>
      <c r="E3" s="53"/>
      <c r="F3" s="53" t="s">
        <v>621</v>
      </c>
      <c r="G3" s="53">
        <f>H43/SolarMass</f>
        <v>175659514421.78531</v>
      </c>
      <c r="H3" s="62"/>
      <c r="K3" s="51" t="s">
        <v>562</v>
      </c>
      <c r="L3" s="57">
        <v>2.225E-3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4991.3037961506598</v>
      </c>
      <c r="E4" s="55"/>
      <c r="F4" s="53" t="s">
        <v>622</v>
      </c>
      <c r="G4" s="52">
        <f>G3/G2</f>
        <v>5.1129707037938097</v>
      </c>
      <c r="H4" s="62"/>
      <c r="K4" s="61" t="s">
        <v>614</v>
      </c>
      <c r="L4" s="52">
        <f>QEHModelChiSquare</f>
        <v>113.89043986352115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1021.1491647882</v>
      </c>
      <c r="F5" s="53"/>
      <c r="G5" s="52"/>
      <c r="H5" s="62"/>
      <c r="K5" s="61" t="s">
        <v>615</v>
      </c>
      <c r="L5" s="52">
        <f>LCDMModelChiSquare</f>
        <v>402.50128636891884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3" si="0">RadiusKpc*1000</f>
        <v>90</v>
      </c>
      <c r="C8" s="16">
        <f t="shared" ref="C8:C43" si="1">IF(QESBulgeEffectiveRadius=0,0,RadiusPc/QESBulgeEffectiveRadius)</f>
        <v>5.2246512311372104E-2</v>
      </c>
      <c r="D8" s="15">
        <f t="shared" ref="D8:D43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7.72824393719756E+38</v>
      </c>
      <c r="F8" s="15">
        <f t="shared" ref="F8:F43" si="3">2*PI()*QESDiskSurfaceDensity*QESDiskScaleLength*(QESDiskScaleLength-EXP(-RadiusPc/QESDiskScaleLength)*(RadiusPc+QESDiskScaleLength))*SolarMass</f>
        <v>5.106978237230921E+37</v>
      </c>
      <c r="H8" s="18">
        <f t="shared" ref="H8:H43" si="4">BulgeMass+DiskMass+HaloMass</f>
        <v>8.2389417609206515E+38</v>
      </c>
      <c r="I8" s="16">
        <v>122.27</v>
      </c>
      <c r="J8" s="45">
        <v>1</v>
      </c>
      <c r="K8" s="19">
        <f t="shared" ref="K8:K43" si="5">SQRT(TotalMass*GravitationalConstant/RadiusKm+UniverseAcceleration*RadiusKm)/km</f>
        <v>141.07260573183831</v>
      </c>
      <c r="L8" s="16">
        <f t="shared" ref="L8:L43" si="6">(ObservedVelocity-ModelVelocity)^2/(VelocityError)^2</f>
        <v>353.53798230695895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0.1102981926573411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2.058025715985319E+39</v>
      </c>
      <c r="F9" s="15">
        <f t="shared" si="3"/>
        <v>2.2459448778885412E+38</v>
      </c>
      <c r="H9" s="18">
        <f t="shared" si="4"/>
        <v>2.282620203774173E+39</v>
      </c>
      <c r="I9" s="16">
        <v>162.94999999999999</v>
      </c>
      <c r="J9" s="45">
        <v>1</v>
      </c>
      <c r="K9" s="19">
        <f t="shared" si="5"/>
        <v>161.86008009390602</v>
      </c>
      <c r="L9" s="16">
        <f t="shared" si="6"/>
        <v>1.1879254016998839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0.17415504103790702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3.5253896047594095E+39</v>
      </c>
      <c r="F10" s="15">
        <f t="shared" si="3"/>
        <v>5.5179763816602223E+38</v>
      </c>
      <c r="H10" s="18">
        <f t="shared" si="4"/>
        <v>4.0771872429254315E+39</v>
      </c>
      <c r="I10" s="16">
        <v>179.95</v>
      </c>
      <c r="J10" s="45">
        <v>1</v>
      </c>
      <c r="K10" s="19">
        <f t="shared" si="5"/>
        <v>172.4326788712213</v>
      </c>
      <c r="L10" s="16">
        <f t="shared" si="6"/>
        <v>56.510116953182518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0.24381705745306981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5.073092268728561E+39</v>
      </c>
      <c r="F11" s="15">
        <f t="shared" si="3"/>
        <v>1.0644300577377655E+39</v>
      </c>
      <c r="H11" s="18">
        <f t="shared" si="4"/>
        <v>6.1375223264663272E+39</v>
      </c>
      <c r="I11" s="16">
        <v>187.8</v>
      </c>
      <c r="J11" s="45">
        <v>1</v>
      </c>
      <c r="K11" s="19">
        <f t="shared" si="5"/>
        <v>179.10805775005352</v>
      </c>
      <c r="L11" s="16">
        <f t="shared" si="6"/>
        <v>75.549860076404897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0.32508940993742641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6.7970772988219049E+39</v>
      </c>
      <c r="F12" s="15">
        <f t="shared" si="3"/>
        <v>1.8575500280529852E+39</v>
      </c>
      <c r="H12" s="18">
        <f t="shared" si="4"/>
        <v>8.65462732687489E+39</v>
      </c>
      <c r="I12" s="16">
        <v>192.86</v>
      </c>
      <c r="J12" s="45">
        <v>1</v>
      </c>
      <c r="K12" s="19">
        <f t="shared" si="5"/>
        <v>184.54652731359155</v>
      </c>
      <c r="L12" s="16">
        <f t="shared" si="6"/>
        <v>69.113828107659501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0.40636176242178301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8.4087239691514577E+39</v>
      </c>
      <c r="F13" s="15">
        <f t="shared" si="3"/>
        <v>2.8492182860387296E+39</v>
      </c>
      <c r="H13" s="18">
        <f t="shared" si="4"/>
        <v>1.1257942255190186E+40</v>
      </c>
      <c r="I13" s="16">
        <v>195.56</v>
      </c>
      <c r="J13" s="45">
        <v>1</v>
      </c>
      <c r="K13" s="19">
        <f t="shared" si="5"/>
        <v>188.60924481662869</v>
      </c>
      <c r="L13" s="16">
        <f t="shared" si="6"/>
        <v>48.312997619163184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0.49924445097533343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1.0099630451529391E+40</v>
      </c>
      <c r="F14" s="15">
        <f t="shared" si="3"/>
        <v>4.2108286115933297E+39</v>
      </c>
      <c r="H14" s="18">
        <f t="shared" si="4"/>
        <v>1.431045906312272E+40</v>
      </c>
      <c r="I14" s="16">
        <v>197.16</v>
      </c>
      <c r="J14" s="45">
        <v>1</v>
      </c>
      <c r="K14" s="19">
        <f t="shared" si="5"/>
        <v>192.24689142805482</v>
      </c>
      <c r="L14" s="16">
        <f t="shared" si="6"/>
        <v>24.13863583972114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0.60373747559807767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1.1831216811864364E+40</v>
      </c>
      <c r="F15" s="15">
        <f t="shared" si="3"/>
        <v>6.0140051251596873E+39</v>
      </c>
      <c r="H15" s="18">
        <f t="shared" si="4"/>
        <v>1.7845221937024052E+40</v>
      </c>
      <c r="I15" s="16">
        <v>198.05</v>
      </c>
      <c r="J15" s="45">
        <v>1</v>
      </c>
      <c r="K15" s="19">
        <f t="shared" si="5"/>
        <v>195.66177241615353</v>
      </c>
      <c r="L15" s="16">
        <f t="shared" si="6"/>
        <v>5.703630992245226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0.71403566825541875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1.3489013680245639E+40</v>
      </c>
      <c r="F16" s="15">
        <f t="shared" si="3"/>
        <v>8.2053668364750116E+39</v>
      </c>
      <c r="H16" s="18">
        <f t="shared" si="4"/>
        <v>2.169438051672065E+40</v>
      </c>
      <c r="I16" s="16">
        <v>199.01</v>
      </c>
      <c r="J16" s="45">
        <v>1</v>
      </c>
      <c r="K16" s="19">
        <f t="shared" si="5"/>
        <v>198.82911552055918</v>
      </c>
      <c r="L16" s="16">
        <f t="shared" si="6"/>
        <v>3.2719194902571365E-2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0.84174936501655051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1.5222418400188504E+40</v>
      </c>
      <c r="F17" s="15">
        <f t="shared" si="3"/>
        <v>1.1080332309961198E+40</v>
      </c>
      <c r="H17" s="18">
        <f t="shared" si="4"/>
        <v>2.6302750710149704E+40</v>
      </c>
      <c r="I17" s="16">
        <v>200.45</v>
      </c>
      <c r="J17" s="45">
        <v>1</v>
      </c>
      <c r="K17" s="19">
        <f t="shared" si="5"/>
        <v>202.15492701121434</v>
      </c>
      <c r="L17" s="16">
        <f t="shared" si="6"/>
        <v>2.9067761135683021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0.97526822981227923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1.6861159111732465E+40</v>
      </c>
      <c r="F18" s="15">
        <f t="shared" si="3"/>
        <v>1.443608628311021E+40</v>
      </c>
      <c r="H18" s="18">
        <f t="shared" si="4"/>
        <v>3.1297245394842675E+40</v>
      </c>
      <c r="I18" s="16">
        <v>202.34</v>
      </c>
      <c r="J18" s="45">
        <v>1</v>
      </c>
      <c r="K18" s="19">
        <f t="shared" si="5"/>
        <v>205.38776531911282</v>
      </c>
      <c r="L18" s="16">
        <f t="shared" si="6"/>
        <v>9.2888734403868245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1.1262025987117987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1.8517454401290485E+40</v>
      </c>
      <c r="F19" s="15">
        <f t="shared" si="3"/>
        <v>1.8613113496316397E+40</v>
      </c>
      <c r="H19" s="18">
        <f t="shared" si="4"/>
        <v>3.7130567897606885E+40</v>
      </c>
      <c r="I19" s="16">
        <v>205.08</v>
      </c>
      <c r="J19" s="45">
        <v>1</v>
      </c>
      <c r="K19" s="19">
        <f t="shared" si="5"/>
        <v>208.75851958524831</v>
      </c>
      <c r="L19" s="16">
        <f t="shared" si="6"/>
        <v>13.531506339055293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1.2945524717151087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2.0165225458748456E+40</v>
      </c>
      <c r="F20" s="15">
        <f t="shared" si="3"/>
        <v>2.3692157055946328E+40</v>
      </c>
      <c r="G20" s="15"/>
      <c r="H20" s="18">
        <f t="shared" si="4"/>
        <v>4.3857382514694788E+40</v>
      </c>
      <c r="I20" s="16">
        <v>209</v>
      </c>
      <c r="J20" s="45">
        <v>1</v>
      </c>
      <c r="K20" s="19">
        <f t="shared" si="5"/>
        <v>212.24377403188677</v>
      </c>
      <c r="L20" s="16">
        <f t="shared" si="6"/>
        <v>10.522069969942969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1.4745126807876128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2.1717570856403729E+40</v>
      </c>
      <c r="F21" s="15">
        <f t="shared" si="3"/>
        <v>2.954051456989688E+40</v>
      </c>
      <c r="G21" s="15"/>
      <c r="H21" s="18">
        <f t="shared" si="4"/>
        <v>5.1258085426300611E+40</v>
      </c>
      <c r="I21" s="16">
        <v>214.27</v>
      </c>
      <c r="J21" s="45">
        <v>1</v>
      </c>
      <c r="K21" s="19">
        <f t="shared" si="5"/>
        <v>215.65388933029186</v>
      </c>
      <c r="L21" s="16">
        <f t="shared" si="6"/>
        <v>1.915149678495627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1.6776935619985043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2.3268863967058849E+40</v>
      </c>
      <c r="F22" s="15">
        <f t="shared" si="3"/>
        <v>3.6575974638219574E+40</v>
      </c>
      <c r="G22" s="15"/>
      <c r="H22" s="18">
        <f t="shared" si="4"/>
        <v>5.9844838605278418E+40</v>
      </c>
      <c r="I22" s="16">
        <v>218.34</v>
      </c>
      <c r="J22" s="45">
        <v>1</v>
      </c>
      <c r="K22" s="19">
        <f t="shared" si="5"/>
        <v>219.18197844340239</v>
      </c>
      <c r="L22" s="16">
        <f t="shared" si="6"/>
        <v>0.70892769915429898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1.8982899473131865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2.4749175396947047E+40</v>
      </c>
      <c r="F23" s="15">
        <f t="shared" si="3"/>
        <v>4.4630376969756683E+40</v>
      </c>
      <c r="G23" s="15"/>
      <c r="H23" s="18">
        <f t="shared" si="4"/>
        <v>6.9379552366703725E+40</v>
      </c>
      <c r="I23" s="16">
        <v>221.13</v>
      </c>
      <c r="J23" s="45">
        <v>1</v>
      </c>
      <c r="K23" s="19">
        <f t="shared" si="5"/>
        <v>222.64363411417949</v>
      </c>
      <c r="L23" s="16">
        <f t="shared" si="6"/>
        <v>2.2910882316079468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2.142107004766256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2.6172277557741566E+40</v>
      </c>
      <c r="F24" s="15">
        <f t="shared" si="3"/>
        <v>5.391403378304474E+40</v>
      </c>
      <c r="G24" s="15"/>
      <c r="H24" s="18">
        <f t="shared" si="4"/>
        <v>8.0086311340786306E+40</v>
      </c>
      <c r="I24" s="16">
        <v>223.05</v>
      </c>
      <c r="J24" s="45">
        <v>1</v>
      </c>
      <c r="K24" s="19">
        <f t="shared" si="5"/>
        <v>226.04270042722595</v>
      </c>
      <c r="L24" s="16">
        <f t="shared" si="6"/>
        <v>8.9562558471183298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2.4091447343577137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2.7533325411525164E+40</v>
      </c>
      <c r="F25" s="15">
        <f t="shared" si="3"/>
        <v>6.4401042816225573E+40</v>
      </c>
      <c r="G25" s="15"/>
      <c r="H25" s="18">
        <f t="shared" si="4"/>
        <v>9.1934368227750742E+40</v>
      </c>
      <c r="I25" s="16">
        <v>225.01</v>
      </c>
      <c r="J25" s="45">
        <v>1</v>
      </c>
      <c r="K25" s="19">
        <f t="shared" si="5"/>
        <v>229.31333431057612</v>
      </c>
      <c r="L25" s="16">
        <f t="shared" si="6"/>
        <v>18.518686188581764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2.6994031360875588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2.8812878623991594E+40</v>
      </c>
      <c r="F26" s="15">
        <f t="shared" si="3"/>
        <v>7.602282721700984E+40</v>
      </c>
      <c r="G26" s="15"/>
      <c r="H26" s="18">
        <f t="shared" si="4"/>
        <v>1.0483570584100144E+41</v>
      </c>
      <c r="I26" s="16">
        <v>227.75</v>
      </c>
      <c r="J26" s="45">
        <v>1</v>
      </c>
      <c r="K26" s="19">
        <f t="shared" si="5"/>
        <v>232.37053426972909</v>
      </c>
      <c r="L26" s="16">
        <f t="shared" si="6"/>
        <v>21.349336937740951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3.0244925460249852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3.0045270436591609E+40</v>
      </c>
      <c r="F27" s="15">
        <f t="shared" si="3"/>
        <v>8.9137775246414087E+40</v>
      </c>
      <c r="G27" s="15"/>
      <c r="H27" s="18">
        <f t="shared" si="4"/>
        <v>1.1918304568300569E+41</v>
      </c>
      <c r="I27" s="16">
        <v>231.47</v>
      </c>
      <c r="J27" s="45">
        <v>1</v>
      </c>
      <c r="K27" s="19">
        <f t="shared" si="5"/>
        <v>235.24681380578755</v>
      </c>
      <c r="L27" s="16">
        <f t="shared" si="6"/>
        <v>14.264322523587472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3.378607796135396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3.11961061983691E+40</v>
      </c>
      <c r="F28" s="15">
        <f t="shared" si="3"/>
        <v>1.0335191181603127E+41</v>
      </c>
      <c r="G28" s="15"/>
      <c r="H28" s="18">
        <f t="shared" si="4"/>
        <v>1.3454801801440037E+41</v>
      </c>
      <c r="I28" s="16">
        <v>236.35</v>
      </c>
      <c r="J28" s="45">
        <v>1</v>
      </c>
      <c r="K28" s="19">
        <f t="shared" si="5"/>
        <v>237.80606976450605</v>
      </c>
      <c r="L28" s="16">
        <f t="shared" si="6"/>
        <v>2.1201391591087164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3.7675540544533881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3.2273041633422901E+40</v>
      </c>
      <c r="F29" s="15">
        <f t="shared" si="3"/>
        <v>1.1867963330209112E+41</v>
      </c>
      <c r="G29" s="15"/>
      <c r="H29" s="18">
        <f t="shared" si="4"/>
        <v>1.5095267493551401E+41</v>
      </c>
      <c r="I29" s="16">
        <v>241.94</v>
      </c>
      <c r="J29" s="45">
        <v>1</v>
      </c>
      <c r="K29" s="19">
        <f t="shared" si="5"/>
        <v>240.02233722948094</v>
      </c>
      <c r="L29" s="16">
        <f t="shared" si="6"/>
        <v>3.6774305014348303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4.197136489013559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3.3281823103347977E+40</v>
      </c>
      <c r="F30" s="15">
        <f t="shared" si="3"/>
        <v>1.3506326002926559E+41</v>
      </c>
      <c r="G30" s="15"/>
      <c r="H30" s="18">
        <f t="shared" si="4"/>
        <v>1.6834508313261357E+41</v>
      </c>
      <c r="I30" s="16">
        <v>247.41</v>
      </c>
      <c r="J30" s="45">
        <v>1</v>
      </c>
      <c r="K30" s="19">
        <f t="shared" si="5"/>
        <v>241.86236482584522</v>
      </c>
      <c r="L30" s="16">
        <f t="shared" si="6"/>
        <v>30.776256025519306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4.6731602678505055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3.4221318092297966E+40</v>
      </c>
      <c r="F31" s="15">
        <f t="shared" si="3"/>
        <v>1.5235842442111319E+41</v>
      </c>
      <c r="G31" s="15"/>
      <c r="H31" s="18">
        <f t="shared" si="4"/>
        <v>1.8657974251341117E+41</v>
      </c>
      <c r="I31" s="16">
        <v>251.78</v>
      </c>
      <c r="J31" s="45">
        <v>1</v>
      </c>
      <c r="K31" s="19">
        <f t="shared" si="5"/>
        <v>243.28880995549051</v>
      </c>
      <c r="L31" s="16">
        <f t="shared" si="6"/>
        <v>72.10030837197715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5.1898202229296286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3.503994833960819E+40</v>
      </c>
      <c r="F32" s="15">
        <f t="shared" si="3"/>
        <v>1.6994681504724673E+41</v>
      </c>
      <c r="G32" s="15"/>
      <c r="H32" s="18">
        <f t="shared" si="4"/>
        <v>2.049867633868549E+41</v>
      </c>
      <c r="I32" s="16">
        <v>254.66</v>
      </c>
      <c r="J32" s="45">
        <v>1</v>
      </c>
      <c r="K32" s="19">
        <f t="shared" si="5"/>
        <v>244.24074727602482</v>
      </c>
      <c r="L32" s="16">
        <f t="shared" si="6"/>
        <v>108.56082732606414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5.7645318583547223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3.5827482855182813E+40</v>
      </c>
      <c r="F33" s="15">
        <f t="shared" si="3"/>
        <v>1.8794876532318774E+41</v>
      </c>
      <c r="G33" s="15"/>
      <c r="H33" s="18">
        <f t="shared" si="4"/>
        <v>2.2377624817837053E+41</v>
      </c>
      <c r="I33" s="16">
        <v>256.64</v>
      </c>
      <c r="J33" s="45">
        <v>1</v>
      </c>
      <c r="K33" s="19">
        <f t="shared" si="5"/>
        <v>244.77697815580814</v>
      </c>
      <c r="L33" s="16">
        <f t="shared" si="6"/>
        <v>140.73128727577296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6.3914900060911872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3.6543037063567816E+40</v>
      </c>
      <c r="F34" s="15">
        <f t="shared" si="3"/>
        <v>2.0566363689764386E+41</v>
      </c>
      <c r="G34" s="15"/>
      <c r="H34" s="18">
        <f t="shared" si="4"/>
        <v>2.4220667396121167E+41</v>
      </c>
      <c r="I34" s="16">
        <v>259.2</v>
      </c>
      <c r="J34" s="45">
        <v>1</v>
      </c>
      <c r="K34" s="19">
        <f t="shared" si="5"/>
        <v>244.88860474554085</v>
      </c>
      <c r="L34" s="16">
        <f t="shared" si="6"/>
        <v>204.81603412935567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7.0823050022082183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3.7215960320781077E+40</v>
      </c>
      <c r="F35" s="15">
        <f t="shared" si="3"/>
        <v>2.2290244866499304E+41</v>
      </c>
      <c r="G35" s="15"/>
      <c r="H35" s="18">
        <f t="shared" si="4"/>
        <v>2.6011840898577412E+41</v>
      </c>
      <c r="I35" s="16">
        <v>262.76</v>
      </c>
      <c r="J35" s="45">
        <v>1</v>
      </c>
      <c r="K35" s="19">
        <f t="shared" si="5"/>
        <v>244.62999761420036</v>
      </c>
      <c r="L35" s="16">
        <f t="shared" si="6"/>
        <v>328.69698650910021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7.8427820147404121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3.7791026280073349E+40</v>
      </c>
      <c r="F36" s="15">
        <f t="shared" si="3"/>
        <v>2.3927175986336264E+41</v>
      </c>
      <c r="G36" s="15"/>
      <c r="H36" s="18">
        <f t="shared" si="4"/>
        <v>2.7706278614343597E+41</v>
      </c>
      <c r="I36" s="16">
        <v>265.97000000000003</v>
      </c>
      <c r="J36" s="45">
        <v>1</v>
      </c>
      <c r="K36" s="19">
        <f t="shared" si="5"/>
        <v>244.0471068216174</v>
      </c>
      <c r="L36" s="16">
        <f t="shared" si="6"/>
        <v>480.61324531077531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8.6787262117223651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3.8304869236428717E+40</v>
      </c>
      <c r="F37" s="15">
        <f t="shared" si="3"/>
        <v>2.5439992351300622E+41</v>
      </c>
      <c r="G37" s="15"/>
      <c r="H37" s="18">
        <f t="shared" si="4"/>
        <v>2.9270479274943494E+41</v>
      </c>
      <c r="I37" s="16">
        <v>265.86</v>
      </c>
      <c r="J37" s="45">
        <v>1</v>
      </c>
      <c r="K37" s="19">
        <f t="shared" si="5"/>
        <v>243.24849330318006</v>
      </c>
      <c r="L37" s="16">
        <f t="shared" si="6"/>
        <v>511.28023510033381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9.6017479292232739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3.8766681872222131E+40</v>
      </c>
      <c r="F38" s="15">
        <f t="shared" si="3"/>
        <v>2.6805079325138343E+41</v>
      </c>
      <c r="G38" s="15"/>
      <c r="H38" s="18">
        <f t="shared" si="4"/>
        <v>3.0681747512360556E+41</v>
      </c>
      <c r="I38" s="16">
        <v>260.45999999999998</v>
      </c>
      <c r="J38" s="45">
        <v>1</v>
      </c>
      <c r="K38" s="19">
        <f t="shared" si="5"/>
        <v>242.35003515382328</v>
      </c>
      <c r="L38" s="16">
        <f t="shared" si="6"/>
        <v>327.97082672975569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10.617652335277731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3.9173067833675112E+40</v>
      </c>
      <c r="F39" s="15">
        <f t="shared" si="3"/>
        <v>2.7995092828876955E+41</v>
      </c>
      <c r="G39" s="15"/>
      <c r="H39" s="18">
        <f t="shared" si="4"/>
        <v>3.1912399612244465E+41</v>
      </c>
      <c r="I39" s="16">
        <v>253.58</v>
      </c>
      <c r="J39" s="45">
        <v>1</v>
      </c>
      <c r="K39" s="19">
        <f t="shared" si="5"/>
        <v>241.49346911672271</v>
      </c>
      <c r="L39" s="16">
        <f t="shared" si="6"/>
        <v>146.08422879241607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11.726439429885739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3.952533658541253E+40</v>
      </c>
      <c r="F40" s="15">
        <f t="shared" si="3"/>
        <v>2.8990586209087783E+41</v>
      </c>
      <c r="G40" s="15"/>
      <c r="H40" s="18">
        <f t="shared" si="4"/>
        <v>3.2943119867629037E+41</v>
      </c>
      <c r="I40" s="16">
        <v>246.21</v>
      </c>
      <c r="J40" s="45">
        <v>1</v>
      </c>
      <c r="K40" s="19">
        <f t="shared" si="5"/>
        <v>240.83930138469964</v>
      </c>
      <c r="L40" s="16">
        <f t="shared" si="6"/>
        <v>28.844403616389307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12.957135053220281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3.9834932996245226E+40</v>
      </c>
      <c r="F41" s="15">
        <f t="shared" si="3"/>
        <v>2.9806634767854812E+41</v>
      </c>
      <c r="H41" s="18">
        <f t="shared" si="4"/>
        <v>3.3790128067479335E+41</v>
      </c>
      <c r="I41" s="16">
        <v>237.17</v>
      </c>
      <c r="J41" s="45">
        <v>1</v>
      </c>
      <c r="K41" s="19">
        <f t="shared" si="5"/>
        <v>240.53991966164099</v>
      </c>
      <c r="L41" s="16">
        <f t="shared" si="6"/>
        <v>11.356358525914635</v>
      </c>
    </row>
    <row r="42" spans="1:29" x14ac:dyDescent="0.25">
      <c r="A42" s="16">
        <v>24.64</v>
      </c>
      <c r="B42" s="45">
        <f t="shared" si="0"/>
        <v>24640</v>
      </c>
      <c r="C42" s="16">
        <f t="shared" si="1"/>
        <v>14.303934037246762</v>
      </c>
      <c r="D42" s="15">
        <f t="shared" si="2"/>
        <v>7.6031095571200003E+20</v>
      </c>
      <c r="E42" s="15">
        <f>IF($C42=0,0,FORECAST($C42, OFFSET('De Vaucouleurs Deprojection'!$F$2:$F$127, MATCH($C42, 'De Vaucouleurs Deprojection'!$A$2:$A$127,1)-1,0,2), OFFSET('De Vaucouleurs Deprojection'!$A$2:$A$127, MATCH($C42, 'De Vaucouleurs Deprojection'!$A$2:$A$127,1)-1,0,2))*QESTotalBulgeMass)</f>
        <v>4.0092982662952752E+40</v>
      </c>
      <c r="F42" s="15">
        <f t="shared" si="3"/>
        <v>3.0439563379055553E+41</v>
      </c>
      <c r="H42" s="18">
        <f t="shared" si="4"/>
        <v>3.4448861645350828E+41</v>
      </c>
      <c r="I42" s="16">
        <v>228.29</v>
      </c>
      <c r="J42" s="45">
        <v>1</v>
      </c>
      <c r="K42" s="19">
        <f t="shared" si="5"/>
        <v>240.75953115623497</v>
      </c>
      <c r="L42" s="16">
        <f t="shared" si="6"/>
        <v>155.48920725631484</v>
      </c>
    </row>
    <row r="43" spans="1:29" x14ac:dyDescent="0.25">
      <c r="A43" s="16">
        <v>27.19</v>
      </c>
      <c r="B43" s="45">
        <f t="shared" si="0"/>
        <v>27190</v>
      </c>
      <c r="C43" s="16">
        <f t="shared" si="1"/>
        <v>15.784251886068972</v>
      </c>
      <c r="D43" s="15">
        <f t="shared" si="2"/>
        <v>8.3899573400200007E+20</v>
      </c>
      <c r="E43" s="15">
        <f>IF($C43=0,0,FORECAST($C43, OFFSET('De Vaucouleurs Deprojection'!$F$2:$F$127, MATCH($C43, 'De Vaucouleurs Deprojection'!$A$2:$A$127,1)-1,0,2), OFFSET('De Vaucouleurs Deprojection'!$A$2:$A$127, MATCH($C43, 'De Vaucouleurs Deprojection'!$A$2:$A$127,1)-1,0,2))*QESTotalBulgeMass)</f>
        <v>4.0287591407377647E+40</v>
      </c>
      <c r="F43" s="15">
        <f t="shared" si="3"/>
        <v>3.0911674872899555E+41</v>
      </c>
      <c r="H43" s="18">
        <f t="shared" si="4"/>
        <v>3.4940434013637316E+41</v>
      </c>
      <c r="I43" s="16">
        <v>222.85</v>
      </c>
      <c r="J43" s="45">
        <v>1</v>
      </c>
      <c r="K43" s="19">
        <f t="shared" si="5"/>
        <v>241.63924190970104</v>
      </c>
      <c r="L43" s="16">
        <f t="shared" si="6"/>
        <v>353.03561154126629</v>
      </c>
    </row>
    <row r="44" spans="1:29" x14ac:dyDescent="0.25">
      <c r="I44" s="45"/>
      <c r="J44" s="45"/>
      <c r="L44" s="16">
        <f>SUM(L8:L43)/(COUNT(L8:L43)-4)</f>
        <v>113.89043986352115</v>
      </c>
    </row>
    <row r="45" spans="1:29" x14ac:dyDescent="0.25">
      <c r="I45" s="45"/>
      <c r="J45" s="45"/>
      <c r="L45" s="16"/>
    </row>
    <row r="46" spans="1:29" ht="21" x14ac:dyDescent="0.35">
      <c r="A46" s="48" t="s">
        <v>564</v>
      </c>
      <c r="I46" s="45"/>
      <c r="J46" s="45"/>
      <c r="L46" s="16"/>
    </row>
    <row r="47" spans="1:29" x14ac:dyDescent="0.25">
      <c r="A47" s="16" t="s">
        <v>30</v>
      </c>
      <c r="D47" s="16">
        <v>1.6</v>
      </c>
      <c r="E47" s="17">
        <f>$D$47*1000</f>
        <v>1600</v>
      </c>
      <c r="F47" s="17"/>
      <c r="G47" s="17"/>
      <c r="H47" s="15"/>
      <c r="K47" s="15"/>
      <c r="L47" s="17"/>
      <c r="M47" s="45"/>
    </row>
    <row r="48" spans="1:29" x14ac:dyDescent="0.25">
      <c r="A48" s="16" t="s">
        <v>16</v>
      </c>
      <c r="D48" s="16">
        <v>2.76</v>
      </c>
      <c r="E48" s="15">
        <f>D48*10000000000*SolarMass</f>
        <v>5.4899159999999987E+40</v>
      </c>
      <c r="F48" s="43"/>
      <c r="G48" s="43"/>
      <c r="H48" s="15"/>
      <c r="K48" s="15"/>
      <c r="L48" s="17"/>
      <c r="M48" s="45"/>
    </row>
    <row r="49" spans="1:29" x14ac:dyDescent="0.25">
      <c r="A49" s="16" t="s">
        <v>569</v>
      </c>
      <c r="D49" s="16">
        <v>6.9</v>
      </c>
      <c r="E49" s="15">
        <f>D49*1000</f>
        <v>6900</v>
      </c>
      <c r="H49" s="15"/>
      <c r="K49" s="15"/>
      <c r="L49" s="17"/>
      <c r="M49" s="45"/>
    </row>
    <row r="50" spans="1:29" x14ac:dyDescent="0.25">
      <c r="A50" s="16" t="s">
        <v>17</v>
      </c>
      <c r="D50" s="45">
        <v>13.8</v>
      </c>
      <c r="G50" s="16"/>
      <c r="H50" s="15"/>
      <c r="K50" s="15"/>
      <c r="L50" s="17"/>
      <c r="M50" s="45"/>
    </row>
    <row r="51" spans="1:29" x14ac:dyDescent="0.25">
      <c r="A51" s="16" t="s">
        <v>570</v>
      </c>
      <c r="D51" s="16">
        <v>6.7</v>
      </c>
      <c r="E51" s="17">
        <f>D51*1000</f>
        <v>6700</v>
      </c>
      <c r="H51" s="15"/>
      <c r="K51" s="15"/>
      <c r="L51" s="17"/>
      <c r="M51" s="45"/>
    </row>
    <row r="52" spans="1:29" x14ac:dyDescent="0.25">
      <c r="A52" s="16" t="s">
        <v>571</v>
      </c>
      <c r="D52" s="16">
        <v>3.4</v>
      </c>
      <c r="G52" s="9"/>
      <c r="H52" s="15"/>
      <c r="K52" s="15"/>
      <c r="L52" s="17"/>
      <c r="M52" s="45"/>
    </row>
    <row r="53" spans="1:29" x14ac:dyDescent="0.25">
      <c r="D53" s="12"/>
      <c r="H53" s="15"/>
      <c r="K53" s="15"/>
      <c r="L53" s="17"/>
      <c r="M53" s="45"/>
    </row>
    <row r="54" spans="1:29" x14ac:dyDescent="0.25">
      <c r="A54" s="16" t="s">
        <v>567</v>
      </c>
      <c r="D54" s="17">
        <f>(D50*10000000000)/(2*PI()*DiskScaleLengthPc^2)</f>
        <v>461.31867562868217</v>
      </c>
      <c r="H54" s="15"/>
      <c r="K54" s="15"/>
      <c r="L54" s="17"/>
      <c r="M54" s="45"/>
    </row>
    <row r="55" spans="1:29" x14ac:dyDescent="0.25">
      <c r="A55" s="16" t="s">
        <v>565</v>
      </c>
      <c r="D55" s="9">
        <f>(D52*10000000000)/(4*PI()*(LCDMHaloScaleLengthPc)^3*(LN(2)-1/2))</f>
        <v>4.6575365525748043E-2</v>
      </c>
      <c r="H55" s="15"/>
      <c r="K55" s="15"/>
      <c r="L55" s="17"/>
      <c r="M55" s="45"/>
    </row>
    <row r="56" spans="1:29" x14ac:dyDescent="0.25">
      <c r="H56" s="15"/>
      <c r="K56" s="15"/>
      <c r="L56" s="17"/>
      <c r="M56" s="45"/>
    </row>
    <row r="57" spans="1:29" ht="45" x14ac:dyDescent="0.25">
      <c r="A57" s="7" t="s">
        <v>20</v>
      </c>
      <c r="B57" s="3" t="s">
        <v>19</v>
      </c>
      <c r="C57" s="7" t="s">
        <v>27</v>
      </c>
      <c r="D57" s="4" t="s">
        <v>649</v>
      </c>
      <c r="E57" s="4" t="s">
        <v>21</v>
      </c>
      <c r="F57" s="4" t="s">
        <v>22</v>
      </c>
      <c r="G57" s="4" t="s">
        <v>28</v>
      </c>
      <c r="H57" s="4" t="s">
        <v>23</v>
      </c>
      <c r="I57" s="7" t="s">
        <v>645</v>
      </c>
      <c r="J57" s="7" t="s">
        <v>646</v>
      </c>
      <c r="K57" s="25" t="s">
        <v>647</v>
      </c>
      <c r="L57" s="3" t="s">
        <v>648</v>
      </c>
      <c r="M57" s="3"/>
      <c r="N57" s="3"/>
      <c r="O57" s="3"/>
      <c r="P57" s="3"/>
      <c r="Q57" s="3"/>
      <c r="R57" s="3"/>
      <c r="S57" s="3"/>
      <c r="T57" s="3"/>
      <c r="U57" s="3"/>
      <c r="V57" s="7"/>
      <c r="W57" s="7"/>
      <c r="X57" s="3"/>
      <c r="Y57" s="3"/>
      <c r="Z57" s="3"/>
      <c r="AA57" s="3"/>
      <c r="AB57" s="3"/>
      <c r="AC57" s="3"/>
    </row>
    <row r="58" spans="1:29" x14ac:dyDescent="0.25">
      <c r="A58" s="16">
        <v>0.09</v>
      </c>
      <c r="B58" s="45">
        <f>A58*1000</f>
        <v>90</v>
      </c>
      <c r="C58" s="16">
        <f>B58/LCDMBulgeEffectiveRadius</f>
        <v>5.6250000000000001E-2</v>
      </c>
      <c r="D58" s="15">
        <f>A58*kpc</f>
        <v>2.777109822E+18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1.1376478430999997E+39</v>
      </c>
      <c r="F58" s="15">
        <f t="shared" ref="F58:F93" si="7">2*PI()*LCDMDiskSurfaceDensity*LCDMScaleLength*(LCDMScaleLength-EXP(-RadiusPc/LCDMScaleLength)*(RadiusPc+LCDMScaleLength))*SolarMass</f>
        <v>2.3148247938371909E+37</v>
      </c>
      <c r="G58" s="15">
        <f t="shared" ref="G58:G93" si="8">4*PI()*LCDMHaloRepresentativeDensity*LCDMHaloScaleLengthPc^3*(LN(1+RadiusPc/LCDMHaloScaleLengthPc)-RadiusPc/(RadiusPc+LCDMHaloScaleLengthPc))*SolarMass</f>
        <v>3.1032849370834393E+37</v>
      </c>
      <c r="H58" s="15">
        <f t="shared" ref="H58:H93" si="9">BulgeMass+DiskMass+HaloMass</f>
        <v>1.1918289404092061E+39</v>
      </c>
      <c r="I58" s="16">
        <v>122.27</v>
      </c>
      <c r="J58" s="45">
        <v>1</v>
      </c>
      <c r="K58" s="19">
        <f t="shared" ref="K58:K93" si="10">SQRT(TotalMass*GravitationalConstant/RadiusKm)/km</f>
        <v>169.24121724492252</v>
      </c>
      <c r="L58" s="16">
        <f t="shared" ref="L58:L93" si="11">(ObservedVelocity-ModelVelocity)^2/(VelocityError)^2</f>
        <v>2206.2952494697074</v>
      </c>
      <c r="M58" s="45"/>
    </row>
    <row r="59" spans="1:29" x14ac:dyDescent="0.25">
      <c r="A59" s="16">
        <v>0.19</v>
      </c>
      <c r="B59" s="45">
        <f t="shared" ref="B59:B93" si="12">A59*1000</f>
        <v>190</v>
      </c>
      <c r="C59" s="16">
        <f t="shared" ref="C59:C93" si="13">B59/LCDMBulgeEffectiveRadius</f>
        <v>0.11874999999999999</v>
      </c>
      <c r="D59" s="15">
        <f t="shared" ref="D59:D93" si="14">A59*kpc</f>
        <v>5.862787402E+18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2.9938982410199986E+39</v>
      </c>
      <c r="F59" s="15">
        <f t="shared" si="7"/>
        <v>1.0217657274619089E+38</v>
      </c>
      <c r="G59" s="15">
        <f t="shared" si="8"/>
        <v>1.356323620404014E+38</v>
      </c>
      <c r="H59" s="15">
        <f t="shared" si="9"/>
        <v>3.2317071758065909E+39</v>
      </c>
      <c r="I59" s="16">
        <v>162.94999999999999</v>
      </c>
      <c r="J59" s="45">
        <v>1</v>
      </c>
      <c r="K59" s="19">
        <f t="shared" si="10"/>
        <v>191.80487109066061</v>
      </c>
      <c r="L59" s="16">
        <f t="shared" si="11"/>
        <v>832.60358565864215</v>
      </c>
      <c r="M59" s="45"/>
    </row>
    <row r="60" spans="1:29" x14ac:dyDescent="0.25">
      <c r="A60" s="16">
        <v>0.3</v>
      </c>
      <c r="B60" s="45">
        <f t="shared" si="12"/>
        <v>300</v>
      </c>
      <c r="C60" s="16">
        <f t="shared" si="13"/>
        <v>0.1875</v>
      </c>
      <c r="D60" s="15">
        <f t="shared" si="14"/>
        <v>9.25703274E+18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5.0939283589199974E+39</v>
      </c>
      <c r="F60" s="15">
        <f t="shared" si="7"/>
        <v>2.5204880282642565E+38</v>
      </c>
      <c r="G60" s="15">
        <f t="shared" si="8"/>
        <v>3.3105443985919526E+38</v>
      </c>
      <c r="H60" s="15">
        <f t="shared" si="9"/>
        <v>5.6770316016056182E+39</v>
      </c>
      <c r="I60" s="16">
        <v>179.95</v>
      </c>
      <c r="J60" s="45">
        <v>1</v>
      </c>
      <c r="K60" s="19">
        <f t="shared" si="10"/>
        <v>202.31144874545365</v>
      </c>
      <c r="L60" s="16">
        <f t="shared" si="11"/>
        <v>500.03438999555095</v>
      </c>
      <c r="M60" s="45"/>
    </row>
    <row r="61" spans="1:29" x14ac:dyDescent="0.25">
      <c r="A61" s="16">
        <v>0.42</v>
      </c>
      <c r="B61" s="45">
        <f t="shared" si="12"/>
        <v>420</v>
      </c>
      <c r="C61" s="16">
        <f t="shared" si="13"/>
        <v>0.26250000000000001</v>
      </c>
      <c r="D61" s="15">
        <f t="shared" si="14"/>
        <v>1.2959845836E+19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7.2842675950199972E+39</v>
      </c>
      <c r="F61" s="15">
        <f t="shared" si="7"/>
        <v>4.8834571473136978E+38</v>
      </c>
      <c r="G61" s="15">
        <f t="shared" si="8"/>
        <v>6.3426378069765314E+38</v>
      </c>
      <c r="H61" s="15">
        <f t="shared" si="9"/>
        <v>8.4068770904490207E+39</v>
      </c>
      <c r="I61" s="16">
        <v>187.8</v>
      </c>
      <c r="J61" s="45">
        <v>1</v>
      </c>
      <c r="K61" s="19">
        <f t="shared" si="10"/>
        <v>208.07175743033</v>
      </c>
      <c r="L61" s="16">
        <f t="shared" si="11"/>
        <v>410.94414931413894</v>
      </c>
      <c r="M61" s="45"/>
    </row>
    <row r="62" spans="1:29" x14ac:dyDescent="0.25">
      <c r="A62" s="16">
        <v>0.56000000000000005</v>
      </c>
      <c r="B62" s="45">
        <f t="shared" si="12"/>
        <v>560</v>
      </c>
      <c r="C62" s="16">
        <f t="shared" si="13"/>
        <v>0.35</v>
      </c>
      <c r="D62" s="15">
        <f t="shared" si="14"/>
        <v>1.7279794448000002E+19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9.6965641349999977E+39</v>
      </c>
      <c r="F62" s="15">
        <f t="shared" si="7"/>
        <v>8.5657475148815303E+38</v>
      </c>
      <c r="G62" s="15">
        <f t="shared" si="8"/>
        <v>1.0985136440536047E+39</v>
      </c>
      <c r="H62" s="15">
        <f t="shared" si="9"/>
        <v>1.1651652530541755E+40</v>
      </c>
      <c r="I62" s="16">
        <v>192.86</v>
      </c>
      <c r="J62" s="45">
        <v>1</v>
      </c>
      <c r="K62" s="19">
        <f t="shared" si="10"/>
        <v>212.13883546342203</v>
      </c>
      <c r="L62" s="16">
        <f t="shared" si="11"/>
        <v>371.67349682569824</v>
      </c>
      <c r="M62" s="45"/>
    </row>
    <row r="63" spans="1:29" x14ac:dyDescent="0.25">
      <c r="A63" s="16">
        <v>0.7</v>
      </c>
      <c r="B63" s="45">
        <f t="shared" si="12"/>
        <v>700</v>
      </c>
      <c r="C63" s="16">
        <f t="shared" si="13"/>
        <v>0.4375</v>
      </c>
      <c r="D63" s="15">
        <f t="shared" si="14"/>
        <v>2.1599743059999998E+19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1.1931234442799998E+40</v>
      </c>
      <c r="F63" s="15">
        <f t="shared" si="7"/>
        <v>1.3205527338905547E+39</v>
      </c>
      <c r="G63" s="15">
        <f t="shared" si="8"/>
        <v>1.6729475620107316E+39</v>
      </c>
      <c r="H63" s="15">
        <f t="shared" si="9"/>
        <v>1.4924734738701285E+40</v>
      </c>
      <c r="I63" s="16">
        <v>195.56</v>
      </c>
      <c r="J63" s="45">
        <v>1</v>
      </c>
      <c r="K63" s="19">
        <f t="shared" si="10"/>
        <v>214.74582146088932</v>
      </c>
      <c r="L63" s="16">
        <f t="shared" si="11"/>
        <v>368.09574512912098</v>
      </c>
      <c r="M63" s="45"/>
    </row>
    <row r="64" spans="1:29" x14ac:dyDescent="0.25">
      <c r="A64" s="16">
        <v>0.86</v>
      </c>
      <c r="B64" s="45">
        <f t="shared" si="12"/>
        <v>860</v>
      </c>
      <c r="C64" s="16">
        <f t="shared" si="13"/>
        <v>0.53749999999999998</v>
      </c>
      <c r="D64" s="15">
        <f t="shared" si="14"/>
        <v>2.6536827187999998E+19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1.4271722881499996E+40</v>
      </c>
      <c r="F64" s="15">
        <f t="shared" si="7"/>
        <v>1.9629378934952461E+39</v>
      </c>
      <c r="G64" s="15">
        <f t="shared" si="8"/>
        <v>2.4534791989188793E+39</v>
      </c>
      <c r="H64" s="15">
        <f t="shared" si="9"/>
        <v>1.8688139973914122E+40</v>
      </c>
      <c r="I64" s="16">
        <v>197.16</v>
      </c>
      <c r="J64" s="45">
        <v>1</v>
      </c>
      <c r="K64" s="19">
        <f t="shared" si="10"/>
        <v>216.79748764121592</v>
      </c>
      <c r="L64" s="16">
        <f t="shared" si="11"/>
        <v>385.63092085890827</v>
      </c>
      <c r="M64" s="45"/>
    </row>
    <row r="65" spans="1:13" x14ac:dyDescent="0.25">
      <c r="A65" s="16">
        <v>1.04</v>
      </c>
      <c r="B65" s="45">
        <f t="shared" si="12"/>
        <v>1040</v>
      </c>
      <c r="C65" s="16">
        <f t="shared" si="13"/>
        <v>0.65</v>
      </c>
      <c r="D65" s="15">
        <f t="shared" si="14"/>
        <v>3.2091046832E+19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1.6661346068400001E+40</v>
      </c>
      <c r="F65" s="15">
        <f t="shared" si="7"/>
        <v>2.8216999730655967E+39</v>
      </c>
      <c r="G65" s="15">
        <f t="shared" si="8"/>
        <v>3.4759659543981184E+39</v>
      </c>
      <c r="H65" s="15">
        <f t="shared" si="9"/>
        <v>2.2959011995863717E+40</v>
      </c>
      <c r="I65" s="16">
        <v>198.05</v>
      </c>
      <c r="J65" s="45">
        <v>1</v>
      </c>
      <c r="K65" s="19">
        <f t="shared" si="10"/>
        <v>218.51454959336877</v>
      </c>
      <c r="L65" s="16">
        <f t="shared" si="11"/>
        <v>418.79779005944943</v>
      </c>
      <c r="M65" s="45"/>
    </row>
    <row r="66" spans="1:13" x14ac:dyDescent="0.25">
      <c r="A66" s="16">
        <v>1.23</v>
      </c>
      <c r="B66" s="45">
        <f t="shared" si="12"/>
        <v>1230</v>
      </c>
      <c r="C66" s="16">
        <f t="shared" si="13"/>
        <v>0.76875000000000004</v>
      </c>
      <c r="D66" s="15">
        <f t="shared" si="14"/>
        <v>3.7953834233999999E+19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1.8944396260949997E+40</v>
      </c>
      <c r="F66" s="15">
        <f t="shared" si="7"/>
        <v>3.8760760750516063E+39</v>
      </c>
      <c r="G66" s="15">
        <f t="shared" si="8"/>
        <v>4.705352714249878E+39</v>
      </c>
      <c r="H66" s="15">
        <f t="shared" si="9"/>
        <v>2.7525825050251479E+40</v>
      </c>
      <c r="I66" s="16">
        <v>199.01</v>
      </c>
      <c r="J66" s="45">
        <v>1</v>
      </c>
      <c r="K66" s="19">
        <f t="shared" si="10"/>
        <v>220.00778489366644</v>
      </c>
      <c r="L66" s="16">
        <f t="shared" si="11"/>
        <v>440.90697044068691</v>
      </c>
      <c r="M66" s="45"/>
    </row>
    <row r="67" spans="1:13" x14ac:dyDescent="0.25">
      <c r="A67" s="16">
        <v>1.45</v>
      </c>
      <c r="B67" s="45">
        <f t="shared" si="12"/>
        <v>1450</v>
      </c>
      <c r="C67" s="16">
        <f t="shared" si="13"/>
        <v>0.90625</v>
      </c>
      <c r="D67" s="15">
        <f t="shared" si="14"/>
        <v>4.4742324909999997E+19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2.1326813933099998E+40</v>
      </c>
      <c r="F67" s="15">
        <f t="shared" si="7"/>
        <v>5.2751886562921257E+39</v>
      </c>
      <c r="G67" s="15">
        <f t="shared" si="8"/>
        <v>6.3012999736004774E+39</v>
      </c>
      <c r="H67" s="15">
        <f t="shared" si="9"/>
        <v>3.29033025629926E+40</v>
      </c>
      <c r="I67" s="16">
        <v>200.45</v>
      </c>
      <c r="J67" s="45">
        <v>1</v>
      </c>
      <c r="K67" s="19">
        <f t="shared" si="10"/>
        <v>221.54205300269501</v>
      </c>
      <c r="L67" s="16">
        <f t="shared" si="11"/>
        <v>444.87469986849618</v>
      </c>
      <c r="M67" s="45"/>
    </row>
    <row r="68" spans="1:13" x14ac:dyDescent="0.25">
      <c r="A68" s="16">
        <v>1.68</v>
      </c>
      <c r="B68" s="45">
        <f t="shared" si="12"/>
        <v>1680</v>
      </c>
      <c r="C68" s="16">
        <f t="shared" si="13"/>
        <v>1.05</v>
      </c>
      <c r="D68" s="15">
        <f t="shared" si="14"/>
        <v>5.1839383344E+19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2.3531701446599996E+40</v>
      </c>
      <c r="F68" s="15">
        <f t="shared" si="7"/>
        <v>6.9287467410271631E+39</v>
      </c>
      <c r="G68" s="15">
        <f t="shared" si="8"/>
        <v>8.1454301413852404E+39</v>
      </c>
      <c r="H68" s="15">
        <f t="shared" si="9"/>
        <v>3.8605878329012403E+40</v>
      </c>
      <c r="I68" s="16">
        <v>202.34</v>
      </c>
      <c r="J68" s="45">
        <v>1</v>
      </c>
      <c r="K68" s="19">
        <f t="shared" si="10"/>
        <v>222.94231654976801</v>
      </c>
      <c r="L68" s="16">
        <f t="shared" si="11"/>
        <v>424.45544721684468</v>
      </c>
      <c r="M68" s="45"/>
    </row>
    <row r="69" spans="1:13" x14ac:dyDescent="0.25">
      <c r="A69" s="16">
        <v>1.94</v>
      </c>
      <c r="B69" s="45">
        <f t="shared" si="12"/>
        <v>1940</v>
      </c>
      <c r="C69" s="16">
        <f t="shared" si="13"/>
        <v>1.2124999999999999</v>
      </c>
      <c r="D69" s="15">
        <f t="shared" si="14"/>
        <v>5.9862145052000002E+19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2.5771793046449992E+40</v>
      </c>
      <c r="F69" s="15">
        <f t="shared" si="7"/>
        <v>9.0151371580423365E+39</v>
      </c>
      <c r="G69" s="15">
        <f t="shared" si="8"/>
        <v>1.0419603279525414E+40</v>
      </c>
      <c r="H69" s="15">
        <f t="shared" si="9"/>
        <v>4.5206533484017742E+40</v>
      </c>
      <c r="I69" s="16">
        <v>205.08</v>
      </c>
      <c r="J69" s="45">
        <v>1</v>
      </c>
      <c r="K69" s="19">
        <f t="shared" si="10"/>
        <v>224.50197683440982</v>
      </c>
      <c r="L69" s="16">
        <f t="shared" si="11"/>
        <v>377.21318415635108</v>
      </c>
      <c r="M69" s="45"/>
    </row>
    <row r="70" spans="1:13" x14ac:dyDescent="0.25">
      <c r="A70" s="16">
        <v>2.23</v>
      </c>
      <c r="B70" s="45">
        <f t="shared" si="12"/>
        <v>2230</v>
      </c>
      <c r="C70" s="16">
        <f t="shared" si="13"/>
        <v>1.39375</v>
      </c>
      <c r="D70" s="15">
        <f t="shared" si="14"/>
        <v>6.8810610034000003E+19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2.7976680559949988E+40</v>
      </c>
      <c r="F70" s="15">
        <f t="shared" si="7"/>
        <v>1.1591039953442922E+40</v>
      </c>
      <c r="G70" s="15">
        <f t="shared" si="8"/>
        <v>1.3161515410559122E+40</v>
      </c>
      <c r="H70" s="15">
        <f t="shared" si="9"/>
        <v>5.272923592395203E+40</v>
      </c>
      <c r="I70" s="16">
        <v>209</v>
      </c>
      <c r="J70" s="45">
        <v>1</v>
      </c>
      <c r="K70" s="19">
        <f t="shared" si="10"/>
        <v>226.14851438369155</v>
      </c>
      <c r="L70" s="16">
        <f t="shared" si="11"/>
        <v>294.07154556767591</v>
      </c>
      <c r="M70" s="45"/>
    </row>
    <row r="71" spans="1:13" x14ac:dyDescent="0.25">
      <c r="A71" s="16">
        <v>2.54</v>
      </c>
      <c r="B71" s="45">
        <f t="shared" si="12"/>
        <v>2540</v>
      </c>
      <c r="C71" s="16">
        <f t="shared" si="13"/>
        <v>1.5874999999999999</v>
      </c>
      <c r="D71" s="15">
        <f t="shared" si="14"/>
        <v>7.8376210532000006E+19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3.0050908072649996E+40</v>
      </c>
      <c r="F71" s="15">
        <f t="shared" si="7"/>
        <v>1.4606807788797645E+40</v>
      </c>
      <c r="G71" s="15">
        <f t="shared" si="8"/>
        <v>1.6296624397633889E+40</v>
      </c>
      <c r="H71" s="15">
        <f t="shared" si="9"/>
        <v>6.095434025908153E+40</v>
      </c>
      <c r="I71" s="16">
        <v>214.27</v>
      </c>
      <c r="J71" s="45">
        <v>1</v>
      </c>
      <c r="K71" s="19">
        <f t="shared" si="10"/>
        <v>227.827366842321</v>
      </c>
      <c r="L71" s="16">
        <f t="shared" si="11"/>
        <v>183.80219569726455</v>
      </c>
      <c r="M71" s="45"/>
    </row>
    <row r="72" spans="1:13" x14ac:dyDescent="0.25">
      <c r="A72" s="16">
        <v>2.89</v>
      </c>
      <c r="B72" s="45">
        <f t="shared" si="12"/>
        <v>2890</v>
      </c>
      <c r="C72" s="16">
        <f t="shared" si="13"/>
        <v>1.8062499999999999</v>
      </c>
      <c r="D72" s="15">
        <f t="shared" si="14"/>
        <v>8.9176082061999997E+19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3.2110278500174986E+40</v>
      </c>
      <c r="F72" s="15">
        <f t="shared" si="7"/>
        <v>1.8301683295795038E+40</v>
      </c>
      <c r="G72" s="15">
        <f t="shared" si="8"/>
        <v>2.0048491261991723E+40</v>
      </c>
      <c r="H72" s="15">
        <f t="shared" si="9"/>
        <v>7.0460453057961745E+40</v>
      </c>
      <c r="I72" s="16">
        <v>218.34</v>
      </c>
      <c r="J72" s="45">
        <v>1</v>
      </c>
      <c r="K72" s="19">
        <f t="shared" si="10"/>
        <v>229.63824854605031</v>
      </c>
      <c r="L72" s="16">
        <f t="shared" si="11"/>
        <v>127.65042020832779</v>
      </c>
      <c r="M72" s="45"/>
    </row>
    <row r="73" spans="1:13" x14ac:dyDescent="0.25">
      <c r="A73" s="16">
        <v>3.27</v>
      </c>
      <c r="B73" s="45">
        <f t="shared" si="12"/>
        <v>3270</v>
      </c>
      <c r="C73" s="16">
        <f t="shared" si="13"/>
        <v>2.0437500000000002</v>
      </c>
      <c r="D73" s="15">
        <f t="shared" si="14"/>
        <v>1.0090165686599999E+20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3.4056693905999994E+40</v>
      </c>
      <c r="F73" s="15">
        <f t="shared" si="7"/>
        <v>2.2618084127017892E+40</v>
      </c>
      <c r="G73" s="15">
        <f t="shared" si="8"/>
        <v>2.4331219916548685E+40</v>
      </c>
      <c r="H73" s="15">
        <f t="shared" si="9"/>
        <v>8.1005997949566566E+40</v>
      </c>
      <c r="I73" s="16">
        <v>221.13</v>
      </c>
      <c r="J73" s="45">
        <v>1</v>
      </c>
      <c r="K73" s="19">
        <f t="shared" si="10"/>
        <v>231.4755600514261</v>
      </c>
      <c r="L73" s="16">
        <f t="shared" si="11"/>
        <v>107.03061277766372</v>
      </c>
      <c r="M73" s="45"/>
    </row>
    <row r="74" spans="1:13" x14ac:dyDescent="0.25">
      <c r="A74" s="16">
        <v>3.69</v>
      </c>
      <c r="B74" s="45">
        <f t="shared" si="12"/>
        <v>3690</v>
      </c>
      <c r="C74" s="16">
        <f t="shared" si="13"/>
        <v>2.3062499999999999</v>
      </c>
      <c r="D74" s="15">
        <f t="shared" si="14"/>
        <v>1.13861502702E+20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3.5934759857624994E+40</v>
      </c>
      <c r="F74" s="15">
        <f t="shared" si="7"/>
        <v>2.7704732130258271E+40</v>
      </c>
      <c r="G74" s="15">
        <f t="shared" si="8"/>
        <v>2.9267552280675546E+40</v>
      </c>
      <c r="H74" s="15">
        <f t="shared" si="9"/>
        <v>9.2907044268558801E+40</v>
      </c>
      <c r="I74" s="16">
        <v>223.05</v>
      </c>
      <c r="J74" s="45">
        <v>1</v>
      </c>
      <c r="K74" s="19">
        <f t="shared" si="10"/>
        <v>233.36276953186183</v>
      </c>
      <c r="L74" s="16">
        <f t="shared" si="11"/>
        <v>106.35321541729742</v>
      </c>
      <c r="M74" s="45"/>
    </row>
    <row r="75" spans="1:13" x14ac:dyDescent="0.25">
      <c r="A75" s="16">
        <v>4.1500000000000004</v>
      </c>
      <c r="B75" s="45">
        <f t="shared" si="12"/>
        <v>4150</v>
      </c>
      <c r="C75" s="16">
        <f t="shared" si="13"/>
        <v>2.59375</v>
      </c>
      <c r="D75" s="15">
        <f t="shared" si="14"/>
        <v>1.2805561957E+20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3.770982126029999E+40</v>
      </c>
      <c r="F75" s="15">
        <f t="shared" si="7"/>
        <v>3.3592477565355294E+40</v>
      </c>
      <c r="G75" s="15">
        <f t="shared" si="8"/>
        <v>3.4863551907722899E+40</v>
      </c>
      <c r="H75" s="15">
        <f t="shared" si="9"/>
        <v>1.0616585073337817E+41</v>
      </c>
      <c r="I75" s="16">
        <v>225.01</v>
      </c>
      <c r="J75" s="45">
        <v>1</v>
      </c>
      <c r="K75" s="19">
        <f t="shared" si="10"/>
        <v>235.22788584582531</v>
      </c>
      <c r="L75" s="16">
        <f t="shared" si="11"/>
        <v>104.40519115831745</v>
      </c>
      <c r="M75" s="45"/>
    </row>
    <row r="76" spans="1:13" x14ac:dyDescent="0.25">
      <c r="A76" s="16">
        <v>4.6500000000000004</v>
      </c>
      <c r="B76" s="45">
        <f t="shared" si="12"/>
        <v>4650</v>
      </c>
      <c r="C76" s="16">
        <f t="shared" si="13"/>
        <v>2.90625</v>
      </c>
      <c r="D76" s="15">
        <f t="shared" si="14"/>
        <v>1.4348400747000001E+20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3.9372613880774985E+40</v>
      </c>
      <c r="F76" s="15">
        <f t="shared" si="7"/>
        <v>4.0293108790278213E+40</v>
      </c>
      <c r="G76" s="15">
        <f t="shared" si="8"/>
        <v>4.1113458676914593E+40</v>
      </c>
      <c r="H76" s="15">
        <f t="shared" si="9"/>
        <v>1.207791813479678E+41</v>
      </c>
      <c r="I76" s="16">
        <v>227.75</v>
      </c>
      <c r="J76" s="45">
        <v>1</v>
      </c>
      <c r="K76" s="19">
        <f t="shared" si="10"/>
        <v>237.02272995925236</v>
      </c>
      <c r="L76" s="16">
        <f t="shared" si="11"/>
        <v>85.983520897216266</v>
      </c>
      <c r="M76" s="45"/>
    </row>
    <row r="77" spans="1:13" x14ac:dyDescent="0.25">
      <c r="A77" s="16">
        <v>5.21</v>
      </c>
      <c r="B77" s="45">
        <f t="shared" si="12"/>
        <v>5210</v>
      </c>
      <c r="C77" s="16">
        <f t="shared" si="13"/>
        <v>3.2562500000000001</v>
      </c>
      <c r="D77" s="15">
        <f t="shared" si="14"/>
        <v>1.6076380191800001E+20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4.0966610991374994E+40</v>
      </c>
      <c r="F77" s="15">
        <f t="shared" si="7"/>
        <v>4.8079884392079225E+40</v>
      </c>
      <c r="G77" s="15">
        <f t="shared" si="8"/>
        <v>4.8258065943869731E+40</v>
      </c>
      <c r="H77" s="15">
        <f t="shared" si="9"/>
        <v>1.3730456132732395E+41</v>
      </c>
      <c r="I77" s="16">
        <v>231.47</v>
      </c>
      <c r="J77" s="45">
        <v>1</v>
      </c>
      <c r="K77" s="19">
        <f t="shared" si="10"/>
        <v>238.75036949067112</v>
      </c>
      <c r="L77" s="16">
        <f t="shared" si="11"/>
        <v>53.003779920694861</v>
      </c>
      <c r="M77" s="45"/>
    </row>
    <row r="78" spans="1:13" x14ac:dyDescent="0.25">
      <c r="A78" s="16">
        <v>5.82</v>
      </c>
      <c r="B78" s="45">
        <f t="shared" si="12"/>
        <v>5820</v>
      </c>
      <c r="C78" s="16">
        <f t="shared" si="13"/>
        <v>3.6375000000000002</v>
      </c>
      <c r="D78" s="15">
        <f t="shared" si="14"/>
        <v>1.7958643515600001E+20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4.2447138400649987E+40</v>
      </c>
      <c r="F78" s="15">
        <f t="shared" si="7"/>
        <v>5.679713286748355E+40</v>
      </c>
      <c r="G78" s="15">
        <f t="shared" si="8"/>
        <v>5.6150416710733295E+40</v>
      </c>
      <c r="H78" s="15">
        <f t="shared" si="9"/>
        <v>1.5539468797886682E+41</v>
      </c>
      <c r="I78" s="16">
        <v>236.35</v>
      </c>
      <c r="J78" s="45">
        <v>1</v>
      </c>
      <c r="K78" s="19">
        <f t="shared" si="10"/>
        <v>240.31286637785084</v>
      </c>
      <c r="L78" s="16">
        <f t="shared" si="11"/>
        <v>15.704309928700669</v>
      </c>
      <c r="M78" s="45"/>
    </row>
    <row r="79" spans="1:13" x14ac:dyDescent="0.25">
      <c r="A79" s="16">
        <v>6.49</v>
      </c>
      <c r="B79" s="45">
        <f t="shared" si="12"/>
        <v>6490</v>
      </c>
      <c r="C79" s="16">
        <f t="shared" si="13"/>
        <v>4.0562500000000004</v>
      </c>
      <c r="D79" s="15">
        <f t="shared" si="14"/>
        <v>2.0026047494200001E+20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4.3825484748374995E+40</v>
      </c>
      <c r="F79" s="15">
        <f t="shared" si="7"/>
        <v>6.6536372986094109E+40</v>
      </c>
      <c r="G79" s="15">
        <f t="shared" si="8"/>
        <v>6.488596133858751E+40</v>
      </c>
      <c r="H79" s="15">
        <f t="shared" si="9"/>
        <v>1.7524781907305663E+41</v>
      </c>
      <c r="I79" s="16">
        <v>241.94</v>
      </c>
      <c r="J79" s="45">
        <v>1</v>
      </c>
      <c r="K79" s="19">
        <f t="shared" si="10"/>
        <v>241.67091930599366</v>
      </c>
      <c r="L79" s="16">
        <f t="shared" si="11"/>
        <v>7.2404419886930318E-2</v>
      </c>
      <c r="M79" s="45"/>
    </row>
    <row r="80" spans="1:13" x14ac:dyDescent="0.25">
      <c r="A80" s="16">
        <v>7.23</v>
      </c>
      <c r="B80" s="45">
        <f t="shared" si="12"/>
        <v>7230</v>
      </c>
      <c r="C80" s="16">
        <f t="shared" si="13"/>
        <v>4.5187499999999998</v>
      </c>
      <c r="D80" s="15">
        <f t="shared" si="14"/>
        <v>2.2309448903400001E+20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4.5108924173249985E+40</v>
      </c>
      <c r="F80" s="15">
        <f t="shared" si="7"/>
        <v>7.7360822632369295E+40</v>
      </c>
      <c r="G80" s="15">
        <f t="shared" si="8"/>
        <v>7.4550490728346621E+40</v>
      </c>
      <c r="H80" s="15">
        <f t="shared" si="9"/>
        <v>1.970202375339659E+41</v>
      </c>
      <c r="I80" s="16">
        <v>247.41</v>
      </c>
      <c r="J80" s="45">
        <v>1</v>
      </c>
      <c r="K80" s="19">
        <f t="shared" si="10"/>
        <v>242.7765312825735</v>
      </c>
      <c r="L80" s="16">
        <f t="shared" si="11"/>
        <v>21.469032355369936</v>
      </c>
      <c r="M80" s="45"/>
    </row>
    <row r="81" spans="1:13" x14ac:dyDescent="0.25">
      <c r="A81" s="16">
        <v>8.0500000000000007</v>
      </c>
      <c r="B81" s="45">
        <f t="shared" si="12"/>
        <v>8050.0000000000009</v>
      </c>
      <c r="C81" s="16">
        <f t="shared" si="13"/>
        <v>5.0312500000000009</v>
      </c>
      <c r="D81" s="15">
        <f t="shared" si="14"/>
        <v>2.4839704519000002E+20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4.6289702168924996E+40</v>
      </c>
      <c r="F81" s="15">
        <f t="shared" si="7"/>
        <v>8.9291566346130671E+40</v>
      </c>
      <c r="G81" s="15">
        <f t="shared" si="8"/>
        <v>8.5215634024629489E+40</v>
      </c>
      <c r="H81" s="15">
        <f t="shared" si="9"/>
        <v>2.2079690253968514E+41</v>
      </c>
      <c r="I81" s="16">
        <v>251.78</v>
      </c>
      <c r="J81" s="45">
        <v>1</v>
      </c>
      <c r="K81" s="19">
        <f t="shared" si="10"/>
        <v>243.56729873801081</v>
      </c>
      <c r="L81" s="16">
        <f t="shared" si="11"/>
        <v>67.448462018678924</v>
      </c>
      <c r="M81" s="45"/>
    </row>
    <row r="82" spans="1:13" x14ac:dyDescent="0.25">
      <c r="A82" s="16">
        <v>8.94</v>
      </c>
      <c r="B82" s="45">
        <f t="shared" si="12"/>
        <v>8940</v>
      </c>
      <c r="C82" s="16">
        <f t="shared" si="13"/>
        <v>5.5875000000000004</v>
      </c>
      <c r="D82" s="15">
        <f t="shared" si="14"/>
        <v>2.7585957565199997E+20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4.7302941653069988E+40</v>
      </c>
      <c r="F82" s="15">
        <f t="shared" si="7"/>
        <v>1.0201244118914595E+41</v>
      </c>
      <c r="G82" s="15">
        <f t="shared" si="8"/>
        <v>9.6679399927729776E+40</v>
      </c>
      <c r="H82" s="15">
        <f t="shared" si="9"/>
        <v>2.4599478276994571E+41</v>
      </c>
      <c r="I82" s="16">
        <v>254.66</v>
      </c>
      <c r="J82" s="45">
        <v>1</v>
      </c>
      <c r="K82" s="19">
        <f t="shared" si="10"/>
        <v>243.95775061056074</v>
      </c>
      <c r="L82" s="16">
        <f t="shared" si="11"/>
        <v>114.538141993753</v>
      </c>
      <c r="M82" s="45"/>
    </row>
    <row r="83" spans="1:13" x14ac:dyDescent="0.25">
      <c r="A83" s="16">
        <v>9.93</v>
      </c>
      <c r="B83" s="45">
        <f t="shared" si="12"/>
        <v>9930</v>
      </c>
      <c r="C83" s="16">
        <f t="shared" si="13"/>
        <v>6.2062499999999998</v>
      </c>
      <c r="D83" s="15">
        <f t="shared" si="14"/>
        <v>3.06407783694E+20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4.8329480458724992E+40</v>
      </c>
      <c r="F83" s="15">
        <f t="shared" si="7"/>
        <v>1.1572730703553551E+41</v>
      </c>
      <c r="G83" s="15">
        <f t="shared" si="8"/>
        <v>1.0924053591798334E+41</v>
      </c>
      <c r="H83" s="15">
        <f t="shared" si="9"/>
        <v>2.7329732341224382E+41</v>
      </c>
      <c r="I83" s="16">
        <v>256.64</v>
      </c>
      <c r="J83" s="45">
        <v>1</v>
      </c>
      <c r="K83" s="19">
        <f t="shared" si="10"/>
        <v>243.9852075231598</v>
      </c>
      <c r="L83" s="16">
        <f t="shared" si="11"/>
        <v>160.14377263189095</v>
      </c>
      <c r="M83" s="45"/>
    </row>
    <row r="84" spans="1:13" x14ac:dyDescent="0.25">
      <c r="A84" s="16">
        <v>11.01</v>
      </c>
      <c r="B84" s="45">
        <f t="shared" si="12"/>
        <v>11010</v>
      </c>
      <c r="C84" s="16">
        <f t="shared" si="13"/>
        <v>6.8812499999999996</v>
      </c>
      <c r="D84" s="15">
        <f t="shared" si="14"/>
        <v>3.3973310155799999E+20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4.9229963930624984E+40</v>
      </c>
      <c r="F84" s="15">
        <f t="shared" si="7"/>
        <v>1.3001861716294785E+41</v>
      </c>
      <c r="G84" s="15">
        <f t="shared" si="8"/>
        <v>1.2266932345363262E+41</v>
      </c>
      <c r="H84" s="15">
        <f t="shared" si="9"/>
        <v>3.0191790454720544E+41</v>
      </c>
      <c r="I84" s="16">
        <v>259.2</v>
      </c>
      <c r="J84" s="45">
        <v>1</v>
      </c>
      <c r="K84" s="19">
        <f t="shared" si="10"/>
        <v>243.54050731142121</v>
      </c>
      <c r="L84" s="16">
        <f t="shared" si="11"/>
        <v>245.21971126365227</v>
      </c>
      <c r="M84" s="45"/>
    </row>
    <row r="85" spans="1:13" x14ac:dyDescent="0.25">
      <c r="A85" s="16">
        <v>12.2</v>
      </c>
      <c r="B85" s="45">
        <f t="shared" si="12"/>
        <v>12200</v>
      </c>
      <c r="C85" s="16">
        <f t="shared" si="13"/>
        <v>7.625</v>
      </c>
      <c r="D85" s="15">
        <f t="shared" si="14"/>
        <v>3.7645266475999999E+20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5.0016634581449993E+40</v>
      </c>
      <c r="F85" s="15">
        <f t="shared" si="7"/>
        <v>1.4482655465831439E+41</v>
      </c>
      <c r="G85" s="15">
        <f t="shared" si="8"/>
        <v>1.3709964523380697E+41</v>
      </c>
      <c r="H85" s="15">
        <f t="shared" si="9"/>
        <v>3.3194283447357135E+41</v>
      </c>
      <c r="I85" s="16">
        <v>262.76</v>
      </c>
      <c r="J85" s="45">
        <v>1</v>
      </c>
      <c r="K85" s="19">
        <f t="shared" si="10"/>
        <v>242.58959266765373</v>
      </c>
      <c r="L85" s="16">
        <f t="shared" si="11"/>
        <v>406.84533195276771</v>
      </c>
      <c r="M85" s="45"/>
    </row>
    <row r="86" spans="1:13" x14ac:dyDescent="0.25">
      <c r="A86" s="16">
        <v>13.51</v>
      </c>
      <c r="B86" s="45">
        <f t="shared" si="12"/>
        <v>13510</v>
      </c>
      <c r="C86" s="16">
        <f t="shared" si="13"/>
        <v>8.4437499999999996</v>
      </c>
      <c r="D86" s="15">
        <f t="shared" si="14"/>
        <v>4.1687504105800001E+20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5.0736839505502486E+40</v>
      </c>
      <c r="F86" s="15">
        <f t="shared" si="7"/>
        <v>1.5989342698403249E+41</v>
      </c>
      <c r="G86" s="15">
        <f t="shared" si="8"/>
        <v>1.5251906007843372E+41</v>
      </c>
      <c r="H86" s="15">
        <f t="shared" si="9"/>
        <v>3.6314932656796867E+41</v>
      </c>
      <c r="I86" s="16">
        <v>265.97000000000003</v>
      </c>
      <c r="J86" s="45">
        <v>1</v>
      </c>
      <c r="K86" s="19">
        <f t="shared" si="10"/>
        <v>241.12119014279369</v>
      </c>
      <c r="L86" s="16">
        <f t="shared" si="11"/>
        <v>617.46335131959461</v>
      </c>
      <c r="M86" s="45"/>
    </row>
    <row r="87" spans="1:13" x14ac:dyDescent="0.25">
      <c r="A87" s="16">
        <v>14.95</v>
      </c>
      <c r="B87" s="45">
        <f t="shared" si="12"/>
        <v>14950</v>
      </c>
      <c r="C87" s="16">
        <f t="shared" si="13"/>
        <v>9.34375</v>
      </c>
      <c r="D87" s="15">
        <f t="shared" si="14"/>
        <v>4.6130879820999996E+20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5.1375834847124987E+40</v>
      </c>
      <c r="F87" s="15">
        <f t="shared" si="7"/>
        <v>1.7491704849198134E+41</v>
      </c>
      <c r="G87" s="15">
        <f t="shared" si="8"/>
        <v>1.6889800722393406E+41</v>
      </c>
      <c r="H87" s="15">
        <f t="shared" si="9"/>
        <v>3.9519089056304037E+41</v>
      </c>
      <c r="I87" s="16">
        <v>265.86</v>
      </c>
      <c r="J87" s="45">
        <v>1</v>
      </c>
      <c r="K87" s="19">
        <f t="shared" si="10"/>
        <v>239.11306029855623</v>
      </c>
      <c r="L87" s="16">
        <f t="shared" si="11"/>
        <v>715.39878339266943</v>
      </c>
      <c r="M87" s="45"/>
    </row>
    <row r="88" spans="1:13" x14ac:dyDescent="0.25">
      <c r="A88" s="16">
        <v>16.54</v>
      </c>
      <c r="B88" s="45">
        <f t="shared" si="12"/>
        <v>16540</v>
      </c>
      <c r="C88" s="16">
        <f t="shared" si="13"/>
        <v>10.3375</v>
      </c>
      <c r="D88" s="15">
        <f t="shared" si="14"/>
        <v>5.1037107173199997E+20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5.1937350317999987E+40</v>
      </c>
      <c r="F88" s="15">
        <f t="shared" si="7"/>
        <v>1.8965665395952324E+41</v>
      </c>
      <c r="G88" s="15">
        <f t="shared" si="8"/>
        <v>1.8629902632342505E+41</v>
      </c>
      <c r="H88" s="15">
        <f t="shared" si="9"/>
        <v>4.2789303060094827E+41</v>
      </c>
      <c r="I88" s="16">
        <v>260.45999999999998</v>
      </c>
      <c r="J88" s="45">
        <v>1</v>
      </c>
      <c r="K88" s="19">
        <f t="shared" si="10"/>
        <v>236.5485473452857</v>
      </c>
      <c r="L88" s="16">
        <f t="shared" si="11"/>
        <v>571.75756805864262</v>
      </c>
      <c r="M88" s="45"/>
    </row>
    <row r="89" spans="1:13" x14ac:dyDescent="0.25">
      <c r="A89" s="16">
        <v>18.29</v>
      </c>
      <c r="B89" s="45">
        <f t="shared" si="12"/>
        <v>18290</v>
      </c>
      <c r="C89" s="16">
        <f t="shared" si="13"/>
        <v>11.43125</v>
      </c>
      <c r="D89" s="15">
        <f t="shared" si="14"/>
        <v>5.6437042938199998E+20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5.2425743538952483E+40</v>
      </c>
      <c r="F89" s="15">
        <f t="shared" si="7"/>
        <v>2.0374689910382875E+41</v>
      </c>
      <c r="G89" s="15">
        <f t="shared" si="8"/>
        <v>2.0465079868644354E+41</v>
      </c>
      <c r="H89" s="15">
        <f t="shared" si="9"/>
        <v>4.6082344132922475E+41</v>
      </c>
      <c r="I89" s="16">
        <v>253.58</v>
      </c>
      <c r="J89" s="45">
        <v>1</v>
      </c>
      <c r="K89" s="19">
        <f t="shared" si="10"/>
        <v>233.44300240045922</v>
      </c>
      <c r="L89" s="16">
        <f t="shared" si="11"/>
        <v>405.49867232391159</v>
      </c>
      <c r="M89" s="45"/>
    </row>
    <row r="90" spans="1:13" x14ac:dyDescent="0.25">
      <c r="A90" s="16">
        <v>20.2</v>
      </c>
      <c r="B90" s="45">
        <f t="shared" si="12"/>
        <v>20200</v>
      </c>
      <c r="C90" s="16">
        <f t="shared" si="13"/>
        <v>12.625</v>
      </c>
      <c r="D90" s="15">
        <f t="shared" si="14"/>
        <v>6.2330687115999995E+20</v>
      </c>
      <c r="E90" s="15">
        <f>FORECAST($C90, OFFSET('De Vaucouleurs Deprojection'!$F$3:$F$126, MATCH($C90, 'De Vaucouleurs Deprojection'!$A$3:$A$126,1)-1,0,2), OFFSET('De Vaucouleurs Deprojection'!$A$3:$A$126, MATCH($C90, 'De Vaucouleurs Deprojection'!$A$3:$A$126,1)-1,0,2))*LCDMTotalBulgeMass</f>
        <v>5.2846754903399987E+40</v>
      </c>
      <c r="F90" s="15">
        <f t="shared" si="7"/>
        <v>2.1678686324146197E+41</v>
      </c>
      <c r="G90" s="15">
        <f t="shared" si="8"/>
        <v>2.2377355969822491E+41</v>
      </c>
      <c r="H90" s="15">
        <f t="shared" si="9"/>
        <v>4.9340717784308689E+41</v>
      </c>
      <c r="I90" s="16">
        <v>246.21</v>
      </c>
      <c r="J90" s="45">
        <v>1</v>
      </c>
      <c r="K90" s="19">
        <f t="shared" si="10"/>
        <v>229.85157202470151</v>
      </c>
      <c r="L90" s="16">
        <f t="shared" si="11"/>
        <v>267.59816582302847</v>
      </c>
      <c r="M90" s="45"/>
    </row>
    <row r="91" spans="1:13" x14ac:dyDescent="0.25">
      <c r="A91" s="16">
        <v>22.32</v>
      </c>
      <c r="B91" s="45">
        <f t="shared" si="12"/>
        <v>22320</v>
      </c>
      <c r="C91" s="16">
        <f t="shared" si="13"/>
        <v>13.95</v>
      </c>
      <c r="D91" s="15">
        <f t="shared" si="14"/>
        <v>6.8872323585599996E+20</v>
      </c>
      <c r="E91" s="15">
        <f>FORECAST($C91, OFFSET('De Vaucouleurs Deprojection'!$F$3:$F$126, MATCH($C91, 'De Vaucouleurs Deprojection'!$A$3:$A$126,1)-1,0,2), OFFSET('De Vaucouleurs Deprojection'!$A$3:$A$126, MATCH($C91, 'De Vaucouleurs Deprojection'!$A$3:$A$126,1)-1,0,2))*LCDMTotalBulgeMass</f>
        <v>5.3215979203979982E+40</v>
      </c>
      <c r="F91" s="15">
        <f t="shared" si="7"/>
        <v>2.2873236790615811E+41</v>
      </c>
      <c r="G91" s="15">
        <f t="shared" si="8"/>
        <v>2.4396414079303271E+41</v>
      </c>
      <c r="H91" s="15">
        <f t="shared" si="9"/>
        <v>5.2591248790317077E+41</v>
      </c>
      <c r="I91" s="16">
        <v>237.17</v>
      </c>
      <c r="J91" s="45">
        <v>1</v>
      </c>
      <c r="K91" s="19">
        <f t="shared" si="10"/>
        <v>225.75120549033426</v>
      </c>
      <c r="L91" s="16">
        <f t="shared" si="11"/>
        <v>130.38886805397223</v>
      </c>
      <c r="M91" s="45"/>
    </row>
    <row r="92" spans="1:13" x14ac:dyDescent="0.25">
      <c r="A92" s="16">
        <v>24.64</v>
      </c>
      <c r="B92" s="45">
        <f t="shared" si="12"/>
        <v>24640</v>
      </c>
      <c r="C92" s="16">
        <f t="shared" si="13"/>
        <v>15.4</v>
      </c>
      <c r="D92" s="15">
        <f t="shared" si="14"/>
        <v>7.6031095571200003E+20</v>
      </c>
      <c r="E92" s="15">
        <f>FORECAST($C92, OFFSET('De Vaucouleurs Deprojection'!$F$3:$F$126, MATCH($C92, 'De Vaucouleurs Deprojection'!$A$3:$A$126,1)-1,0,2), OFFSET('De Vaucouleurs Deprojection'!$A$3:$A$126, MATCH($C92, 'De Vaucouleurs Deprojection'!$A$3:$A$126,1)-1,0,2))*LCDMTotalBulgeMass</f>
        <v>5.350199833766399E+40</v>
      </c>
      <c r="F92" s="15">
        <f t="shared" si="7"/>
        <v>2.3920378842054193E+41</v>
      </c>
      <c r="G92" s="15">
        <f t="shared" si="8"/>
        <v>2.6490943881587359E+41</v>
      </c>
      <c r="H92" s="15">
        <f t="shared" si="9"/>
        <v>5.5761522557407955E+41</v>
      </c>
      <c r="I92" s="16">
        <v>228.29</v>
      </c>
      <c r="J92" s="45">
        <v>1</v>
      </c>
      <c r="K92" s="19">
        <f t="shared" si="10"/>
        <v>221.24190616387332</v>
      </c>
      <c r="L92" s="16">
        <f t="shared" si="11"/>
        <v>49.675626722846729</v>
      </c>
      <c r="M92" s="45"/>
    </row>
    <row r="93" spans="1:13" x14ac:dyDescent="0.25">
      <c r="A93" s="16">
        <v>27.19</v>
      </c>
      <c r="B93" s="45">
        <f t="shared" si="12"/>
        <v>27190</v>
      </c>
      <c r="C93" s="16">
        <f t="shared" si="13"/>
        <v>16.993749999999999</v>
      </c>
      <c r="D93" s="15">
        <f t="shared" si="14"/>
        <v>8.3899573400200007E+20</v>
      </c>
      <c r="E93" s="15">
        <f>FORECAST($C93, OFFSET('De Vaucouleurs Deprojection'!$F$3:$F$126, MATCH($C93, 'De Vaucouleurs Deprojection'!$A$3:$A$126,1)-1,0,2), OFFSET('De Vaucouleurs Deprojection'!$A$3:$A$126, MATCH($C93, 'De Vaucouleurs Deprojection'!$A$3:$A$126,1)-1,0,2))*LCDMTotalBulgeMass</f>
        <v>5.371863728541898E+40</v>
      </c>
      <c r="F93" s="15">
        <f t="shared" si="7"/>
        <v>2.4813603157017401E+41</v>
      </c>
      <c r="G93" s="15">
        <f t="shared" si="8"/>
        <v>2.866670197551627E+41</v>
      </c>
      <c r="H93" s="15">
        <f t="shared" si="9"/>
        <v>5.8852168861075573E+41</v>
      </c>
      <c r="I93" s="16">
        <v>222.85</v>
      </c>
      <c r="J93" s="45">
        <v>1</v>
      </c>
      <c r="K93" s="19">
        <f t="shared" si="10"/>
        <v>216.37000940045871</v>
      </c>
      <c r="L93" s="16">
        <f t="shared" si="11"/>
        <v>41.990278170143377</v>
      </c>
      <c r="M93" s="45"/>
    </row>
    <row r="94" spans="1:13" x14ac:dyDescent="0.25">
      <c r="H94" s="15"/>
      <c r="K94" s="45"/>
      <c r="L94" s="16">
        <f>SUM(L58:L93)/(COUNT(L58:L93)-6)</f>
        <v>402.50128636891884</v>
      </c>
      <c r="M94" s="45"/>
    </row>
    <row r="95" spans="1:13" x14ac:dyDescent="0.25">
      <c r="H95" s="15"/>
      <c r="K95" s="45"/>
      <c r="L95" s="17"/>
      <c r="M95" s="45"/>
    </row>
    <row r="96" spans="1:13" x14ac:dyDescent="0.25">
      <c r="I96" s="45"/>
      <c r="J96" s="45"/>
      <c r="L96" s="16"/>
    </row>
    <row r="97" spans="1:29" x14ac:dyDescent="0.25">
      <c r="I97" s="45"/>
      <c r="J97" s="45"/>
      <c r="L97" s="16"/>
    </row>
    <row r="98" spans="1:29" x14ac:dyDescent="0.25">
      <c r="I98" s="45"/>
      <c r="J98" s="45"/>
      <c r="L98" s="16"/>
    </row>
    <row r="99" spans="1:29" x14ac:dyDescent="0.25">
      <c r="I99" s="45"/>
      <c r="J99" s="45"/>
      <c r="L99" s="16"/>
    </row>
    <row r="100" spans="1:29" x14ac:dyDescent="0.25">
      <c r="I100" s="45"/>
      <c r="J100" s="45"/>
      <c r="L100" s="16"/>
    </row>
    <row r="101" spans="1:29" x14ac:dyDescent="0.25">
      <c r="I101" s="45"/>
      <c r="J101" s="45"/>
      <c r="L101" s="16"/>
    </row>
    <row r="102" spans="1:29" x14ac:dyDescent="0.25">
      <c r="I102" s="45"/>
      <c r="J102" s="45"/>
      <c r="L102" s="16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x14ac:dyDescent="0.25">
      <c r="L551" s="16"/>
    </row>
    <row r="552" spans="1:29" x14ac:dyDescent="0.25">
      <c r="L552" s="16"/>
      <c r="N552" s="17"/>
      <c r="O552" s="38"/>
    </row>
    <row r="553" spans="1:29" x14ac:dyDescent="0.25">
      <c r="L553" s="16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C553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357.37238532438801</v>
      </c>
      <c r="E2" s="55"/>
      <c r="F2" s="53" t="s">
        <v>620</v>
      </c>
      <c r="G2" s="53">
        <v>17377943207</v>
      </c>
      <c r="H2" s="62" t="s">
        <v>623</v>
      </c>
      <c r="K2" s="51" t="s">
        <v>1</v>
      </c>
      <c r="L2" s="60" t="s">
        <v>590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1.5966442113605399E+40</v>
      </c>
      <c r="E3" s="53"/>
      <c r="F3" s="53" t="s">
        <v>621</v>
      </c>
      <c r="G3" s="53">
        <f>H38/SolarMass</f>
        <v>99943027895.086548</v>
      </c>
      <c r="H3" s="62"/>
      <c r="K3" s="51" t="s">
        <v>562</v>
      </c>
      <c r="L3" s="57">
        <v>1.3300000000000001E-4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4270.7381737635396</v>
      </c>
      <c r="E4" s="55"/>
      <c r="F4" s="53" t="s">
        <v>622</v>
      </c>
      <c r="G4" s="52">
        <f>G3/G2</f>
        <v>5.7511425089033867</v>
      </c>
      <c r="H4" s="62"/>
      <c r="K4" s="61" t="s">
        <v>614</v>
      </c>
      <c r="L4" s="52">
        <f>QEHModelChiSquare</f>
        <v>124.41741662102707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892.622041218086</v>
      </c>
      <c r="F5" s="53"/>
      <c r="G5" s="52"/>
      <c r="H5" s="62"/>
      <c r="K5" s="61" t="s">
        <v>615</v>
      </c>
      <c r="L5" s="52">
        <f>LCDMModelChiSquare</f>
        <v>199.42891337979026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38" si="0">RadiusKpc*1000</f>
        <v>90</v>
      </c>
      <c r="C8" s="16">
        <f t="shared" ref="C8:C38" si="1">IF(QESBulgeEffectiveRadius=0,0,RadiusPc/QESBulgeEffectiveRadius)</f>
        <v>0.25183814893337864</v>
      </c>
      <c r="D8" s="15">
        <f t="shared" ref="D8:D38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2.0287735967841638E+39</v>
      </c>
      <c r="F8" s="15">
        <f t="shared" ref="F8:F38" si="3">2*PI()*QESDiskSurfaceDensity*QESDiskScaleLength*(QESDiskScaleLength-EXP(-RadiusPc/QESDiskScaleLength)*(RadiusPc+QESDiskScaleLength))*SolarMass</f>
        <v>4.455157215301266E+37</v>
      </c>
      <c r="H8" s="18">
        <f t="shared" ref="H8:H38" si="4">BulgeMass+DiskMass+HaloMass</f>
        <v>2.0733251689371765E+39</v>
      </c>
      <c r="I8" s="16">
        <v>201.68</v>
      </c>
      <c r="J8" s="45">
        <v>1</v>
      </c>
      <c r="K8" s="19">
        <f t="shared" ref="K8:K38" si="5">SQRT(TotalMass*GravitationalConstant/RadiusKm+UniverseAcceleration*RadiusKm)/km</f>
        <v>223.44661358733305</v>
      </c>
      <c r="L8" s="16">
        <f t="shared" ref="L8:L38" si="6">(ObservedVelocity-ModelVelocity)^2/(VelocityError)^2</f>
        <v>473.78546706027134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0.5316583144149104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4.1131626380056279E+39</v>
      </c>
      <c r="F9" s="15">
        <f t="shared" si="3"/>
        <v>1.9548993265438134E+38</v>
      </c>
      <c r="H9" s="18">
        <f t="shared" si="4"/>
        <v>4.3086525706600095E+39</v>
      </c>
      <c r="I9" s="16">
        <v>232.77</v>
      </c>
      <c r="J9" s="45">
        <v>1</v>
      </c>
      <c r="K9" s="19">
        <f t="shared" si="5"/>
        <v>221.95187102912408</v>
      </c>
      <c r="L9" s="16">
        <f t="shared" si="6"/>
        <v>117.03191443050515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0.83946049644459542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5.8736777276793024E+39</v>
      </c>
      <c r="F10" s="15">
        <f t="shared" si="3"/>
        <v>4.7911324024399915E+38</v>
      </c>
      <c r="H10" s="18">
        <f t="shared" si="4"/>
        <v>6.3527909679233014E+39</v>
      </c>
      <c r="I10" s="16">
        <v>230.6</v>
      </c>
      <c r="J10" s="45">
        <v>1</v>
      </c>
      <c r="K10" s="19">
        <f t="shared" si="5"/>
        <v>214.80116417985656</v>
      </c>
      <c r="L10" s="16">
        <f t="shared" si="6"/>
        <v>249.60321327184738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1.1752446950224336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7.3519932250519893E+39</v>
      </c>
      <c r="F11" s="15">
        <f t="shared" si="3"/>
        <v>9.2175702020699303E+38</v>
      </c>
      <c r="H11" s="18">
        <f t="shared" si="4"/>
        <v>8.2737502452589824E+39</v>
      </c>
      <c r="I11" s="16">
        <v>221.22</v>
      </c>
      <c r="J11" s="45">
        <v>1</v>
      </c>
      <c r="K11" s="19">
        <f t="shared" si="5"/>
        <v>207.55932533175209</v>
      </c>
      <c r="L11" s="16">
        <f t="shared" si="6"/>
        <v>186.61403239171005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1.5669929266965781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8.6783132860250097E+39</v>
      </c>
      <c r="F12" s="15">
        <f t="shared" si="3"/>
        <v>1.6035932915637468E+39</v>
      </c>
      <c r="H12" s="18">
        <f t="shared" si="4"/>
        <v>1.0281906577588757E+40</v>
      </c>
      <c r="I12" s="16">
        <v>208.89</v>
      </c>
      <c r="J12" s="45">
        <v>1</v>
      </c>
      <c r="K12" s="19">
        <f t="shared" si="5"/>
        <v>200.85457491787824</v>
      </c>
      <c r="L12" s="16">
        <f t="shared" si="6"/>
        <v>64.568056250391294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1.9587411583707226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9.7105118403686923E+39</v>
      </c>
      <c r="F13" s="15">
        <f t="shared" si="3"/>
        <v>2.452115561585107E+39</v>
      </c>
      <c r="H13" s="18">
        <f t="shared" si="4"/>
        <v>1.21626274019538E+40</v>
      </c>
      <c r="I13" s="16">
        <v>197.11</v>
      </c>
      <c r="J13" s="45">
        <v>1</v>
      </c>
      <c r="K13" s="19">
        <f t="shared" si="5"/>
        <v>195.87961496390108</v>
      </c>
      <c r="L13" s="16">
        <f t="shared" si="6"/>
        <v>1.5138473370561831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2.4064534231411736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1.0639633383569571E+40</v>
      </c>
      <c r="F14" s="15">
        <f t="shared" si="3"/>
        <v>3.6112854617431062E+39</v>
      </c>
      <c r="H14" s="18">
        <f t="shared" si="4"/>
        <v>1.4250918845312677E+40</v>
      </c>
      <c r="I14" s="16">
        <v>189.74</v>
      </c>
      <c r="J14" s="45">
        <v>1</v>
      </c>
      <c r="K14" s="19">
        <f t="shared" si="5"/>
        <v>191.85703555278232</v>
      </c>
      <c r="L14" s="16">
        <f t="shared" si="6"/>
        <v>4.4818395317443089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2.9101297210079307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1.1456280318594254E+40</v>
      </c>
      <c r="F15" s="15">
        <f t="shared" si="3"/>
        <v>5.1375754319639374E+39</v>
      </c>
      <c r="H15" s="18">
        <f t="shared" si="4"/>
        <v>1.6593855750558192E+40</v>
      </c>
      <c r="I15" s="16">
        <v>185.79</v>
      </c>
      <c r="J15" s="45">
        <v>1</v>
      </c>
      <c r="K15" s="19">
        <f t="shared" si="5"/>
        <v>188.89420845235637</v>
      </c>
      <c r="L15" s="16">
        <f t="shared" si="6"/>
        <v>9.6361101156807578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3.4417880354228414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1.2132676734000185E+40</v>
      </c>
      <c r="F16" s="15">
        <f t="shared" si="3"/>
        <v>6.9808956394343652E+39</v>
      </c>
      <c r="H16" s="18">
        <f t="shared" si="4"/>
        <v>1.911357237343455E+40</v>
      </c>
      <c r="I16" s="16">
        <v>182.6</v>
      </c>
      <c r="J16" s="45">
        <v>1</v>
      </c>
      <c r="K16" s="19">
        <f t="shared" si="5"/>
        <v>187.06879816619013</v>
      </c>
      <c r="L16" s="16">
        <f t="shared" si="6"/>
        <v>19.970157050144362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4.057392399482211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1.2746869728949121E+40</v>
      </c>
      <c r="F17" s="15">
        <f t="shared" si="3"/>
        <v>9.3825352228648939E+39</v>
      </c>
      <c r="H17" s="18">
        <f t="shared" si="4"/>
        <v>2.2129404951814014E+40</v>
      </c>
      <c r="I17" s="16">
        <v>180.59</v>
      </c>
      <c r="J17" s="45">
        <v>1</v>
      </c>
      <c r="K17" s="19">
        <f t="shared" si="5"/>
        <v>186.12189107242571</v>
      </c>
      <c r="L17" s="16">
        <f t="shared" si="6"/>
        <v>30.601818837183249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4.7009787800897342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1.3249619403148223E+40</v>
      </c>
      <c r="F18" s="15">
        <f t="shared" si="3"/>
        <v>1.216459357224346E+40</v>
      </c>
      <c r="H18" s="18">
        <f t="shared" si="4"/>
        <v>2.5414212975391683E+40</v>
      </c>
      <c r="I18" s="16">
        <v>179.86</v>
      </c>
      <c r="J18" s="45">
        <v>1</v>
      </c>
      <c r="K18" s="19">
        <f t="shared" si="5"/>
        <v>186.03763854604648</v>
      </c>
      <c r="L18" s="16">
        <f t="shared" si="6"/>
        <v>38.163218005599106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5.4285112103417168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1.3672990466803359E+40</v>
      </c>
      <c r="F19" s="15">
        <f t="shared" si="3"/>
        <v>1.5598957136179675E+40</v>
      </c>
      <c r="H19" s="18">
        <f t="shared" si="4"/>
        <v>2.9271947602983034E+40</v>
      </c>
      <c r="I19" s="16">
        <v>180.13</v>
      </c>
      <c r="J19" s="45">
        <v>1</v>
      </c>
      <c r="K19" s="19">
        <f t="shared" si="5"/>
        <v>186.59710291987915</v>
      </c>
      <c r="L19" s="16">
        <f t="shared" si="6"/>
        <v>41.823420176309469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6.2399896902381595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1.4068858401259385E+40</v>
      </c>
      <c r="F20" s="15">
        <f t="shared" si="3"/>
        <v>1.9736328363887298E+40</v>
      </c>
      <c r="G20" s="15"/>
      <c r="H20" s="18">
        <f t="shared" si="4"/>
        <v>3.3805186765146681E+40</v>
      </c>
      <c r="I20" s="16">
        <v>180.52</v>
      </c>
      <c r="J20" s="45">
        <v>1</v>
      </c>
      <c r="K20" s="19">
        <f t="shared" si="5"/>
        <v>187.87653392021147</v>
      </c>
      <c r="L20" s="16">
        <f t="shared" si="6"/>
        <v>54.118591319221814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7.1074322032309079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1.4395137981330856E+40</v>
      </c>
      <c r="F21" s="15">
        <f t="shared" si="3"/>
        <v>2.4452347486262716E+40</v>
      </c>
      <c r="G21" s="15"/>
      <c r="H21" s="18">
        <f t="shared" si="4"/>
        <v>3.8847485467593572E+40</v>
      </c>
      <c r="I21" s="16">
        <v>181.33</v>
      </c>
      <c r="J21" s="45">
        <v>1</v>
      </c>
      <c r="K21" s="19">
        <f t="shared" si="5"/>
        <v>189.57433042732811</v>
      </c>
      <c r="L21" s="16">
        <f t="shared" si="6"/>
        <v>67.968984194967845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8.0868027824162692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1.4675603985596361E+40</v>
      </c>
      <c r="F22" s="15">
        <f t="shared" si="3"/>
        <v>3.0062706943339401E+40</v>
      </c>
      <c r="G22" s="15"/>
      <c r="H22" s="18">
        <f t="shared" si="4"/>
        <v>4.4738310928935762E+40</v>
      </c>
      <c r="I22" s="16">
        <v>183.09</v>
      </c>
      <c r="J22" s="45">
        <v>1</v>
      </c>
      <c r="K22" s="19">
        <f t="shared" si="5"/>
        <v>191.66317794636939</v>
      </c>
      <c r="L22" s="16">
        <f t="shared" si="6"/>
        <v>73.499380100114365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9.1501194112460897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1.4907552792883572E+40</v>
      </c>
      <c r="F23" s="15">
        <f t="shared" si="3"/>
        <v>3.6406905744456546E+40</v>
      </c>
      <c r="G23" s="15"/>
      <c r="H23" s="18">
        <f t="shared" si="4"/>
        <v>5.1314458537340114E+40</v>
      </c>
      <c r="I23" s="16">
        <v>187.84</v>
      </c>
      <c r="J23" s="45">
        <v>1</v>
      </c>
      <c r="K23" s="19">
        <f t="shared" si="5"/>
        <v>193.9616948970708</v>
      </c>
      <c r="L23" s="16">
        <f t="shared" si="6"/>
        <v>37.475148412822627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10.325364106268523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1.5103347411582496E+40</v>
      </c>
      <c r="F24" s="15">
        <f t="shared" si="3"/>
        <v>4.3621205524325981E+40</v>
      </c>
      <c r="G24" s="15"/>
      <c r="H24" s="18">
        <f t="shared" si="4"/>
        <v>5.8724552935908475E+40</v>
      </c>
      <c r="I24" s="16">
        <v>196.41</v>
      </c>
      <c r="J24" s="45">
        <v>1</v>
      </c>
      <c r="K24" s="19">
        <f t="shared" si="5"/>
        <v>196.40250149419575</v>
      </c>
      <c r="L24" s="16">
        <f t="shared" si="6"/>
        <v>5.6227589296371604E-5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11.61253686748357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1.526767296394667E+40</v>
      </c>
      <c r="F25" s="15">
        <f t="shared" si="3"/>
        <v>5.1650412547185258E+40</v>
      </c>
      <c r="G25" s="15"/>
      <c r="H25" s="18">
        <f t="shared" si="4"/>
        <v>6.6918085511131925E+40</v>
      </c>
      <c r="I25" s="16">
        <v>203.97</v>
      </c>
      <c r="J25" s="45">
        <v>1</v>
      </c>
      <c r="K25" s="19">
        <f t="shared" si="5"/>
        <v>198.86293826366219</v>
      </c>
      <c r="L25" s="16">
        <f t="shared" si="6"/>
        <v>26.082079578765786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13.011637694891229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1.5405153729052254E+40</v>
      </c>
      <c r="F26" s="15">
        <f t="shared" si="3"/>
        <v>6.0405367541468054E+40</v>
      </c>
      <c r="G26" s="15"/>
      <c r="H26" s="18">
        <f t="shared" si="4"/>
        <v>7.5810521270520305E+40</v>
      </c>
      <c r="I26" s="16">
        <v>206.6</v>
      </c>
      <c r="J26" s="45">
        <v>1</v>
      </c>
      <c r="K26" s="19">
        <f t="shared" si="5"/>
        <v>201.2340915645637</v>
      </c>
      <c r="L26" s="16">
        <f t="shared" si="6"/>
        <v>28.792973337486398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14.578630621587807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1.5517512860361993E+40</v>
      </c>
      <c r="F27" s="15">
        <f t="shared" si="3"/>
        <v>7.0109921884393413E+40</v>
      </c>
      <c r="G27" s="15"/>
      <c r="H27" s="18">
        <f t="shared" si="4"/>
        <v>8.5627434744755409E+40</v>
      </c>
      <c r="I27" s="16">
        <v>210.05</v>
      </c>
      <c r="J27" s="45">
        <v>1</v>
      </c>
      <c r="K27" s="19">
        <f t="shared" si="5"/>
        <v>203.49573103445289</v>
      </c>
      <c r="L27" s="16">
        <f t="shared" si="6"/>
        <v>42.95844167273416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16.28553363102515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1.5595110270324496E+40</v>
      </c>
      <c r="F28" s="15">
        <f t="shared" si="3"/>
        <v>8.04221434069067E+40</v>
      </c>
      <c r="G28" s="15"/>
      <c r="H28" s="18">
        <f t="shared" si="4"/>
        <v>9.6017253677231199E+40</v>
      </c>
      <c r="I28" s="16">
        <v>218.64</v>
      </c>
      <c r="J28" s="45">
        <v>1</v>
      </c>
      <c r="K28" s="19">
        <f t="shared" si="5"/>
        <v>205.50499832842146</v>
      </c>
      <c r="L28" s="16">
        <f t="shared" si="6"/>
        <v>172.52826891237055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18.160328739751414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1.5669226377888487E+40</v>
      </c>
      <c r="F29" s="15">
        <f t="shared" si="3"/>
        <v>9.1304615213853186E+40</v>
      </c>
      <c r="G29" s="15"/>
      <c r="H29" s="18">
        <f t="shared" si="4"/>
        <v>1.0697384159174167E+41</v>
      </c>
      <c r="I29" s="16">
        <v>228.82</v>
      </c>
      <c r="J29" s="45">
        <v>1</v>
      </c>
      <c r="K29" s="19">
        <f t="shared" si="5"/>
        <v>207.25322299969611</v>
      </c>
      <c r="L29" s="16">
        <f t="shared" si="6"/>
        <v>465.12587018083673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20.230997964314749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1.5746084738988768E+40</v>
      </c>
      <c r="F30" s="15">
        <f t="shared" si="3"/>
        <v>1.0266329951923429E+41</v>
      </c>
      <c r="G30" s="15"/>
      <c r="H30" s="18">
        <f t="shared" si="4"/>
        <v>1.1840938425822305E+41</v>
      </c>
      <c r="I30" s="16">
        <v>231.98</v>
      </c>
      <c r="J30" s="45">
        <v>1</v>
      </c>
      <c r="K30" s="19">
        <f t="shared" si="5"/>
        <v>208.70714607595843</v>
      </c>
      <c r="L30" s="16">
        <f t="shared" si="6"/>
        <v>541.6257297697764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22.525523321263314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1.5787116394033478E+40</v>
      </c>
      <c r="F31" s="15">
        <f t="shared" si="3"/>
        <v>1.1434255140990849E+41</v>
      </c>
      <c r="G31" s="15"/>
      <c r="H31" s="18">
        <f t="shared" si="4"/>
        <v>1.3012966780394197E+41</v>
      </c>
      <c r="I31" s="16">
        <v>228.83</v>
      </c>
      <c r="J31" s="45">
        <v>1</v>
      </c>
      <c r="K31" s="19">
        <f t="shared" si="5"/>
        <v>209.81444708171145</v>
      </c>
      <c r="L31" s="16">
        <f t="shared" si="6"/>
        <v>361.59125278823268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25.015922794048944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1.5831540415357753E+40</v>
      </c>
      <c r="F32" s="15">
        <f t="shared" si="3"/>
        <v>1.2588213137519979E+41</v>
      </c>
      <c r="G32" s="15"/>
      <c r="H32" s="18">
        <f t="shared" si="4"/>
        <v>1.4171367179055753E+41</v>
      </c>
      <c r="I32" s="16">
        <v>222.73</v>
      </c>
      <c r="J32" s="45">
        <v>1</v>
      </c>
      <c r="K32" s="19">
        <f t="shared" si="5"/>
        <v>210.58348355557243</v>
      </c>
      <c r="L32" s="16">
        <f t="shared" si="6"/>
        <v>147.53786173474916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27.786142432316108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1.5861882573684261E+40</v>
      </c>
      <c r="F33" s="15">
        <f t="shared" si="3"/>
        <v>1.3732462564144439E+41</v>
      </c>
      <c r="G33" s="15"/>
      <c r="H33" s="18">
        <f t="shared" si="4"/>
        <v>1.5318650821512865E+41</v>
      </c>
      <c r="I33" s="16">
        <v>216.86</v>
      </c>
      <c r="J33" s="45">
        <v>1</v>
      </c>
      <c r="K33" s="19">
        <f t="shared" si="5"/>
        <v>211.04532505005309</v>
      </c>
      <c r="L33" s="16">
        <f t="shared" si="6"/>
        <v>33.810444773540212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30.808200219516653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1.5890724762973482E+40</v>
      </c>
      <c r="F34" s="15">
        <f t="shared" si="3"/>
        <v>1.4819851988440824E+41</v>
      </c>
      <c r="G34" s="15"/>
      <c r="H34" s="18">
        <f t="shared" si="4"/>
        <v>1.6408924464738172E+41</v>
      </c>
      <c r="I34" s="16">
        <v>213.28</v>
      </c>
      <c r="J34" s="45">
        <v>1</v>
      </c>
      <c r="K34" s="19">
        <f t="shared" si="5"/>
        <v>211.24442325003633</v>
      </c>
      <c r="L34" s="16">
        <f t="shared" si="6"/>
        <v>4.1435727049926454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34.138060188746877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1.5909651864827944E+40</v>
      </c>
      <c r="F35" s="15">
        <f t="shared" si="3"/>
        <v>1.5838315231380823E+41</v>
      </c>
      <c r="G35" s="15"/>
      <c r="H35" s="18">
        <f t="shared" si="4"/>
        <v>1.7429280417863619E+41</v>
      </c>
      <c r="I35" s="16">
        <v>211.43</v>
      </c>
      <c r="J35" s="45">
        <v>1</v>
      </c>
      <c r="K35" s="19">
        <f t="shared" si="5"/>
        <v>211.25322870521603</v>
      </c>
      <c r="L35" s="16">
        <f t="shared" si="6"/>
        <v>3.1248090659603153E-2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37.803704356554945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1.5924130925965074E+40</v>
      </c>
      <c r="F36" s="15">
        <f t="shared" si="3"/>
        <v>1.676553655308354E+41</v>
      </c>
      <c r="G36" s="15"/>
      <c r="H36" s="18">
        <f t="shared" si="4"/>
        <v>1.835794964568005E+41</v>
      </c>
      <c r="I36" s="16">
        <v>211.87</v>
      </c>
      <c r="J36" s="45">
        <v>1</v>
      </c>
      <c r="K36" s="19">
        <f t="shared" si="5"/>
        <v>211.16940157872315</v>
      </c>
      <c r="L36" s="16">
        <f t="shared" si="6"/>
        <v>0.49083814789561603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41.833114739489005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1.5935557224728076E+40</v>
      </c>
      <c r="F37" s="15">
        <f t="shared" si="3"/>
        <v>1.7583687507533896E+41</v>
      </c>
      <c r="G37" s="15"/>
      <c r="H37" s="18">
        <f t="shared" si="4"/>
        <v>1.9177243230006703E+41</v>
      </c>
      <c r="I37" s="16">
        <v>206.72</v>
      </c>
      <c r="J37" s="45">
        <v>1</v>
      </c>
      <c r="K37" s="19">
        <f t="shared" si="5"/>
        <v>211.10952719797183</v>
      </c>
      <c r="L37" s="16">
        <f t="shared" si="6"/>
        <v>19.267949021734427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46.282255370645359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1.5944134414955079E+40</v>
      </c>
      <c r="F38" s="15">
        <f t="shared" si="3"/>
        <v>1.8285254237116157E+41</v>
      </c>
      <c r="G38" s="15"/>
      <c r="H38" s="18">
        <f t="shared" si="4"/>
        <v>1.9879667678611663E+41</v>
      </c>
      <c r="I38" s="16">
        <v>204.54</v>
      </c>
      <c r="J38" s="45">
        <v>1</v>
      </c>
      <c r="K38" s="19">
        <f t="shared" si="5"/>
        <v>211.20546797612877</v>
      </c>
      <c r="L38" s="16">
        <f t="shared" si="6"/>
        <v>44.428463340798309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x14ac:dyDescent="0.25">
      <c r="I39" s="45"/>
      <c r="J39" s="45"/>
      <c r="L39" s="16">
        <f>SUM(L8:L38)/(COUNT(L8:L38)-4)</f>
        <v>124.41741662102707</v>
      </c>
    </row>
    <row r="40" spans="1:29" x14ac:dyDescent="0.25">
      <c r="I40" s="45"/>
      <c r="J40" s="45"/>
      <c r="L40" s="16"/>
    </row>
    <row r="41" spans="1:29" ht="21" x14ac:dyDescent="0.35">
      <c r="A41" s="48" t="s">
        <v>564</v>
      </c>
      <c r="I41" s="45"/>
      <c r="J41" s="45"/>
      <c r="L41" s="16"/>
    </row>
    <row r="42" spans="1:29" x14ac:dyDescent="0.25">
      <c r="A42" s="16" t="s">
        <v>30</v>
      </c>
      <c r="D42" s="16">
        <v>0.36</v>
      </c>
      <c r="E42" s="17">
        <f>$D$42*1000</f>
        <v>360</v>
      </c>
      <c r="F42" s="17"/>
      <c r="G42" s="17"/>
      <c r="H42" s="15"/>
      <c r="K42" s="15"/>
      <c r="L42" s="17"/>
      <c r="M42" s="45"/>
    </row>
    <row r="43" spans="1:29" x14ac:dyDescent="0.25">
      <c r="A43" s="16" t="s">
        <v>16</v>
      </c>
      <c r="D43" s="16">
        <v>0.92</v>
      </c>
      <c r="E43" s="15">
        <f>D43*10000000000*SolarMass</f>
        <v>1.8299719999999998E+40</v>
      </c>
      <c r="F43" s="43"/>
      <c r="G43" s="43"/>
      <c r="H43" s="15"/>
      <c r="K43" s="15"/>
      <c r="L43" s="17"/>
      <c r="M43" s="45"/>
    </row>
    <row r="44" spans="1:29" x14ac:dyDescent="0.25">
      <c r="A44" s="16" t="s">
        <v>569</v>
      </c>
      <c r="D44" s="16">
        <v>3.8</v>
      </c>
      <c r="E44" s="15">
        <f>D44*1000</f>
        <v>3800</v>
      </c>
      <c r="H44" s="15"/>
      <c r="K44" s="15"/>
      <c r="L44" s="17"/>
      <c r="M44" s="45"/>
    </row>
    <row r="45" spans="1:29" x14ac:dyDescent="0.25">
      <c r="A45" s="16" t="s">
        <v>17</v>
      </c>
      <c r="D45" s="45">
        <v>4.2</v>
      </c>
      <c r="G45" s="16"/>
      <c r="H45" s="15"/>
      <c r="K45" s="15"/>
      <c r="L45" s="17"/>
      <c r="M45" s="45"/>
    </row>
    <row r="46" spans="1:29" x14ac:dyDescent="0.25">
      <c r="A46" s="16" t="s">
        <v>570</v>
      </c>
      <c r="D46" s="16">
        <v>9.4</v>
      </c>
      <c r="E46" s="17">
        <f>D46*1000</f>
        <v>9400</v>
      </c>
      <c r="H46" s="15"/>
      <c r="K46" s="15"/>
      <c r="L46" s="17"/>
      <c r="M46" s="45"/>
    </row>
    <row r="47" spans="1:29" x14ac:dyDescent="0.25">
      <c r="A47" s="16" t="s">
        <v>571</v>
      </c>
      <c r="D47" s="16">
        <v>5.6</v>
      </c>
      <c r="G47" s="9"/>
      <c r="H47" s="15"/>
      <c r="K47" s="15"/>
      <c r="L47" s="17"/>
      <c r="M47" s="45"/>
    </row>
    <row r="48" spans="1:29" x14ac:dyDescent="0.25">
      <c r="D48" s="12"/>
      <c r="H48" s="15"/>
      <c r="K48" s="15"/>
      <c r="L48" s="17"/>
      <c r="M48" s="45"/>
    </row>
    <row r="49" spans="1:29" x14ac:dyDescent="0.25">
      <c r="A49" s="16" t="s">
        <v>567</v>
      </c>
      <c r="D49" s="17">
        <f>(D45*10000000000)/(2*PI()*DiskScaleLengthPc^2)</f>
        <v>462.91603946396151</v>
      </c>
      <c r="H49" s="15"/>
      <c r="K49" s="15"/>
      <c r="L49" s="17"/>
      <c r="M49" s="45"/>
    </row>
    <row r="50" spans="1:29" x14ac:dyDescent="0.25">
      <c r="A50" s="16" t="s">
        <v>565</v>
      </c>
      <c r="D50" s="9">
        <f>(D47*10000000000)/(4*PI()*(LCDMHaloScaleLengthPc)^3*(LN(2)-1/2))</f>
        <v>2.7778336159035348E-2</v>
      </c>
      <c r="H50" s="15"/>
      <c r="K50" s="15"/>
      <c r="L50" s="17"/>
      <c r="M50" s="45"/>
    </row>
    <row r="51" spans="1:29" x14ac:dyDescent="0.25">
      <c r="H51" s="15"/>
      <c r="K51" s="15"/>
      <c r="L51" s="17"/>
      <c r="M51" s="45"/>
    </row>
    <row r="52" spans="1:29" ht="45" x14ac:dyDescent="0.25">
      <c r="A52" s="7" t="s">
        <v>20</v>
      </c>
      <c r="B52" s="3" t="s">
        <v>19</v>
      </c>
      <c r="C52" s="7" t="s">
        <v>27</v>
      </c>
      <c r="D52" s="4" t="s">
        <v>649</v>
      </c>
      <c r="E52" s="4" t="s">
        <v>21</v>
      </c>
      <c r="F52" s="4" t="s">
        <v>22</v>
      </c>
      <c r="G52" s="4" t="s">
        <v>28</v>
      </c>
      <c r="H52" s="4" t="s">
        <v>23</v>
      </c>
      <c r="I52" s="7" t="s">
        <v>645</v>
      </c>
      <c r="J52" s="7" t="s">
        <v>646</v>
      </c>
      <c r="K52" s="25" t="s">
        <v>647</v>
      </c>
      <c r="L52" s="3" t="s">
        <v>648</v>
      </c>
      <c r="M52" s="3"/>
      <c r="N52" s="3"/>
      <c r="O52" s="3"/>
      <c r="P52" s="3"/>
      <c r="Q52" s="3"/>
      <c r="R52" s="3"/>
      <c r="S52" s="3"/>
      <c r="T52" s="3"/>
      <c r="U52" s="3"/>
      <c r="V52" s="7"/>
      <c r="W52" s="7"/>
      <c r="X52" s="3"/>
      <c r="Y52" s="3"/>
      <c r="Z52" s="3"/>
      <c r="AA52" s="3"/>
      <c r="AB52" s="3"/>
      <c r="AC52" s="3"/>
    </row>
    <row r="53" spans="1:29" x14ac:dyDescent="0.25">
      <c r="A53" s="16">
        <v>0.09</v>
      </c>
      <c r="B53" s="45">
        <f>A53*1000</f>
        <v>90</v>
      </c>
      <c r="C53" s="16">
        <f>B53/LCDMBulgeEffectiveRadius</f>
        <v>0.25</v>
      </c>
      <c r="D53" s="15">
        <f>A53*kpc</f>
        <v>2.777109822E+18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2.3075214931199995E+39</v>
      </c>
      <c r="F53" s="15">
        <f t="shared" ref="F53:F83" si="7">2*PI()*LCDMDiskSurfaceDensity*LCDMScaleLength*(LCDMScaleLength-EXP(-RadiusPc/LCDMScaleLength)*(RadiusPc+LCDMScaleLength))*SolarMass</f>
        <v>2.3064456790285109E+37</v>
      </c>
      <c r="G53" s="15">
        <f t="shared" ref="G53:G83" si="8">4*PI()*LCDMHaloRepresentativeDensity*LCDMHaloScaleLengthPc^3*(LN(1+RadiusPc/LCDMHaloScaleLengthPc)-RadiusPc/(RadiusPc+LCDMHaloScaleLengthPc))*SolarMass</f>
        <v>2.6099704147096168E+37</v>
      </c>
      <c r="H53" s="15">
        <f t="shared" ref="H53:H83" si="9">BulgeMass+DiskMass+HaloMass</f>
        <v>2.3566856540573806E+39</v>
      </c>
      <c r="I53" s="16">
        <v>201.68</v>
      </c>
      <c r="J53" s="45">
        <v>1</v>
      </c>
      <c r="K53" s="19">
        <f t="shared" ref="K53:K83" si="10">SQRT(TotalMass*GravitationalConstant/RadiusKm)/km</f>
        <v>237.98523080438659</v>
      </c>
      <c r="L53" s="16">
        <f t="shared" ref="L53:L83" si="11">(ObservedVelocity-ModelVelocity)^2/(VelocityError)^2</f>
        <v>1318.0697837597804</v>
      </c>
      <c r="M53" s="45"/>
    </row>
    <row r="54" spans="1:29" x14ac:dyDescent="0.25">
      <c r="A54" s="16">
        <v>0.19</v>
      </c>
      <c r="B54" s="45">
        <f t="shared" ref="B54:B83" si="12">A54*1000</f>
        <v>190</v>
      </c>
      <c r="C54" s="16">
        <f t="shared" ref="C54:C83" si="13">B54/LCDMBulgeEffectiveRadius</f>
        <v>0.52777777777777779</v>
      </c>
      <c r="D54" s="15">
        <f t="shared" ref="D54:D83" si="14">A54*kpc</f>
        <v>5.862787402E+18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4.685683972044444E+39</v>
      </c>
      <c r="F54" s="15">
        <f t="shared" si="7"/>
        <v>1.0101123110027157E+38</v>
      </c>
      <c r="G54" s="15">
        <f t="shared" si="8"/>
        <v>1.1470449388267572E+38</v>
      </c>
      <c r="H54" s="15">
        <f t="shared" si="9"/>
        <v>4.9013996970273909E+39</v>
      </c>
      <c r="I54" s="16">
        <v>232.77</v>
      </c>
      <c r="J54" s="45">
        <v>1</v>
      </c>
      <c r="K54" s="19">
        <f t="shared" si="10"/>
        <v>236.21294316221713</v>
      </c>
      <c r="L54" s="16">
        <f t="shared" si="11"/>
        <v>11.853857618257617</v>
      </c>
      <c r="M54" s="45"/>
    </row>
    <row r="55" spans="1:29" x14ac:dyDescent="0.25">
      <c r="A55" s="16">
        <v>0.3</v>
      </c>
      <c r="B55" s="45">
        <f t="shared" si="12"/>
        <v>300</v>
      </c>
      <c r="C55" s="16">
        <f t="shared" si="13"/>
        <v>0.83333333333333337</v>
      </c>
      <c r="D55" s="15">
        <f t="shared" si="14"/>
        <v>9.25703274E+18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6.697209527466665E+39</v>
      </c>
      <c r="F55" s="15">
        <f t="shared" si="7"/>
        <v>2.4704102239195266E+38</v>
      </c>
      <c r="G55" s="15">
        <f t="shared" si="8"/>
        <v>2.8164199209197702E+38</v>
      </c>
      <c r="H55" s="15">
        <f t="shared" si="9"/>
        <v>7.2258925419505957E+39</v>
      </c>
      <c r="I55" s="16">
        <v>230.6</v>
      </c>
      <c r="J55" s="45">
        <v>1</v>
      </c>
      <c r="K55" s="19">
        <f t="shared" si="10"/>
        <v>228.24724992621955</v>
      </c>
      <c r="L55" s="16">
        <f t="shared" si="11"/>
        <v>5.5354329096738732</v>
      </c>
      <c r="M55" s="45"/>
    </row>
    <row r="56" spans="1:29" x14ac:dyDescent="0.25">
      <c r="A56" s="16">
        <v>0.42</v>
      </c>
      <c r="B56" s="45">
        <f t="shared" si="12"/>
        <v>420</v>
      </c>
      <c r="C56" s="16">
        <f t="shared" si="13"/>
        <v>1.1666666666666667</v>
      </c>
      <c r="D56" s="15">
        <f t="shared" si="14"/>
        <v>1.2959845836E+19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8.3876766619999982E+39</v>
      </c>
      <c r="F56" s="15">
        <f t="shared" si="7"/>
        <v>4.7419256893405963E+38</v>
      </c>
      <c r="G56" s="15">
        <f t="shared" si="8"/>
        <v>5.4301458325824807E+38</v>
      </c>
      <c r="H56" s="15">
        <f t="shared" si="9"/>
        <v>9.404883814192306E+39</v>
      </c>
      <c r="I56" s="16">
        <v>221.22</v>
      </c>
      <c r="J56" s="45">
        <v>1</v>
      </c>
      <c r="K56" s="19">
        <f t="shared" si="10"/>
        <v>220.07590868346702</v>
      </c>
      <c r="L56" s="16">
        <f t="shared" si="11"/>
        <v>1.3089449405661648</v>
      </c>
      <c r="M56" s="45"/>
    </row>
    <row r="57" spans="1:29" x14ac:dyDescent="0.25">
      <c r="A57" s="16">
        <v>0.56000000000000005</v>
      </c>
      <c r="B57" s="45">
        <f t="shared" si="12"/>
        <v>560</v>
      </c>
      <c r="C57" s="16">
        <f t="shared" si="13"/>
        <v>1.5555555555555556</v>
      </c>
      <c r="D57" s="15">
        <f t="shared" si="14"/>
        <v>1.7279794448000002E+19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9.9072447447555546E+39</v>
      </c>
      <c r="F57" s="15">
        <f t="shared" si="7"/>
        <v>8.2277471769518041E+38</v>
      </c>
      <c r="G57" s="15">
        <f t="shared" si="8"/>
        <v>9.4723357026168201E+38</v>
      </c>
      <c r="H57" s="15">
        <f t="shared" si="9"/>
        <v>1.1677253032712418E+40</v>
      </c>
      <c r="I57" s="16">
        <v>208.89</v>
      </c>
      <c r="J57" s="45">
        <v>1</v>
      </c>
      <c r="K57" s="19">
        <f t="shared" si="10"/>
        <v>212.3717586845581</v>
      </c>
      <c r="L57" s="16">
        <f t="shared" si="11"/>
        <v>12.122643537495863</v>
      </c>
      <c r="M57" s="45"/>
    </row>
    <row r="58" spans="1:29" x14ac:dyDescent="0.25">
      <c r="A58" s="16">
        <v>0.7</v>
      </c>
      <c r="B58" s="45">
        <f t="shared" si="12"/>
        <v>700</v>
      </c>
      <c r="C58" s="16">
        <f t="shared" si="13"/>
        <v>1.9444444444444444</v>
      </c>
      <c r="D58" s="15">
        <f t="shared" si="14"/>
        <v>2.1599743059999998E+19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1.1091033298533331E+40</v>
      </c>
      <c r="F58" s="15">
        <f t="shared" si="7"/>
        <v>1.2548247192514424E+39</v>
      </c>
      <c r="G58" s="15">
        <f t="shared" si="8"/>
        <v>1.4526153353946674E+39</v>
      </c>
      <c r="H58" s="15">
        <f t="shared" si="9"/>
        <v>1.3798473353179441E+40</v>
      </c>
      <c r="I58" s="16">
        <v>197.11</v>
      </c>
      <c r="J58" s="45">
        <v>1</v>
      </c>
      <c r="K58" s="19">
        <f t="shared" si="10"/>
        <v>206.484250273562</v>
      </c>
      <c r="L58" s="16">
        <f t="shared" si="11"/>
        <v>87.876568191376933</v>
      </c>
      <c r="M58" s="45"/>
    </row>
    <row r="59" spans="1:29" x14ac:dyDescent="0.25">
      <c r="A59" s="16">
        <v>0.86</v>
      </c>
      <c r="B59" s="45">
        <f t="shared" si="12"/>
        <v>860</v>
      </c>
      <c r="C59" s="16">
        <f t="shared" si="13"/>
        <v>2.3888888888888888</v>
      </c>
      <c r="D59" s="15">
        <f t="shared" si="14"/>
        <v>2.6536827187999998E+19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1.215715465271111E+40</v>
      </c>
      <c r="F59" s="15">
        <f t="shared" si="7"/>
        <v>1.8424872993570179E+39</v>
      </c>
      <c r="G59" s="15">
        <f t="shared" si="8"/>
        <v>2.1467898964597532E+39</v>
      </c>
      <c r="H59" s="15">
        <f t="shared" si="9"/>
        <v>1.6146431848527882E+40</v>
      </c>
      <c r="I59" s="16">
        <v>189.74</v>
      </c>
      <c r="J59" s="45">
        <v>1</v>
      </c>
      <c r="K59" s="19">
        <f t="shared" si="10"/>
        <v>201.51597856673141</v>
      </c>
      <c r="L59" s="16">
        <f t="shared" si="11"/>
        <v>138.67367120411723</v>
      </c>
      <c r="M59" s="45"/>
    </row>
    <row r="60" spans="1:29" x14ac:dyDescent="0.25">
      <c r="A60" s="16">
        <v>1.04</v>
      </c>
      <c r="B60" s="45">
        <f t="shared" si="12"/>
        <v>1040</v>
      </c>
      <c r="C60" s="16">
        <f t="shared" si="13"/>
        <v>2.8888888888888888</v>
      </c>
      <c r="D60" s="15">
        <f t="shared" si="14"/>
        <v>3.2091046832E+19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1.3095360964088889E+40</v>
      </c>
      <c r="F60" s="15">
        <f t="shared" si="7"/>
        <v>2.6124627489735607E+39</v>
      </c>
      <c r="G60" s="15">
        <f t="shared" si="8"/>
        <v>3.0669553816171882E+39</v>
      </c>
      <c r="H60" s="15">
        <f t="shared" si="9"/>
        <v>1.8774779094679636E+40</v>
      </c>
      <c r="I60" s="16">
        <v>185.79</v>
      </c>
      <c r="J60" s="45">
        <v>1</v>
      </c>
      <c r="K60" s="19">
        <f t="shared" si="10"/>
        <v>197.60192895406553</v>
      </c>
      <c r="L60" s="16">
        <f t="shared" si="11"/>
        <v>139.52166561589175</v>
      </c>
      <c r="M60" s="45"/>
    </row>
    <row r="61" spans="1:29" x14ac:dyDescent="0.25">
      <c r="A61" s="16">
        <v>1.23</v>
      </c>
      <c r="B61" s="45">
        <f t="shared" si="12"/>
        <v>1230</v>
      </c>
      <c r="C61" s="16">
        <f t="shared" si="13"/>
        <v>3.4166666666666665</v>
      </c>
      <c r="D61" s="15">
        <f t="shared" si="14"/>
        <v>3.7953834233999999E+19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1.3873292227799995E+40</v>
      </c>
      <c r="F61" s="15">
        <f t="shared" si="7"/>
        <v>3.5374026088537154E+39</v>
      </c>
      <c r="G61" s="15">
        <f t="shared" si="8"/>
        <v>4.1870465753242145E+39</v>
      </c>
      <c r="H61" s="15">
        <f t="shared" si="9"/>
        <v>2.1597741411977924E+40</v>
      </c>
      <c r="I61" s="16">
        <v>182.6</v>
      </c>
      <c r="J61" s="45">
        <v>1</v>
      </c>
      <c r="K61" s="19">
        <f t="shared" si="10"/>
        <v>194.88214197639098</v>
      </c>
      <c r="L61" s="16">
        <f t="shared" si="11"/>
        <v>150.85101152822554</v>
      </c>
      <c r="M61" s="45"/>
    </row>
    <row r="62" spans="1:29" x14ac:dyDescent="0.25">
      <c r="A62" s="16">
        <v>1.45</v>
      </c>
      <c r="B62" s="45">
        <f t="shared" si="12"/>
        <v>1450</v>
      </c>
      <c r="C62" s="16">
        <f t="shared" si="13"/>
        <v>4.0277777777777777</v>
      </c>
      <c r="D62" s="15">
        <f t="shared" si="14"/>
        <v>4.4742324909999997E+19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1.4579681752822222E+40</v>
      </c>
      <c r="F62" s="15">
        <f t="shared" si="7"/>
        <v>4.7353473288201228E+39</v>
      </c>
      <c r="G62" s="15">
        <f t="shared" si="8"/>
        <v>5.6602992804892239E+39</v>
      </c>
      <c r="H62" s="15">
        <f t="shared" si="9"/>
        <v>2.4975328362131568E+40</v>
      </c>
      <c r="I62" s="16">
        <v>180.59</v>
      </c>
      <c r="J62" s="45">
        <v>1</v>
      </c>
      <c r="K62" s="19">
        <f t="shared" si="10"/>
        <v>193.01543228891609</v>
      </c>
      <c r="L62" s="16">
        <f t="shared" si="11"/>
        <v>154.39136756643842</v>
      </c>
      <c r="M62" s="45"/>
    </row>
    <row r="63" spans="1:29" x14ac:dyDescent="0.25">
      <c r="A63" s="16">
        <v>1.68</v>
      </c>
      <c r="B63" s="45">
        <f t="shared" si="12"/>
        <v>1680</v>
      </c>
      <c r="C63" s="16">
        <f t="shared" si="13"/>
        <v>4.666666666666667</v>
      </c>
      <c r="D63" s="15">
        <f t="shared" si="14"/>
        <v>5.1839383344E+19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1.5158207067599996E+40</v>
      </c>
      <c r="F63" s="15">
        <f t="shared" si="7"/>
        <v>6.1140302622579397E+39</v>
      </c>
      <c r="G63" s="15">
        <f t="shared" si="8"/>
        <v>7.386160040348985E+39</v>
      </c>
      <c r="H63" s="15">
        <f t="shared" si="9"/>
        <v>2.8658397370206918E+40</v>
      </c>
      <c r="I63" s="16">
        <v>179.86</v>
      </c>
      <c r="J63" s="45">
        <v>1</v>
      </c>
      <c r="K63" s="19">
        <f t="shared" si="10"/>
        <v>192.08424316713817</v>
      </c>
      <c r="L63" s="16">
        <f t="shared" si="11"/>
        <v>149.43212100932388</v>
      </c>
      <c r="M63" s="45"/>
    </row>
    <row r="64" spans="1:29" x14ac:dyDescent="0.25">
      <c r="A64" s="16">
        <v>1.94</v>
      </c>
      <c r="B64" s="45">
        <f t="shared" si="12"/>
        <v>1940</v>
      </c>
      <c r="C64" s="16">
        <f t="shared" si="13"/>
        <v>5.3888888888888893</v>
      </c>
      <c r="D64" s="15">
        <f t="shared" si="14"/>
        <v>5.9862145052000002E+19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1.5647053587866666E+40</v>
      </c>
      <c r="F64" s="15">
        <f t="shared" si="7"/>
        <v>7.8039193732908426E+39</v>
      </c>
      <c r="G64" s="15">
        <f t="shared" si="8"/>
        <v>9.5449686987580243E+39</v>
      </c>
      <c r="H64" s="15">
        <f t="shared" si="9"/>
        <v>3.2995941659915534E+40</v>
      </c>
      <c r="I64" s="16">
        <v>180.13</v>
      </c>
      <c r="J64" s="45">
        <v>1</v>
      </c>
      <c r="K64" s="19">
        <f t="shared" si="10"/>
        <v>191.80054200720093</v>
      </c>
      <c r="L64" s="16">
        <f t="shared" si="11"/>
        <v>136.20155074184166</v>
      </c>
      <c r="M64" s="45"/>
    </row>
    <row r="65" spans="1:13" x14ac:dyDescent="0.25">
      <c r="A65" s="16">
        <v>2.23</v>
      </c>
      <c r="B65" s="45">
        <f t="shared" si="12"/>
        <v>2230</v>
      </c>
      <c r="C65" s="16">
        <f t="shared" si="13"/>
        <v>6.1944444444444446</v>
      </c>
      <c r="D65" s="15">
        <f t="shared" si="14"/>
        <v>6.8810610034000003E+19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1.6104577087399997E+40</v>
      </c>
      <c r="F65" s="15">
        <f t="shared" si="7"/>
        <v>9.8235564831267895E+39</v>
      </c>
      <c r="G65" s="15">
        <f t="shared" si="8"/>
        <v>1.218745817976896E+40</v>
      </c>
      <c r="H65" s="15">
        <f t="shared" si="9"/>
        <v>3.8115591750295747E+40</v>
      </c>
      <c r="I65" s="16">
        <v>180.52</v>
      </c>
      <c r="J65" s="45">
        <v>1</v>
      </c>
      <c r="K65" s="19">
        <f t="shared" si="10"/>
        <v>192.27345634685753</v>
      </c>
      <c r="L65" s="16">
        <f t="shared" si="11"/>
        <v>138.14373609748529</v>
      </c>
      <c r="M65" s="45"/>
    </row>
    <row r="66" spans="1:13" x14ac:dyDescent="0.25">
      <c r="A66" s="16">
        <v>2.54</v>
      </c>
      <c r="B66" s="45">
        <f t="shared" si="12"/>
        <v>2540</v>
      </c>
      <c r="C66" s="16">
        <f t="shared" si="13"/>
        <v>7.0555555555555554</v>
      </c>
      <c r="D66" s="15">
        <f t="shared" si="14"/>
        <v>7.8376210532000006E+19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1.6481408988244442E+40</v>
      </c>
      <c r="F66" s="15">
        <f t="shared" si="7"/>
        <v>1.2105728625269347E+40</v>
      </c>
      <c r="G66" s="15">
        <f t="shared" si="8"/>
        <v>1.525630173205288E+40</v>
      </c>
      <c r="H66" s="15">
        <f t="shared" si="9"/>
        <v>4.3843439345566669E+40</v>
      </c>
      <c r="I66" s="16">
        <v>181.33</v>
      </c>
      <c r="J66" s="45">
        <v>1</v>
      </c>
      <c r="K66" s="19">
        <f t="shared" si="10"/>
        <v>193.2216920773788</v>
      </c>
      <c r="L66" s="16">
        <f t="shared" si="11"/>
        <v>141.41234046319354</v>
      </c>
      <c r="M66" s="45"/>
    </row>
    <row r="67" spans="1:13" x14ac:dyDescent="0.25">
      <c r="A67" s="16">
        <v>2.89</v>
      </c>
      <c r="B67" s="45">
        <f t="shared" si="12"/>
        <v>2890</v>
      </c>
      <c r="C67" s="16">
        <f t="shared" si="13"/>
        <v>8.0277777777777786</v>
      </c>
      <c r="D67" s="15">
        <f t="shared" si="14"/>
        <v>8.9176082061999997E+19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1.6805024286677776E+40</v>
      </c>
      <c r="F67" s="15">
        <f t="shared" si="7"/>
        <v>1.4794836616173199E+40</v>
      </c>
      <c r="G67" s="15">
        <f t="shared" si="8"/>
        <v>1.8988530639965431E+40</v>
      </c>
      <c r="H67" s="15">
        <f t="shared" si="9"/>
        <v>5.0588391542816407E+40</v>
      </c>
      <c r="I67" s="16">
        <v>183.09</v>
      </c>
      <c r="J67" s="45">
        <v>1</v>
      </c>
      <c r="K67" s="19">
        <f t="shared" si="10"/>
        <v>194.57943848817285</v>
      </c>
      <c r="L67" s="16">
        <f t="shared" si="11"/>
        <v>132.00719677350764</v>
      </c>
      <c r="M67" s="45"/>
    </row>
    <row r="68" spans="1:13" x14ac:dyDescent="0.25">
      <c r="A68" s="16">
        <v>3.27</v>
      </c>
      <c r="B68" s="45">
        <f t="shared" si="12"/>
        <v>3270</v>
      </c>
      <c r="C68" s="16">
        <f t="shared" si="13"/>
        <v>9.0833333333333339</v>
      </c>
      <c r="D68" s="15">
        <f t="shared" si="14"/>
        <v>1.0090165686599999E+20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1.7072571276333331E+40</v>
      </c>
      <c r="F68" s="15">
        <f t="shared" si="7"/>
        <v>1.7803684223963815E+40</v>
      </c>
      <c r="G68" s="15">
        <f t="shared" si="8"/>
        <v>2.332054684831335E+40</v>
      </c>
      <c r="H68" s="15">
        <f t="shared" si="9"/>
        <v>5.8196802348610499E+40</v>
      </c>
      <c r="I68" s="16">
        <v>187.84</v>
      </c>
      <c r="J68" s="45">
        <v>1</v>
      </c>
      <c r="K68" s="19">
        <f t="shared" si="10"/>
        <v>196.19869600546011</v>
      </c>
      <c r="L68" s="16">
        <f t="shared" si="11"/>
        <v>69.867798911694692</v>
      </c>
      <c r="M68" s="45"/>
    </row>
    <row r="69" spans="1:13" x14ac:dyDescent="0.25">
      <c r="A69" s="16">
        <v>3.69</v>
      </c>
      <c r="B69" s="45">
        <f t="shared" si="12"/>
        <v>3690</v>
      </c>
      <c r="C69" s="16">
        <f t="shared" si="13"/>
        <v>10.25</v>
      </c>
      <c r="D69" s="15">
        <f t="shared" si="14"/>
        <v>1.13861502702E+20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1.7298359321599997E+40</v>
      </c>
      <c r="F69" s="15">
        <f t="shared" si="7"/>
        <v>2.1185757633764482E+40</v>
      </c>
      <c r="G69" s="15">
        <f t="shared" si="8"/>
        <v>2.8399609527882597E+40</v>
      </c>
      <c r="H69" s="15">
        <f t="shared" si="9"/>
        <v>6.6883726483247071E+40</v>
      </c>
      <c r="I69" s="16">
        <v>196.41</v>
      </c>
      <c r="J69" s="45">
        <v>1</v>
      </c>
      <c r="K69" s="19">
        <f t="shared" si="10"/>
        <v>198.00104371926642</v>
      </c>
      <c r="L69" s="16">
        <f t="shared" si="11"/>
        <v>2.5314201166171331</v>
      </c>
      <c r="M69" s="45"/>
    </row>
    <row r="70" spans="1:13" x14ac:dyDescent="0.25">
      <c r="A70" s="16">
        <v>4.1500000000000004</v>
      </c>
      <c r="B70" s="45">
        <f t="shared" si="12"/>
        <v>4150</v>
      </c>
      <c r="C70" s="16">
        <f t="shared" si="13"/>
        <v>11.527777777777779</v>
      </c>
      <c r="D70" s="15">
        <f t="shared" si="14"/>
        <v>1.2805561957E+20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1.7487807172899999E+40</v>
      </c>
      <c r="F70" s="15">
        <f t="shared" si="7"/>
        <v>2.4902174514472504E+40</v>
      </c>
      <c r="G70" s="15">
        <f t="shared" si="8"/>
        <v>3.4258667301775522E+40</v>
      </c>
      <c r="H70" s="15">
        <f t="shared" si="9"/>
        <v>7.6648648989148029E+40</v>
      </c>
      <c r="I70" s="16">
        <v>203.97</v>
      </c>
      <c r="J70" s="45">
        <v>1</v>
      </c>
      <c r="K70" s="19">
        <f t="shared" si="10"/>
        <v>199.87047075985416</v>
      </c>
      <c r="L70" s="16">
        <f t="shared" si="11"/>
        <v>16.806139990810738</v>
      </c>
      <c r="M70" s="45"/>
    </row>
    <row r="71" spans="1:13" x14ac:dyDescent="0.25">
      <c r="A71" s="16">
        <v>4.6500000000000004</v>
      </c>
      <c r="B71" s="45">
        <f t="shared" si="12"/>
        <v>4650</v>
      </c>
      <c r="C71" s="16">
        <f t="shared" si="13"/>
        <v>12.916666666666666</v>
      </c>
      <c r="D71" s="15">
        <f t="shared" si="14"/>
        <v>1.4348400747000001E+20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1.7646541994133332E+40</v>
      </c>
      <c r="F71" s="15">
        <f t="shared" si="7"/>
        <v>2.8898547616840627E+40</v>
      </c>
      <c r="G71" s="15">
        <f t="shared" si="8"/>
        <v>4.0918528742890557E+40</v>
      </c>
      <c r="H71" s="15">
        <f t="shared" si="9"/>
        <v>8.746361835386452E+40</v>
      </c>
      <c r="I71" s="16">
        <v>206.6</v>
      </c>
      <c r="J71" s="45">
        <v>1</v>
      </c>
      <c r="K71" s="19">
        <f t="shared" si="10"/>
        <v>201.70082525703549</v>
      </c>
      <c r="L71" s="16">
        <f t="shared" si="11"/>
        <v>24.001913162101317</v>
      </c>
      <c r="M71" s="45"/>
    </row>
    <row r="72" spans="1:13" x14ac:dyDescent="0.25">
      <c r="A72" s="16">
        <v>5.21</v>
      </c>
      <c r="B72" s="45">
        <f t="shared" si="12"/>
        <v>5210</v>
      </c>
      <c r="C72" s="16">
        <f t="shared" si="13"/>
        <v>14.472222222222221</v>
      </c>
      <c r="D72" s="15">
        <f t="shared" si="14"/>
        <v>1.6076380191800001E+20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1.7777435824688889E+40</v>
      </c>
      <c r="F72" s="15">
        <f t="shared" si="7"/>
        <v>3.326089858596012E+40</v>
      </c>
      <c r="G72" s="15">
        <f t="shared" si="8"/>
        <v>4.8669269840692159E+40</v>
      </c>
      <c r="H72" s="15">
        <f t="shared" si="9"/>
        <v>9.970760425134118E+40</v>
      </c>
      <c r="I72" s="16">
        <v>210.05</v>
      </c>
      <c r="J72" s="45">
        <v>1</v>
      </c>
      <c r="K72" s="19">
        <f t="shared" si="10"/>
        <v>203.45375537440017</v>
      </c>
      <c r="L72" s="16">
        <f t="shared" si="11"/>
        <v>43.51044316075474</v>
      </c>
      <c r="M72" s="45"/>
    </row>
    <row r="73" spans="1:13" x14ac:dyDescent="0.25">
      <c r="A73" s="16">
        <v>5.82</v>
      </c>
      <c r="B73" s="45">
        <f t="shared" si="12"/>
        <v>5820</v>
      </c>
      <c r="C73" s="16">
        <f t="shared" si="13"/>
        <v>16.166666666666668</v>
      </c>
      <c r="D73" s="15">
        <f t="shared" si="14"/>
        <v>1.7958643515600001E+20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1.786873719437333E+40</v>
      </c>
      <c r="F73" s="15">
        <f t="shared" si="7"/>
        <v>3.7818528305117078E+40</v>
      </c>
      <c r="G73" s="15">
        <f t="shared" si="8"/>
        <v>5.7387717603725988E+40</v>
      </c>
      <c r="H73" s="15">
        <f t="shared" si="9"/>
        <v>1.130749831032164E+41</v>
      </c>
      <c r="I73" s="16">
        <v>218.64</v>
      </c>
      <c r="J73" s="45">
        <v>1</v>
      </c>
      <c r="K73" s="19">
        <f t="shared" si="10"/>
        <v>204.9944980556844</v>
      </c>
      <c r="L73" s="16">
        <f t="shared" si="11"/>
        <v>186.19972331232037</v>
      </c>
      <c r="M73" s="45"/>
    </row>
    <row r="74" spans="1:13" x14ac:dyDescent="0.25">
      <c r="A74" s="16">
        <v>6.49</v>
      </c>
      <c r="B74" s="45">
        <f t="shared" si="12"/>
        <v>6490</v>
      </c>
      <c r="C74" s="16">
        <f t="shared" si="13"/>
        <v>18.027777777777779</v>
      </c>
      <c r="D74" s="15">
        <f t="shared" si="14"/>
        <v>2.0026047494200001E+20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1.7953064337435555E+40</v>
      </c>
      <c r="F74" s="15">
        <f t="shared" si="7"/>
        <v>4.2539880442230966E+40</v>
      </c>
      <c r="G74" s="15">
        <f t="shared" si="8"/>
        <v>6.7213814418755932E+40</v>
      </c>
      <c r="H74" s="15">
        <f t="shared" si="9"/>
        <v>1.2770675919842246E+41</v>
      </c>
      <c r="I74" s="16">
        <v>228.82</v>
      </c>
      <c r="J74" s="45">
        <v>1</v>
      </c>
      <c r="K74" s="19">
        <f t="shared" si="10"/>
        <v>206.3027538057467</v>
      </c>
      <c r="L74" s="16">
        <f t="shared" si="11"/>
        <v>507.02637617261422</v>
      </c>
      <c r="M74" s="45"/>
    </row>
    <row r="75" spans="1:13" x14ac:dyDescent="0.25">
      <c r="A75" s="16">
        <v>7.23</v>
      </c>
      <c r="B75" s="45">
        <f t="shared" si="12"/>
        <v>7230</v>
      </c>
      <c r="C75" s="16">
        <f t="shared" si="13"/>
        <v>20.083333333333332</v>
      </c>
      <c r="D75" s="15">
        <f t="shared" si="14"/>
        <v>2.2309448903400001E+20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1.8044133910666664E+40</v>
      </c>
      <c r="F75" s="15">
        <f t="shared" si="7"/>
        <v>4.7368292161734399E+40</v>
      </c>
      <c r="G75" s="15">
        <f t="shared" si="8"/>
        <v>7.828363117358569E+40</v>
      </c>
      <c r="H75" s="15">
        <f t="shared" si="9"/>
        <v>1.4369605724598676E+41</v>
      </c>
      <c r="I75" s="16">
        <v>231.98</v>
      </c>
      <c r="J75" s="45">
        <v>1</v>
      </c>
      <c r="K75" s="19">
        <f t="shared" si="10"/>
        <v>207.33551934919925</v>
      </c>
      <c r="L75" s="16">
        <f t="shared" si="11"/>
        <v>607.35042654769234</v>
      </c>
      <c r="M75" s="45"/>
    </row>
    <row r="76" spans="1:13" x14ac:dyDescent="0.25">
      <c r="A76" s="16">
        <v>8.0500000000000007</v>
      </c>
      <c r="B76" s="45">
        <f t="shared" si="12"/>
        <v>8050.0000000000009</v>
      </c>
      <c r="C76" s="16">
        <f t="shared" si="13"/>
        <v>22.361111111111114</v>
      </c>
      <c r="D76" s="15">
        <f t="shared" si="14"/>
        <v>2.4839704519000002E+20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1.8090818529688886E+40</v>
      </c>
      <c r="F76" s="15">
        <f t="shared" si="7"/>
        <v>5.2222175867715695E+40</v>
      </c>
      <c r="G76" s="15">
        <f t="shared" si="8"/>
        <v>9.07230974529074E+40</v>
      </c>
      <c r="H76" s="15">
        <f t="shared" si="9"/>
        <v>1.6103609185031198E+41</v>
      </c>
      <c r="I76" s="16">
        <v>228.83</v>
      </c>
      <c r="J76" s="45">
        <v>1</v>
      </c>
      <c r="K76" s="19">
        <f t="shared" si="10"/>
        <v>208.00994657649798</v>
      </c>
      <c r="L76" s="16">
        <f t="shared" si="11"/>
        <v>433.47462455747865</v>
      </c>
      <c r="M76" s="45"/>
    </row>
    <row r="77" spans="1:13" x14ac:dyDescent="0.25">
      <c r="A77" s="16">
        <v>8.94</v>
      </c>
      <c r="B77" s="45">
        <f t="shared" si="12"/>
        <v>8940</v>
      </c>
      <c r="C77" s="16">
        <f t="shared" si="13"/>
        <v>24.833333333333332</v>
      </c>
      <c r="D77" s="15">
        <f t="shared" si="14"/>
        <v>2.7585957565199997E+20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1.8141488421066662E+40</v>
      </c>
      <c r="F77" s="15">
        <f t="shared" si="7"/>
        <v>5.6900813293185411E+40</v>
      </c>
      <c r="G77" s="15">
        <f t="shared" si="8"/>
        <v>1.0433558623047922E+41</v>
      </c>
      <c r="H77" s="15">
        <f t="shared" si="9"/>
        <v>1.7937788794473127E+41</v>
      </c>
      <c r="I77" s="16">
        <v>222.73</v>
      </c>
      <c r="J77" s="45">
        <v>1</v>
      </c>
      <c r="K77" s="19">
        <f t="shared" si="10"/>
        <v>208.32247434164623</v>
      </c>
      <c r="L77" s="16">
        <f t="shared" si="11"/>
        <v>207.57679559612203</v>
      </c>
      <c r="M77" s="45"/>
    </row>
    <row r="78" spans="1:13" x14ac:dyDescent="0.25">
      <c r="A78" s="16">
        <v>9.93</v>
      </c>
      <c r="B78" s="45">
        <f t="shared" si="12"/>
        <v>9930</v>
      </c>
      <c r="C78" s="16">
        <f t="shared" si="13"/>
        <v>27.583333333333332</v>
      </c>
      <c r="D78" s="15">
        <f t="shared" si="14"/>
        <v>3.06407783694E+20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1.8177334522593331E+40</v>
      </c>
      <c r="F78" s="15">
        <f t="shared" si="7"/>
        <v>6.1415696315564229E+40</v>
      </c>
      <c r="G78" s="15">
        <f t="shared" si="8"/>
        <v>1.1951666876570768E+41</v>
      </c>
      <c r="H78" s="15">
        <f t="shared" si="9"/>
        <v>1.9910969960386525E+41</v>
      </c>
      <c r="I78" s="16">
        <v>216.86</v>
      </c>
      <c r="J78" s="45">
        <v>1</v>
      </c>
      <c r="K78" s="19">
        <f t="shared" si="10"/>
        <v>208.25335939528514</v>
      </c>
      <c r="L78" s="16">
        <f t="shared" si="11"/>
        <v>74.074262498726725</v>
      </c>
      <c r="M78" s="45"/>
    </row>
    <row r="79" spans="1:13" x14ac:dyDescent="0.25">
      <c r="A79" s="16">
        <v>11.01</v>
      </c>
      <c r="B79" s="45">
        <f t="shared" si="12"/>
        <v>11010</v>
      </c>
      <c r="C79" s="16">
        <f t="shared" si="13"/>
        <v>30.583333333333332</v>
      </c>
      <c r="D79" s="15">
        <f t="shared" si="14"/>
        <v>3.3973310155799999E+20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1.821147265025333E+40</v>
      </c>
      <c r="F79" s="15">
        <f t="shared" si="7"/>
        <v>6.5579721869297409E+40</v>
      </c>
      <c r="G79" s="15">
        <f t="shared" si="8"/>
        <v>1.3603042150811999E+41</v>
      </c>
      <c r="H79" s="15">
        <f t="shared" si="9"/>
        <v>2.1982161602767073E+41</v>
      </c>
      <c r="I79" s="16">
        <v>213.28</v>
      </c>
      <c r="J79" s="45">
        <v>1</v>
      </c>
      <c r="K79" s="19">
        <f t="shared" si="10"/>
        <v>207.80786008021312</v>
      </c>
      <c r="L79" s="16">
        <f t="shared" si="11"/>
        <v>29.944315301725197</v>
      </c>
      <c r="M79" s="45"/>
    </row>
    <row r="80" spans="1:13" x14ac:dyDescent="0.25">
      <c r="A80" s="16">
        <v>12.2</v>
      </c>
      <c r="B80" s="45">
        <f t="shared" si="12"/>
        <v>12200</v>
      </c>
      <c r="C80" s="16">
        <f t="shared" si="13"/>
        <v>33.888888888888886</v>
      </c>
      <c r="D80" s="15">
        <f t="shared" si="14"/>
        <v>3.7645266475999999E+20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1.8233007354088885E+40</v>
      </c>
      <c r="F80" s="15">
        <f t="shared" si="7"/>
        <v>6.9353963112069569E+40</v>
      </c>
      <c r="G80" s="15">
        <f t="shared" si="8"/>
        <v>1.5407849526387819E+41</v>
      </c>
      <c r="H80" s="15">
        <f t="shared" si="9"/>
        <v>2.4166546573003663E+41</v>
      </c>
      <c r="I80" s="16">
        <v>211.43</v>
      </c>
      <c r="J80" s="45">
        <v>1</v>
      </c>
      <c r="K80" s="19">
        <f t="shared" si="10"/>
        <v>206.98926053606121</v>
      </c>
      <c r="L80" s="16">
        <f t="shared" si="11"/>
        <v>19.720166986583436</v>
      </c>
      <c r="M80" s="45"/>
    </row>
    <row r="81" spans="1:13" x14ac:dyDescent="0.25">
      <c r="A81" s="16">
        <v>13.51</v>
      </c>
      <c r="B81" s="45">
        <f t="shared" si="12"/>
        <v>13510</v>
      </c>
      <c r="C81" s="16">
        <f t="shared" si="13"/>
        <v>37.527777777777779</v>
      </c>
      <c r="D81" s="15">
        <f t="shared" si="14"/>
        <v>4.1687504105800001E+20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1.8250145041868886E+40</v>
      </c>
      <c r="F81" s="15">
        <f t="shared" si="7"/>
        <v>7.2668228063044083E+40</v>
      </c>
      <c r="G81" s="15">
        <f t="shared" si="8"/>
        <v>1.7368437476253302E+41</v>
      </c>
      <c r="H81" s="15">
        <f t="shared" si="9"/>
        <v>2.64602747867446E+41</v>
      </c>
      <c r="I81" s="16">
        <v>211.87</v>
      </c>
      <c r="J81" s="45">
        <v>1</v>
      </c>
      <c r="K81" s="19">
        <f t="shared" si="10"/>
        <v>205.82111757329966</v>
      </c>
      <c r="L81" s="16">
        <f t="shared" si="11"/>
        <v>36.588978612044258</v>
      </c>
      <c r="M81" s="45"/>
    </row>
    <row r="82" spans="1:13" x14ac:dyDescent="0.25">
      <c r="A82" s="16">
        <v>14.95</v>
      </c>
      <c r="B82" s="45">
        <f t="shared" si="12"/>
        <v>14950</v>
      </c>
      <c r="C82" s="16">
        <f t="shared" si="13"/>
        <v>41.527777777777779</v>
      </c>
      <c r="D82" s="15">
        <f t="shared" si="14"/>
        <v>4.6130879820999996E+20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1.8263572969744444E+40</v>
      </c>
      <c r="F82" s="15">
        <f t="shared" si="7"/>
        <v>7.5478810087455465E+40</v>
      </c>
      <c r="G82" s="15">
        <f t="shared" si="8"/>
        <v>1.9484619067168801E+41</v>
      </c>
      <c r="H82" s="15">
        <f t="shared" si="9"/>
        <v>2.8858857372888793E+41</v>
      </c>
      <c r="I82" s="16">
        <v>206.72</v>
      </c>
      <c r="J82" s="45">
        <v>1</v>
      </c>
      <c r="K82" s="19">
        <f t="shared" si="10"/>
        <v>204.33341863990097</v>
      </c>
      <c r="L82" s="16">
        <f t="shared" si="11"/>
        <v>5.6957705883721328</v>
      </c>
      <c r="M82" s="45"/>
    </row>
    <row r="83" spans="1:13" x14ac:dyDescent="0.25">
      <c r="A83" s="16">
        <v>16.54</v>
      </c>
      <c r="B83" s="45">
        <f t="shared" si="12"/>
        <v>16540</v>
      </c>
      <c r="C83" s="16">
        <f t="shared" si="13"/>
        <v>45.944444444444443</v>
      </c>
      <c r="D83" s="15">
        <f t="shared" si="14"/>
        <v>5.1037107173199997E+20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1.827360833286222E+40</v>
      </c>
      <c r="F83" s="15">
        <f t="shared" si="7"/>
        <v>7.7785820958789339E+40</v>
      </c>
      <c r="G83" s="15">
        <f t="shared" si="8"/>
        <v>2.1767927504557613E+41</v>
      </c>
      <c r="H83" s="15">
        <f t="shared" si="9"/>
        <v>3.137387043372277E+41</v>
      </c>
      <c r="I83" s="16">
        <v>204.54</v>
      </c>
      <c r="J83" s="45">
        <v>1</v>
      </c>
      <c r="K83" s="19">
        <f t="shared" si="10"/>
        <v>202.55208978524615</v>
      </c>
      <c r="L83" s="16">
        <f t="shared" si="11"/>
        <v>3.9517870219226543</v>
      </c>
      <c r="M83" s="45"/>
    </row>
    <row r="84" spans="1:13" x14ac:dyDescent="0.25">
      <c r="H84" s="15"/>
      <c r="I84" s="45"/>
      <c r="J84" s="45"/>
      <c r="L84" s="16"/>
      <c r="M84" s="45"/>
    </row>
    <row r="85" spans="1:13" x14ac:dyDescent="0.25">
      <c r="H85" s="15"/>
      <c r="I85" s="45"/>
      <c r="J85" s="45"/>
      <c r="L85" s="16"/>
      <c r="M85" s="45"/>
    </row>
    <row r="86" spans="1:13" x14ac:dyDescent="0.25">
      <c r="H86" s="15"/>
      <c r="I86" s="45"/>
      <c r="J86" s="45"/>
      <c r="L86" s="16"/>
      <c r="M86" s="45"/>
    </row>
    <row r="87" spans="1:13" x14ac:dyDescent="0.25">
      <c r="H87" s="15"/>
      <c r="I87" s="45"/>
      <c r="J87" s="45"/>
      <c r="L87" s="16"/>
      <c r="M87" s="45"/>
    </row>
    <row r="88" spans="1:13" x14ac:dyDescent="0.25">
      <c r="H88" s="15"/>
      <c r="I88" s="45"/>
      <c r="J88" s="45"/>
      <c r="L88" s="16"/>
      <c r="M88" s="45"/>
    </row>
    <row r="89" spans="1:13" x14ac:dyDescent="0.25">
      <c r="H89" s="15"/>
      <c r="I89" s="45"/>
      <c r="J89" s="45"/>
      <c r="L89" s="16"/>
      <c r="M89" s="45"/>
    </row>
    <row r="90" spans="1:13" x14ac:dyDescent="0.25">
      <c r="H90" s="15"/>
      <c r="I90" s="45"/>
      <c r="J90" s="45"/>
      <c r="L90" s="16"/>
      <c r="M90" s="45"/>
    </row>
    <row r="91" spans="1:13" x14ac:dyDescent="0.25">
      <c r="H91" s="15"/>
      <c r="I91" s="45"/>
      <c r="J91" s="45"/>
      <c r="L91" s="16"/>
      <c r="M91" s="45"/>
    </row>
    <row r="92" spans="1:13" x14ac:dyDescent="0.25">
      <c r="H92" s="15"/>
      <c r="I92" s="45"/>
      <c r="J92" s="45"/>
      <c r="L92" s="16"/>
      <c r="M92" s="45"/>
    </row>
    <row r="93" spans="1:13" x14ac:dyDescent="0.25">
      <c r="H93" s="15"/>
      <c r="I93" s="45"/>
      <c r="J93" s="45"/>
      <c r="L93" s="16"/>
      <c r="M93" s="45"/>
    </row>
    <row r="94" spans="1:13" x14ac:dyDescent="0.25">
      <c r="H94" s="15"/>
      <c r="K94" s="45"/>
      <c r="L94" s="16">
        <f>SUM(L53:L93)/(COUNT(L53:L93)-6)</f>
        <v>199.42891337979026</v>
      </c>
      <c r="M94" s="45"/>
    </row>
    <row r="95" spans="1:13" x14ac:dyDescent="0.25">
      <c r="H95" s="15"/>
      <c r="K95" s="45"/>
      <c r="L95" s="17"/>
      <c r="M95" s="45"/>
    </row>
    <row r="96" spans="1:13" x14ac:dyDescent="0.25">
      <c r="I96" s="45"/>
      <c r="J96" s="45"/>
      <c r="L96" s="16"/>
    </row>
    <row r="97" spans="1:29" x14ac:dyDescent="0.25">
      <c r="I97" s="45"/>
      <c r="J97" s="45"/>
      <c r="L97" s="16"/>
    </row>
    <row r="98" spans="1:29" x14ac:dyDescent="0.25">
      <c r="I98" s="45"/>
      <c r="J98" s="45"/>
      <c r="L98" s="16"/>
    </row>
    <row r="99" spans="1:29" x14ac:dyDescent="0.25">
      <c r="I99" s="45"/>
      <c r="J99" s="45"/>
      <c r="L99" s="16"/>
    </row>
    <row r="100" spans="1:29" x14ac:dyDescent="0.25">
      <c r="I100" s="45"/>
      <c r="J100" s="45"/>
      <c r="L100" s="16"/>
    </row>
    <row r="101" spans="1:29" x14ac:dyDescent="0.25">
      <c r="I101" s="45"/>
      <c r="J101" s="45"/>
      <c r="L101" s="16"/>
    </row>
    <row r="102" spans="1:29" x14ac:dyDescent="0.25">
      <c r="I102" s="45"/>
      <c r="J102" s="45"/>
      <c r="L102" s="16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45"/>
      <c r="J139" s="4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45"/>
      <c r="J140" s="4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45"/>
      <c r="J141" s="4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45"/>
      <c r="J142" s="4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s="17" customFormat="1" x14ac:dyDescent="0.25">
      <c r="A547" s="16"/>
      <c r="B547" s="45"/>
      <c r="C547" s="16"/>
      <c r="D547" s="15"/>
      <c r="E547" s="15"/>
      <c r="F547" s="15"/>
      <c r="G547" s="15"/>
      <c r="H547" s="18"/>
      <c r="I547" s="15"/>
      <c r="J547" s="15"/>
      <c r="K547" s="19"/>
      <c r="L547" s="16"/>
      <c r="N547" s="45"/>
      <c r="O547" s="45"/>
      <c r="P547" s="45"/>
      <c r="Q547" s="45"/>
      <c r="R547" s="45"/>
      <c r="S547" s="45"/>
      <c r="T547" s="45"/>
      <c r="U547" s="45"/>
      <c r="V547" s="16"/>
      <c r="W547" s="16"/>
      <c r="X547" s="45"/>
      <c r="Y547" s="45"/>
      <c r="Z547" s="45"/>
      <c r="AA547" s="45"/>
      <c r="AB547" s="45"/>
      <c r="AC547" s="45"/>
    </row>
    <row r="548" spans="1:29" s="17" customFormat="1" x14ac:dyDescent="0.25">
      <c r="A548" s="16"/>
      <c r="B548" s="45"/>
      <c r="C548" s="16"/>
      <c r="D548" s="15"/>
      <c r="E548" s="15"/>
      <c r="F548" s="15"/>
      <c r="G548" s="15"/>
      <c r="H548" s="18"/>
      <c r="I548" s="15"/>
      <c r="J548" s="15"/>
      <c r="K548" s="19"/>
      <c r="L548" s="16"/>
      <c r="N548" s="45"/>
      <c r="O548" s="45"/>
      <c r="P548" s="45"/>
      <c r="Q548" s="45"/>
      <c r="R548" s="45"/>
      <c r="S548" s="45"/>
      <c r="T548" s="45"/>
      <c r="U548" s="45"/>
      <c r="V548" s="16"/>
      <c r="W548" s="16"/>
      <c r="X548" s="45"/>
      <c r="Y548" s="45"/>
      <c r="Z548" s="45"/>
      <c r="AA548" s="45"/>
      <c r="AB548" s="45"/>
      <c r="AC548" s="45"/>
    </row>
    <row r="549" spans="1:29" s="17" customFormat="1" x14ac:dyDescent="0.25">
      <c r="A549" s="16"/>
      <c r="B549" s="45"/>
      <c r="C549" s="16"/>
      <c r="D549" s="15"/>
      <c r="E549" s="15"/>
      <c r="F549" s="15"/>
      <c r="G549" s="15"/>
      <c r="H549" s="18"/>
      <c r="I549" s="15"/>
      <c r="J549" s="15"/>
      <c r="K549" s="19"/>
      <c r="L549" s="16"/>
      <c r="N549" s="45"/>
      <c r="O549" s="45"/>
      <c r="P549" s="45"/>
      <c r="Q549" s="45"/>
      <c r="R549" s="45"/>
      <c r="S549" s="45"/>
      <c r="T549" s="45"/>
      <c r="U549" s="45"/>
      <c r="V549" s="16"/>
      <c r="W549" s="16"/>
      <c r="X549" s="45"/>
      <c r="Y549" s="45"/>
      <c r="Z549" s="45"/>
      <c r="AA549" s="45"/>
      <c r="AB549" s="45"/>
      <c r="AC549" s="45"/>
    </row>
    <row r="550" spans="1:29" s="17" customFormat="1" x14ac:dyDescent="0.25">
      <c r="A550" s="16"/>
      <c r="B550" s="45"/>
      <c r="C550" s="16"/>
      <c r="D550" s="15"/>
      <c r="E550" s="15"/>
      <c r="F550" s="15"/>
      <c r="G550" s="15"/>
      <c r="H550" s="18"/>
      <c r="I550" s="15"/>
      <c r="J550" s="15"/>
      <c r="K550" s="19"/>
      <c r="L550" s="16"/>
      <c r="N550" s="45"/>
      <c r="O550" s="45"/>
      <c r="P550" s="45"/>
      <c r="Q550" s="45"/>
      <c r="R550" s="45"/>
      <c r="S550" s="45"/>
      <c r="T550" s="45"/>
      <c r="U550" s="45"/>
      <c r="V550" s="16"/>
      <c r="W550" s="16"/>
      <c r="X550" s="45"/>
      <c r="Y550" s="45"/>
      <c r="Z550" s="45"/>
      <c r="AA550" s="45"/>
      <c r="AB550" s="45"/>
      <c r="AC550" s="45"/>
    </row>
    <row r="551" spans="1:29" x14ac:dyDescent="0.25">
      <c r="L551" s="16"/>
    </row>
    <row r="552" spans="1:29" x14ac:dyDescent="0.25">
      <c r="L552" s="16"/>
      <c r="N552" s="17"/>
      <c r="O552" s="38"/>
    </row>
    <row r="553" spans="1:29" x14ac:dyDescent="0.25">
      <c r="L553" s="16"/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C549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ht="18.75" x14ac:dyDescent="0.3">
      <c r="A1" s="47" t="s">
        <v>613</v>
      </c>
    </row>
    <row r="2" spans="1:23" s="51" customFormat="1" ht="20.100000000000001" customHeight="1" x14ac:dyDescent="0.25">
      <c r="A2" s="52" t="s">
        <v>617</v>
      </c>
      <c r="C2" s="52"/>
      <c r="D2" s="56">
        <v>1873.62689349064</v>
      </c>
      <c r="E2" s="55"/>
      <c r="F2" s="53" t="s">
        <v>620</v>
      </c>
      <c r="G2" s="53">
        <v>16443655651</v>
      </c>
      <c r="H2" s="62"/>
      <c r="K2" s="51" t="s">
        <v>1</v>
      </c>
      <c r="L2" s="60" t="s">
        <v>601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1.9426191349751699E+40</v>
      </c>
      <c r="E3" s="53"/>
      <c r="F3" s="53" t="s">
        <v>621</v>
      </c>
      <c r="G3" s="53">
        <f>H41/SolarMass</f>
        <v>26476217793.074509</v>
      </c>
      <c r="H3" s="62"/>
      <c r="K3" s="51" t="s">
        <v>562</v>
      </c>
      <c r="L3" s="57">
        <v>2.598E-3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1066.9088110785201</v>
      </c>
      <c r="E4" s="55"/>
      <c r="F4" s="53" t="s">
        <v>622</v>
      </c>
      <c r="G4" s="52">
        <f>G3/G2</f>
        <v>1.6101175039787696</v>
      </c>
      <c r="H4" s="62"/>
      <c r="K4" s="61" t="s">
        <v>614</v>
      </c>
      <c r="L4" s="52">
        <f>QEHModelChiSquare</f>
        <v>185.16113752713807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2393.2045043918101</v>
      </c>
      <c r="F5" s="53"/>
      <c r="G5" s="52"/>
      <c r="H5" s="62"/>
      <c r="K5" s="61" t="s">
        <v>615</v>
      </c>
      <c r="L5" s="52">
        <f>LCDMModelChiSquare</f>
        <v>229.69102138901303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0.09</v>
      </c>
      <c r="B8" s="45">
        <f t="shared" ref="B8:B41" si="0">RadiusKpc*1000</f>
        <v>90</v>
      </c>
      <c r="C8" s="16">
        <f t="shared" ref="C8:C41" si="1">IF(QESBulgeEffectiveRadius=0,0,RadiusPc/QESBulgeEffectiveRadius)</f>
        <v>4.8035177287793135E-2</v>
      </c>
      <c r="D8" s="15">
        <f t="shared" ref="D8:D41" si="2">RadiusKpc*kpc</f>
        <v>2.777109822E+18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3.2342966971837268E+38</v>
      </c>
      <c r="F8" s="15">
        <f t="shared" ref="F8:F41" si="3">2*PI()*QESDiskSurfaceDensity*QESDiskScaleLength*(QESDiskScaleLength-EXP(-RadiusPc/QESDiskScaleLength)*(RadiusPc+QESDiskScaleLength))*SolarMass</f>
        <v>1.1453387778031634E+38</v>
      </c>
      <c r="H8" s="18">
        <f t="shared" ref="H8:H41" si="4">BulgeMass+DiskMass+HaloMass</f>
        <v>4.3796354749868903E+38</v>
      </c>
      <c r="I8" s="16">
        <v>133.68</v>
      </c>
      <c r="J8" s="45">
        <v>1</v>
      </c>
      <c r="K8" s="19">
        <f t="shared" ref="K8:K41" si="5">SQRT(TotalMass*GravitationalConstant/RadiusKm+UniverseAcceleration*RadiusKm)/km</f>
        <v>103.08547430756886</v>
      </c>
      <c r="L8" s="16">
        <f t="shared" ref="L8:L41" si="6">(ObservedVelocity-ModelVelocity)^2/(VelocityError)^2</f>
        <v>936.02500234482966</v>
      </c>
    </row>
    <row r="9" spans="1:23" x14ac:dyDescent="0.25">
      <c r="A9" s="16">
        <v>0.19</v>
      </c>
      <c r="B9" s="45">
        <f t="shared" si="0"/>
        <v>190</v>
      </c>
      <c r="C9" s="16">
        <f t="shared" si="1"/>
        <v>0.10140759649645217</v>
      </c>
      <c r="D9" s="15">
        <f t="shared" si="2"/>
        <v>5.862787402E+18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8.7194822542142858E+38</v>
      </c>
      <c r="F9" s="15">
        <f t="shared" si="3"/>
        <v>4.7986416888435185E+38</v>
      </c>
      <c r="H9" s="18">
        <f t="shared" si="4"/>
        <v>1.3518123943057805E+39</v>
      </c>
      <c r="I9" s="16">
        <v>119.38</v>
      </c>
      <c r="J9" s="45">
        <v>1</v>
      </c>
      <c r="K9" s="19">
        <f t="shared" si="5"/>
        <v>124.9101895917058</v>
      </c>
      <c r="L9" s="16">
        <f t="shared" si="6"/>
        <v>30.58299692021123</v>
      </c>
    </row>
    <row r="10" spans="1:23" x14ac:dyDescent="0.25">
      <c r="A10" s="16">
        <v>0.3</v>
      </c>
      <c r="B10" s="45">
        <f t="shared" si="0"/>
        <v>300</v>
      </c>
      <c r="C10" s="16">
        <f t="shared" si="1"/>
        <v>0.16011725762597712</v>
      </c>
      <c r="D10" s="15">
        <f t="shared" si="2"/>
        <v>9.25703274E+18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1.5065252692826652E+39</v>
      </c>
      <c r="F10" s="15">
        <f t="shared" si="3"/>
        <v>1.1183625192227546E+39</v>
      </c>
      <c r="H10" s="18">
        <f t="shared" si="4"/>
        <v>2.62488778850542E+39</v>
      </c>
      <c r="I10" s="16">
        <v>111.54</v>
      </c>
      <c r="J10" s="45">
        <v>1</v>
      </c>
      <c r="K10" s="19">
        <f t="shared" si="5"/>
        <v>138.78878612087155</v>
      </c>
      <c r="L10" s="16">
        <f t="shared" si="6"/>
        <v>742.49634506100165</v>
      </c>
    </row>
    <row r="11" spans="1:23" x14ac:dyDescent="0.25">
      <c r="A11" s="16">
        <v>0.42</v>
      </c>
      <c r="B11" s="45">
        <f t="shared" si="0"/>
        <v>420</v>
      </c>
      <c r="C11" s="16">
        <f t="shared" si="1"/>
        <v>0.22416416067636796</v>
      </c>
      <c r="D11" s="15">
        <f t="shared" si="2"/>
        <v>1.2959845836E+19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2.1850278110141391E+39</v>
      </c>
      <c r="F11" s="15">
        <f t="shared" si="3"/>
        <v>2.0380263739735005E+39</v>
      </c>
      <c r="H11" s="18">
        <f t="shared" si="4"/>
        <v>4.2230541849876399E+39</v>
      </c>
      <c r="I11" s="16">
        <v>126.68</v>
      </c>
      <c r="J11" s="45">
        <v>1</v>
      </c>
      <c r="K11" s="19">
        <f t="shared" si="5"/>
        <v>149.06555890700625</v>
      </c>
      <c r="L11" s="16">
        <f t="shared" si="6"/>
        <v>501.11324757904652</v>
      </c>
    </row>
    <row r="12" spans="1:23" x14ac:dyDescent="0.25">
      <c r="A12" s="16">
        <v>0.56000000000000005</v>
      </c>
      <c r="B12" s="45">
        <f t="shared" si="0"/>
        <v>560</v>
      </c>
      <c r="C12" s="16">
        <f t="shared" si="1"/>
        <v>0.29888554756849062</v>
      </c>
      <c r="D12" s="15">
        <f t="shared" si="2"/>
        <v>1.7279794448000002E+19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2.9501118179250163E+39</v>
      </c>
      <c r="F12" s="15">
        <f t="shared" si="3"/>
        <v>3.3311338056282197E+39</v>
      </c>
      <c r="H12" s="18">
        <f t="shared" si="4"/>
        <v>6.281245623553236E+39</v>
      </c>
      <c r="I12" s="16">
        <v>150.75</v>
      </c>
      <c r="J12" s="45">
        <v>1</v>
      </c>
      <c r="K12" s="19">
        <f t="shared" si="5"/>
        <v>157.76743766191129</v>
      </c>
      <c r="L12" s="16">
        <f t="shared" si="6"/>
        <v>49.244431338810962</v>
      </c>
    </row>
    <row r="13" spans="1:23" x14ac:dyDescent="0.25">
      <c r="A13" s="16">
        <v>0.7</v>
      </c>
      <c r="B13" s="45">
        <f t="shared" si="0"/>
        <v>700</v>
      </c>
      <c r="C13" s="16">
        <f t="shared" si="1"/>
        <v>0.37360693446061327</v>
      </c>
      <c r="D13" s="15">
        <f t="shared" si="2"/>
        <v>2.1599743059999998E+19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3.6528806785271412E+39</v>
      </c>
      <c r="F13" s="15">
        <f t="shared" si="3"/>
        <v>4.7902609639672099E+39</v>
      </c>
      <c r="H13" s="18">
        <f t="shared" si="4"/>
        <v>8.4431416424943517E+39</v>
      </c>
      <c r="I13" s="16">
        <v>167.99</v>
      </c>
      <c r="J13" s="45">
        <v>1</v>
      </c>
      <c r="K13" s="19">
        <f t="shared" si="5"/>
        <v>163.93909504913938</v>
      </c>
      <c r="L13" s="16">
        <f t="shared" si="6"/>
        <v>16.409830920907137</v>
      </c>
    </row>
    <row r="14" spans="1:23" x14ac:dyDescent="0.25">
      <c r="A14" s="16">
        <v>0.86</v>
      </c>
      <c r="B14" s="45">
        <f t="shared" si="0"/>
        <v>860</v>
      </c>
      <c r="C14" s="16">
        <f t="shared" si="1"/>
        <v>0.45900280519446773</v>
      </c>
      <c r="D14" s="15">
        <f t="shared" si="2"/>
        <v>2.6536827187999998E+19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4.4060240877643808E+39</v>
      </c>
      <c r="F14" s="15">
        <f t="shared" si="3"/>
        <v>6.5842412891588631E+39</v>
      </c>
      <c r="H14" s="18">
        <f t="shared" si="4"/>
        <v>1.0990265376923243E+40</v>
      </c>
      <c r="I14" s="16">
        <v>180.78</v>
      </c>
      <c r="J14" s="45">
        <v>1</v>
      </c>
      <c r="K14" s="19">
        <f t="shared" si="5"/>
        <v>169.14045971039047</v>
      </c>
      <c r="L14" s="16">
        <f t="shared" si="6"/>
        <v>135.47889815344345</v>
      </c>
    </row>
    <row r="15" spans="1:23" x14ac:dyDescent="0.25">
      <c r="A15" s="16">
        <v>1.04</v>
      </c>
      <c r="B15" s="45">
        <f t="shared" si="0"/>
        <v>1040</v>
      </c>
      <c r="C15" s="16">
        <f t="shared" si="1"/>
        <v>0.555073159770054</v>
      </c>
      <c r="D15" s="15">
        <f t="shared" si="2"/>
        <v>3.2091046832E+19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5.1873841295264444E+39</v>
      </c>
      <c r="F15" s="15">
        <f t="shared" si="3"/>
        <v>8.6805909292974084E+39</v>
      </c>
      <c r="H15" s="18">
        <f t="shared" si="4"/>
        <v>1.3867975058823852E+40</v>
      </c>
      <c r="I15" s="16">
        <v>187</v>
      </c>
      <c r="J15" s="45">
        <v>1</v>
      </c>
      <c r="K15" s="19">
        <f t="shared" si="5"/>
        <v>173.23948375368207</v>
      </c>
      <c r="L15" s="16">
        <f t="shared" si="6"/>
        <v>189.35180736517981</v>
      </c>
    </row>
    <row r="16" spans="1:23" x14ac:dyDescent="0.25">
      <c r="A16" s="16">
        <v>1.23</v>
      </c>
      <c r="B16" s="45">
        <f t="shared" si="0"/>
        <v>1230</v>
      </c>
      <c r="C16" s="16">
        <f t="shared" si="1"/>
        <v>0.65648075626650615</v>
      </c>
      <c r="D16" s="15">
        <f t="shared" si="2"/>
        <v>3.7953834233999999E+19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5.9419595128212047E+39</v>
      </c>
      <c r="F16" s="15">
        <f t="shared" si="3"/>
        <v>1.0904147677637583E+40</v>
      </c>
      <c r="H16" s="18">
        <f t="shared" si="4"/>
        <v>1.6846107190458788E+40</v>
      </c>
      <c r="I16" s="16">
        <v>190.11</v>
      </c>
      <c r="J16" s="45">
        <v>1</v>
      </c>
      <c r="K16" s="19">
        <f t="shared" si="5"/>
        <v>176.08934809159754</v>
      </c>
      <c r="L16" s="16">
        <f t="shared" si="6"/>
        <v>196.57867993658985</v>
      </c>
    </row>
    <row r="17" spans="1:29" x14ac:dyDescent="0.25">
      <c r="A17" s="16">
        <v>1.45</v>
      </c>
      <c r="B17" s="45">
        <f t="shared" si="0"/>
        <v>1450</v>
      </c>
      <c r="C17" s="16">
        <f t="shared" si="1"/>
        <v>0.77390007852555609</v>
      </c>
      <c r="D17" s="15">
        <f t="shared" si="2"/>
        <v>4.4742324909999997E+19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6.7372729217936622E+39</v>
      </c>
      <c r="F17" s="15">
        <f t="shared" si="3"/>
        <v>1.3412729197111498E+40</v>
      </c>
      <c r="H17" s="18">
        <f t="shared" si="4"/>
        <v>2.015000211890516E+40</v>
      </c>
      <c r="I17" s="16">
        <v>189.93</v>
      </c>
      <c r="J17" s="45">
        <v>1</v>
      </c>
      <c r="K17" s="19">
        <f t="shared" si="5"/>
        <v>178.01331915296538</v>
      </c>
      <c r="L17" s="16">
        <f t="shared" si="6"/>
        <v>142.0072824100819</v>
      </c>
    </row>
    <row r="18" spans="1:29" x14ac:dyDescent="0.25">
      <c r="A18" s="16">
        <v>1.68</v>
      </c>
      <c r="B18" s="45">
        <f t="shared" si="0"/>
        <v>1680</v>
      </c>
      <c r="C18" s="16">
        <f t="shared" si="1"/>
        <v>0.89665664270547185</v>
      </c>
      <c r="D18" s="15">
        <f t="shared" si="2"/>
        <v>5.1839383344E+19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7.4915466053510855E+39</v>
      </c>
      <c r="F18" s="15">
        <f t="shared" si="3"/>
        <v>1.5894176450528786E+40</v>
      </c>
      <c r="H18" s="18">
        <f t="shared" si="4"/>
        <v>2.3385723055879873E+40</v>
      </c>
      <c r="I18" s="16">
        <v>186.38</v>
      </c>
      <c r="J18" s="45">
        <v>1</v>
      </c>
      <c r="K18" s="19">
        <f t="shared" si="5"/>
        <v>178.88101166433233</v>
      </c>
      <c r="L18" s="16">
        <f t="shared" si="6"/>
        <v>56.234826058479641</v>
      </c>
    </row>
    <row r="19" spans="1:29" x14ac:dyDescent="0.25">
      <c r="A19" s="16">
        <v>1.94</v>
      </c>
      <c r="B19" s="45">
        <f t="shared" si="0"/>
        <v>1940</v>
      </c>
      <c r="C19" s="16">
        <f t="shared" si="1"/>
        <v>1.0354249326479854</v>
      </c>
      <c r="D19" s="15">
        <f t="shared" si="2"/>
        <v>5.9862145052000002E+19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8.2515723776384862E+39</v>
      </c>
      <c r="F19" s="15">
        <f t="shared" si="3"/>
        <v>1.8473457343285022E+40</v>
      </c>
      <c r="H19" s="18">
        <f t="shared" si="4"/>
        <v>2.6725029720923506E+40</v>
      </c>
      <c r="I19" s="16">
        <v>181.65</v>
      </c>
      <c r="J19" s="45">
        <v>1</v>
      </c>
      <c r="K19" s="19">
        <f t="shared" si="5"/>
        <v>178.82644947820879</v>
      </c>
      <c r="L19" s="16">
        <f t="shared" si="6"/>
        <v>7.9724375491074655</v>
      </c>
    </row>
    <row r="20" spans="1:29" s="17" customFormat="1" x14ac:dyDescent="0.25">
      <c r="A20" s="16">
        <v>2.23</v>
      </c>
      <c r="B20" s="45">
        <f t="shared" si="0"/>
        <v>2230</v>
      </c>
      <c r="C20" s="16">
        <f t="shared" si="1"/>
        <v>1.1902049483530965</v>
      </c>
      <c r="D20" s="15">
        <f t="shared" si="2"/>
        <v>6.8810610034000003E+19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9.0167549150220375E+39</v>
      </c>
      <c r="F20" s="15">
        <f t="shared" si="3"/>
        <v>2.1035406043406114E+40</v>
      </c>
      <c r="G20" s="15"/>
      <c r="H20" s="18">
        <f t="shared" si="4"/>
        <v>3.0052160958428154E+40</v>
      </c>
      <c r="I20" s="16">
        <v>176.42</v>
      </c>
      <c r="J20" s="45">
        <v>1</v>
      </c>
      <c r="K20" s="19">
        <f t="shared" si="5"/>
        <v>177.92542396202074</v>
      </c>
      <c r="L20" s="16">
        <f t="shared" si="6"/>
        <v>2.2663013054262731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2.54</v>
      </c>
      <c r="B21" s="45">
        <f t="shared" si="0"/>
        <v>2540</v>
      </c>
      <c r="C21" s="16">
        <f t="shared" si="1"/>
        <v>1.3556594478999395</v>
      </c>
      <c r="D21" s="15">
        <f t="shared" si="2"/>
        <v>7.8376210532000006E+19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9.7411131720072276E+39</v>
      </c>
      <c r="F21" s="15">
        <f t="shared" si="3"/>
        <v>2.340127691744196E+40</v>
      </c>
      <c r="G21" s="15"/>
      <c r="H21" s="18">
        <f t="shared" si="4"/>
        <v>3.3142390089449187E+40</v>
      </c>
      <c r="I21" s="16">
        <v>171.61</v>
      </c>
      <c r="J21" s="45">
        <v>1</v>
      </c>
      <c r="K21" s="19">
        <f t="shared" si="5"/>
        <v>176.29601930543782</v>
      </c>
      <c r="L21" s="16">
        <f t="shared" si="6"/>
        <v>21.958776930935855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2.89</v>
      </c>
      <c r="B22" s="45">
        <f t="shared" si="0"/>
        <v>2890</v>
      </c>
      <c r="C22" s="16">
        <f t="shared" si="1"/>
        <v>1.5424629151302462</v>
      </c>
      <c r="D22" s="15">
        <f t="shared" si="2"/>
        <v>8.9176082061999997E+19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1.0469362921592411E+40</v>
      </c>
      <c r="F22" s="15">
        <f t="shared" si="3"/>
        <v>2.563436088557701E+40</v>
      </c>
      <c r="G22" s="15"/>
      <c r="H22" s="18">
        <f t="shared" si="4"/>
        <v>3.6103723807169418E+40</v>
      </c>
      <c r="I22" s="16">
        <v>166.53</v>
      </c>
      <c r="J22" s="45">
        <v>1</v>
      </c>
      <c r="K22" s="19">
        <f t="shared" si="5"/>
        <v>173.98997461744551</v>
      </c>
      <c r="L22" s="16">
        <f t="shared" si="6"/>
        <v>55.651221292931289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3.27</v>
      </c>
      <c r="B23" s="45">
        <f t="shared" si="0"/>
        <v>3270</v>
      </c>
      <c r="C23" s="16">
        <f t="shared" si="1"/>
        <v>1.7452781081231505</v>
      </c>
      <c r="D23" s="15">
        <f t="shared" si="2"/>
        <v>1.0090165686599999E+20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1.1167196265854862E+40</v>
      </c>
      <c r="F23" s="15">
        <f t="shared" si="3"/>
        <v>2.7589209477689465E+40</v>
      </c>
      <c r="G23" s="15"/>
      <c r="H23" s="18">
        <f t="shared" si="4"/>
        <v>3.8756405743544327E+40</v>
      </c>
      <c r="I23" s="16">
        <v>162.21</v>
      </c>
      <c r="J23" s="45">
        <v>1</v>
      </c>
      <c r="K23" s="19">
        <f t="shared" si="5"/>
        <v>171.21533184308774</v>
      </c>
      <c r="L23" s="16">
        <f t="shared" si="6"/>
        <v>81.096001604129867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3.69</v>
      </c>
      <c r="B24" s="45">
        <f t="shared" si="0"/>
        <v>3690</v>
      </c>
      <c r="C24" s="16">
        <f t="shared" si="1"/>
        <v>1.9694422687995186</v>
      </c>
      <c r="D24" s="15">
        <f t="shared" si="2"/>
        <v>1.13861502702E+20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1.1845292023371742E+40</v>
      </c>
      <c r="F24" s="15">
        <f t="shared" si="3"/>
        <v>2.9268643149004796E+40</v>
      </c>
      <c r="G24" s="15"/>
      <c r="H24" s="18">
        <f t="shared" si="4"/>
        <v>4.111393517237654E+40</v>
      </c>
      <c r="I24" s="16">
        <v>159.34</v>
      </c>
      <c r="J24" s="45">
        <v>1</v>
      </c>
      <c r="K24" s="19">
        <f t="shared" si="5"/>
        <v>168.0813578435808</v>
      </c>
      <c r="L24" s="16">
        <f t="shared" si="6"/>
        <v>76.411336949531588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4.1500000000000004</v>
      </c>
      <c r="B25" s="45">
        <f t="shared" si="0"/>
        <v>4150</v>
      </c>
      <c r="C25" s="16">
        <f t="shared" si="1"/>
        <v>2.2149553971593501</v>
      </c>
      <c r="D25" s="15">
        <f t="shared" si="2"/>
        <v>1.2805561957E+20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1.2495051255834506E+40</v>
      </c>
      <c r="F25" s="15">
        <f t="shared" si="3"/>
        <v>3.0641798181882819E+40</v>
      </c>
      <c r="G25" s="15"/>
      <c r="H25" s="18">
        <f t="shared" si="4"/>
        <v>4.3136849437717325E+40</v>
      </c>
      <c r="I25" s="16">
        <v>158.94999999999999</v>
      </c>
      <c r="J25" s="45">
        <v>1</v>
      </c>
      <c r="K25" s="19">
        <f t="shared" si="5"/>
        <v>164.77870066875073</v>
      </c>
      <c r="L25" s="16">
        <f t="shared" si="6"/>
        <v>33.973751485895342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4.6500000000000004</v>
      </c>
      <c r="B26" s="45">
        <f t="shared" si="0"/>
        <v>4650</v>
      </c>
      <c r="C26" s="16">
        <f t="shared" si="1"/>
        <v>2.4818174932026453</v>
      </c>
      <c r="D26" s="15">
        <f t="shared" si="2"/>
        <v>1.4348400747000001E+20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1.3109534147861532E+40</v>
      </c>
      <c r="F26" s="15">
        <f t="shared" si="3"/>
        <v>3.1711402776069075E+40</v>
      </c>
      <c r="G26" s="15"/>
      <c r="H26" s="18">
        <f t="shared" si="4"/>
        <v>4.4820936923930608E+40</v>
      </c>
      <c r="I26" s="16">
        <v>161.08000000000001</v>
      </c>
      <c r="J26" s="45">
        <v>1</v>
      </c>
      <c r="K26" s="19">
        <f t="shared" si="5"/>
        <v>161.4946569546639</v>
      </c>
      <c r="L26" s="16">
        <f t="shared" si="6"/>
        <v>0.17194039005112549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5.21</v>
      </c>
      <c r="B27" s="45">
        <f t="shared" si="0"/>
        <v>5210</v>
      </c>
      <c r="C27" s="16">
        <f t="shared" si="1"/>
        <v>2.7807030407711362</v>
      </c>
      <c r="D27" s="15">
        <f t="shared" si="2"/>
        <v>1.6076380191800001E+20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1.3705800691121362E+40</v>
      </c>
      <c r="F27" s="15">
        <f t="shared" si="3"/>
        <v>3.2529627665184023E+40</v>
      </c>
      <c r="G27" s="15"/>
      <c r="H27" s="18">
        <f t="shared" si="4"/>
        <v>4.6235428356305383E+40</v>
      </c>
      <c r="I27" s="16">
        <v>163.75</v>
      </c>
      <c r="J27" s="45">
        <v>1</v>
      </c>
      <c r="K27" s="19">
        <f t="shared" si="5"/>
        <v>158.29400726395187</v>
      </c>
      <c r="L27" s="16">
        <f t="shared" si="6"/>
        <v>29.767856735809971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5.82</v>
      </c>
      <c r="B28" s="45">
        <f t="shared" si="0"/>
        <v>5820</v>
      </c>
      <c r="C28" s="16">
        <f t="shared" si="1"/>
        <v>3.1062747979439562</v>
      </c>
      <c r="D28" s="15">
        <f t="shared" si="2"/>
        <v>1.7958643515600001E+20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1.4265710914228724E+40</v>
      </c>
      <c r="F28" s="15">
        <f t="shared" si="3"/>
        <v>3.3106899078268503E+40</v>
      </c>
      <c r="G28" s="15"/>
      <c r="H28" s="18">
        <f t="shared" si="4"/>
        <v>4.7372609992497227E+40</v>
      </c>
      <c r="I28" s="16">
        <v>166.24</v>
      </c>
      <c r="J28" s="45">
        <v>1</v>
      </c>
      <c r="K28" s="19">
        <f t="shared" si="5"/>
        <v>155.41621317031922</v>
      </c>
      <c r="L28" s="16">
        <f t="shared" si="6"/>
        <v>117.15436133437122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6.49</v>
      </c>
      <c r="B29" s="45">
        <f t="shared" si="0"/>
        <v>6490</v>
      </c>
      <c r="C29" s="16">
        <f t="shared" si="1"/>
        <v>3.4638700066419719</v>
      </c>
      <c r="D29" s="15">
        <f t="shared" si="2"/>
        <v>2.0026047494200001E+20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1.4791934223703898E+40</v>
      </c>
      <c r="F29" s="15">
        <f t="shared" si="3"/>
        <v>3.3496231969281244E+40</v>
      </c>
      <c r="G29" s="15"/>
      <c r="H29" s="18">
        <f t="shared" si="4"/>
        <v>4.8288166192985147E+40</v>
      </c>
      <c r="I29" s="16">
        <v>168.92</v>
      </c>
      <c r="J29" s="45">
        <v>1</v>
      </c>
      <c r="K29" s="19">
        <f t="shared" si="5"/>
        <v>152.95661440357267</v>
      </c>
      <c r="L29" s="16">
        <f t="shared" si="6"/>
        <v>254.82967970022307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7.23</v>
      </c>
      <c r="B30" s="45">
        <f t="shared" si="0"/>
        <v>7230</v>
      </c>
      <c r="C30" s="16">
        <f t="shared" si="1"/>
        <v>3.8588259087860486</v>
      </c>
      <c r="D30" s="15">
        <f t="shared" si="2"/>
        <v>2.2309448903400001E+20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1.5287981123828436E+40</v>
      </c>
      <c r="F30" s="15">
        <f t="shared" si="3"/>
        <v>3.3744502753019061E+40</v>
      </c>
      <c r="G30" s="15"/>
      <c r="H30" s="18">
        <f t="shared" si="4"/>
        <v>4.90324838768475E+40</v>
      </c>
      <c r="I30" s="16">
        <v>171.08</v>
      </c>
      <c r="J30" s="45">
        <v>1</v>
      </c>
      <c r="K30" s="19">
        <f t="shared" si="5"/>
        <v>151.00968553047565</v>
      </c>
      <c r="L30" s="16">
        <f t="shared" si="6"/>
        <v>402.81752290559899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8.0500000000000007</v>
      </c>
      <c r="B31" s="45">
        <f t="shared" si="0"/>
        <v>8050.0000000000009</v>
      </c>
      <c r="C31" s="16">
        <f t="shared" si="1"/>
        <v>4.2964797462970532</v>
      </c>
      <c r="D31" s="15">
        <f t="shared" si="2"/>
        <v>2.4839704519000002E+20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1.5753859533189496E+40</v>
      </c>
      <c r="F31" s="15">
        <f t="shared" si="3"/>
        <v>3.3892572312630937E+40</v>
      </c>
      <c r="G31" s="15"/>
      <c r="H31" s="18">
        <f t="shared" si="4"/>
        <v>4.9646431845820435E+40</v>
      </c>
      <c r="I31" s="16">
        <v>170.51</v>
      </c>
      <c r="J31" s="45">
        <v>1</v>
      </c>
      <c r="K31" s="19">
        <f t="shared" si="5"/>
        <v>149.65756317820768</v>
      </c>
      <c r="L31" s="16">
        <f t="shared" si="6"/>
        <v>434.82412140683977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8.94</v>
      </c>
      <c r="B32" s="45">
        <f t="shared" si="0"/>
        <v>8940</v>
      </c>
      <c r="C32" s="16">
        <f t="shared" si="1"/>
        <v>4.771494277254118</v>
      </c>
      <c r="D32" s="15">
        <f t="shared" si="2"/>
        <v>2.7585957565199997E+20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1.61790190823649E+40</v>
      </c>
      <c r="F32" s="15">
        <f t="shared" si="3"/>
        <v>3.3973070850677868E+40</v>
      </c>
      <c r="G32" s="15"/>
      <c r="H32" s="18">
        <f t="shared" si="4"/>
        <v>5.0152089933042766E+40</v>
      </c>
      <c r="I32" s="16">
        <v>166.42</v>
      </c>
      <c r="J32" s="45">
        <v>1</v>
      </c>
      <c r="K32" s="19">
        <f t="shared" si="5"/>
        <v>148.97387488348483</v>
      </c>
      <c r="L32" s="16">
        <f t="shared" si="6"/>
        <v>304.36728158110117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9.93</v>
      </c>
      <c r="B33" s="45">
        <f t="shared" si="0"/>
        <v>9930</v>
      </c>
      <c r="C33" s="16">
        <f t="shared" si="1"/>
        <v>5.299881227419843</v>
      </c>
      <c r="D33" s="15">
        <f t="shared" si="2"/>
        <v>3.06407783694E+20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1.6552864535798844E+40</v>
      </c>
      <c r="F33" s="15">
        <f t="shared" si="3"/>
        <v>3.4014525873394177E+40</v>
      </c>
      <c r="G33" s="15"/>
      <c r="H33" s="18">
        <f t="shared" si="4"/>
        <v>5.0567390409193026E+40</v>
      </c>
      <c r="I33" s="16">
        <v>164.01</v>
      </c>
      <c r="J33" s="45">
        <v>1</v>
      </c>
      <c r="K33" s="19">
        <f t="shared" si="5"/>
        <v>148.95619810591145</v>
      </c>
      <c r="L33" s="16">
        <f t="shared" si="6"/>
        <v>226.6169514664636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11.01</v>
      </c>
      <c r="B34" s="45">
        <f t="shared" si="0"/>
        <v>11010</v>
      </c>
      <c r="C34" s="16">
        <f t="shared" si="1"/>
        <v>5.8763033548733601</v>
      </c>
      <c r="D34" s="15">
        <f t="shared" si="2"/>
        <v>3.3973310155799999E+20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1.6924403775399867E+40</v>
      </c>
      <c r="F34" s="15">
        <f t="shared" si="3"/>
        <v>3.4033665658913496E+40</v>
      </c>
      <c r="G34" s="15"/>
      <c r="H34" s="18">
        <f t="shared" si="4"/>
        <v>5.0958069434313358E+40</v>
      </c>
      <c r="I34" s="16">
        <v>163.16999999999999</v>
      </c>
      <c r="J34" s="45">
        <v>1</v>
      </c>
      <c r="K34" s="19">
        <f t="shared" si="5"/>
        <v>149.66465735554738</v>
      </c>
      <c r="L34" s="16">
        <f t="shared" si="6"/>
        <v>182.39427994407023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12.2</v>
      </c>
      <c r="B35" s="45">
        <f t="shared" si="0"/>
        <v>12200</v>
      </c>
      <c r="C35" s="16">
        <f t="shared" si="1"/>
        <v>6.5114351434564028</v>
      </c>
      <c r="D35" s="15">
        <f t="shared" si="2"/>
        <v>3.7645266475999999E+20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1.7245560070387112E+40</v>
      </c>
      <c r="F35" s="15">
        <f t="shared" si="3"/>
        <v>3.4041799591927687E+40</v>
      </c>
      <c r="G35" s="15"/>
      <c r="H35" s="18">
        <f t="shared" si="4"/>
        <v>5.1287359662314801E+40</v>
      </c>
      <c r="I35" s="16">
        <v>162.46</v>
      </c>
      <c r="J35" s="45">
        <v>1</v>
      </c>
      <c r="K35" s="19">
        <f t="shared" si="5"/>
        <v>151.06439834084645</v>
      </c>
      <c r="L35" s="16">
        <f t="shared" si="6"/>
        <v>129.85973717410329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13.51</v>
      </c>
      <c r="B36" s="45">
        <f t="shared" si="0"/>
        <v>13510</v>
      </c>
      <c r="C36" s="16">
        <f t="shared" si="1"/>
        <v>7.2106138350898368</v>
      </c>
      <c r="D36" s="15">
        <f t="shared" si="2"/>
        <v>4.1687504105800001E+20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1.7551104247613129E+40</v>
      </c>
      <c r="F36" s="15">
        <f t="shared" si="3"/>
        <v>3.4044903619374534E+40</v>
      </c>
      <c r="G36" s="15"/>
      <c r="H36" s="18">
        <f t="shared" si="4"/>
        <v>5.1596007866987661E+40</v>
      </c>
      <c r="I36" s="16">
        <v>159.47999999999999</v>
      </c>
      <c r="J36" s="45">
        <v>1</v>
      </c>
      <c r="K36" s="19">
        <f t="shared" si="5"/>
        <v>153.17389694509052</v>
      </c>
      <c r="L36" s="16">
        <f t="shared" si="6"/>
        <v>39.76693573913856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14.95</v>
      </c>
      <c r="B37" s="45">
        <f t="shared" si="0"/>
        <v>14950</v>
      </c>
      <c r="C37" s="16">
        <f t="shared" si="1"/>
        <v>7.9791766716945265</v>
      </c>
      <c r="D37" s="15">
        <f t="shared" si="2"/>
        <v>4.6130879820999996E+20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1.7824477101826302E+40</v>
      </c>
      <c r="F37" s="15">
        <f t="shared" si="3"/>
        <v>3.4045957013117299E+40</v>
      </c>
      <c r="G37" s="15"/>
      <c r="H37" s="18">
        <f t="shared" si="4"/>
        <v>5.1870434114943601E+40</v>
      </c>
      <c r="I37" s="16">
        <v>155.84</v>
      </c>
      <c r="J37" s="45">
        <v>1</v>
      </c>
      <c r="K37" s="19">
        <f t="shared" si="5"/>
        <v>155.96994227595462</v>
      </c>
      <c r="L37" s="16">
        <f t="shared" si="6"/>
        <v>1.6884995080266339E-2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s="17" customFormat="1" x14ac:dyDescent="0.25">
      <c r="A38" s="16">
        <v>16.54</v>
      </c>
      <c r="B38" s="45">
        <f t="shared" si="0"/>
        <v>16540</v>
      </c>
      <c r="C38" s="16">
        <f t="shared" si="1"/>
        <v>8.8277981371122056</v>
      </c>
      <c r="D38" s="15">
        <f t="shared" si="2"/>
        <v>5.1037107173199997E+20</v>
      </c>
      <c r="E38" s="15">
        <f>IF($C38=0,0,FORECAST($C38, OFFSET('De Vaucouleurs Deprojection'!$F$2:$F$127, MATCH($C38, 'De Vaucouleurs Deprojection'!$A$2:$A$127,1)-1,0,2), OFFSET('De Vaucouleurs Deprojection'!$A$2:$A$127, MATCH($C38, 'De Vaucouleurs Deprojection'!$A$2:$A$127,1)-1,0,2))*QESTotalBulgeMass)</f>
        <v>1.805846462267566E+40</v>
      </c>
      <c r="F38" s="15">
        <f t="shared" si="3"/>
        <v>3.4046272805041863E+40</v>
      </c>
      <c r="G38" s="15"/>
      <c r="H38" s="18">
        <f t="shared" si="4"/>
        <v>5.2104737427717523E+40</v>
      </c>
      <c r="I38" s="16">
        <v>155.06</v>
      </c>
      <c r="J38" s="45">
        <v>1</v>
      </c>
      <c r="K38" s="19">
        <f t="shared" si="5"/>
        <v>159.4520835925521</v>
      </c>
      <c r="L38" s="16">
        <f t="shared" si="6"/>
        <v>19.290398283965338</v>
      </c>
      <c r="N38" s="45"/>
      <c r="O38" s="45"/>
      <c r="P38" s="45"/>
      <c r="Q38" s="45"/>
      <c r="R38" s="45"/>
      <c r="S38" s="45"/>
      <c r="T38" s="45"/>
      <c r="U38" s="45"/>
      <c r="V38" s="16"/>
      <c r="W38" s="16"/>
      <c r="X38" s="45"/>
      <c r="Y38" s="45"/>
      <c r="Z38" s="45"/>
      <c r="AA38" s="45"/>
      <c r="AB38" s="45"/>
      <c r="AC38" s="45"/>
    </row>
    <row r="39" spans="1:29" s="17" customFormat="1" x14ac:dyDescent="0.25">
      <c r="A39" s="16">
        <v>18.29</v>
      </c>
      <c r="B39" s="45">
        <f t="shared" si="0"/>
        <v>18290</v>
      </c>
      <c r="C39" s="16">
        <f t="shared" si="1"/>
        <v>9.7618154732637379</v>
      </c>
      <c r="D39" s="15">
        <f t="shared" si="2"/>
        <v>5.6437042938199998E+20</v>
      </c>
      <c r="E39" s="15">
        <f>IF($C39=0,0,FORECAST($C39, OFFSET('De Vaucouleurs Deprojection'!$F$2:$F$127, MATCH($C39, 'De Vaucouleurs Deprojection'!$A$2:$A$127,1)-1,0,2), OFFSET('De Vaucouleurs Deprojection'!$A$2:$A$127, MATCH($C39, 'De Vaucouleurs Deprojection'!$A$2:$A$127,1)-1,0,2))*QESTotalBulgeMass)</f>
        <v>1.8269277716910043E+40</v>
      </c>
      <c r="F39" s="15">
        <f t="shared" si="3"/>
        <v>3.4046354601996068E+40</v>
      </c>
      <c r="G39" s="15"/>
      <c r="H39" s="18">
        <f t="shared" si="4"/>
        <v>5.231563231890611E+40</v>
      </c>
      <c r="I39" s="16">
        <v>157.03</v>
      </c>
      <c r="J39" s="45">
        <v>1</v>
      </c>
      <c r="K39" s="19">
        <f t="shared" si="5"/>
        <v>163.60659258831004</v>
      </c>
      <c r="L39" s="16">
        <f t="shared" si="6"/>
        <v>43.251570072614484</v>
      </c>
      <c r="N39" s="45"/>
      <c r="O39" s="45"/>
      <c r="P39" s="45"/>
      <c r="Q39" s="45"/>
      <c r="R39" s="45"/>
      <c r="S39" s="45"/>
      <c r="T39" s="45"/>
      <c r="U39" s="45"/>
      <c r="V39" s="16"/>
      <c r="W39" s="16"/>
      <c r="X39" s="45"/>
      <c r="Y39" s="45"/>
      <c r="Z39" s="45"/>
      <c r="AA39" s="45"/>
      <c r="AB39" s="45"/>
      <c r="AC39" s="45"/>
    </row>
    <row r="40" spans="1:29" s="17" customFormat="1" x14ac:dyDescent="0.25">
      <c r="A40" s="16">
        <v>20.2</v>
      </c>
      <c r="B40" s="45">
        <f t="shared" si="0"/>
        <v>20200</v>
      </c>
      <c r="C40" s="16">
        <f t="shared" si="1"/>
        <v>10.781228680149127</v>
      </c>
      <c r="D40" s="15">
        <f t="shared" si="2"/>
        <v>6.2330687115999995E+20</v>
      </c>
      <c r="E40" s="15">
        <f>IF($C40=0,0,FORECAST($C40, OFFSET('De Vaucouleurs Deprojection'!$F$2:$F$127, MATCH($C40, 'De Vaucouleurs Deprojection'!$A$2:$A$127,1)-1,0,2), OFFSET('De Vaucouleurs Deprojection'!$A$2:$A$127, MATCH($C40, 'De Vaucouleurs Deprojection'!$A$2:$A$127,1)-1,0,2))*QESTotalBulgeMass)</f>
        <v>1.8454003959014553E+40</v>
      </c>
      <c r="F40" s="15">
        <f t="shared" si="3"/>
        <v>3.4046372702423293E+40</v>
      </c>
      <c r="G40" s="15"/>
      <c r="H40" s="18">
        <f t="shared" si="4"/>
        <v>5.2500376661437842E+40</v>
      </c>
      <c r="I40" s="16">
        <v>161.41999999999999</v>
      </c>
      <c r="J40" s="45">
        <v>1</v>
      </c>
      <c r="K40" s="19">
        <f t="shared" si="5"/>
        <v>168.37786379038977</v>
      </c>
      <c r="L40" s="16">
        <f t="shared" si="6"/>
        <v>48.411868525617237</v>
      </c>
      <c r="N40" s="45"/>
      <c r="O40" s="45"/>
      <c r="P40" s="45"/>
      <c r="Q40" s="45"/>
      <c r="R40" s="45"/>
      <c r="S40" s="45"/>
      <c r="T40" s="45"/>
      <c r="U40" s="45"/>
      <c r="V40" s="16"/>
      <c r="W40" s="16"/>
      <c r="X40" s="45"/>
      <c r="Y40" s="45"/>
      <c r="Z40" s="45"/>
      <c r="AA40" s="45"/>
      <c r="AB40" s="45"/>
      <c r="AC40" s="45"/>
    </row>
    <row r="41" spans="1:29" x14ac:dyDescent="0.25">
      <c r="A41" s="16">
        <v>22.32</v>
      </c>
      <c r="B41" s="45">
        <f t="shared" si="0"/>
        <v>22320</v>
      </c>
      <c r="C41" s="16">
        <f t="shared" si="1"/>
        <v>11.912723967372697</v>
      </c>
      <c r="D41" s="15">
        <f t="shared" si="2"/>
        <v>6.8872323585599996E+20</v>
      </c>
      <c r="E41" s="15">
        <f>IF($C41=0,0,FORECAST($C41, OFFSET('De Vaucouleurs Deprojection'!$F$2:$F$127, MATCH($C41, 'De Vaucouleurs Deprojection'!$A$2:$A$127,1)-1,0,2), OFFSET('De Vaucouleurs Deprojection'!$A$2:$A$127, MATCH($C41, 'De Vaucouleurs Deprojection'!$A$2:$A$127,1)-1,0,2))*QESTotalBulgeMass)</f>
        <v>1.8617468657627818E+40</v>
      </c>
      <c r="F41" s="15">
        <f t="shared" si="3"/>
        <v>3.4046376154576693E+40</v>
      </c>
      <c r="H41" s="18">
        <f t="shared" si="4"/>
        <v>5.2663844812204506E+40</v>
      </c>
      <c r="I41" s="16">
        <v>167.02</v>
      </c>
      <c r="J41" s="45">
        <v>1</v>
      </c>
      <c r="K41" s="19">
        <f t="shared" si="5"/>
        <v>173.83465775755124</v>
      </c>
      <c r="L41" s="16">
        <f t="shared" si="6"/>
        <v>46.439560352553173</v>
      </c>
    </row>
    <row r="42" spans="1:29" x14ac:dyDescent="0.25">
      <c r="I42" s="45"/>
      <c r="J42" s="45"/>
      <c r="L42" s="16">
        <f>SUM(L8:L41)/(COUNT(L8:L41)-4)</f>
        <v>185.16113752713807</v>
      </c>
    </row>
    <row r="43" spans="1:29" x14ac:dyDescent="0.25">
      <c r="I43" s="45"/>
      <c r="J43" s="45"/>
      <c r="L43" s="16"/>
    </row>
    <row r="44" spans="1:29" ht="21" x14ac:dyDescent="0.35">
      <c r="A44" s="48" t="s">
        <v>564</v>
      </c>
      <c r="I44" s="45"/>
      <c r="J44" s="45"/>
      <c r="L44" s="16"/>
    </row>
    <row r="45" spans="1:29" x14ac:dyDescent="0.25">
      <c r="A45" s="16" t="s">
        <v>30</v>
      </c>
      <c r="D45" s="16">
        <v>0.82</v>
      </c>
      <c r="E45" s="17">
        <f>$D$45*1000</f>
        <v>820</v>
      </c>
      <c r="F45" s="17"/>
      <c r="G45" s="17"/>
      <c r="H45" s="15"/>
      <c r="K45" s="15"/>
      <c r="L45" s="17"/>
      <c r="M45" s="45"/>
    </row>
    <row r="46" spans="1:29" x14ac:dyDescent="0.25">
      <c r="A46" s="16" t="s">
        <v>16</v>
      </c>
      <c r="D46" s="16">
        <v>0.64</v>
      </c>
      <c r="E46" s="15">
        <f>D46*10000000000*SolarMass</f>
        <v>1.2730239999999999E+40</v>
      </c>
      <c r="F46" s="43"/>
      <c r="G46" s="43"/>
      <c r="H46" s="15"/>
      <c r="K46" s="15"/>
      <c r="L46" s="17"/>
      <c r="M46" s="45"/>
    </row>
    <row r="47" spans="1:29" x14ac:dyDescent="0.25">
      <c r="A47" s="16" t="s">
        <v>569</v>
      </c>
      <c r="D47" s="16">
        <v>0.8</v>
      </c>
      <c r="E47" s="15">
        <f>D47*1000</f>
        <v>800</v>
      </c>
      <c r="H47" s="15"/>
      <c r="K47" s="15"/>
      <c r="L47" s="17"/>
      <c r="M47" s="45"/>
    </row>
    <row r="48" spans="1:29" x14ac:dyDescent="0.25">
      <c r="A48" s="16" t="s">
        <v>17</v>
      </c>
      <c r="D48" s="45">
        <v>0.8</v>
      </c>
      <c r="G48" s="16"/>
      <c r="H48" s="15"/>
      <c r="K48" s="15"/>
      <c r="L48" s="17"/>
      <c r="M48" s="45"/>
    </row>
    <row r="49" spans="1:29" x14ac:dyDescent="0.25">
      <c r="A49" s="16" t="s">
        <v>570</v>
      </c>
      <c r="D49" s="16">
        <v>11.8</v>
      </c>
      <c r="E49" s="17">
        <f>D49*1000</f>
        <v>11800</v>
      </c>
      <c r="H49" s="15"/>
      <c r="K49" s="15"/>
      <c r="L49" s="17"/>
      <c r="M49" s="45"/>
    </row>
    <row r="50" spans="1:29" x14ac:dyDescent="0.25">
      <c r="A50" s="16" t="s">
        <v>571</v>
      </c>
      <c r="D50" s="16">
        <v>5.7</v>
      </c>
      <c r="G50" s="9"/>
      <c r="H50" s="15"/>
      <c r="K50" s="15"/>
      <c r="L50" s="17"/>
      <c r="M50" s="45"/>
    </row>
    <row r="51" spans="1:29" x14ac:dyDescent="0.25">
      <c r="D51" s="12"/>
      <c r="H51" s="15"/>
      <c r="K51" s="15"/>
      <c r="L51" s="17"/>
      <c r="M51" s="45"/>
    </row>
    <row r="52" spans="1:29" x14ac:dyDescent="0.25">
      <c r="A52" s="16" t="s">
        <v>567</v>
      </c>
      <c r="D52" s="17">
        <f>(D48*10000000000)/(2*PI()*DiskScaleLengthPc^2)</f>
        <v>1989.4367886486916</v>
      </c>
      <c r="H52" s="15"/>
      <c r="K52" s="15"/>
      <c r="L52" s="17"/>
      <c r="M52" s="45"/>
    </row>
    <row r="53" spans="1:29" x14ac:dyDescent="0.25">
      <c r="A53" s="16" t="s">
        <v>565</v>
      </c>
      <c r="D53" s="9">
        <f>(D50*10000000000)/(4*PI()*(LCDMHaloScaleLengthPc)^3*(LN(2)-1/2))</f>
        <v>1.4293237060442698E-2</v>
      </c>
      <c r="H53" s="15"/>
      <c r="K53" s="15"/>
      <c r="L53" s="17"/>
      <c r="M53" s="45"/>
    </row>
    <row r="54" spans="1:29" x14ac:dyDescent="0.25">
      <c r="H54" s="15"/>
      <c r="K54" s="15"/>
      <c r="L54" s="17"/>
      <c r="M54" s="45"/>
    </row>
    <row r="55" spans="1:29" ht="45" x14ac:dyDescent="0.25">
      <c r="A55" s="7" t="s">
        <v>20</v>
      </c>
      <c r="B55" s="3" t="s">
        <v>19</v>
      </c>
      <c r="C55" s="7" t="s">
        <v>27</v>
      </c>
      <c r="D55" s="4" t="s">
        <v>649</v>
      </c>
      <c r="E55" s="4" t="s">
        <v>21</v>
      </c>
      <c r="F55" s="4" t="s">
        <v>22</v>
      </c>
      <c r="G55" s="4" t="s">
        <v>28</v>
      </c>
      <c r="H55" s="4" t="s">
        <v>23</v>
      </c>
      <c r="I55" s="7" t="s">
        <v>645</v>
      </c>
      <c r="J55" s="7" t="s">
        <v>646</v>
      </c>
      <c r="K55" s="25" t="s">
        <v>647</v>
      </c>
      <c r="L55" s="3" t="s">
        <v>648</v>
      </c>
      <c r="M55" s="3"/>
      <c r="N55" s="3"/>
      <c r="O55" s="3"/>
      <c r="P55" s="3"/>
      <c r="Q55" s="3"/>
      <c r="R55" s="3"/>
      <c r="S55" s="3"/>
      <c r="T55" s="3"/>
      <c r="U55" s="3"/>
      <c r="V55" s="7"/>
      <c r="W55" s="7"/>
      <c r="X55" s="3"/>
      <c r="Y55" s="3"/>
      <c r="Z55" s="3"/>
      <c r="AA55" s="3"/>
      <c r="AB55" s="3"/>
      <c r="AC55" s="3"/>
    </row>
    <row r="56" spans="1:29" x14ac:dyDescent="0.25">
      <c r="A56" s="16">
        <v>0.09</v>
      </c>
      <c r="B56" s="45">
        <f>A56*1000</f>
        <v>90</v>
      </c>
      <c r="C56" s="16">
        <f>B56/LCDMBulgeEffectiveRadius</f>
        <v>0.10975609756097561</v>
      </c>
      <c r="D56" s="15">
        <f>A56*kpc</f>
        <v>2.777109822E+18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6.3053251312390227E+38</v>
      </c>
      <c r="F56" s="15">
        <f t="shared" ref="F56:F89" si="7">2*PI()*LCDMDiskSurfaceDensity*LCDMScaleLength*(LCDMScaleLength-EXP(-RadiusPc/LCDMScaleLength)*(RadiusPc+LCDMScaleLength))*SolarMass</f>
        <v>9.3455100111419019E+37</v>
      </c>
      <c r="G56" s="15">
        <f t="shared" ref="G56:G89" si="8">4*PI()*LCDMHaloRepresentativeDensity*LCDMHaloScaleLengthPc^3*(LN(1+RadiusPc/LCDMHaloScaleLengthPc)-RadiusPc/(RadiusPc+LCDMHaloScaleLengthPc))*SolarMass</f>
        <v>1.6901798472077166E+37</v>
      </c>
      <c r="H56" s="15">
        <f t="shared" ref="H56:H89" si="9">BulgeMass+DiskMass+HaloMass</f>
        <v>7.408894117073984E+38</v>
      </c>
      <c r="I56" s="16">
        <v>133.68</v>
      </c>
      <c r="J56" s="45">
        <v>1</v>
      </c>
      <c r="K56" s="19">
        <f t="shared" ref="K56:K89" si="10">SQRT(TotalMass*GravitationalConstant/RadiusKm)/km</f>
        <v>133.43687757437453</v>
      </c>
      <c r="L56" s="16">
        <f t="shared" ref="L56:L89" si="11">(ObservedVelocity-ModelVelocity)^2/(VelocityError)^2</f>
        <v>5.9108513842013294E-2</v>
      </c>
      <c r="M56" s="45"/>
    </row>
    <row r="57" spans="1:29" x14ac:dyDescent="0.25">
      <c r="A57" s="16">
        <v>0.19</v>
      </c>
      <c r="B57" s="45">
        <f t="shared" ref="B57:B89" si="12">A57*1000</f>
        <v>190</v>
      </c>
      <c r="C57" s="16">
        <f t="shared" ref="C57:C89" si="13">B57/LCDMBulgeEffectiveRadius</f>
        <v>0.23170731707317074</v>
      </c>
      <c r="D57" s="15">
        <f t="shared" ref="D57:D89" si="14">A57*kpc</f>
        <v>5.862787402E+18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1.482491094883902E+39</v>
      </c>
      <c r="F57" s="15">
        <f t="shared" si="7"/>
        <v>3.8367904908044903E+38</v>
      </c>
      <c r="G57" s="15">
        <f t="shared" si="8"/>
        <v>7.449044447954458E+37</v>
      </c>
      <c r="H57" s="15">
        <f t="shared" si="9"/>
        <v>1.9406605884438957E+39</v>
      </c>
      <c r="I57" s="16">
        <v>119.38</v>
      </c>
      <c r="J57" s="45">
        <v>1</v>
      </c>
      <c r="K57" s="19">
        <f t="shared" si="10"/>
        <v>148.63408849465893</v>
      </c>
      <c r="L57" s="16">
        <f t="shared" si="11"/>
        <v>855.80169365333597</v>
      </c>
      <c r="M57" s="45"/>
    </row>
    <row r="58" spans="1:29" x14ac:dyDescent="0.25">
      <c r="A58" s="16">
        <v>0.3</v>
      </c>
      <c r="B58" s="45">
        <f t="shared" si="12"/>
        <v>300</v>
      </c>
      <c r="C58" s="16">
        <f t="shared" si="13"/>
        <v>0.36585365853658536</v>
      </c>
      <c r="D58" s="15">
        <f t="shared" si="14"/>
        <v>9.25703274E+18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2.3460590345365852E+39</v>
      </c>
      <c r="F58" s="15">
        <f t="shared" si="7"/>
        <v>8.7484185112564736E+38</v>
      </c>
      <c r="G58" s="15">
        <f t="shared" si="8"/>
        <v>1.8345880732454128E+38</v>
      </c>
      <c r="H58" s="15">
        <f t="shared" si="9"/>
        <v>3.4043596929867741E+39</v>
      </c>
      <c r="I58" s="16">
        <v>111.54</v>
      </c>
      <c r="J58" s="45">
        <v>1</v>
      </c>
      <c r="K58" s="19">
        <f t="shared" si="10"/>
        <v>156.66699887734407</v>
      </c>
      <c r="L58" s="16">
        <f t="shared" si="11"/>
        <v>2036.4460276758125</v>
      </c>
      <c r="M58" s="45"/>
    </row>
    <row r="59" spans="1:29" x14ac:dyDescent="0.25">
      <c r="A59" s="16">
        <v>0.42</v>
      </c>
      <c r="B59" s="45">
        <f t="shared" si="12"/>
        <v>420</v>
      </c>
      <c r="C59" s="16">
        <f t="shared" si="13"/>
        <v>0.51219512195121952</v>
      </c>
      <c r="D59" s="15">
        <f t="shared" si="14"/>
        <v>1.2959845836E+19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3.1798214459317069E+39</v>
      </c>
      <c r="F59" s="15">
        <f t="shared" si="7"/>
        <v>1.5575141418032104E+39</v>
      </c>
      <c r="G59" s="15">
        <f t="shared" si="8"/>
        <v>3.5486720856539882E+38</v>
      </c>
      <c r="H59" s="15">
        <f t="shared" si="9"/>
        <v>5.0922027963003156E+39</v>
      </c>
      <c r="I59" s="16">
        <v>126.68</v>
      </c>
      <c r="J59" s="45">
        <v>1</v>
      </c>
      <c r="K59" s="19">
        <f t="shared" si="10"/>
        <v>161.93794802304407</v>
      </c>
      <c r="L59" s="16">
        <f t="shared" si="11"/>
        <v>1243.122898795677</v>
      </c>
      <c r="M59" s="45"/>
    </row>
    <row r="60" spans="1:29" x14ac:dyDescent="0.25">
      <c r="A60" s="16">
        <v>0.56000000000000005</v>
      </c>
      <c r="B60" s="45">
        <f t="shared" si="12"/>
        <v>560</v>
      </c>
      <c r="C60" s="16">
        <f t="shared" si="13"/>
        <v>0.68292682926829273</v>
      </c>
      <c r="D60" s="15">
        <f t="shared" si="14"/>
        <v>1.7279794448000002E+19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4.0176699538731716E+39</v>
      </c>
      <c r="F60" s="15">
        <f t="shared" si="7"/>
        <v>2.4792935423076986E+39</v>
      </c>
      <c r="G60" s="15">
        <f t="shared" si="8"/>
        <v>6.213332635079004E+38</v>
      </c>
      <c r="H60" s="15">
        <f t="shared" si="9"/>
        <v>7.1182967596887702E+39</v>
      </c>
      <c r="I60" s="16">
        <v>150.75</v>
      </c>
      <c r="J60" s="45">
        <v>1</v>
      </c>
      <c r="K60" s="19">
        <f t="shared" si="10"/>
        <v>165.81142926748967</v>
      </c>
      <c r="L60" s="16">
        <f t="shared" si="11"/>
        <v>226.84665157959446</v>
      </c>
      <c r="M60" s="45"/>
    </row>
    <row r="61" spans="1:29" x14ac:dyDescent="0.25">
      <c r="A61" s="16">
        <v>0.7</v>
      </c>
      <c r="B61" s="45">
        <f t="shared" si="12"/>
        <v>700</v>
      </c>
      <c r="C61" s="16">
        <f t="shared" si="13"/>
        <v>0.85365853658536583</v>
      </c>
      <c r="D61" s="15">
        <f t="shared" si="14"/>
        <v>2.1599743059999998E+19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4.7392944755512179E+39</v>
      </c>
      <c r="F61" s="15">
        <f t="shared" si="7"/>
        <v>3.4750963498621847E+39</v>
      </c>
      <c r="G61" s="15">
        <f t="shared" si="8"/>
        <v>9.5630024231093635E+38</v>
      </c>
      <c r="H61" s="15">
        <f t="shared" si="9"/>
        <v>9.1706910677243388E+39</v>
      </c>
      <c r="I61" s="16">
        <v>167.99</v>
      </c>
      <c r="J61" s="45">
        <v>1</v>
      </c>
      <c r="K61" s="19">
        <f t="shared" si="10"/>
        <v>168.33423255685997</v>
      </c>
      <c r="L61" s="16">
        <f t="shared" si="11"/>
        <v>0.1184960532023485</v>
      </c>
      <c r="M61" s="45"/>
    </row>
    <row r="62" spans="1:29" x14ac:dyDescent="0.25">
      <c r="A62" s="16">
        <v>0.86</v>
      </c>
      <c r="B62" s="45">
        <f t="shared" si="12"/>
        <v>860</v>
      </c>
      <c r="C62" s="16">
        <f t="shared" si="13"/>
        <v>1.0487804878048781</v>
      </c>
      <c r="D62" s="15">
        <f t="shared" si="14"/>
        <v>2.6536827187999998E+19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5.4525046190829253E+39</v>
      </c>
      <c r="F62" s="15">
        <f t="shared" si="7"/>
        <v>4.6434689398511702E+39</v>
      </c>
      <c r="G62" s="15">
        <f t="shared" si="8"/>
        <v>1.4190274994032649E+39</v>
      </c>
      <c r="H62" s="15">
        <f t="shared" si="9"/>
        <v>1.1515001058337361E+40</v>
      </c>
      <c r="I62" s="16">
        <v>180.78</v>
      </c>
      <c r="J62" s="45">
        <v>1</v>
      </c>
      <c r="K62" s="19">
        <f t="shared" si="10"/>
        <v>170.17791445127659</v>
      </c>
      <c r="L62" s="16">
        <f t="shared" si="11"/>
        <v>112.40421798244974</v>
      </c>
      <c r="M62" s="45"/>
    </row>
    <row r="63" spans="1:29" x14ac:dyDescent="0.25">
      <c r="A63" s="16">
        <v>1.04</v>
      </c>
      <c r="B63" s="45">
        <f t="shared" si="12"/>
        <v>1040</v>
      </c>
      <c r="C63" s="16">
        <f t="shared" si="13"/>
        <v>1.2682926829268293</v>
      </c>
      <c r="D63" s="15">
        <f t="shared" si="14"/>
        <v>3.2091046832E+19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6.1390713017756087E+39</v>
      </c>
      <c r="F63" s="15">
        <f t="shared" si="7"/>
        <v>5.9382889927592365E+39</v>
      </c>
      <c r="G63" s="15">
        <f t="shared" si="8"/>
        <v>2.036257204005252E+39</v>
      </c>
      <c r="H63" s="15">
        <f t="shared" si="9"/>
        <v>1.4113617498540097E+40</v>
      </c>
      <c r="I63" s="16">
        <v>187</v>
      </c>
      <c r="J63" s="45">
        <v>1</v>
      </c>
      <c r="K63" s="19">
        <f t="shared" si="10"/>
        <v>171.32586511806673</v>
      </c>
      <c r="L63" s="16">
        <f t="shared" si="11"/>
        <v>245.67850429703728</v>
      </c>
      <c r="M63" s="45"/>
    </row>
    <row r="64" spans="1:29" x14ac:dyDescent="0.25">
      <c r="A64" s="16">
        <v>1.23</v>
      </c>
      <c r="B64" s="45">
        <f t="shared" si="12"/>
        <v>1230</v>
      </c>
      <c r="C64" s="16">
        <f t="shared" si="13"/>
        <v>1.5</v>
      </c>
      <c r="D64" s="15">
        <f t="shared" si="14"/>
        <v>3.7953834233999999E+19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6.7592482304000008E+39</v>
      </c>
      <c r="F64" s="15">
        <f t="shared" si="7"/>
        <v>7.2346952229270738E+39</v>
      </c>
      <c r="G64" s="15">
        <f t="shared" si="8"/>
        <v>2.7925763628578053E+39</v>
      </c>
      <c r="H64" s="15">
        <f t="shared" si="9"/>
        <v>1.6786519816184879E+40</v>
      </c>
      <c r="I64" s="16">
        <v>190.11</v>
      </c>
      <c r="J64" s="45">
        <v>1</v>
      </c>
      <c r="K64" s="19">
        <f t="shared" si="10"/>
        <v>171.80990969282152</v>
      </c>
      <c r="L64" s="16">
        <f t="shared" si="11"/>
        <v>334.89330525088826</v>
      </c>
      <c r="M64" s="45"/>
    </row>
    <row r="65" spans="1:13" x14ac:dyDescent="0.25">
      <c r="A65" s="16">
        <v>1.45</v>
      </c>
      <c r="B65" s="45">
        <f t="shared" si="12"/>
        <v>1450</v>
      </c>
      <c r="C65" s="16">
        <f t="shared" si="13"/>
        <v>1.7682926829268293</v>
      </c>
      <c r="D65" s="15">
        <f t="shared" si="14"/>
        <v>4.4742324909999997E+19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7.3665583018146337E+39</v>
      </c>
      <c r="F65" s="15">
        <f t="shared" si="7"/>
        <v>8.6067879015012033E+39</v>
      </c>
      <c r="G65" s="15">
        <f t="shared" si="8"/>
        <v>3.7944461296497871E+39</v>
      </c>
      <c r="H65" s="15">
        <f t="shared" si="9"/>
        <v>1.9767792332965623E+40</v>
      </c>
      <c r="I65" s="16">
        <v>189.93</v>
      </c>
      <c r="J65" s="45">
        <v>1</v>
      </c>
      <c r="K65" s="19">
        <f t="shared" si="10"/>
        <v>171.71787893916854</v>
      </c>
      <c r="L65" s="16">
        <f t="shared" si="11"/>
        <v>331.68135353438095</v>
      </c>
      <c r="M65" s="45"/>
    </row>
    <row r="66" spans="1:13" x14ac:dyDescent="0.25">
      <c r="A66" s="16">
        <v>1.68</v>
      </c>
      <c r="B66" s="45">
        <f t="shared" si="12"/>
        <v>1680</v>
      </c>
      <c r="C66" s="16">
        <f t="shared" si="13"/>
        <v>2.0487804878048781</v>
      </c>
      <c r="D66" s="15">
        <f t="shared" si="14"/>
        <v>5.1839383344E+19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7.906118656936584E+39</v>
      </c>
      <c r="F66" s="15">
        <f t="shared" si="7"/>
        <v>9.872063580337441E+39</v>
      </c>
      <c r="G66" s="15">
        <f t="shared" si="8"/>
        <v>4.9769332011762235E+39</v>
      </c>
      <c r="H66" s="15">
        <f t="shared" si="9"/>
        <v>2.2755115438450247E+40</v>
      </c>
      <c r="I66" s="16">
        <v>186.38</v>
      </c>
      <c r="J66" s="45">
        <v>1</v>
      </c>
      <c r="K66" s="19">
        <f t="shared" si="10"/>
        <v>171.16119589107552</v>
      </c>
      <c r="L66" s="16">
        <f t="shared" si="11"/>
        <v>231.61199850581644</v>
      </c>
      <c r="M66" s="45"/>
    </row>
    <row r="67" spans="1:13" x14ac:dyDescent="0.25">
      <c r="A67" s="16">
        <v>1.94</v>
      </c>
      <c r="B67" s="45">
        <f t="shared" si="12"/>
        <v>1940</v>
      </c>
      <c r="C67" s="16">
        <f t="shared" si="13"/>
        <v>2.3658536585365852</v>
      </c>
      <c r="D67" s="15">
        <f t="shared" si="14"/>
        <v>5.9862145052000002E+19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8.4224602962731703E+39</v>
      </c>
      <c r="F67" s="15">
        <f t="shared" si="7"/>
        <v>1.1090623951526722E+40</v>
      </c>
      <c r="G67" s="15">
        <f t="shared" si="8"/>
        <v>6.4677343534681189E+39</v>
      </c>
      <c r="H67" s="15">
        <f t="shared" si="9"/>
        <v>2.598081860126801E+40</v>
      </c>
      <c r="I67" s="16">
        <v>181.65</v>
      </c>
      <c r="J67" s="45">
        <v>1</v>
      </c>
      <c r="K67" s="19">
        <f t="shared" si="10"/>
        <v>170.19468049526532</v>
      </c>
      <c r="L67" s="16">
        <f t="shared" si="11"/>
        <v>131.22434495555501</v>
      </c>
      <c r="M67" s="45"/>
    </row>
    <row r="68" spans="1:13" x14ac:dyDescent="0.25">
      <c r="A68" s="16">
        <v>2.23</v>
      </c>
      <c r="B68" s="45">
        <f t="shared" si="12"/>
        <v>2230</v>
      </c>
      <c r="C68" s="16">
        <f t="shared" si="13"/>
        <v>2.7195121951219514</v>
      </c>
      <c r="D68" s="15">
        <f t="shared" si="14"/>
        <v>6.8810610034000003E+19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8.9061876817170731E+39</v>
      </c>
      <c r="F68" s="15">
        <f t="shared" si="7"/>
        <v>1.2201693843227203E+40</v>
      </c>
      <c r="G68" s="15">
        <f t="shared" si="8"/>
        <v>8.308050464389926E+39</v>
      </c>
      <c r="H68" s="15">
        <f t="shared" si="9"/>
        <v>2.9415931989334203E+40</v>
      </c>
      <c r="I68" s="16">
        <v>176.42</v>
      </c>
      <c r="J68" s="45">
        <v>1</v>
      </c>
      <c r="K68" s="19">
        <f t="shared" si="10"/>
        <v>168.91153412953821</v>
      </c>
      <c r="L68" s="16">
        <f t="shared" si="11"/>
        <v>56.377059727889325</v>
      </c>
      <c r="M68" s="45"/>
    </row>
    <row r="69" spans="1:13" x14ac:dyDescent="0.25">
      <c r="A69" s="16">
        <v>2.54</v>
      </c>
      <c r="B69" s="45">
        <f t="shared" si="12"/>
        <v>2540</v>
      </c>
      <c r="C69" s="16">
        <f t="shared" si="13"/>
        <v>3.0975609756097562</v>
      </c>
      <c r="D69" s="15">
        <f t="shared" si="14"/>
        <v>7.8376210532000006E+19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9.3394753723317075E+39</v>
      </c>
      <c r="F69" s="15">
        <f t="shared" si="7"/>
        <v>1.3136169408660503E+40</v>
      </c>
      <c r="G69" s="15">
        <f t="shared" si="8"/>
        <v>1.0464209019585107E+40</v>
      </c>
      <c r="H69" s="15">
        <f t="shared" si="9"/>
        <v>3.2939853800577315E+40</v>
      </c>
      <c r="I69" s="16">
        <v>171.61</v>
      </c>
      <c r="J69" s="45">
        <v>1</v>
      </c>
      <c r="K69" s="19">
        <f t="shared" si="10"/>
        <v>167.48056096785868</v>
      </c>
      <c r="L69" s="16">
        <f t="shared" si="11"/>
        <v>17.052266720172362</v>
      </c>
      <c r="M69" s="45"/>
    </row>
    <row r="70" spans="1:13" x14ac:dyDescent="0.25">
      <c r="A70" s="16">
        <v>2.89</v>
      </c>
      <c r="B70" s="45">
        <f t="shared" si="12"/>
        <v>2890</v>
      </c>
      <c r="C70" s="16">
        <f t="shared" si="13"/>
        <v>3.524390243902439</v>
      </c>
      <c r="D70" s="15">
        <f t="shared" si="14"/>
        <v>8.9176082061999997E+19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9.7467654289170718E+39</v>
      </c>
      <c r="F70" s="15">
        <f t="shared" si="7"/>
        <v>1.3932211889366886E+40</v>
      </c>
      <c r="G70" s="15">
        <f t="shared" si="8"/>
        <v>1.3110788655633569E+40</v>
      </c>
      <c r="H70" s="15">
        <f t="shared" si="9"/>
        <v>3.6789765973917524E+40</v>
      </c>
      <c r="I70" s="16">
        <v>166.53</v>
      </c>
      <c r="J70" s="45">
        <v>1</v>
      </c>
      <c r="K70" s="19">
        <f t="shared" si="10"/>
        <v>165.93386259253717</v>
      </c>
      <c r="L70" s="16">
        <f t="shared" si="11"/>
        <v>0.35537980857650875</v>
      </c>
      <c r="M70" s="45"/>
    </row>
    <row r="71" spans="1:13" x14ac:dyDescent="0.25">
      <c r="A71" s="16">
        <v>3.27</v>
      </c>
      <c r="B71" s="45">
        <f t="shared" si="12"/>
        <v>3270</v>
      </c>
      <c r="C71" s="16">
        <f t="shared" si="13"/>
        <v>3.9878048780487805</v>
      </c>
      <c r="D71" s="15">
        <f t="shared" si="14"/>
        <v>1.0090165686599999E+20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1.01139210752E+40</v>
      </c>
      <c r="F71" s="15">
        <f t="shared" si="7"/>
        <v>1.4554260307183974E+40</v>
      </c>
      <c r="G71" s="15">
        <f t="shared" si="8"/>
        <v>1.6212591851332848E+40</v>
      </c>
      <c r="H71" s="15">
        <f t="shared" si="9"/>
        <v>4.0880773233716819E+40</v>
      </c>
      <c r="I71" s="16">
        <v>162.21</v>
      </c>
      <c r="J71" s="45">
        <v>1</v>
      </c>
      <c r="K71" s="19">
        <f t="shared" si="10"/>
        <v>164.43948426167151</v>
      </c>
      <c r="L71" s="16">
        <f t="shared" si="11"/>
        <v>4.970600073040921</v>
      </c>
      <c r="M71" s="45"/>
    </row>
    <row r="72" spans="1:13" x14ac:dyDescent="0.25">
      <c r="A72" s="16">
        <v>3.69</v>
      </c>
      <c r="B72" s="45">
        <f t="shared" si="12"/>
        <v>3690</v>
      </c>
      <c r="C72" s="16">
        <f t="shared" si="13"/>
        <v>4.5</v>
      </c>
      <c r="D72" s="15">
        <f t="shared" si="14"/>
        <v>1.13861502702E+20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1.04491082944E+40</v>
      </c>
      <c r="F72" s="15">
        <f t="shared" si="7"/>
        <v>1.5026216467069374E+40</v>
      </c>
      <c r="G72" s="15">
        <f t="shared" si="8"/>
        <v>1.9885979559994471E+40</v>
      </c>
      <c r="H72" s="15">
        <f t="shared" si="9"/>
        <v>4.5361304321463849E+40</v>
      </c>
      <c r="I72" s="16">
        <v>159.34</v>
      </c>
      <c r="J72" s="45">
        <v>1</v>
      </c>
      <c r="K72" s="19">
        <f t="shared" si="10"/>
        <v>163.06096770093041</v>
      </c>
      <c r="L72" s="16">
        <f t="shared" si="11"/>
        <v>13.845600631367279</v>
      </c>
      <c r="M72" s="45"/>
    </row>
    <row r="73" spans="1:13" x14ac:dyDescent="0.25">
      <c r="A73" s="16">
        <v>4.1500000000000004</v>
      </c>
      <c r="B73" s="45">
        <f t="shared" si="12"/>
        <v>4150</v>
      </c>
      <c r="C73" s="16">
        <f t="shared" si="13"/>
        <v>5.0609756097560972</v>
      </c>
      <c r="D73" s="15">
        <f t="shared" si="14"/>
        <v>1.2805561957E+20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1.0746399762575608E+40</v>
      </c>
      <c r="F73" s="15">
        <f t="shared" si="7"/>
        <v>1.5362804429979626E+40</v>
      </c>
      <c r="G73" s="15">
        <f t="shared" si="8"/>
        <v>2.4167778437080251E+40</v>
      </c>
      <c r="H73" s="15">
        <f t="shared" si="9"/>
        <v>5.0276982629635479E+40</v>
      </c>
      <c r="I73" s="16">
        <v>158.94999999999999</v>
      </c>
      <c r="J73" s="45">
        <v>1</v>
      </c>
      <c r="K73" s="19">
        <f t="shared" si="10"/>
        <v>161.87544898421393</v>
      </c>
      <c r="L73" s="16">
        <f t="shared" si="11"/>
        <v>8.5582517592383933</v>
      </c>
      <c r="M73" s="45"/>
    </row>
    <row r="74" spans="1:13" x14ac:dyDescent="0.25">
      <c r="A74" s="16">
        <v>4.6500000000000004</v>
      </c>
      <c r="B74" s="45">
        <f t="shared" si="12"/>
        <v>4650</v>
      </c>
      <c r="C74" s="16">
        <f t="shared" si="13"/>
        <v>5.6707317073170733</v>
      </c>
      <c r="D74" s="15">
        <f t="shared" si="14"/>
        <v>1.4348400747000001E+20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1.1003954252331706E+40</v>
      </c>
      <c r="F74" s="15">
        <f t="shared" si="7"/>
        <v>1.5588672078997815E+40</v>
      </c>
      <c r="G74" s="15">
        <f t="shared" si="8"/>
        <v>2.908687375951276E+40</v>
      </c>
      <c r="H74" s="15">
        <f t="shared" si="9"/>
        <v>5.5679500090842283E+40</v>
      </c>
      <c r="I74" s="16">
        <v>161.08000000000001</v>
      </c>
      <c r="J74" s="45">
        <v>1</v>
      </c>
      <c r="K74" s="19">
        <f t="shared" si="10"/>
        <v>160.93170734218404</v>
      </c>
      <c r="L74" s="16">
        <f t="shared" si="11"/>
        <v>2.1990712362124964E-2</v>
      </c>
      <c r="M74" s="45"/>
    </row>
    <row r="75" spans="1:13" x14ac:dyDescent="0.25">
      <c r="A75" s="16">
        <v>5.21</v>
      </c>
      <c r="B75" s="45">
        <f t="shared" si="12"/>
        <v>5210</v>
      </c>
      <c r="C75" s="16">
        <f t="shared" si="13"/>
        <v>6.3536585365853657</v>
      </c>
      <c r="D75" s="15">
        <f t="shared" si="14"/>
        <v>1.6076380191800001E+20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1.1252436117385364E+40</v>
      </c>
      <c r="F75" s="15">
        <f t="shared" si="7"/>
        <v>1.5735304120306409E+40</v>
      </c>
      <c r="G75" s="15">
        <f t="shared" si="8"/>
        <v>3.4874926990146505E+40</v>
      </c>
      <c r="H75" s="15">
        <f t="shared" si="9"/>
        <v>6.1862667227838276E+40</v>
      </c>
      <c r="I75" s="16">
        <v>163.75</v>
      </c>
      <c r="J75" s="45">
        <v>1</v>
      </c>
      <c r="K75" s="19">
        <f t="shared" si="10"/>
        <v>160.25658737077168</v>
      </c>
      <c r="L75" s="16">
        <f t="shared" si="11"/>
        <v>12.203931798051901</v>
      </c>
      <c r="M75" s="45"/>
    </row>
    <row r="76" spans="1:13" x14ac:dyDescent="0.25">
      <c r="A76" s="16">
        <v>5.82</v>
      </c>
      <c r="B76" s="45">
        <f t="shared" si="12"/>
        <v>5820</v>
      </c>
      <c r="C76" s="16">
        <f t="shared" si="13"/>
        <v>7.0975609756097562</v>
      </c>
      <c r="D76" s="15">
        <f t="shared" si="14"/>
        <v>1.7958643515600001E+20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1.1475119064351218E+40</v>
      </c>
      <c r="F76" s="15">
        <f t="shared" si="7"/>
        <v>1.5821594243276713E+40</v>
      </c>
      <c r="G76" s="15">
        <f t="shared" si="8"/>
        <v>4.1459476627809964E+40</v>
      </c>
      <c r="H76" s="15">
        <f t="shared" si="9"/>
        <v>6.8756189935437902E+40</v>
      </c>
      <c r="I76" s="16">
        <v>166.24</v>
      </c>
      <c r="J76" s="45">
        <v>1</v>
      </c>
      <c r="K76" s="19">
        <f t="shared" si="10"/>
        <v>159.85080972410694</v>
      </c>
      <c r="L76" s="16">
        <f t="shared" si="11"/>
        <v>40.821752381566583</v>
      </c>
      <c r="M76" s="45"/>
    </row>
    <row r="77" spans="1:13" x14ac:dyDescent="0.25">
      <c r="A77" s="16">
        <v>6.49</v>
      </c>
      <c r="B77" s="45">
        <f t="shared" si="12"/>
        <v>6490</v>
      </c>
      <c r="C77" s="16">
        <f t="shared" si="13"/>
        <v>7.9146341463414638</v>
      </c>
      <c r="D77" s="15">
        <f t="shared" si="14"/>
        <v>2.0026047494200001E+20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1.1665571217092683E+40</v>
      </c>
      <c r="F77" s="15">
        <f t="shared" si="7"/>
        <v>1.5869331949667283E+40</v>
      </c>
      <c r="G77" s="15">
        <f t="shared" si="8"/>
        <v>4.8965885482991429E+40</v>
      </c>
      <c r="H77" s="15">
        <f t="shared" si="9"/>
        <v>7.6500788649751393E+40</v>
      </c>
      <c r="I77" s="16">
        <v>168.92</v>
      </c>
      <c r="J77" s="45">
        <v>1</v>
      </c>
      <c r="K77" s="19">
        <f t="shared" si="10"/>
        <v>159.6728361130676</v>
      </c>
      <c r="L77" s="16">
        <f t="shared" si="11"/>
        <v>85.510039951786439</v>
      </c>
      <c r="M77" s="45"/>
    </row>
    <row r="78" spans="1:13" x14ac:dyDescent="0.25">
      <c r="A78" s="16">
        <v>7.23</v>
      </c>
      <c r="B78" s="45">
        <f t="shared" si="12"/>
        <v>7230</v>
      </c>
      <c r="C78" s="16">
        <f t="shared" si="13"/>
        <v>8.8170731707317067</v>
      </c>
      <c r="D78" s="15">
        <f t="shared" si="14"/>
        <v>2.2309448903400001E+20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1.1832026867434146E+40</v>
      </c>
      <c r="F78" s="15">
        <f t="shared" si="7"/>
        <v>1.5893813899191584E+40</v>
      </c>
      <c r="G78" s="15">
        <f t="shared" si="8"/>
        <v>5.7521213480171531E+40</v>
      </c>
      <c r="H78" s="15">
        <f t="shared" si="9"/>
        <v>8.5247054246797259E+40</v>
      </c>
      <c r="I78" s="16">
        <v>171.08</v>
      </c>
      <c r="J78" s="45">
        <v>1</v>
      </c>
      <c r="K78" s="19">
        <f t="shared" si="10"/>
        <v>159.69487295568575</v>
      </c>
      <c r="L78" s="16">
        <f t="shared" si="11"/>
        <v>129.62111781517595</v>
      </c>
      <c r="M78" s="45"/>
    </row>
    <row r="79" spans="1:13" x14ac:dyDescent="0.25">
      <c r="A79" s="16">
        <v>8.0500000000000007</v>
      </c>
      <c r="B79" s="45">
        <f t="shared" si="12"/>
        <v>8050.0000000000009</v>
      </c>
      <c r="C79" s="16">
        <f t="shared" si="13"/>
        <v>9.8170731707317085</v>
      </c>
      <c r="D79" s="15">
        <f t="shared" si="14"/>
        <v>2.4839704519000002E+20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1.1979879290224388E+40</v>
      </c>
      <c r="F79" s="15">
        <f t="shared" si="7"/>
        <v>1.5905292217823431E+40</v>
      </c>
      <c r="G79" s="15">
        <f t="shared" si="8"/>
        <v>6.724920453958199E+40</v>
      </c>
      <c r="H79" s="15">
        <f t="shared" si="9"/>
        <v>9.5134376047629812E+40</v>
      </c>
      <c r="I79" s="16">
        <v>170.51</v>
      </c>
      <c r="J79" s="45">
        <v>1</v>
      </c>
      <c r="K79" s="19">
        <f t="shared" si="10"/>
        <v>159.87892829716421</v>
      </c>
      <c r="L79" s="16">
        <f t="shared" si="11"/>
        <v>113.01968555083572</v>
      </c>
      <c r="M79" s="45"/>
    </row>
    <row r="80" spans="1:13" x14ac:dyDescent="0.25">
      <c r="A80" s="16">
        <v>8.94</v>
      </c>
      <c r="B80" s="45">
        <f t="shared" si="12"/>
        <v>8940</v>
      </c>
      <c r="C80" s="16">
        <f t="shared" si="13"/>
        <v>10.902439024390244</v>
      </c>
      <c r="D80" s="15">
        <f t="shared" si="14"/>
        <v>2.7585957565199997E+20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1.210673147441951E+40</v>
      </c>
      <c r="F80" s="15">
        <f t="shared" si="7"/>
        <v>1.5910083718729884E+40</v>
      </c>
      <c r="G80" s="15">
        <f t="shared" si="8"/>
        <v>7.8021159145258134E+40</v>
      </c>
      <c r="H80" s="15">
        <f t="shared" si="9"/>
        <v>1.0603797433840754E+41</v>
      </c>
      <c r="I80" s="16">
        <v>166.42</v>
      </c>
      <c r="J80" s="45">
        <v>1</v>
      </c>
      <c r="K80" s="19">
        <f t="shared" si="10"/>
        <v>160.17044549316594</v>
      </c>
      <c r="L80" s="16">
        <f t="shared" si="11"/>
        <v>39.056931533889724</v>
      </c>
      <c r="M80" s="45"/>
    </row>
    <row r="81" spans="1:13" x14ac:dyDescent="0.25">
      <c r="A81" s="16">
        <v>9.93</v>
      </c>
      <c r="B81" s="45">
        <f t="shared" si="12"/>
        <v>9930</v>
      </c>
      <c r="C81" s="16">
        <f t="shared" si="13"/>
        <v>12.109756097560975</v>
      </c>
      <c r="D81" s="15">
        <f t="shared" si="14"/>
        <v>3.06407783694E+20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1.2216276742087803E+40</v>
      </c>
      <c r="F81" s="15">
        <f t="shared" si="7"/>
        <v>1.5911931887354003E+40</v>
      </c>
      <c r="G81" s="15">
        <f t="shared" si="8"/>
        <v>9.0177348361648891E+40</v>
      </c>
      <c r="H81" s="15">
        <f t="shared" si="9"/>
        <v>1.1830555699109071E+41</v>
      </c>
      <c r="I81" s="16">
        <v>164.01</v>
      </c>
      <c r="J81" s="45">
        <v>1</v>
      </c>
      <c r="K81" s="19">
        <f t="shared" si="10"/>
        <v>160.5271072290555</v>
      </c>
      <c r="L81" s="16">
        <f t="shared" si="11"/>
        <v>12.130542053897376</v>
      </c>
      <c r="M81" s="45"/>
    </row>
    <row r="82" spans="1:13" x14ac:dyDescent="0.25">
      <c r="A82" s="16">
        <v>11.01</v>
      </c>
      <c r="B82" s="45">
        <f t="shared" si="12"/>
        <v>11010</v>
      </c>
      <c r="C82" s="16">
        <f t="shared" si="13"/>
        <v>13.426829268292684</v>
      </c>
      <c r="D82" s="15">
        <f t="shared" si="14"/>
        <v>3.3973310155799999E+20</v>
      </c>
      <c r="E82" s="15">
        <f>FORECAST($C82, OFFSET('De Vaucouleurs Deprojection'!$F$3:$F$126, MATCH($C82, 'De Vaucouleurs Deprojection'!$A$3:$A$126,1)-1,0,2), OFFSET('De Vaucouleurs Deprojection'!$A$3:$A$126, MATCH($C82, 'De Vaucouleurs Deprojection'!$A$3:$A$126,1)-1,0,2))*LCDMTotalBulgeMass</f>
        <v>1.2308035380526827E+40</v>
      </c>
      <c r="F82" s="15">
        <f t="shared" si="7"/>
        <v>1.5912552298459348E+40</v>
      </c>
      <c r="G82" s="15">
        <f t="shared" si="8"/>
        <v>1.0355766048585439E+41</v>
      </c>
      <c r="H82" s="15">
        <f t="shared" si="9"/>
        <v>1.3177824816484056E+41</v>
      </c>
      <c r="I82" s="16">
        <v>163.16999999999999</v>
      </c>
      <c r="J82" s="45">
        <v>1</v>
      </c>
      <c r="K82" s="19">
        <f t="shared" si="10"/>
        <v>160.89725578474807</v>
      </c>
      <c r="L82" s="16">
        <f t="shared" si="11"/>
        <v>5.1653662679610601</v>
      </c>
      <c r="M82" s="45"/>
    </row>
    <row r="83" spans="1:13" x14ac:dyDescent="0.25">
      <c r="A83" s="16">
        <v>12.2</v>
      </c>
      <c r="B83" s="45">
        <f t="shared" si="12"/>
        <v>12200</v>
      </c>
      <c r="C83" s="16">
        <f t="shared" si="13"/>
        <v>14.878048780487806</v>
      </c>
      <c r="D83" s="15">
        <f t="shared" si="14"/>
        <v>3.7645266475999999E+20</v>
      </c>
      <c r="E83" s="15">
        <f>FORECAST($C83, OFFSET('De Vaucouleurs Deprojection'!$F$3:$F$126, MATCH($C83, 'De Vaucouleurs Deprojection'!$A$3:$A$126,1)-1,0,2), OFFSET('De Vaucouleurs Deprojection'!$A$3:$A$126, MATCH($C83, 'De Vaucouleurs Deprojection'!$A$3:$A$126,1)-1,0,2))*LCDMTotalBulgeMass</f>
        <v>1.2387473630595121E+40</v>
      </c>
      <c r="F83" s="15">
        <f t="shared" si="7"/>
        <v>1.5912738395970424E+40</v>
      </c>
      <c r="G83" s="15">
        <f t="shared" si="8"/>
        <v>1.1835286903872079E+41</v>
      </c>
      <c r="H83" s="15">
        <f t="shared" si="9"/>
        <v>1.4665308106528635E+41</v>
      </c>
      <c r="I83" s="16">
        <v>162.46</v>
      </c>
      <c r="J83" s="45">
        <v>1</v>
      </c>
      <c r="K83" s="19">
        <f t="shared" si="10"/>
        <v>161.24494631253771</v>
      </c>
      <c r="L83" s="16">
        <f t="shared" si="11"/>
        <v>1.4763554634157361</v>
      </c>
      <c r="M83" s="45"/>
    </row>
    <row r="84" spans="1:13" x14ac:dyDescent="0.25">
      <c r="A84" s="16">
        <v>13.51</v>
      </c>
      <c r="B84" s="45">
        <f t="shared" si="12"/>
        <v>13510</v>
      </c>
      <c r="C84" s="16">
        <f t="shared" si="13"/>
        <v>16.475609756097562</v>
      </c>
      <c r="D84" s="15">
        <f t="shared" si="14"/>
        <v>4.1687504105800001E+20</v>
      </c>
      <c r="E84" s="15">
        <f>FORECAST($C84, OFFSET('De Vaucouleurs Deprojection'!$F$3:$F$126, MATCH($C84, 'De Vaucouleurs Deprojection'!$A$3:$A$126,1)-1,0,2), OFFSET('De Vaucouleurs Deprojection'!$A$3:$A$126, MATCH($C84, 'De Vaucouleurs Deprojection'!$A$3:$A$126,1)-1,0,2))*LCDMTotalBulgeMass</f>
        <v>1.2440163783461464E+40</v>
      </c>
      <c r="F84" s="15">
        <f t="shared" si="7"/>
        <v>1.5912786812933747E+40</v>
      </c>
      <c r="G84" s="15">
        <f t="shared" si="8"/>
        <v>1.3461176067311063E+41</v>
      </c>
      <c r="H84" s="15">
        <f t="shared" si="9"/>
        <v>1.6296471126950584E+41</v>
      </c>
      <c r="I84" s="16">
        <v>159.47999999999999</v>
      </c>
      <c r="J84" s="45">
        <v>1</v>
      </c>
      <c r="K84" s="19">
        <f t="shared" si="10"/>
        <v>161.52492304053578</v>
      </c>
      <c r="L84" s="16">
        <f t="shared" si="11"/>
        <v>4.1817102417141498</v>
      </c>
      <c r="M84" s="45"/>
    </row>
    <row r="85" spans="1:13" x14ac:dyDescent="0.25">
      <c r="A85" s="16">
        <v>14.95</v>
      </c>
      <c r="B85" s="45">
        <f t="shared" si="12"/>
        <v>14950</v>
      </c>
      <c r="C85" s="16">
        <f t="shared" si="13"/>
        <v>18.23170731707317</v>
      </c>
      <c r="D85" s="15">
        <f t="shared" si="14"/>
        <v>4.6130879820999996E+20</v>
      </c>
      <c r="E85" s="15">
        <f>FORECAST($C85, OFFSET('De Vaucouleurs Deprojection'!$F$3:$F$126, MATCH($C85, 'De Vaucouleurs Deprojection'!$A$3:$A$126,1)-1,0,2), OFFSET('De Vaucouleurs Deprojection'!$A$3:$A$126, MATCH($C85, 'De Vaucouleurs Deprojection'!$A$3:$A$126,1)-1,0,2))*LCDMTotalBulgeMass</f>
        <v>1.2495516108956096E+40</v>
      </c>
      <c r="F85" s="15">
        <f t="shared" si="7"/>
        <v>1.5912797600840918E+40</v>
      </c>
      <c r="G85" s="15">
        <f t="shared" si="8"/>
        <v>1.5236138234464548E+41</v>
      </c>
      <c r="H85" s="15">
        <f t="shared" si="9"/>
        <v>1.8076969605444249E+41</v>
      </c>
      <c r="I85" s="16">
        <v>155.84</v>
      </c>
      <c r="J85" s="45">
        <v>1</v>
      </c>
      <c r="K85" s="19">
        <f t="shared" si="10"/>
        <v>161.71959651476431</v>
      </c>
      <c r="L85" s="16">
        <f t="shared" si="11"/>
        <v>34.569655176428526</v>
      </c>
      <c r="M85" s="45"/>
    </row>
    <row r="86" spans="1:13" x14ac:dyDescent="0.25">
      <c r="A86" s="16">
        <v>16.54</v>
      </c>
      <c r="B86" s="45">
        <f t="shared" si="12"/>
        <v>16540</v>
      </c>
      <c r="C86" s="16">
        <f t="shared" si="13"/>
        <v>20.170731707317074</v>
      </c>
      <c r="D86" s="15">
        <f t="shared" si="14"/>
        <v>5.1037107173199997E+20</v>
      </c>
      <c r="E86" s="15">
        <f>FORECAST($C86, OFFSET('De Vaucouleurs Deprojection'!$F$3:$F$126, MATCH($C86, 'De Vaucouleurs Deprojection'!$A$3:$A$126,1)-1,0,2), OFFSET('De Vaucouleurs Deprojection'!$A$3:$A$126, MATCH($C86, 'De Vaucouleurs Deprojection'!$A$3:$A$126,1)-1,0,2))*LCDMTotalBulgeMass</f>
        <v>1.2553687095882924E+40</v>
      </c>
      <c r="F86" s="15">
        <f t="shared" si="7"/>
        <v>1.5912799638034398E+40</v>
      </c>
      <c r="G86" s="15">
        <f t="shared" si="8"/>
        <v>1.7172725404079394E+41</v>
      </c>
      <c r="H86" s="15">
        <f t="shared" si="9"/>
        <v>2.0019374077471128E+41</v>
      </c>
      <c r="I86" s="16">
        <v>155.06</v>
      </c>
      <c r="J86" s="45">
        <v>1</v>
      </c>
      <c r="K86" s="19">
        <f t="shared" si="10"/>
        <v>161.79977983458198</v>
      </c>
      <c r="L86" s="16">
        <f t="shared" si="11"/>
        <v>45.42463221863791</v>
      </c>
      <c r="M86" s="45"/>
    </row>
    <row r="87" spans="1:13" x14ac:dyDescent="0.25">
      <c r="A87" s="16">
        <v>18.29</v>
      </c>
      <c r="B87" s="45">
        <f t="shared" si="12"/>
        <v>18290</v>
      </c>
      <c r="C87" s="16">
        <f t="shared" si="13"/>
        <v>22.304878048780488</v>
      </c>
      <c r="D87" s="15">
        <f t="shared" si="14"/>
        <v>5.6437042938199998E+20</v>
      </c>
      <c r="E87" s="15">
        <f>FORECAST($C87, OFFSET('De Vaucouleurs Deprojection'!$F$3:$F$126, MATCH($C87, 'De Vaucouleurs Deprojection'!$A$3:$A$126,1)-1,0,2), OFFSET('De Vaucouleurs Deprojection'!$A$3:$A$126, MATCH($C87, 'De Vaucouleurs Deprojection'!$A$3:$A$126,1)-1,0,2))*LCDMTotalBulgeMass</f>
        <v>1.2584115474419509E+40</v>
      </c>
      <c r="F87" s="15">
        <f t="shared" si="7"/>
        <v>1.5912799955289969E+40</v>
      </c>
      <c r="G87" s="15">
        <f t="shared" si="8"/>
        <v>1.9268509810803432E+41</v>
      </c>
      <c r="H87" s="15">
        <f t="shared" si="9"/>
        <v>2.211820135377438E+41</v>
      </c>
      <c r="I87" s="16">
        <v>157.03</v>
      </c>
      <c r="J87" s="45">
        <v>1</v>
      </c>
      <c r="K87" s="19">
        <f t="shared" si="10"/>
        <v>161.72921645366608</v>
      </c>
      <c r="L87" s="16">
        <f t="shared" si="11"/>
        <v>22.08263527840603</v>
      </c>
      <c r="M87" s="45"/>
    </row>
    <row r="88" spans="1:13" x14ac:dyDescent="0.25">
      <c r="A88" s="16">
        <v>20.2</v>
      </c>
      <c r="B88" s="45">
        <f t="shared" si="12"/>
        <v>20200</v>
      </c>
      <c r="C88" s="16">
        <f t="shared" si="13"/>
        <v>24.634146341463413</v>
      </c>
      <c r="D88" s="15">
        <f t="shared" si="14"/>
        <v>6.2330687115999995E+20</v>
      </c>
      <c r="E88" s="15">
        <f>FORECAST($C88, OFFSET('De Vaucouleurs Deprojection'!$F$3:$F$126, MATCH($C88, 'De Vaucouleurs Deprojection'!$A$3:$A$126,1)-1,0,2), OFFSET('De Vaucouleurs Deprojection'!$A$3:$A$126, MATCH($C88, 'De Vaucouleurs Deprojection'!$A$3:$A$126,1)-1,0,2))*LCDMTotalBulgeMass</f>
        <v>1.2617325876136581E+40</v>
      </c>
      <c r="F88" s="15">
        <f t="shared" si="7"/>
        <v>1.5912799995482057E+40</v>
      </c>
      <c r="G88" s="15">
        <f t="shared" si="8"/>
        <v>2.1507127548261356E+41</v>
      </c>
      <c r="H88" s="15">
        <f t="shared" si="9"/>
        <v>2.4360140135423219E+41</v>
      </c>
      <c r="I88" s="16">
        <v>161.41999999999999</v>
      </c>
      <c r="J88" s="45">
        <v>1</v>
      </c>
      <c r="K88" s="19">
        <f t="shared" si="10"/>
        <v>161.50450386438192</v>
      </c>
      <c r="L88" s="16">
        <f t="shared" si="11"/>
        <v>7.1409030954795094E-3</v>
      </c>
      <c r="M88" s="45"/>
    </row>
    <row r="89" spans="1:13" x14ac:dyDescent="0.25">
      <c r="A89" s="16">
        <v>22.32</v>
      </c>
      <c r="B89" s="45">
        <f t="shared" si="12"/>
        <v>22320</v>
      </c>
      <c r="C89" s="16">
        <f t="shared" si="13"/>
        <v>27.219512195121951</v>
      </c>
      <c r="D89" s="15">
        <f t="shared" si="14"/>
        <v>6.8872323585599996E+20</v>
      </c>
      <c r="E89" s="15">
        <f>FORECAST($C89, OFFSET('De Vaucouleurs Deprojection'!$F$3:$F$126, MATCH($C89, 'De Vaucouleurs Deprojection'!$A$3:$A$126,1)-1,0,2), OFFSET('De Vaucouleurs Deprojection'!$A$3:$A$126, MATCH($C89, 'De Vaucouleurs Deprojection'!$A$3:$A$126,1)-1,0,2))*LCDMTotalBulgeMass</f>
        <v>1.2641925046727804E+40</v>
      </c>
      <c r="F89" s="15">
        <f t="shared" si="7"/>
        <v>1.5912799999648574E+40</v>
      </c>
      <c r="G89" s="15">
        <f t="shared" si="8"/>
        <v>2.3927710833074563E+41</v>
      </c>
      <c r="H89" s="15">
        <f t="shared" si="9"/>
        <v>2.6783183337712201E+41</v>
      </c>
      <c r="I89" s="16">
        <v>167.02</v>
      </c>
      <c r="J89" s="45">
        <v>1</v>
      </c>
      <c r="K89" s="19">
        <f t="shared" si="10"/>
        <v>161.10329888981514</v>
      </c>
      <c r="L89" s="16">
        <f t="shared" si="11"/>
        <v>35.007352027262925</v>
      </c>
      <c r="M89" s="45"/>
    </row>
    <row r="90" spans="1:13" x14ac:dyDescent="0.25">
      <c r="H90" s="15"/>
      <c r="K90" s="45"/>
      <c r="L90" s="16">
        <f>SUM(L56:L89)/(COUNT(L56:L89)-6)</f>
        <v>229.69102138901303</v>
      </c>
      <c r="M90" s="45"/>
    </row>
    <row r="91" spans="1:13" x14ac:dyDescent="0.25">
      <c r="H91" s="15"/>
      <c r="K91" s="45"/>
      <c r="L91" s="17"/>
      <c r="M91" s="45"/>
    </row>
    <row r="92" spans="1:13" x14ac:dyDescent="0.25">
      <c r="I92" s="45"/>
      <c r="J92" s="45"/>
      <c r="L92" s="16"/>
    </row>
    <row r="93" spans="1:13" x14ac:dyDescent="0.25">
      <c r="I93" s="45"/>
      <c r="J93" s="45"/>
      <c r="L93" s="16"/>
    </row>
    <row r="94" spans="1:13" x14ac:dyDescent="0.25">
      <c r="I94" s="45"/>
      <c r="J94" s="45"/>
      <c r="L94" s="16"/>
    </row>
    <row r="95" spans="1:13" x14ac:dyDescent="0.25">
      <c r="I95" s="45"/>
      <c r="J95" s="45"/>
      <c r="L95" s="16"/>
    </row>
    <row r="96" spans="1:13" x14ac:dyDescent="0.25">
      <c r="I96" s="45"/>
      <c r="J96" s="45"/>
      <c r="L96" s="16"/>
    </row>
    <row r="97" spans="1:29" x14ac:dyDescent="0.25">
      <c r="I97" s="45"/>
      <c r="J97" s="45"/>
      <c r="L97" s="16"/>
    </row>
    <row r="98" spans="1:29" x14ac:dyDescent="0.25">
      <c r="I98" s="45"/>
      <c r="J98" s="45"/>
      <c r="L98" s="16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45"/>
      <c r="J131" s="4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45"/>
      <c r="J132" s="4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45"/>
      <c r="J133" s="4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45"/>
      <c r="J134" s="4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45"/>
      <c r="J135" s="4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45"/>
      <c r="J136" s="4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45"/>
      <c r="J137" s="4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45"/>
      <c r="J138" s="4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s="17" customFormat="1" x14ac:dyDescent="0.25">
      <c r="A539" s="16"/>
      <c r="B539" s="45"/>
      <c r="C539" s="16"/>
      <c r="D539" s="15"/>
      <c r="E539" s="15"/>
      <c r="F539" s="15"/>
      <c r="G539" s="15"/>
      <c r="H539" s="18"/>
      <c r="I539" s="15"/>
      <c r="J539" s="15"/>
      <c r="K539" s="19"/>
      <c r="L539" s="16"/>
      <c r="N539" s="45"/>
      <c r="O539" s="45"/>
      <c r="P539" s="45"/>
      <c r="Q539" s="45"/>
      <c r="R539" s="45"/>
      <c r="S539" s="45"/>
      <c r="T539" s="45"/>
      <c r="U539" s="45"/>
      <c r="V539" s="16"/>
      <c r="W539" s="16"/>
      <c r="X539" s="45"/>
      <c r="Y539" s="45"/>
      <c r="Z539" s="45"/>
      <c r="AA539" s="45"/>
      <c r="AB539" s="45"/>
      <c r="AC539" s="45"/>
    </row>
    <row r="540" spans="1:29" s="17" customFormat="1" x14ac:dyDescent="0.25">
      <c r="A540" s="16"/>
      <c r="B540" s="45"/>
      <c r="C540" s="16"/>
      <c r="D540" s="15"/>
      <c r="E540" s="15"/>
      <c r="F540" s="15"/>
      <c r="G540" s="15"/>
      <c r="H540" s="18"/>
      <c r="I540" s="15"/>
      <c r="J540" s="15"/>
      <c r="K540" s="19"/>
      <c r="L540" s="16"/>
      <c r="N540" s="45"/>
      <c r="O540" s="45"/>
      <c r="P540" s="45"/>
      <c r="Q540" s="45"/>
      <c r="R540" s="45"/>
      <c r="S540" s="45"/>
      <c r="T540" s="45"/>
      <c r="U540" s="45"/>
      <c r="V540" s="16"/>
      <c r="W540" s="16"/>
      <c r="X540" s="45"/>
      <c r="Y540" s="45"/>
      <c r="Z540" s="45"/>
      <c r="AA540" s="45"/>
      <c r="AB540" s="45"/>
      <c r="AC540" s="45"/>
    </row>
    <row r="541" spans="1:29" s="17" customFormat="1" x14ac:dyDescent="0.25">
      <c r="A541" s="16"/>
      <c r="B541" s="45"/>
      <c r="C541" s="16"/>
      <c r="D541" s="15"/>
      <c r="E541" s="15"/>
      <c r="F541" s="15"/>
      <c r="G541" s="15"/>
      <c r="H541" s="18"/>
      <c r="I541" s="15"/>
      <c r="J541" s="15"/>
      <c r="K541" s="19"/>
      <c r="L541" s="16"/>
      <c r="N541" s="45"/>
      <c r="O541" s="45"/>
      <c r="P541" s="45"/>
      <c r="Q541" s="45"/>
      <c r="R541" s="45"/>
      <c r="S541" s="45"/>
      <c r="T541" s="45"/>
      <c r="U541" s="45"/>
      <c r="V541" s="16"/>
      <c r="W541" s="16"/>
      <c r="X541" s="45"/>
      <c r="Y541" s="45"/>
      <c r="Z541" s="45"/>
      <c r="AA541" s="45"/>
      <c r="AB541" s="45"/>
      <c r="AC541" s="45"/>
    </row>
    <row r="542" spans="1:29" s="17" customFormat="1" x14ac:dyDescent="0.25">
      <c r="A542" s="16"/>
      <c r="B542" s="45"/>
      <c r="C542" s="16"/>
      <c r="D542" s="15"/>
      <c r="E542" s="15"/>
      <c r="F542" s="15"/>
      <c r="G542" s="15"/>
      <c r="H542" s="18"/>
      <c r="I542" s="15"/>
      <c r="J542" s="15"/>
      <c r="K542" s="19"/>
      <c r="L542" s="16"/>
      <c r="N542" s="45"/>
      <c r="O542" s="45"/>
      <c r="P542" s="45"/>
      <c r="Q542" s="45"/>
      <c r="R542" s="45"/>
      <c r="S542" s="45"/>
      <c r="T542" s="45"/>
      <c r="U542" s="45"/>
      <c r="V542" s="16"/>
      <c r="W542" s="16"/>
      <c r="X542" s="45"/>
      <c r="Y542" s="45"/>
      <c r="Z542" s="45"/>
      <c r="AA542" s="45"/>
      <c r="AB542" s="45"/>
      <c r="AC542" s="45"/>
    </row>
    <row r="543" spans="1:29" s="17" customFormat="1" x14ac:dyDescent="0.25">
      <c r="A543" s="16"/>
      <c r="B543" s="45"/>
      <c r="C543" s="16"/>
      <c r="D543" s="15"/>
      <c r="E543" s="15"/>
      <c r="F543" s="15"/>
      <c r="G543" s="15"/>
      <c r="H543" s="18"/>
      <c r="I543" s="15"/>
      <c r="J543" s="15"/>
      <c r="K543" s="19"/>
      <c r="L543" s="16"/>
      <c r="N543" s="45"/>
      <c r="O543" s="45"/>
      <c r="P543" s="45"/>
      <c r="Q543" s="45"/>
      <c r="R543" s="45"/>
      <c r="S543" s="45"/>
      <c r="T543" s="45"/>
      <c r="U543" s="45"/>
      <c r="V543" s="16"/>
      <c r="W543" s="16"/>
      <c r="X543" s="45"/>
      <c r="Y543" s="45"/>
      <c r="Z543" s="45"/>
      <c r="AA543" s="45"/>
      <c r="AB543" s="45"/>
      <c r="AC543" s="45"/>
    </row>
    <row r="544" spans="1:29" s="17" customFormat="1" x14ac:dyDescent="0.25">
      <c r="A544" s="16"/>
      <c r="B544" s="45"/>
      <c r="C544" s="16"/>
      <c r="D544" s="15"/>
      <c r="E544" s="15"/>
      <c r="F544" s="15"/>
      <c r="G544" s="15"/>
      <c r="H544" s="18"/>
      <c r="I544" s="15"/>
      <c r="J544" s="15"/>
      <c r="K544" s="19"/>
      <c r="L544" s="16"/>
      <c r="N544" s="45"/>
      <c r="O544" s="45"/>
      <c r="P544" s="45"/>
      <c r="Q544" s="45"/>
      <c r="R544" s="45"/>
      <c r="S544" s="45"/>
      <c r="T544" s="45"/>
      <c r="U544" s="45"/>
      <c r="V544" s="16"/>
      <c r="W544" s="16"/>
      <c r="X544" s="45"/>
      <c r="Y544" s="45"/>
      <c r="Z544" s="45"/>
      <c r="AA544" s="45"/>
      <c r="AB544" s="45"/>
      <c r="AC544" s="45"/>
    </row>
    <row r="545" spans="1:29" s="17" customFormat="1" x14ac:dyDescent="0.25">
      <c r="A545" s="16"/>
      <c r="B545" s="45"/>
      <c r="C545" s="16"/>
      <c r="D545" s="15"/>
      <c r="E545" s="15"/>
      <c r="F545" s="15"/>
      <c r="G545" s="15"/>
      <c r="H545" s="18"/>
      <c r="I545" s="15"/>
      <c r="J545" s="15"/>
      <c r="K545" s="19"/>
      <c r="L545" s="16"/>
      <c r="N545" s="45"/>
      <c r="O545" s="45"/>
      <c r="P545" s="45"/>
      <c r="Q545" s="45"/>
      <c r="R545" s="45"/>
      <c r="S545" s="45"/>
      <c r="T545" s="45"/>
      <c r="U545" s="45"/>
      <c r="V545" s="16"/>
      <c r="W545" s="16"/>
      <c r="X545" s="45"/>
      <c r="Y545" s="45"/>
      <c r="Z545" s="45"/>
      <c r="AA545" s="45"/>
      <c r="AB545" s="45"/>
      <c r="AC545" s="45"/>
    </row>
    <row r="546" spans="1:29" s="17" customFormat="1" x14ac:dyDescent="0.25">
      <c r="A546" s="16"/>
      <c r="B546" s="45"/>
      <c r="C546" s="16"/>
      <c r="D546" s="15"/>
      <c r="E546" s="15"/>
      <c r="F546" s="15"/>
      <c r="G546" s="15"/>
      <c r="H546" s="18"/>
      <c r="I546" s="15"/>
      <c r="J546" s="15"/>
      <c r="K546" s="19"/>
      <c r="L546" s="16"/>
      <c r="N546" s="45"/>
      <c r="O546" s="45"/>
      <c r="P546" s="45"/>
      <c r="Q546" s="45"/>
      <c r="R546" s="45"/>
      <c r="S546" s="45"/>
      <c r="T546" s="45"/>
      <c r="U546" s="45"/>
      <c r="V546" s="16"/>
      <c r="W546" s="16"/>
      <c r="X546" s="45"/>
      <c r="Y546" s="45"/>
      <c r="Z546" s="45"/>
      <c r="AA546" s="45"/>
      <c r="AB546" s="45"/>
      <c r="AC546" s="45"/>
    </row>
    <row r="547" spans="1:29" x14ac:dyDescent="0.25">
      <c r="L547" s="16"/>
    </row>
    <row r="548" spans="1:29" x14ac:dyDescent="0.25">
      <c r="L548" s="16"/>
      <c r="N548" s="17"/>
      <c r="O548" s="38"/>
    </row>
    <row r="549" spans="1:29" x14ac:dyDescent="0.25">
      <c r="L549" s="16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C541"/>
  <sheetViews>
    <sheetView zoomScaleNormal="100" workbookViewId="0"/>
  </sheetViews>
  <sheetFormatPr defaultColWidth="8.85546875" defaultRowHeight="15" x14ac:dyDescent="0.25"/>
  <cols>
    <col min="1" max="1" width="10.7109375" style="16" customWidth="1"/>
    <col min="2" max="2" width="10.7109375" style="45" customWidth="1"/>
    <col min="3" max="3" width="10.7109375" style="16" customWidth="1"/>
    <col min="4" max="7" width="10.7109375" style="15" customWidth="1"/>
    <col min="8" max="8" width="10.7109375" style="18" customWidth="1"/>
    <col min="9" max="10" width="10.7109375" style="15" customWidth="1"/>
    <col min="11" max="11" width="10.7109375" style="19" customWidth="1"/>
    <col min="12" max="12" width="10.7109375" style="45" customWidth="1"/>
    <col min="13" max="13" width="10.42578125" style="17" customWidth="1"/>
    <col min="14" max="14" width="8.85546875" style="45"/>
    <col min="15" max="15" width="16.7109375" style="45" customWidth="1"/>
    <col min="16" max="21" width="8.85546875" style="45"/>
    <col min="22" max="23" width="8.85546875" style="16"/>
    <col min="24" max="16384" width="8.85546875" style="45"/>
  </cols>
  <sheetData>
    <row r="1" spans="1:23" s="51" customFormat="1" ht="18.75" x14ac:dyDescent="0.25">
      <c r="A1" s="50" t="s">
        <v>613</v>
      </c>
      <c r="C1" s="52"/>
      <c r="D1" s="53"/>
      <c r="E1" s="53"/>
      <c r="F1" s="53"/>
      <c r="G1" s="53"/>
      <c r="H1" s="62"/>
      <c r="I1" s="53"/>
      <c r="J1" s="53"/>
      <c r="K1" s="54"/>
      <c r="M1" s="55"/>
      <c r="V1" s="52"/>
      <c r="W1" s="52"/>
    </row>
    <row r="2" spans="1:23" s="51" customFormat="1" ht="20.100000000000001" customHeight="1" x14ac:dyDescent="0.25">
      <c r="A2" s="52" t="s">
        <v>617</v>
      </c>
      <c r="C2" s="52"/>
      <c r="D2" s="56">
        <v>1499.99999999957</v>
      </c>
      <c r="E2" s="55"/>
      <c r="F2" s="53" t="s">
        <v>620</v>
      </c>
      <c r="G2" s="53">
        <v>24660301019</v>
      </c>
      <c r="H2" s="62"/>
      <c r="K2" s="51" t="s">
        <v>1</v>
      </c>
      <c r="L2" s="60" t="s">
        <v>597</v>
      </c>
      <c r="M2" s="55"/>
      <c r="V2" s="52"/>
      <c r="W2" s="52"/>
    </row>
    <row r="3" spans="1:23" s="51" customFormat="1" ht="20.100000000000001" customHeight="1" x14ac:dyDescent="0.25">
      <c r="A3" s="52" t="s">
        <v>616</v>
      </c>
      <c r="C3" s="52"/>
      <c r="D3" s="53">
        <v>7.06411600864188E+40</v>
      </c>
      <c r="E3" s="53"/>
      <c r="F3" s="53" t="s">
        <v>621</v>
      </c>
      <c r="G3" s="53">
        <f>H37/SolarMass</f>
        <v>187987451294.49002</v>
      </c>
      <c r="H3" s="62"/>
      <c r="K3" s="51" t="s">
        <v>562</v>
      </c>
      <c r="L3" s="57">
        <v>1.456E-2</v>
      </c>
      <c r="M3" s="55"/>
      <c r="V3" s="52"/>
      <c r="W3" s="52"/>
    </row>
    <row r="4" spans="1:23" s="51" customFormat="1" ht="20.100000000000001" customHeight="1" x14ac:dyDescent="0.25">
      <c r="A4" s="52" t="s">
        <v>618</v>
      </c>
      <c r="C4" s="52"/>
      <c r="D4" s="58">
        <v>3328.9871582487899</v>
      </c>
      <c r="E4" s="55"/>
      <c r="F4" s="53" t="s">
        <v>622</v>
      </c>
      <c r="G4" s="52">
        <f>G3/G2</f>
        <v>7.6230801541980977</v>
      </c>
      <c r="H4" s="62"/>
      <c r="K4" s="61" t="s">
        <v>614</v>
      </c>
      <c r="L4" s="52">
        <f>QEHModelChiSquare</f>
        <v>145.35741010074116</v>
      </c>
      <c r="M4" s="55"/>
      <c r="V4" s="52"/>
      <c r="W4" s="52"/>
    </row>
    <row r="5" spans="1:23" s="51" customFormat="1" ht="20.100000000000001" customHeight="1" x14ac:dyDescent="0.25">
      <c r="A5" s="52" t="s">
        <v>619</v>
      </c>
      <c r="C5" s="52"/>
      <c r="D5" s="59">
        <v>2191.71522176808</v>
      </c>
      <c r="F5" s="53"/>
      <c r="G5" s="52"/>
      <c r="H5" s="62"/>
      <c r="K5" s="61" t="s">
        <v>615</v>
      </c>
      <c r="L5" s="52">
        <f>LCDMModelChiSquare</f>
        <v>245.49791870647678</v>
      </c>
      <c r="M5" s="55"/>
      <c r="V5" s="52"/>
      <c r="W5" s="52"/>
    </row>
    <row r="6" spans="1:23" ht="20.100000000000001" customHeight="1" x14ac:dyDescent="0.25">
      <c r="D6" s="20"/>
      <c r="E6" s="45"/>
      <c r="I6" s="45"/>
      <c r="J6" s="45"/>
    </row>
    <row r="7" spans="1:23" s="3" customFormat="1" ht="45" x14ac:dyDescent="0.25">
      <c r="A7" s="7" t="s">
        <v>20</v>
      </c>
      <c r="B7" s="3" t="s">
        <v>19</v>
      </c>
      <c r="C7" s="7" t="s">
        <v>29</v>
      </c>
      <c r="D7" s="4" t="s">
        <v>649</v>
      </c>
      <c r="E7" s="4" t="s">
        <v>21</v>
      </c>
      <c r="F7" s="4" t="s">
        <v>22</v>
      </c>
      <c r="G7" s="4"/>
      <c r="H7" s="44" t="s">
        <v>23</v>
      </c>
      <c r="I7" s="7" t="s">
        <v>645</v>
      </c>
      <c r="J7" s="7" t="s">
        <v>646</v>
      </c>
      <c r="K7" s="25" t="s">
        <v>647</v>
      </c>
      <c r="L7" s="3" t="s">
        <v>648</v>
      </c>
      <c r="M7" s="5"/>
      <c r="V7" s="7"/>
      <c r="W7" s="7"/>
    </row>
    <row r="8" spans="1:23" x14ac:dyDescent="0.25">
      <c r="A8" s="16">
        <v>0.3</v>
      </c>
      <c r="B8" s="45">
        <f t="shared" ref="B8:B37" si="0">RadiusKpc*1000</f>
        <v>300</v>
      </c>
      <c r="C8" s="16">
        <f t="shared" ref="C8:C37" si="1">IF(QESBulgeEffectiveRadius=0,0,RadiusPc/QESBulgeEffectiveRadius)</f>
        <v>0.20000000000005733</v>
      </c>
      <c r="D8" s="15">
        <f t="shared" ref="D8:D37" si="2">RadiusKpc*kpc</f>
        <v>9.25703274E+18</v>
      </c>
      <c r="E8" s="15">
        <f>IF($C8=0,0,FORECAST($C8, OFFSET('De Vaucouleurs Deprojection'!$F$2:$F$127, MATCH($C8, 'De Vaucouleurs Deprojection'!$A$2:$A$127,1)-1,0,2), OFFSET('De Vaucouleurs Deprojection'!$A$2:$A$127, MATCH($C8, 'De Vaucouleurs Deprojection'!$A$2:$A$127,1)-1,0,2))*QESTotalBulgeMass)</f>
        <v>7.0458905893417174E+39</v>
      </c>
      <c r="F8" s="15">
        <f t="shared" ref="F8:F37" si="3">2*PI()*QESDiskSurfaceDensity*QESDiskScaleLength*(QESDiskScaleLength-EXP(-RadiusPc/QESDiskScaleLength)*(RadiusPc+QESDiskScaleLength))*SolarMass</f>
        <v>1.1610202551332029E+39</v>
      </c>
      <c r="H8" s="18">
        <f t="shared" ref="H8:H37" si="4">BulgeMass+DiskMass+HaloMass</f>
        <v>8.20691084447492E+39</v>
      </c>
      <c r="I8" s="16">
        <v>231.34</v>
      </c>
      <c r="J8" s="45">
        <v>1</v>
      </c>
      <c r="K8" s="19">
        <f t="shared" ref="K8:K37" si="5">SQRT(TotalMass*GravitationalConstant/RadiusKm+UniverseAcceleration*RadiusKm)/km</f>
        <v>243.94110462699814</v>
      </c>
      <c r="L8" s="16">
        <f t="shared" ref="L8:L37" si="6">(ObservedVelocity-ModelVelocity)^2/(VelocityError)^2</f>
        <v>158.78783782055385</v>
      </c>
    </row>
    <row r="9" spans="1:23" x14ac:dyDescent="0.25">
      <c r="A9" s="16">
        <v>0.64</v>
      </c>
      <c r="B9" s="45">
        <f t="shared" si="0"/>
        <v>640</v>
      </c>
      <c r="C9" s="16">
        <f t="shared" si="1"/>
        <v>0.42666666666678899</v>
      </c>
      <c r="D9" s="15">
        <f t="shared" si="2"/>
        <v>1.9748336512E+19</v>
      </c>
      <c r="E9" s="15">
        <f>IF($C9=0,0,FORECAST($C9, OFFSET('De Vaucouleurs Deprojection'!$F$2:$F$127, MATCH($C9, 'De Vaucouleurs Deprojection'!$A$2:$A$127,1)-1,0,2), OFFSET('De Vaucouleurs Deprojection'!$A$2:$A$127, MATCH($C9, 'De Vaucouleurs Deprojection'!$A$2:$A$127,1)-1,0,2))*QESTotalBulgeMass)</f>
        <v>1.5015108235119193E+40</v>
      </c>
      <c r="F9" s="15">
        <f t="shared" si="3"/>
        <v>4.9401249625099956E+39</v>
      </c>
      <c r="H9" s="18">
        <f t="shared" si="4"/>
        <v>1.9955233197629187E+40</v>
      </c>
      <c r="I9" s="16">
        <v>272.02999999999997</v>
      </c>
      <c r="J9" s="45">
        <v>1</v>
      </c>
      <c r="K9" s="19">
        <f t="shared" si="5"/>
        <v>261.07502170857646</v>
      </c>
      <c r="L9" s="16">
        <f t="shared" si="6"/>
        <v>120.01154936556048</v>
      </c>
    </row>
    <row r="10" spans="1:23" x14ac:dyDescent="0.25">
      <c r="A10" s="16">
        <v>1</v>
      </c>
      <c r="B10" s="45">
        <f t="shared" si="0"/>
        <v>1000</v>
      </c>
      <c r="C10" s="16">
        <f t="shared" si="1"/>
        <v>0.66666666666685781</v>
      </c>
      <c r="D10" s="15">
        <f t="shared" si="2"/>
        <v>3.08567758E+19</v>
      </c>
      <c r="E10" s="15">
        <f>IF($C10=0,0,FORECAST($C10, OFFSET('De Vaucouleurs Deprojection'!$F$2:$F$127, MATCH($C10, 'De Vaucouleurs Deprojection'!$A$2:$A$127,1)-1,0,2), OFFSET('De Vaucouleurs Deprojection'!$A$2:$A$127, MATCH($C10, 'De Vaucouleurs Deprojection'!$A$2:$A$127,1)-1,0,2))*QESTotalBulgeMass)</f>
        <v>2.187191598596196E+40</v>
      </c>
      <c r="F10" s="15">
        <f t="shared" si="3"/>
        <v>1.1238830887015908E+40</v>
      </c>
      <c r="H10" s="18">
        <f t="shared" si="4"/>
        <v>3.311074687297787E+40</v>
      </c>
      <c r="I10" s="16">
        <v>279.52999999999997</v>
      </c>
      <c r="J10" s="45">
        <v>1</v>
      </c>
      <c r="K10" s="19">
        <f t="shared" si="5"/>
        <v>269.70575048040388</v>
      </c>
      <c r="L10" s="16">
        <f t="shared" si="6"/>
        <v>96.515878623284081</v>
      </c>
    </row>
    <row r="11" spans="1:23" x14ac:dyDescent="0.25">
      <c r="A11" s="16">
        <v>1.41</v>
      </c>
      <c r="B11" s="45">
        <f t="shared" si="0"/>
        <v>1410</v>
      </c>
      <c r="C11" s="16">
        <f t="shared" si="1"/>
        <v>0.9400000000002694</v>
      </c>
      <c r="D11" s="15">
        <f t="shared" si="2"/>
        <v>4.3508053878000001E+19</v>
      </c>
      <c r="E11" s="15">
        <f>IF($C11=0,0,FORECAST($C11, OFFSET('De Vaucouleurs Deprojection'!$F$2:$F$127, MATCH($C11, 'De Vaucouleurs Deprojection'!$A$2:$A$127,1)-1,0,2), OFFSET('De Vaucouleurs Deprojection'!$A$2:$A$127, MATCH($C11, 'De Vaucouleurs Deprojection'!$A$2:$A$127,1)-1,0,2))*QESTotalBulgeMass)</f>
        <v>2.8125919170733282E+40</v>
      </c>
      <c r="F11" s="15">
        <f t="shared" si="3"/>
        <v>2.0634866770591027E+40</v>
      </c>
      <c r="H11" s="18">
        <f t="shared" si="4"/>
        <v>4.8760785941324311E+40</v>
      </c>
      <c r="I11" s="16">
        <v>282.76</v>
      </c>
      <c r="J11" s="45">
        <v>1</v>
      </c>
      <c r="K11" s="19">
        <f t="shared" si="5"/>
        <v>276.37835612513891</v>
      </c>
      <c r="L11" s="16">
        <f t="shared" si="6"/>
        <v>40.725378545551983</v>
      </c>
    </row>
    <row r="12" spans="1:23" x14ac:dyDescent="0.25">
      <c r="A12" s="16">
        <v>1.85</v>
      </c>
      <c r="B12" s="45">
        <f t="shared" si="0"/>
        <v>1850</v>
      </c>
      <c r="C12" s="16">
        <f t="shared" si="1"/>
        <v>1.2333333333336869</v>
      </c>
      <c r="D12" s="15">
        <f t="shared" si="2"/>
        <v>5.7085035230000005E+19</v>
      </c>
      <c r="E12" s="15">
        <f>IF($C12=0,0,FORECAST($C12, OFFSET('De Vaucouleurs Deprojection'!$F$2:$F$127, MATCH($C12, 'De Vaucouleurs Deprojection'!$A$2:$A$127,1)-1,0,2), OFFSET('De Vaucouleurs Deprojection'!$A$2:$A$127, MATCH($C12, 'De Vaucouleurs Deprojection'!$A$2:$A$127,1)-1,0,2))*QESTotalBulgeMass)</f>
        <v>3.3499450936187253E+40</v>
      </c>
      <c r="F12" s="15">
        <f t="shared" si="3"/>
        <v>3.264746389947941E+40</v>
      </c>
      <c r="H12" s="18">
        <f t="shared" si="4"/>
        <v>6.6146914835666663E+40</v>
      </c>
      <c r="I12" s="16">
        <v>283</v>
      </c>
      <c r="J12" s="45">
        <v>1</v>
      </c>
      <c r="K12" s="19">
        <f t="shared" si="5"/>
        <v>281.81047146532893</v>
      </c>
      <c r="L12" s="16">
        <f t="shared" si="6"/>
        <v>1.4149781347967014</v>
      </c>
    </row>
    <row r="13" spans="1:23" x14ac:dyDescent="0.25">
      <c r="A13" s="16">
        <v>2.34</v>
      </c>
      <c r="B13" s="45">
        <f t="shared" si="0"/>
        <v>2340</v>
      </c>
      <c r="C13" s="16">
        <f t="shared" si="1"/>
        <v>1.5600000000004473</v>
      </c>
      <c r="D13" s="15">
        <f t="shared" si="2"/>
        <v>7.2204855371999994E+19</v>
      </c>
      <c r="E13" s="15">
        <f>IF($C13=0,0,FORECAST($C13, OFFSET('De Vaucouleurs Deprojection'!$F$2:$F$127, MATCH($C13, 'De Vaucouleurs Deprojection'!$A$2:$A$127,1)-1,0,2), OFFSET('De Vaucouleurs Deprojection'!$A$2:$A$127, MATCH($C13, 'De Vaucouleurs Deprojection'!$A$2:$A$127,1)-1,0,2))*QESTotalBulgeMass)</f>
        <v>3.8303191104384109E+40</v>
      </c>
      <c r="F13" s="15">
        <f t="shared" si="3"/>
        <v>4.7604135982730828E+40</v>
      </c>
      <c r="H13" s="18">
        <f t="shared" si="4"/>
        <v>8.5907327087114937E+40</v>
      </c>
      <c r="I13" s="16">
        <v>283.66000000000003</v>
      </c>
      <c r="J13" s="45">
        <v>1</v>
      </c>
      <c r="K13" s="19">
        <f t="shared" si="5"/>
        <v>286.42517348101489</v>
      </c>
      <c r="L13" s="16">
        <f t="shared" si="6"/>
        <v>7.6461843801078917</v>
      </c>
    </row>
    <row r="14" spans="1:23" x14ac:dyDescent="0.25">
      <c r="A14" s="16">
        <v>2.87</v>
      </c>
      <c r="B14" s="45">
        <f t="shared" si="0"/>
        <v>2870</v>
      </c>
      <c r="C14" s="16">
        <f t="shared" si="1"/>
        <v>1.9133333333338818</v>
      </c>
      <c r="D14" s="15">
        <f t="shared" si="2"/>
        <v>8.8558946546000003E+19</v>
      </c>
      <c r="E14" s="15">
        <f>IF($C14=0,0,FORECAST($C14, OFFSET('De Vaucouleurs Deprojection'!$F$2:$F$127, MATCH($C14, 'De Vaucouleurs Deprojection'!$A$2:$A$127,1)-1,0,2), OFFSET('De Vaucouleurs Deprojection'!$A$2:$A$127, MATCH($C14, 'De Vaucouleurs Deprojection'!$A$2:$A$127,1)-1,0,2))*QESTotalBulgeMass)</f>
        <v>4.2490233945026096E+40</v>
      </c>
      <c r="F14" s="15">
        <f t="shared" si="3"/>
        <v>6.4868284260315864E+40</v>
      </c>
      <c r="H14" s="18">
        <f t="shared" si="4"/>
        <v>1.0735851820534195E+41</v>
      </c>
      <c r="I14" s="16">
        <v>285.82</v>
      </c>
      <c r="J14" s="45">
        <v>1</v>
      </c>
      <c r="K14" s="19">
        <f t="shared" si="5"/>
        <v>290.0657713910021</v>
      </c>
      <c r="L14" s="16">
        <f t="shared" si="6"/>
        <v>18.026574704651978</v>
      </c>
    </row>
    <row r="15" spans="1:23" x14ac:dyDescent="0.25">
      <c r="A15" s="16">
        <v>3.47</v>
      </c>
      <c r="B15" s="45">
        <f t="shared" si="0"/>
        <v>3470</v>
      </c>
      <c r="C15" s="16">
        <f t="shared" si="1"/>
        <v>2.3133333333339965</v>
      </c>
      <c r="D15" s="15">
        <f t="shared" si="2"/>
        <v>1.07073012026E+20</v>
      </c>
      <c r="E15" s="15">
        <f>IF($C15=0,0,FORECAST($C15, OFFSET('De Vaucouleurs Deprojection'!$F$2:$F$127, MATCH($C15, 'De Vaucouleurs Deprojection'!$A$2:$A$127,1)-1,0,2), OFFSET('De Vaucouleurs Deprojection'!$A$2:$A$127, MATCH($C15, 'De Vaucouleurs Deprojection'!$A$2:$A$127,1)-1,0,2))*QESTotalBulgeMass)</f>
        <v>4.6298027944217529E+40</v>
      </c>
      <c r="F15" s="15">
        <f t="shared" si="3"/>
        <v>8.4942094618486806E+40</v>
      </c>
      <c r="H15" s="18">
        <f t="shared" si="4"/>
        <v>1.3124012256270433E+41</v>
      </c>
      <c r="I15" s="16">
        <v>287.76</v>
      </c>
      <c r="J15" s="45">
        <v>1</v>
      </c>
      <c r="K15" s="19">
        <f t="shared" si="5"/>
        <v>292.76133007758091</v>
      </c>
      <c r="L15" s="16">
        <f t="shared" si="6"/>
        <v>25.013302544915543</v>
      </c>
    </row>
    <row r="16" spans="1:23" x14ac:dyDescent="0.25">
      <c r="A16" s="16">
        <v>4.1100000000000003</v>
      </c>
      <c r="B16" s="45">
        <f t="shared" si="0"/>
        <v>4110</v>
      </c>
      <c r="C16" s="16">
        <f t="shared" si="1"/>
        <v>2.7400000000007854</v>
      </c>
      <c r="D16" s="15">
        <f t="shared" si="2"/>
        <v>1.2682134853800002E+20</v>
      </c>
      <c r="E16" s="15">
        <f>IF($C16=0,0,FORECAST($C16, OFFSET('De Vaucouleurs Deprojection'!$F$2:$F$127, MATCH($C16, 'De Vaucouleurs Deprojection'!$A$2:$A$127,1)-1,0,2), OFFSET('De Vaucouleurs Deprojection'!$A$2:$A$127, MATCH($C16, 'De Vaucouleurs Deprojection'!$A$2:$A$127,1)-1,0,2))*QESTotalBulgeMass)</f>
        <v>4.9561272787356119E+40</v>
      </c>
      <c r="F16" s="15">
        <f t="shared" si="3"/>
        <v>1.0619875878594999E+41</v>
      </c>
      <c r="H16" s="18">
        <f t="shared" si="4"/>
        <v>1.557600315733061E+41</v>
      </c>
      <c r="I16" s="16">
        <v>289.75</v>
      </c>
      <c r="J16" s="45">
        <v>1</v>
      </c>
      <c r="K16" s="19">
        <f t="shared" si="5"/>
        <v>294.26979592930132</v>
      </c>
      <c r="L16" s="16">
        <f t="shared" si="6"/>
        <v>20.428555242528819</v>
      </c>
    </row>
    <row r="17" spans="1:29" x14ac:dyDescent="0.25">
      <c r="A17" s="16">
        <v>4.83</v>
      </c>
      <c r="B17" s="45">
        <f t="shared" si="0"/>
        <v>4830</v>
      </c>
      <c r="C17" s="16">
        <f t="shared" si="1"/>
        <v>3.220000000000923</v>
      </c>
      <c r="D17" s="15">
        <f t="shared" si="2"/>
        <v>1.4903822711399999E+20</v>
      </c>
      <c r="E17" s="15">
        <f>IF($C17=0,0,FORECAST($C17, OFFSET('De Vaucouleurs Deprojection'!$F$2:$F$127, MATCH($C17, 'De Vaucouleurs Deprojection'!$A$2:$A$127,1)-1,0,2), OFFSET('De Vaucouleurs Deprojection'!$A$2:$A$127, MATCH($C17, 'De Vaucouleurs Deprojection'!$A$2:$A$127,1)-1,0,2))*QESTotalBulgeMass)</f>
        <v>5.2516616360731175E+40</v>
      </c>
      <c r="F17" s="15">
        <f t="shared" si="3"/>
        <v>1.2919706634928495E+41</v>
      </c>
      <c r="H17" s="18">
        <f t="shared" si="4"/>
        <v>1.8171368271001614E+41</v>
      </c>
      <c r="I17" s="16">
        <v>290.26</v>
      </c>
      <c r="J17" s="45">
        <v>1</v>
      </c>
      <c r="K17" s="19">
        <f t="shared" si="5"/>
        <v>294.6320517960018</v>
      </c>
      <c r="L17" s="16">
        <f t="shared" si="6"/>
        <v>19.114836906922676</v>
      </c>
    </row>
    <row r="18" spans="1:29" x14ac:dyDescent="0.25">
      <c r="A18" s="16">
        <v>5.62</v>
      </c>
      <c r="B18" s="45">
        <f t="shared" si="0"/>
        <v>5620</v>
      </c>
      <c r="C18" s="16">
        <f t="shared" si="1"/>
        <v>3.7466666666677408</v>
      </c>
      <c r="D18" s="15">
        <f t="shared" si="2"/>
        <v>1.7341507999600001E+20</v>
      </c>
      <c r="E18" s="15">
        <f>IF($C18=0,0,FORECAST($C18, OFFSET('De Vaucouleurs Deprojection'!$F$2:$F$127, MATCH($C18, 'De Vaucouleurs Deprojection'!$A$2:$A$127,1)-1,0,2), OFFSET('De Vaucouleurs Deprojection'!$A$2:$A$127, MATCH($C18, 'De Vaucouleurs Deprojection'!$A$2:$A$127,1)-1,0,2))*QESTotalBulgeMass)</f>
        <v>5.5110183006250383E+40</v>
      </c>
      <c r="F18" s="15">
        <f t="shared" si="3"/>
        <v>1.5271547570095042E+41</v>
      </c>
      <c r="H18" s="18">
        <f t="shared" si="4"/>
        <v>2.0782565870720079E+41</v>
      </c>
      <c r="I18" s="16">
        <v>290.67</v>
      </c>
      <c r="J18" s="45">
        <v>1</v>
      </c>
      <c r="K18" s="19">
        <f t="shared" si="5"/>
        <v>293.78204785637291</v>
      </c>
      <c r="L18" s="16">
        <f t="shared" si="6"/>
        <v>9.6848418603551405</v>
      </c>
    </row>
    <row r="19" spans="1:29" x14ac:dyDescent="0.25">
      <c r="A19" s="16">
        <v>6.48</v>
      </c>
      <c r="B19" s="45">
        <f t="shared" si="0"/>
        <v>6480</v>
      </c>
      <c r="C19" s="16">
        <f t="shared" si="1"/>
        <v>4.3200000000012384</v>
      </c>
      <c r="D19" s="15">
        <f t="shared" si="2"/>
        <v>1.9995190718400001E+20</v>
      </c>
      <c r="E19" s="15">
        <f>IF($C19=0,0,FORECAST($C19, OFFSET('De Vaucouleurs Deprojection'!$F$2:$F$127, MATCH($C19, 'De Vaucouleurs Deprojection'!$A$2:$A$127,1)-1,0,2), OFFSET('De Vaucouleurs Deprojection'!$A$2:$A$127, MATCH($C19, 'De Vaucouleurs Deprojection'!$A$2:$A$127,1)-1,0,2))*QESTotalBulgeMass)</f>
        <v>5.7369381494027087E+40</v>
      </c>
      <c r="F19" s="15">
        <f t="shared" si="3"/>
        <v>1.7586159921698198E+41</v>
      </c>
      <c r="H19" s="18">
        <f t="shared" si="4"/>
        <v>2.3323098071100908E+41</v>
      </c>
      <c r="I19" s="16">
        <v>290.81</v>
      </c>
      <c r="J19" s="45">
        <v>1</v>
      </c>
      <c r="K19" s="19">
        <f t="shared" si="5"/>
        <v>291.78812440098</v>
      </c>
      <c r="L19" s="16">
        <f t="shared" si="6"/>
        <v>0.95672734379247093</v>
      </c>
    </row>
    <row r="20" spans="1:29" s="17" customFormat="1" x14ac:dyDescent="0.25">
      <c r="A20" s="16">
        <v>7.43</v>
      </c>
      <c r="B20" s="45">
        <f t="shared" si="0"/>
        <v>7430</v>
      </c>
      <c r="C20" s="16">
        <f t="shared" si="1"/>
        <v>4.9533333333347533</v>
      </c>
      <c r="D20" s="15">
        <f t="shared" si="2"/>
        <v>2.2926584419399998E+20</v>
      </c>
      <c r="E20" s="15">
        <f>IF($C20=0,0,FORECAST($C20, OFFSET('De Vaucouleurs Deprojection'!$F$2:$F$127, MATCH($C20, 'De Vaucouleurs Deprojection'!$A$2:$A$127,1)-1,0,2), OFFSET('De Vaucouleurs Deprojection'!$A$2:$A$127, MATCH($C20, 'De Vaucouleurs Deprojection'!$A$2:$A$127,1)-1,0,2))*QESTotalBulgeMass)</f>
        <v>5.9358872032593932E+40</v>
      </c>
      <c r="F20" s="15">
        <f t="shared" si="3"/>
        <v>1.9826760452742857E+41</v>
      </c>
      <c r="G20" s="15"/>
      <c r="H20" s="18">
        <f t="shared" si="4"/>
        <v>2.5762647656002249E+41</v>
      </c>
      <c r="I20" s="16">
        <v>291.67</v>
      </c>
      <c r="J20" s="45">
        <v>1</v>
      </c>
      <c r="K20" s="19">
        <f t="shared" si="5"/>
        <v>288.71649152000066</v>
      </c>
      <c r="L20" s="16">
        <f t="shared" si="6"/>
        <v>8.7232123414281126</v>
      </c>
      <c r="N20" s="45"/>
      <c r="O20" s="45"/>
      <c r="P20" s="45"/>
      <c r="Q20" s="45"/>
      <c r="R20" s="45"/>
      <c r="S20" s="45"/>
      <c r="T20" s="45"/>
      <c r="U20" s="45"/>
      <c r="V20" s="16"/>
      <c r="W20" s="16"/>
      <c r="X20" s="45"/>
      <c r="Y20" s="45"/>
      <c r="Z20" s="45"/>
      <c r="AA20" s="45"/>
      <c r="AB20" s="45"/>
      <c r="AC20" s="45"/>
    </row>
    <row r="21" spans="1:29" s="17" customFormat="1" x14ac:dyDescent="0.25">
      <c r="A21" s="16">
        <v>8.48</v>
      </c>
      <c r="B21" s="45">
        <f t="shared" si="0"/>
        <v>8480</v>
      </c>
      <c r="C21" s="16">
        <f t="shared" si="1"/>
        <v>5.6533333333349542</v>
      </c>
      <c r="D21" s="15">
        <f t="shared" si="2"/>
        <v>2.6166545878400002E+20</v>
      </c>
      <c r="E21" s="15">
        <f>IF($C21=0,0,FORECAST($C21, OFFSET('De Vaucouleurs Deprojection'!$F$2:$F$127, MATCH($C21, 'De Vaucouleurs Deprojection'!$A$2:$A$127,1)-1,0,2), OFFSET('De Vaucouleurs Deprojection'!$A$2:$A$127, MATCH($C21, 'De Vaucouleurs Deprojection'!$A$2:$A$127,1)-1,0,2))*QESTotalBulgeMass)</f>
        <v>6.1021077367069884E+40</v>
      </c>
      <c r="F21" s="15">
        <f t="shared" si="3"/>
        <v>2.1925434961335018E+41</v>
      </c>
      <c r="G21" s="15"/>
      <c r="H21" s="18">
        <f t="shared" si="4"/>
        <v>2.8027542698042006E+41</v>
      </c>
      <c r="I21" s="16">
        <v>292.2</v>
      </c>
      <c r="J21" s="45">
        <v>1</v>
      </c>
      <c r="K21" s="19">
        <f t="shared" si="5"/>
        <v>284.656674517684</v>
      </c>
      <c r="L21" s="16">
        <f t="shared" si="6"/>
        <v>56.901759332157802</v>
      </c>
      <c r="N21" s="45"/>
      <c r="O21" s="45"/>
      <c r="P21" s="45"/>
      <c r="Q21" s="45"/>
      <c r="R21" s="45"/>
      <c r="S21" s="45"/>
      <c r="T21" s="45"/>
      <c r="U21" s="45"/>
      <c r="V21" s="16"/>
      <c r="W21" s="16"/>
      <c r="X21" s="45"/>
      <c r="Y21" s="45"/>
      <c r="Z21" s="45"/>
      <c r="AA21" s="45"/>
      <c r="AB21" s="45"/>
      <c r="AC21" s="45"/>
    </row>
    <row r="22" spans="1:29" s="17" customFormat="1" x14ac:dyDescent="0.25">
      <c r="A22" s="16">
        <v>9.6300000000000008</v>
      </c>
      <c r="B22" s="45">
        <f t="shared" si="0"/>
        <v>9630</v>
      </c>
      <c r="C22" s="16">
        <f t="shared" si="1"/>
        <v>6.4200000000018402</v>
      </c>
      <c r="D22" s="15">
        <f t="shared" si="2"/>
        <v>2.9715075095400002E+20</v>
      </c>
      <c r="E22" s="15">
        <f>IF($C22=0,0,FORECAST($C22, OFFSET('De Vaucouleurs Deprojection'!$F$2:$F$127, MATCH($C22, 'De Vaucouleurs Deprojection'!$A$2:$A$127,1)-1,0,2), OFFSET('De Vaucouleurs Deprojection'!$A$2:$A$127, MATCH($C22, 'De Vaucouleurs Deprojection'!$A$2:$A$127,1)-1,0,2))*QESTotalBulgeMass)</f>
        <v>6.2554583926689249E+40</v>
      </c>
      <c r="F22" s="15">
        <f t="shared" si="3"/>
        <v>2.3806810346172312E+41</v>
      </c>
      <c r="G22" s="15"/>
      <c r="H22" s="18">
        <f t="shared" si="4"/>
        <v>3.0062268738841237E+41</v>
      </c>
      <c r="I22" s="16">
        <v>292.17</v>
      </c>
      <c r="J22" s="45">
        <v>1</v>
      </c>
      <c r="K22" s="19">
        <f t="shared" si="5"/>
        <v>279.92240498086198</v>
      </c>
      <c r="L22" s="16">
        <f t="shared" si="6"/>
        <v>150.00358375281473</v>
      </c>
      <c r="N22" s="45"/>
      <c r="O22" s="45"/>
      <c r="P22" s="45"/>
      <c r="Q22" s="45"/>
      <c r="R22" s="45"/>
      <c r="S22" s="45"/>
      <c r="T22" s="45"/>
      <c r="U22" s="45"/>
      <c r="V22" s="16"/>
      <c r="W22" s="16"/>
      <c r="X22" s="45"/>
      <c r="Y22" s="45"/>
      <c r="Z22" s="45"/>
      <c r="AA22" s="45"/>
      <c r="AB22" s="45"/>
      <c r="AC22" s="45"/>
    </row>
    <row r="23" spans="1:29" s="17" customFormat="1" x14ac:dyDescent="0.25">
      <c r="A23" s="16">
        <v>10.89</v>
      </c>
      <c r="B23" s="45">
        <f t="shared" si="0"/>
        <v>10890</v>
      </c>
      <c r="C23" s="16">
        <f t="shared" si="1"/>
        <v>7.2600000000020808</v>
      </c>
      <c r="D23" s="15">
        <f t="shared" si="2"/>
        <v>3.3603028846200003E+20</v>
      </c>
      <c r="E23" s="15">
        <f>IF($C23=0,0,FORECAST($C23, OFFSET('De Vaucouleurs Deprojection'!$F$2:$F$127, MATCH($C23, 'De Vaucouleurs Deprojection'!$A$2:$A$127,1)-1,0,2), OFFSET('De Vaucouleurs Deprojection'!$A$2:$A$127, MATCH($C23, 'De Vaucouleurs Deprojection'!$A$2:$A$127,1)-1,0,2))*QESTotalBulgeMass)</f>
        <v>6.3886494743654171E+40</v>
      </c>
      <c r="F23" s="15">
        <f t="shared" si="3"/>
        <v>2.5434391504598974E+41</v>
      </c>
      <c r="G23" s="15"/>
      <c r="H23" s="18">
        <f t="shared" si="4"/>
        <v>3.182304097896439E+41</v>
      </c>
      <c r="I23" s="16">
        <v>291.2</v>
      </c>
      <c r="J23" s="45">
        <v>1</v>
      </c>
      <c r="K23" s="19">
        <f t="shared" si="5"/>
        <v>274.69838763400634</v>
      </c>
      <c r="L23" s="16">
        <f t="shared" si="6"/>
        <v>272.30321067751458</v>
      </c>
      <c r="N23" s="45"/>
      <c r="O23" s="45"/>
      <c r="P23" s="45"/>
      <c r="Q23" s="45"/>
      <c r="R23" s="45"/>
      <c r="S23" s="45"/>
      <c r="T23" s="45"/>
      <c r="U23" s="45"/>
      <c r="V23" s="16"/>
      <c r="W23" s="16"/>
      <c r="X23" s="45"/>
      <c r="Y23" s="45"/>
      <c r="Z23" s="45"/>
      <c r="AA23" s="45"/>
      <c r="AB23" s="45"/>
      <c r="AC23" s="45"/>
    </row>
    <row r="24" spans="1:29" s="17" customFormat="1" x14ac:dyDescent="0.25">
      <c r="A24" s="16">
        <v>12.29</v>
      </c>
      <c r="B24" s="45">
        <f t="shared" si="0"/>
        <v>12290</v>
      </c>
      <c r="C24" s="16">
        <f t="shared" si="1"/>
        <v>8.1933333333356817</v>
      </c>
      <c r="D24" s="15">
        <f t="shared" si="2"/>
        <v>3.7922977458199999E+20</v>
      </c>
      <c r="E24" s="15">
        <f>IF($C24=0,0,FORECAST($C24, OFFSET('De Vaucouleurs Deprojection'!$F$2:$F$127, MATCH($C24, 'De Vaucouleurs Deprojection'!$A$2:$A$127,1)-1,0,2), OFFSET('De Vaucouleurs Deprojection'!$A$2:$A$127, MATCH($C24, 'De Vaucouleurs Deprojection'!$A$2:$A$127,1)-1,0,2))*QESTotalBulgeMass)</f>
        <v>6.5036071307614822E+40</v>
      </c>
      <c r="F24" s="15">
        <f t="shared" si="3"/>
        <v>2.680583349846434E+41</v>
      </c>
      <c r="G24" s="15"/>
      <c r="H24" s="18">
        <f t="shared" si="4"/>
        <v>3.330944062922582E+41</v>
      </c>
      <c r="I24" s="16">
        <v>289.29000000000002</v>
      </c>
      <c r="J24" s="45">
        <v>1</v>
      </c>
      <c r="K24" s="19">
        <f t="shared" si="5"/>
        <v>269.16625380923784</v>
      </c>
      <c r="L24" s="16">
        <f t="shared" si="6"/>
        <v>404.9651607502152</v>
      </c>
      <c r="N24" s="45"/>
      <c r="O24" s="45"/>
      <c r="P24" s="45"/>
      <c r="Q24" s="45"/>
      <c r="R24" s="45"/>
      <c r="S24" s="45"/>
      <c r="T24" s="45"/>
      <c r="U24" s="45"/>
      <c r="V24" s="16"/>
      <c r="W24" s="16"/>
      <c r="X24" s="45"/>
      <c r="Y24" s="45"/>
      <c r="Z24" s="45"/>
      <c r="AA24" s="45"/>
      <c r="AB24" s="45"/>
      <c r="AC24" s="45"/>
    </row>
    <row r="25" spans="1:29" s="17" customFormat="1" x14ac:dyDescent="0.25">
      <c r="A25" s="16">
        <v>13.82</v>
      </c>
      <c r="B25" s="45">
        <f t="shared" si="0"/>
        <v>13820</v>
      </c>
      <c r="C25" s="16">
        <f t="shared" si="1"/>
        <v>9.2133333333359744</v>
      </c>
      <c r="D25" s="15">
        <f t="shared" si="2"/>
        <v>4.2644064155600001E+20</v>
      </c>
      <c r="E25" s="15">
        <f>IF($C25=0,0,FORECAST($C25, OFFSET('De Vaucouleurs Deprojection'!$F$2:$F$127, MATCH($C25, 'De Vaucouleurs Deprojection'!$A$2:$A$127,1)-1,0,2), OFFSET('De Vaucouleurs Deprojection'!$A$2:$A$127, MATCH($C25, 'De Vaucouleurs Deprojection'!$A$2:$A$127,1)-1,0,2))*QESTotalBulgeMass)</f>
        <v>6.6005649486264672E+40</v>
      </c>
      <c r="F25" s="15">
        <f t="shared" si="3"/>
        <v>2.7894319092555953E+41</v>
      </c>
      <c r="G25" s="15"/>
      <c r="H25" s="18">
        <f t="shared" si="4"/>
        <v>3.4494884041182418E+41</v>
      </c>
      <c r="I25" s="16">
        <v>287.05</v>
      </c>
      <c r="J25" s="45">
        <v>1</v>
      </c>
      <c r="K25" s="19">
        <f t="shared" si="5"/>
        <v>263.69953302149963</v>
      </c>
      <c r="L25" s="16">
        <f t="shared" si="6"/>
        <v>545.24430811403658</v>
      </c>
      <c r="N25" s="45"/>
      <c r="O25" s="45"/>
      <c r="P25" s="45"/>
      <c r="Q25" s="45"/>
      <c r="R25" s="45"/>
      <c r="S25" s="45"/>
      <c r="T25" s="45"/>
      <c r="U25" s="45"/>
      <c r="V25" s="16"/>
      <c r="W25" s="16"/>
      <c r="X25" s="45"/>
      <c r="Y25" s="45"/>
      <c r="Z25" s="45"/>
      <c r="AA25" s="45"/>
      <c r="AB25" s="45"/>
      <c r="AC25" s="45"/>
    </row>
    <row r="26" spans="1:29" s="17" customFormat="1" x14ac:dyDescent="0.25">
      <c r="A26" s="16">
        <v>15.5</v>
      </c>
      <c r="B26" s="45">
        <f t="shared" si="0"/>
        <v>15500</v>
      </c>
      <c r="C26" s="16">
        <f t="shared" si="1"/>
        <v>10.333333333336295</v>
      </c>
      <c r="D26" s="15">
        <f t="shared" si="2"/>
        <v>4.7828002490000002E+20</v>
      </c>
      <c r="E26" s="15">
        <f>IF($C26=0,0,FORECAST($C26, OFFSET('De Vaucouleurs Deprojection'!$F$2:$F$127, MATCH($C26, 'De Vaucouleurs Deprojection'!$A$2:$A$127,1)-1,0,2), OFFSET('De Vaucouleurs Deprojection'!$A$2:$A$127, MATCH($C26, 'De Vaucouleurs Deprojection'!$A$2:$A$127,1)-1,0,2))*QESTotalBulgeMass)</f>
        <v>6.6827479323888508E+40</v>
      </c>
      <c r="F26" s="15">
        <f t="shared" si="3"/>
        <v>2.8724270583644659E+41</v>
      </c>
      <c r="G26" s="15"/>
      <c r="H26" s="18">
        <f t="shared" si="4"/>
        <v>3.540701851603351E+41</v>
      </c>
      <c r="I26" s="16">
        <v>281.43</v>
      </c>
      <c r="J26" s="45">
        <v>1</v>
      </c>
      <c r="K26" s="19">
        <f t="shared" si="5"/>
        <v>258.55208103889197</v>
      </c>
      <c r="L26" s="16">
        <f t="shared" si="6"/>
        <v>523.3991759910266</v>
      </c>
      <c r="N26" s="45"/>
      <c r="O26" s="45"/>
      <c r="P26" s="45"/>
      <c r="Q26" s="45"/>
      <c r="R26" s="45"/>
      <c r="S26" s="45"/>
      <c r="T26" s="45"/>
      <c r="U26" s="45"/>
      <c r="V26" s="16"/>
      <c r="W26" s="16"/>
      <c r="X26" s="45"/>
      <c r="Y26" s="45"/>
      <c r="Z26" s="45"/>
      <c r="AA26" s="45"/>
      <c r="AB26" s="45"/>
      <c r="AC26" s="45"/>
    </row>
    <row r="27" spans="1:29" s="17" customFormat="1" x14ac:dyDescent="0.25">
      <c r="A27" s="16">
        <v>17.36</v>
      </c>
      <c r="B27" s="45">
        <f t="shared" si="0"/>
        <v>17360</v>
      </c>
      <c r="C27" s="16">
        <f t="shared" si="1"/>
        <v>11.573333333336651</v>
      </c>
      <c r="D27" s="15">
        <f t="shared" si="2"/>
        <v>5.3567362788799998E+20</v>
      </c>
      <c r="E27" s="15">
        <f>IF($C27=0,0,FORECAST($C27, OFFSET('De Vaucouleurs Deprojection'!$F$2:$F$127, MATCH($C27, 'De Vaucouleurs Deprojection'!$A$2:$A$127,1)-1,0,2), OFFSET('De Vaucouleurs Deprojection'!$A$2:$A$127, MATCH($C27, 'De Vaucouleurs Deprojection'!$A$2:$A$127,1)-1,0,2))*QESTotalBulgeMass)</f>
        <v>6.7529869088038269E+40</v>
      </c>
      <c r="F27" s="15">
        <f t="shared" si="3"/>
        <v>2.9330573934044706E+41</v>
      </c>
      <c r="G27" s="15"/>
      <c r="H27" s="18">
        <f t="shared" si="4"/>
        <v>3.6083560842848535E+41</v>
      </c>
      <c r="I27" s="16">
        <v>275.38</v>
      </c>
      <c r="J27" s="45">
        <v>1</v>
      </c>
      <c r="K27" s="19">
        <f t="shared" si="5"/>
        <v>253.95135954924478</v>
      </c>
      <c r="L27" s="16">
        <f t="shared" si="6"/>
        <v>459.1866315677425</v>
      </c>
      <c r="N27" s="45"/>
      <c r="O27" s="45"/>
      <c r="P27" s="45"/>
      <c r="Q27" s="45"/>
      <c r="R27" s="45"/>
      <c r="S27" s="45"/>
      <c r="T27" s="45"/>
      <c r="U27" s="45"/>
      <c r="V27" s="16"/>
      <c r="W27" s="16"/>
      <c r="X27" s="45"/>
      <c r="Y27" s="45"/>
      <c r="Z27" s="45"/>
      <c r="AA27" s="45"/>
      <c r="AB27" s="45"/>
      <c r="AC27" s="45"/>
    </row>
    <row r="28" spans="1:29" s="17" customFormat="1" x14ac:dyDescent="0.25">
      <c r="A28" s="16">
        <v>19.39</v>
      </c>
      <c r="B28" s="45">
        <f t="shared" si="0"/>
        <v>19390</v>
      </c>
      <c r="C28" s="16">
        <f t="shared" si="1"/>
        <v>12.926666666670371</v>
      </c>
      <c r="D28" s="15">
        <f t="shared" si="2"/>
        <v>5.9831288276199997E+20</v>
      </c>
      <c r="E28" s="15">
        <f>IF($C28=0,0,FORECAST($C28, OFFSET('De Vaucouleurs Deprojection'!$F$2:$F$127, MATCH($C28, 'De Vaucouleurs Deprojection'!$A$2:$A$127,1)-1,0,2), OFFSET('De Vaucouleurs Deprojection'!$A$2:$A$127, MATCH($C28, 'De Vaucouleurs Deprojection'!$A$2:$A$127,1)-1,0,2))*QESTotalBulgeMass)</f>
        <v>6.8123838799687428E+40</v>
      </c>
      <c r="F28" s="15">
        <f t="shared" si="3"/>
        <v>2.974404801811816E+41</v>
      </c>
      <c r="G28" s="15"/>
      <c r="H28" s="18">
        <f t="shared" si="4"/>
        <v>3.6556431898086901E+41</v>
      </c>
      <c r="I28" s="16">
        <v>267.79000000000002</v>
      </c>
      <c r="J28" s="45">
        <v>1</v>
      </c>
      <c r="K28" s="19">
        <f t="shared" si="5"/>
        <v>250.19244919925615</v>
      </c>
      <c r="L28" s="16">
        <f t="shared" si="6"/>
        <v>309.67379418476139</v>
      </c>
      <c r="N28" s="45"/>
      <c r="O28" s="45"/>
      <c r="P28" s="45"/>
      <c r="Q28" s="45"/>
      <c r="R28" s="45"/>
      <c r="S28" s="45"/>
      <c r="T28" s="45"/>
      <c r="U28" s="45"/>
      <c r="V28" s="16"/>
      <c r="W28" s="16"/>
      <c r="X28" s="45"/>
      <c r="Y28" s="45"/>
      <c r="Z28" s="45"/>
      <c r="AA28" s="45"/>
      <c r="AB28" s="45"/>
      <c r="AC28" s="45"/>
    </row>
    <row r="29" spans="1:29" s="17" customFormat="1" x14ac:dyDescent="0.25">
      <c r="A29" s="16">
        <v>21.64</v>
      </c>
      <c r="B29" s="45">
        <f t="shared" si="0"/>
        <v>21640</v>
      </c>
      <c r="C29" s="16">
        <f t="shared" si="1"/>
        <v>14.426666666670801</v>
      </c>
      <c r="D29" s="15">
        <f t="shared" si="2"/>
        <v>6.6774062831200004E+20</v>
      </c>
      <c r="E29" s="15">
        <f>IF($C29=0,0,FORECAST($C29, OFFSET('De Vaucouleurs Deprojection'!$F$2:$F$127, MATCH($C29, 'De Vaucouleurs Deprojection'!$A$2:$A$127,1)-1,0,2), OFFSET('De Vaucouleurs Deprojection'!$A$2:$A$127, MATCH($C29, 'De Vaucouleurs Deprojection'!$A$2:$A$127,1)-1,0,2))*QESTotalBulgeMass)</f>
        <v>6.8612214105239191E+40</v>
      </c>
      <c r="F29" s="15">
        <f t="shared" si="3"/>
        <v>3.0013874164978348E+41</v>
      </c>
      <c r="G29" s="15"/>
      <c r="H29" s="18">
        <f t="shared" si="4"/>
        <v>3.6875095575502266E+41</v>
      </c>
      <c r="I29" s="16">
        <v>259.70999999999998</v>
      </c>
      <c r="J29" s="45">
        <v>1</v>
      </c>
      <c r="K29" s="19">
        <f t="shared" si="5"/>
        <v>247.39980618013479</v>
      </c>
      <c r="L29" s="16">
        <f t="shared" si="6"/>
        <v>151.54087188264714</v>
      </c>
      <c r="N29" s="45"/>
      <c r="O29" s="45"/>
      <c r="P29" s="45"/>
      <c r="Q29" s="45"/>
      <c r="R29" s="45"/>
      <c r="S29" s="45"/>
      <c r="T29" s="45"/>
      <c r="U29" s="45"/>
      <c r="V29" s="16"/>
      <c r="W29" s="16"/>
      <c r="X29" s="45"/>
      <c r="Y29" s="45"/>
      <c r="Z29" s="45"/>
      <c r="AA29" s="45"/>
      <c r="AB29" s="45"/>
      <c r="AC29" s="45"/>
    </row>
    <row r="30" spans="1:29" s="17" customFormat="1" x14ac:dyDescent="0.25">
      <c r="A30" s="16">
        <v>24.1</v>
      </c>
      <c r="B30" s="45">
        <f t="shared" si="0"/>
        <v>24100</v>
      </c>
      <c r="C30" s="16">
        <f t="shared" si="1"/>
        <v>16.066666666671271</v>
      </c>
      <c r="D30" s="15">
        <f t="shared" si="2"/>
        <v>7.4364829678E+20</v>
      </c>
      <c r="E30" s="15">
        <f>IF($C30=0,0,FORECAST($C30, OFFSET('De Vaucouleurs Deprojection'!$F$2:$F$127, MATCH($C30, 'De Vaucouleurs Deprojection'!$A$2:$A$127,1)-1,0,2), OFFSET('De Vaucouleurs Deprojection'!$A$2:$A$127, MATCH($C30, 'De Vaucouleurs Deprojection'!$A$2:$A$127,1)-1,0,2))*QESTotalBulgeMass)</f>
        <v>6.8959975826933595E+40</v>
      </c>
      <c r="F30" s="15">
        <f t="shared" si="3"/>
        <v>3.0176509108736409E+41</v>
      </c>
      <c r="G30" s="15"/>
      <c r="H30" s="18">
        <f t="shared" si="4"/>
        <v>3.707250669142977E+41</v>
      </c>
      <c r="I30" s="16">
        <v>251.27</v>
      </c>
      <c r="J30" s="45">
        <v>1</v>
      </c>
      <c r="K30" s="19">
        <f t="shared" si="5"/>
        <v>245.74327787502534</v>
      </c>
      <c r="L30" s="16">
        <f t="shared" si="6"/>
        <v>30.544657446684514</v>
      </c>
      <c r="N30" s="45"/>
      <c r="O30" s="45"/>
      <c r="P30" s="45"/>
      <c r="Q30" s="45"/>
      <c r="R30" s="45"/>
      <c r="S30" s="45"/>
      <c r="T30" s="45"/>
      <c r="U30" s="45"/>
      <c r="V30" s="16"/>
      <c r="W30" s="16"/>
      <c r="X30" s="45"/>
      <c r="Y30" s="45"/>
      <c r="Z30" s="45"/>
      <c r="AA30" s="45"/>
      <c r="AB30" s="45"/>
      <c r="AC30" s="45"/>
    </row>
    <row r="31" spans="1:29" s="17" customFormat="1" x14ac:dyDescent="0.25">
      <c r="A31" s="16">
        <v>26.82</v>
      </c>
      <c r="B31" s="45">
        <f t="shared" si="0"/>
        <v>26820</v>
      </c>
      <c r="C31" s="16">
        <f t="shared" si="1"/>
        <v>17.880000000005126</v>
      </c>
      <c r="D31" s="15">
        <f t="shared" si="2"/>
        <v>8.2757872695599995E+20</v>
      </c>
      <c r="E31" s="15">
        <f>IF($C31=0,0,FORECAST($C31, OFFSET('De Vaucouleurs Deprojection'!$F$2:$F$127, MATCH($C31, 'De Vaucouleurs Deprojection'!$A$2:$A$127,1)-1,0,2), OFFSET('De Vaucouleurs Deprojection'!$A$2:$A$127, MATCH($C31, 'De Vaucouleurs Deprojection'!$A$2:$A$127,1)-1,0,2))*QESTotalBulgeMass)</f>
        <v>6.9277141449371823E+40</v>
      </c>
      <c r="F31" s="15">
        <f t="shared" si="3"/>
        <v>3.0268862777084047E+41</v>
      </c>
      <c r="G31" s="15"/>
      <c r="H31" s="18">
        <f t="shared" si="4"/>
        <v>3.7196576922021227E+41</v>
      </c>
      <c r="I31" s="16">
        <v>245.82</v>
      </c>
      <c r="J31" s="45">
        <v>1</v>
      </c>
      <c r="K31" s="19">
        <f t="shared" si="5"/>
        <v>245.30821338571641</v>
      </c>
      <c r="L31" s="16">
        <f t="shared" si="6"/>
        <v>0.26192553855984929</v>
      </c>
      <c r="N31" s="45"/>
      <c r="O31" s="45"/>
      <c r="P31" s="45"/>
      <c r="Q31" s="45"/>
      <c r="R31" s="45"/>
      <c r="S31" s="45"/>
      <c r="T31" s="45"/>
      <c r="U31" s="45"/>
      <c r="V31" s="16"/>
      <c r="W31" s="16"/>
      <c r="X31" s="45"/>
      <c r="Y31" s="45"/>
      <c r="Z31" s="45"/>
      <c r="AA31" s="45"/>
      <c r="AB31" s="45"/>
      <c r="AC31" s="45"/>
    </row>
    <row r="32" spans="1:29" s="17" customFormat="1" x14ac:dyDescent="0.25">
      <c r="A32" s="16">
        <v>29.8</v>
      </c>
      <c r="B32" s="45">
        <f t="shared" si="0"/>
        <v>29800</v>
      </c>
      <c r="C32" s="16">
        <f t="shared" si="1"/>
        <v>19.866666666672362</v>
      </c>
      <c r="D32" s="15">
        <f t="shared" si="2"/>
        <v>9.1953191884000002E+20</v>
      </c>
      <c r="E32" s="15">
        <f>IF($C32=0,0,FORECAST($C32, OFFSET('De Vaucouleurs Deprojection'!$F$2:$F$127, MATCH($C32, 'De Vaucouleurs Deprojection'!$A$2:$A$127,1)-1,0,2), OFFSET('De Vaucouleurs Deprojection'!$A$2:$A$127, MATCH($C32, 'De Vaucouleurs Deprojection'!$A$2:$A$127,1)-1,0,2))*QESTotalBulgeMass)</f>
        <v>6.9624624373954886E+40</v>
      </c>
      <c r="F32" s="15">
        <f t="shared" si="3"/>
        <v>3.0316894083883665E+41</v>
      </c>
      <c r="G32" s="15"/>
      <c r="H32" s="18">
        <f t="shared" si="4"/>
        <v>3.7279356521279157E+41</v>
      </c>
      <c r="I32" s="16">
        <v>241.29</v>
      </c>
      <c r="J32" s="45">
        <v>1</v>
      </c>
      <c r="K32" s="19">
        <f t="shared" si="5"/>
        <v>246.14961295221124</v>
      </c>
      <c r="L32" s="16">
        <f t="shared" si="6"/>
        <v>23.615838045299345</v>
      </c>
      <c r="N32" s="45"/>
      <c r="O32" s="45"/>
      <c r="P32" s="45"/>
      <c r="Q32" s="45"/>
      <c r="R32" s="45"/>
      <c r="S32" s="45"/>
      <c r="T32" s="45"/>
      <c r="U32" s="45"/>
      <c r="V32" s="16"/>
      <c r="W32" s="16"/>
      <c r="X32" s="45"/>
      <c r="Y32" s="45"/>
      <c r="Z32" s="45"/>
      <c r="AA32" s="45"/>
      <c r="AB32" s="45"/>
      <c r="AC32" s="45"/>
    </row>
    <row r="33" spans="1:29" s="17" customFormat="1" x14ac:dyDescent="0.25">
      <c r="A33" s="16">
        <v>33.090000000000003</v>
      </c>
      <c r="B33" s="45">
        <f t="shared" si="0"/>
        <v>33090</v>
      </c>
      <c r="C33" s="16">
        <f t="shared" si="1"/>
        <v>22.060000000006323</v>
      </c>
      <c r="D33" s="15">
        <f t="shared" si="2"/>
        <v>1.0210507112220002E+21</v>
      </c>
      <c r="E33" s="15">
        <f>IF($C33=0,0,FORECAST($C33, OFFSET('De Vaucouleurs Deprojection'!$F$2:$F$127, MATCH($C33, 'De Vaucouleurs Deprojection'!$A$2:$A$127,1)-1,0,2), OFFSET('De Vaucouleurs Deprojection'!$A$2:$A$127, MATCH($C33, 'De Vaucouleurs Deprojection'!$A$2:$A$127,1)-1,0,2))*QESTotalBulgeMass)</f>
        <v>6.9810928660155628E+40</v>
      </c>
      <c r="F33" s="15">
        <f t="shared" si="3"/>
        <v>3.0340011352970314E+41</v>
      </c>
      <c r="G33" s="15"/>
      <c r="H33" s="18">
        <f t="shared" si="4"/>
        <v>3.7321104218985875E+41</v>
      </c>
      <c r="I33" s="16">
        <v>239.09</v>
      </c>
      <c r="J33" s="45">
        <v>1</v>
      </c>
      <c r="K33" s="19">
        <f t="shared" si="5"/>
        <v>248.25123170354112</v>
      </c>
      <c r="L33" s="16">
        <f t="shared" si="6"/>
        <v>83.928166325966927</v>
      </c>
      <c r="N33" s="45"/>
      <c r="O33" s="45"/>
      <c r="P33" s="45"/>
      <c r="Q33" s="45"/>
      <c r="R33" s="45"/>
      <c r="S33" s="45"/>
      <c r="T33" s="45"/>
      <c r="U33" s="45"/>
      <c r="V33" s="16"/>
      <c r="W33" s="16"/>
      <c r="X33" s="45"/>
      <c r="Y33" s="45"/>
      <c r="Z33" s="45"/>
      <c r="AA33" s="45"/>
      <c r="AB33" s="45"/>
      <c r="AC33" s="45"/>
    </row>
    <row r="34" spans="1:29" s="17" customFormat="1" x14ac:dyDescent="0.25">
      <c r="A34" s="16">
        <v>36.700000000000003</v>
      </c>
      <c r="B34" s="45">
        <f t="shared" si="0"/>
        <v>36700</v>
      </c>
      <c r="C34" s="16">
        <f t="shared" si="1"/>
        <v>24.466666666673682</v>
      </c>
      <c r="D34" s="15">
        <f t="shared" si="2"/>
        <v>1.1324436718600001E+21</v>
      </c>
      <c r="E34" s="15">
        <f>IF($C34=0,0,FORECAST($C34, OFFSET('De Vaucouleurs Deprojection'!$F$2:$F$127, MATCH($C34, 'De Vaucouleurs Deprojection'!$A$2:$A$127,1)-1,0,2), OFFSET('De Vaucouleurs Deprojection'!$A$2:$A$127, MATCH($C34, 'De Vaucouleurs Deprojection'!$A$2:$A$127,1)-1,0,2))*QESTotalBulgeMass)</f>
        <v>7.0001339552463285E+40</v>
      </c>
      <c r="F34" s="15">
        <f t="shared" si="3"/>
        <v>3.0350071802642607E+41</v>
      </c>
      <c r="G34" s="15"/>
      <c r="H34" s="18">
        <f t="shared" si="4"/>
        <v>3.7350205757888937E+41</v>
      </c>
      <c r="I34" s="16">
        <v>242.62</v>
      </c>
      <c r="J34" s="45">
        <v>1</v>
      </c>
      <c r="K34" s="19">
        <f t="shared" si="5"/>
        <v>251.61139479089564</v>
      </c>
      <c r="L34" s="16">
        <f t="shared" si="6"/>
        <v>80.845180285745258</v>
      </c>
      <c r="N34" s="45"/>
      <c r="O34" s="45"/>
      <c r="P34" s="45"/>
      <c r="Q34" s="45"/>
      <c r="R34" s="45"/>
      <c r="S34" s="45"/>
      <c r="T34" s="45"/>
      <c r="U34" s="45"/>
      <c r="V34" s="16"/>
      <c r="W34" s="16"/>
      <c r="X34" s="45"/>
      <c r="Y34" s="45"/>
      <c r="Z34" s="45"/>
      <c r="AA34" s="45"/>
      <c r="AB34" s="45"/>
      <c r="AC34" s="45"/>
    </row>
    <row r="35" spans="1:29" s="17" customFormat="1" x14ac:dyDescent="0.25">
      <c r="A35" s="16">
        <v>40.67</v>
      </c>
      <c r="B35" s="45">
        <f t="shared" si="0"/>
        <v>40670</v>
      </c>
      <c r="C35" s="16">
        <f t="shared" si="1"/>
        <v>27.113333333341107</v>
      </c>
      <c r="D35" s="15">
        <f t="shared" si="2"/>
        <v>1.2549450717860001E+21</v>
      </c>
      <c r="E35" s="15">
        <f>IF($C35=0,0,FORECAST($C35, OFFSET('De Vaucouleurs Deprojection'!$F$2:$F$127, MATCH($C35, 'De Vaucouleurs Deprojection'!$A$2:$A$127,1)-1,0,2), OFFSET('De Vaucouleurs Deprojection'!$A$2:$A$127, MATCH($C35, 'De Vaucouleurs Deprojection'!$A$2:$A$127,1)-1,0,2))*QESTotalBulgeMass)</f>
        <v>7.0145947658452824E+40</v>
      </c>
      <c r="F35" s="15">
        <f t="shared" si="3"/>
        <v>3.0354036924047996E+41</v>
      </c>
      <c r="G35" s="15"/>
      <c r="H35" s="18">
        <f t="shared" si="4"/>
        <v>3.7368631689893282E+41</v>
      </c>
      <c r="I35" s="16">
        <v>249.72</v>
      </c>
      <c r="J35" s="45">
        <v>1</v>
      </c>
      <c r="K35" s="19">
        <f t="shared" si="5"/>
        <v>256.19622913767682</v>
      </c>
      <c r="L35" s="16">
        <f t="shared" si="6"/>
        <v>41.941543843694305</v>
      </c>
      <c r="N35" s="45"/>
      <c r="O35" s="45"/>
      <c r="P35" s="45"/>
      <c r="Q35" s="45"/>
      <c r="R35" s="45"/>
      <c r="S35" s="45"/>
      <c r="T35" s="45"/>
      <c r="U35" s="45"/>
      <c r="V35" s="16"/>
      <c r="W35" s="16"/>
      <c r="X35" s="45"/>
      <c r="Y35" s="45"/>
      <c r="Z35" s="45"/>
      <c r="AA35" s="45"/>
      <c r="AB35" s="45"/>
      <c r="AC35" s="45"/>
    </row>
    <row r="36" spans="1:29" s="17" customFormat="1" x14ac:dyDescent="0.25">
      <c r="A36" s="16">
        <v>45.04</v>
      </c>
      <c r="B36" s="45">
        <f t="shared" si="0"/>
        <v>45040</v>
      </c>
      <c r="C36" s="16">
        <f t="shared" si="1"/>
        <v>30.026666666675272</v>
      </c>
      <c r="D36" s="15">
        <f t="shared" si="2"/>
        <v>1.3897891820320001E+21</v>
      </c>
      <c r="E36" s="15">
        <f>IF($C36=0,0,FORECAST($C36, OFFSET('De Vaucouleurs Deprojection'!$F$2:$F$127, MATCH($C36, 'De Vaucouleurs Deprojection'!$A$2:$A$127,1)-1,0,2), OFFSET('De Vaucouleurs Deprojection'!$A$2:$A$127, MATCH($C36, 'De Vaucouleurs Deprojection'!$A$2:$A$127,1)-1,0,2))*QESTotalBulgeMass)</f>
        <v>7.0286505671264076E+40</v>
      </c>
      <c r="F36" s="15">
        <f t="shared" si="3"/>
        <v>3.0355434311989535E+41</v>
      </c>
      <c r="G36" s="15"/>
      <c r="H36" s="18">
        <f t="shared" si="4"/>
        <v>3.7384084879115941E+41</v>
      </c>
      <c r="I36" s="16">
        <v>255.44</v>
      </c>
      <c r="J36" s="45">
        <v>1</v>
      </c>
      <c r="K36" s="19">
        <f t="shared" si="5"/>
        <v>261.97891953584002</v>
      </c>
      <c r="L36" s="16">
        <f t="shared" si="6"/>
        <v>42.757468696190301</v>
      </c>
      <c r="N36" s="45"/>
      <c r="O36" s="45"/>
      <c r="P36" s="45"/>
      <c r="Q36" s="45"/>
      <c r="R36" s="45"/>
      <c r="S36" s="45"/>
      <c r="T36" s="45"/>
      <c r="U36" s="45"/>
      <c r="V36" s="16"/>
      <c r="W36" s="16"/>
      <c r="X36" s="45"/>
      <c r="Y36" s="45"/>
      <c r="Z36" s="45"/>
      <c r="AA36" s="45"/>
      <c r="AB36" s="45"/>
      <c r="AC36" s="45"/>
    </row>
    <row r="37" spans="1:29" s="17" customFormat="1" x14ac:dyDescent="0.25">
      <c r="A37" s="16">
        <v>49.85</v>
      </c>
      <c r="B37" s="45">
        <f t="shared" si="0"/>
        <v>49850</v>
      </c>
      <c r="C37" s="16">
        <f t="shared" si="1"/>
        <v>33.233333333342863</v>
      </c>
      <c r="D37" s="15">
        <f t="shared" si="2"/>
        <v>1.53821027363E+21</v>
      </c>
      <c r="E37" s="15">
        <f>IF($C37=0,0,FORECAST($C37, OFFSET('De Vaucouleurs Deprojection'!$F$2:$F$127, MATCH($C37, 'De Vaucouleurs Deprojection'!$A$2:$A$127,1)-1,0,2), OFFSET('De Vaucouleurs Deprojection'!$A$2:$A$127, MATCH($C37, 'De Vaucouleurs Deprojection'!$A$2:$A$127,1)-1,0,2))*QESTotalBulgeMass)</f>
        <v>7.0367147735854491E+40</v>
      </c>
      <c r="F37" s="15">
        <f t="shared" si="3"/>
        <v>3.0355869163401554E+41</v>
      </c>
      <c r="G37" s="15"/>
      <c r="H37" s="18">
        <f t="shared" si="4"/>
        <v>3.7392583936987006E+41</v>
      </c>
      <c r="I37" s="16">
        <v>260.25</v>
      </c>
      <c r="J37" s="45">
        <v>1</v>
      </c>
      <c r="K37" s="19">
        <f t="shared" si="5"/>
        <v>268.91772913569423</v>
      </c>
      <c r="L37" s="16">
        <f t="shared" si="6"/>
        <v>75.129528369762653</v>
      </c>
      <c r="N37" s="45"/>
      <c r="O37" s="45"/>
      <c r="P37" s="45"/>
      <c r="Q37" s="45"/>
      <c r="R37" s="45"/>
      <c r="S37" s="45"/>
      <c r="T37" s="45"/>
      <c r="U37" s="45"/>
      <c r="V37" s="16"/>
      <c r="W37" s="16"/>
      <c r="X37" s="45"/>
      <c r="Y37" s="45"/>
      <c r="Z37" s="45"/>
      <c r="AA37" s="45"/>
      <c r="AB37" s="45"/>
      <c r="AC37" s="45"/>
    </row>
    <row r="38" spans="1:29" x14ac:dyDescent="0.25">
      <c r="I38" s="45"/>
      <c r="J38" s="45"/>
      <c r="L38" s="16">
        <f>SUM(L8:L37)/(COUNT(L8:L37)-4)</f>
        <v>145.35741010074116</v>
      </c>
    </row>
    <row r="39" spans="1:29" x14ac:dyDescent="0.25">
      <c r="I39" s="45"/>
      <c r="J39" s="45"/>
      <c r="L39" s="16"/>
    </row>
    <row r="40" spans="1:29" ht="21" x14ac:dyDescent="0.35">
      <c r="A40" s="48" t="s">
        <v>564</v>
      </c>
      <c r="I40" s="45"/>
      <c r="J40" s="45"/>
      <c r="L40" s="16"/>
    </row>
    <row r="41" spans="1:29" x14ac:dyDescent="0.25">
      <c r="A41" s="16" t="s">
        <v>30</v>
      </c>
      <c r="D41" s="16">
        <v>4.3499999999999996</v>
      </c>
      <c r="E41" s="17">
        <f>$D$41*1000</f>
        <v>4350</v>
      </c>
      <c r="F41" s="17"/>
      <c r="G41" s="17"/>
      <c r="H41" s="15"/>
      <c r="K41" s="15"/>
      <c r="L41" s="17"/>
      <c r="M41" s="45"/>
    </row>
    <row r="42" spans="1:29" x14ac:dyDescent="0.25">
      <c r="A42" s="16" t="s">
        <v>16</v>
      </c>
      <c r="D42" s="16">
        <v>16.59</v>
      </c>
      <c r="E42" s="15">
        <f>D42*10000000000*SolarMass</f>
        <v>3.2999168999999998E+41</v>
      </c>
      <c r="F42" s="43"/>
      <c r="G42" s="43"/>
      <c r="H42" s="15"/>
      <c r="K42" s="15"/>
      <c r="L42" s="17"/>
      <c r="M42" s="45"/>
    </row>
    <row r="43" spans="1:29" x14ac:dyDescent="0.25">
      <c r="A43" s="16" t="s">
        <v>569</v>
      </c>
      <c r="D43" s="16">
        <v>4.8</v>
      </c>
      <c r="E43" s="15">
        <f>D43*1000</f>
        <v>4800</v>
      </c>
      <c r="H43" s="15"/>
      <c r="K43" s="15"/>
      <c r="L43" s="17"/>
      <c r="M43" s="45"/>
    </row>
    <row r="44" spans="1:29" x14ac:dyDescent="0.25">
      <c r="A44" s="16" t="s">
        <v>17</v>
      </c>
      <c r="D44" s="45">
        <v>7.5</v>
      </c>
      <c r="G44" s="16"/>
      <c r="H44" s="15"/>
      <c r="K44" s="15"/>
      <c r="L44" s="17"/>
      <c r="M44" s="45"/>
    </row>
    <row r="45" spans="1:29" x14ac:dyDescent="0.25">
      <c r="A45" s="16" t="s">
        <v>570</v>
      </c>
      <c r="D45" s="16">
        <v>135.1</v>
      </c>
      <c r="E45" s="17">
        <f>D45*1000</f>
        <v>135100</v>
      </c>
      <c r="H45" s="15"/>
      <c r="K45" s="15"/>
      <c r="L45" s="17"/>
      <c r="M45" s="45"/>
    </row>
    <row r="46" spans="1:29" x14ac:dyDescent="0.25">
      <c r="A46" s="16" t="s">
        <v>571</v>
      </c>
      <c r="D46" s="16">
        <v>214.9</v>
      </c>
      <c r="G46" s="9"/>
      <c r="H46" s="15"/>
      <c r="K46" s="15"/>
      <c r="L46" s="17"/>
      <c r="M46" s="45"/>
    </row>
    <row r="47" spans="1:29" x14ac:dyDescent="0.25">
      <c r="D47" s="12"/>
      <c r="H47" s="15"/>
      <c r="K47" s="15"/>
      <c r="L47" s="17"/>
      <c r="M47" s="45"/>
    </row>
    <row r="48" spans="1:29" x14ac:dyDescent="0.25">
      <c r="A48" s="16" t="s">
        <v>567</v>
      </c>
      <c r="D48" s="17">
        <f>(D44*10000000000)/(2*PI()*DiskScaleLengthPc^2)</f>
        <v>518.08249704393006</v>
      </c>
      <c r="H48" s="15"/>
      <c r="K48" s="15"/>
      <c r="L48" s="17"/>
      <c r="M48" s="45"/>
    </row>
    <row r="49" spans="1:29" x14ac:dyDescent="0.25">
      <c r="A49" s="16" t="s">
        <v>565</v>
      </c>
      <c r="D49" s="9">
        <f>(D46*10000000000)/(4*PI()*(LCDMHaloScaleLengthPc)^3*(LN(2)-1/2))</f>
        <v>3.5906422056882268E-4</v>
      </c>
      <c r="H49" s="15"/>
      <c r="K49" s="15"/>
      <c r="L49" s="17"/>
      <c r="M49" s="45"/>
    </row>
    <row r="50" spans="1:29" x14ac:dyDescent="0.25">
      <c r="H50" s="15"/>
      <c r="K50" s="15"/>
      <c r="L50" s="17"/>
      <c r="M50" s="45"/>
    </row>
    <row r="51" spans="1:29" ht="45" x14ac:dyDescent="0.25">
      <c r="A51" s="7" t="s">
        <v>20</v>
      </c>
      <c r="B51" s="3" t="s">
        <v>19</v>
      </c>
      <c r="C51" s="7" t="s">
        <v>27</v>
      </c>
      <c r="D51" s="4" t="s">
        <v>649</v>
      </c>
      <c r="E51" s="4" t="s">
        <v>21</v>
      </c>
      <c r="F51" s="4" t="s">
        <v>22</v>
      </c>
      <c r="G51" s="4" t="s">
        <v>28</v>
      </c>
      <c r="H51" s="4" t="s">
        <v>23</v>
      </c>
      <c r="I51" s="7" t="s">
        <v>645</v>
      </c>
      <c r="J51" s="7" t="s">
        <v>646</v>
      </c>
      <c r="K51" s="25" t="s">
        <v>647</v>
      </c>
      <c r="L51" s="3" t="s">
        <v>648</v>
      </c>
      <c r="M51" s="3"/>
      <c r="N51" s="3"/>
      <c r="O51" s="3"/>
      <c r="P51" s="3"/>
      <c r="Q51" s="3"/>
      <c r="R51" s="3"/>
      <c r="S51" s="3"/>
      <c r="T51" s="3"/>
      <c r="U51" s="3"/>
      <c r="V51" s="7"/>
      <c r="W51" s="7"/>
      <c r="X51" s="3"/>
      <c r="Y51" s="3"/>
      <c r="Z51" s="3"/>
      <c r="AA51" s="3"/>
      <c r="AB51" s="3"/>
      <c r="AC51" s="3"/>
    </row>
    <row r="52" spans="1:29" x14ac:dyDescent="0.25">
      <c r="A52" s="16">
        <v>0.3</v>
      </c>
      <c r="B52" s="45">
        <f>A52*1000</f>
        <v>300</v>
      </c>
      <c r="C52" s="16">
        <f>B52/LCDMBulgeEffectiveRadius</f>
        <v>6.8965517241379309E-2</v>
      </c>
      <c r="D52" s="15">
        <f>A52*kpc</f>
        <v>9.25703274E+18</v>
      </c>
      <c r="E52" s="15">
        <f>FORECAST($C52, OFFSET('De Vaucouleurs Deprojection'!$F$3:$F$126, MATCH($C52, 'De Vaucouleurs Deprojection'!$A$3:$A$126,1)-1,0,2), OFFSET('De Vaucouleurs Deprojection'!$A$3:$A$126, MATCH($C52, 'De Vaucouleurs Deprojection'!$A$3:$A$126,1)-1,0,2))*LCDMTotalBulgeMass</f>
        <v>8.9999771516079303E+39</v>
      </c>
      <c r="F52" s="15">
        <f t="shared" ref="F52:F81" si="7">2*PI()*LCDMDiskSurfaceDensity*LCDMScaleLength*(LCDMScaleLength-EXP(-RadiusPc/LCDMScaleLength)*(RadiusPc+LCDMScaleLength))*SolarMass</f>
        <v>2.7951142913043133E+38</v>
      </c>
      <c r="G52" s="15">
        <f t="shared" ref="G52:G81" si="8">4*PI()*LCDMHaloRepresentativeDensity*LCDMHaloScaleLengthPc^3*(LN(1+RadiusPc/LCDMHaloScaleLengthPc)-RadiusPc/(RadiusPc+LCDMHaloScaleLengthPc))*SolarMass</f>
        <v>5.4402885677910935E+37</v>
      </c>
      <c r="H52" s="15">
        <f t="shared" ref="H52:H81" si="9">BulgeMass+DiskMass+HaloMass</f>
        <v>9.3338914664162725E+39</v>
      </c>
      <c r="I52" s="16">
        <v>231.34</v>
      </c>
      <c r="J52" s="45">
        <v>1</v>
      </c>
      <c r="K52" s="19">
        <f t="shared" ref="K52:K81" si="10">SQRT(TotalMass*GravitationalConstant/RadiusKm)/km</f>
        <v>259.41266630720139</v>
      </c>
      <c r="L52" s="16">
        <f t="shared" ref="L52:L81" si="11">(ObservedVelocity-ModelVelocity)^2/(VelocityError)^2</f>
        <v>788.07459359548</v>
      </c>
      <c r="M52" s="45"/>
    </row>
    <row r="53" spans="1:29" x14ac:dyDescent="0.25">
      <c r="A53" s="16">
        <v>0.64</v>
      </c>
      <c r="B53" s="45">
        <f t="shared" ref="B53:B81" si="12">A53*1000</f>
        <v>640</v>
      </c>
      <c r="C53" s="16">
        <f t="shared" ref="C53:C81" si="13">B53/LCDMBulgeEffectiveRadius</f>
        <v>0.14712643678160919</v>
      </c>
      <c r="D53" s="15">
        <f t="shared" ref="D53:D81" si="14">A53*kpc</f>
        <v>1.9748336512E+19</v>
      </c>
      <c r="E53" s="15">
        <f>FORECAST($C53, OFFSET('De Vaucouleurs Deprojection'!$F$3:$F$126, MATCH($C53, 'De Vaucouleurs Deprojection'!$A$3:$A$126,1)-1,0,2), OFFSET('De Vaucouleurs Deprojection'!$A$3:$A$126, MATCH($C53, 'De Vaucouleurs Deprojection'!$A$3:$A$126,1)-1,0,2))*LCDMTotalBulgeMass</f>
        <v>2.3206054924973098E+40</v>
      </c>
      <c r="F53" s="15">
        <f t="shared" si="7"/>
        <v>1.213883842792206E+39</v>
      </c>
      <c r="G53" s="15">
        <f t="shared" si="8"/>
        <v>2.4676679135119115E+38</v>
      </c>
      <c r="H53" s="15">
        <f t="shared" si="9"/>
        <v>2.4666705559116496E+40</v>
      </c>
      <c r="I53" s="16">
        <v>272.02999999999997</v>
      </c>
      <c r="J53" s="45">
        <v>1</v>
      </c>
      <c r="K53" s="19">
        <f t="shared" si="10"/>
        <v>288.72608326101118</v>
      </c>
      <c r="L53" s="16">
        <f t="shared" si="11"/>
        <v>278.75919625861872</v>
      </c>
      <c r="M53" s="45"/>
    </row>
    <row r="54" spans="1:29" x14ac:dyDescent="0.25">
      <c r="A54" s="16">
        <v>1</v>
      </c>
      <c r="B54" s="45">
        <f t="shared" si="12"/>
        <v>1000</v>
      </c>
      <c r="C54" s="16">
        <f t="shared" si="13"/>
        <v>0.22988505747126436</v>
      </c>
      <c r="D54" s="15">
        <f t="shared" si="14"/>
        <v>3.08567758E+19</v>
      </c>
      <c r="E54" s="15">
        <f>FORECAST($C54, OFFSET('De Vaucouleurs Deprojection'!$F$3:$F$126, MATCH($C54, 'De Vaucouleurs Deprojection'!$A$3:$A$126,1)-1,0,2), OFFSET('De Vaucouleurs Deprojection'!$A$3:$A$126, MATCH($C54, 'De Vaucouleurs Deprojection'!$A$3:$A$126,1)-1,0,2))*LCDMTotalBulgeMass</f>
        <v>3.8111999556733094E+40</v>
      </c>
      <c r="F54" s="15">
        <f t="shared" si="7"/>
        <v>2.8210781321293405E+39</v>
      </c>
      <c r="G54" s="15">
        <f t="shared" si="8"/>
        <v>6.0033309482398877E+38</v>
      </c>
      <c r="H54" s="15">
        <f t="shared" si="9"/>
        <v>4.1533410783686422E+40</v>
      </c>
      <c r="I54" s="16">
        <v>279.52999999999997</v>
      </c>
      <c r="J54" s="45">
        <v>1</v>
      </c>
      <c r="K54" s="19">
        <f t="shared" si="10"/>
        <v>299.72241984824336</v>
      </c>
      <c r="L54" s="16">
        <f t="shared" si="11"/>
        <v>407.73381932773361</v>
      </c>
      <c r="M54" s="45"/>
    </row>
    <row r="55" spans="1:29" x14ac:dyDescent="0.25">
      <c r="A55" s="16">
        <v>1.41</v>
      </c>
      <c r="B55" s="45">
        <f t="shared" si="12"/>
        <v>1410</v>
      </c>
      <c r="C55" s="16">
        <f t="shared" si="13"/>
        <v>0.32413793103448274</v>
      </c>
      <c r="D55" s="15">
        <f t="shared" si="14"/>
        <v>4.3508053878000001E+19</v>
      </c>
      <c r="E55" s="15">
        <f>FORECAST($C55, OFFSET('De Vaucouleurs Deprojection'!$F$3:$F$126, MATCH($C55, 'De Vaucouleurs Deprojection'!$A$3:$A$126,1)-1,0,2), OFFSET('De Vaucouleurs Deprojection'!$A$3:$A$126, MATCH($C55, 'De Vaucouleurs Deprojection'!$A$3:$A$126,1)-1,0,2))*LCDMTotalBulgeMass</f>
        <v>5.4158463743275867E+40</v>
      </c>
      <c r="F55" s="15">
        <f t="shared" si="7"/>
        <v>5.3045505819514399E+39</v>
      </c>
      <c r="G55" s="15">
        <f t="shared" si="8"/>
        <v>1.1887415235003638E+39</v>
      </c>
      <c r="H55" s="15">
        <f t="shared" si="9"/>
        <v>6.0651755848727669E+40</v>
      </c>
      <c r="I55" s="16">
        <v>282.76</v>
      </c>
      <c r="J55" s="45">
        <v>1</v>
      </c>
      <c r="K55" s="19">
        <f t="shared" si="10"/>
        <v>305.02298318644756</v>
      </c>
      <c r="L55" s="16">
        <f t="shared" si="11"/>
        <v>495.64042036004724</v>
      </c>
      <c r="M55" s="45"/>
    </row>
    <row r="56" spans="1:29" x14ac:dyDescent="0.25">
      <c r="A56" s="16">
        <v>1.85</v>
      </c>
      <c r="B56" s="45">
        <f t="shared" si="12"/>
        <v>1850</v>
      </c>
      <c r="C56" s="16">
        <f t="shared" si="13"/>
        <v>0.42528735632183906</v>
      </c>
      <c r="D56" s="15">
        <f t="shared" si="14"/>
        <v>5.7085035230000005E+19</v>
      </c>
      <c r="E56" s="15">
        <f>FORECAST($C56, OFFSET('De Vaucouleurs Deprojection'!$F$3:$F$126, MATCH($C56, 'De Vaucouleurs Deprojection'!$A$3:$A$126,1)-1,0,2), OFFSET('De Vaucouleurs Deprojection'!$A$3:$A$126, MATCH($C56, 'De Vaucouleurs Deprojection'!$A$3:$A$126,1)-1,0,2))*LCDMTotalBulgeMass</f>
        <v>6.9940638723199991E+40</v>
      </c>
      <c r="F56" s="15">
        <f t="shared" si="7"/>
        <v>8.6056015816668648E+39</v>
      </c>
      <c r="G56" s="15">
        <f t="shared" si="8"/>
        <v>2.037639613960639E+39</v>
      </c>
      <c r="H56" s="15">
        <f t="shared" si="9"/>
        <v>8.0583879918827503E+40</v>
      </c>
      <c r="I56" s="16">
        <v>283</v>
      </c>
      <c r="J56" s="45">
        <v>1</v>
      </c>
      <c r="K56" s="19">
        <f t="shared" si="10"/>
        <v>306.94365073211958</v>
      </c>
      <c r="L56" s="16">
        <f t="shared" si="11"/>
        <v>573.29841038173049</v>
      </c>
      <c r="M56" s="45"/>
    </row>
    <row r="57" spans="1:29" x14ac:dyDescent="0.25">
      <c r="A57" s="16">
        <v>2.34</v>
      </c>
      <c r="B57" s="45">
        <f t="shared" si="12"/>
        <v>2340</v>
      </c>
      <c r="C57" s="16">
        <f t="shared" si="13"/>
        <v>0.53793103448275859</v>
      </c>
      <c r="D57" s="15">
        <f t="shared" si="14"/>
        <v>7.2204855371999994E+19</v>
      </c>
      <c r="E57" s="15">
        <f>FORECAST($C57, OFFSET('De Vaucouleurs Deprojection'!$F$3:$F$126, MATCH($C57, 'De Vaucouleurs Deprojection'!$A$3:$A$126,1)-1,0,2), OFFSET('De Vaucouleurs Deprojection'!$A$3:$A$126, MATCH($C57, 'De Vaucouleurs Deprojection'!$A$3:$A$126,1)-1,0,2))*LCDMTotalBulgeMass</f>
        <v>8.5842672753744797E+40</v>
      </c>
      <c r="F57" s="15">
        <f t="shared" si="7"/>
        <v>1.2894915219562698E+40</v>
      </c>
      <c r="G57" s="15">
        <f t="shared" si="8"/>
        <v>3.2444779991730674E+39</v>
      </c>
      <c r="H57" s="15">
        <f t="shared" si="9"/>
        <v>1.0198206597248057E+41</v>
      </c>
      <c r="I57" s="16">
        <v>283.66000000000003</v>
      </c>
      <c r="J57" s="45">
        <v>1</v>
      </c>
      <c r="K57" s="19">
        <f t="shared" si="10"/>
        <v>307.02547059661924</v>
      </c>
      <c r="L57" s="16">
        <f t="shared" si="11"/>
        <v>545.94521620147725</v>
      </c>
      <c r="M57" s="45"/>
    </row>
    <row r="58" spans="1:29" x14ac:dyDescent="0.25">
      <c r="A58" s="16">
        <v>2.87</v>
      </c>
      <c r="B58" s="45">
        <f t="shared" si="12"/>
        <v>2870</v>
      </c>
      <c r="C58" s="16">
        <f t="shared" si="13"/>
        <v>0.65977011494252868</v>
      </c>
      <c r="D58" s="15">
        <f t="shared" si="14"/>
        <v>8.8558946546000003E+19</v>
      </c>
      <c r="E58" s="15">
        <f>FORECAST($C58, OFFSET('De Vaucouleurs Deprojection'!$F$3:$F$126, MATCH($C58, 'De Vaucouleurs Deprojection'!$A$3:$A$126,1)-1,0,2), OFFSET('De Vaucouleurs Deprojection'!$A$3:$A$126, MATCH($C58, 'De Vaucouleurs Deprojection'!$A$3:$A$126,1)-1,0,2))*LCDMTotalBulgeMass</f>
        <v>1.0133498606757932E+41</v>
      </c>
      <c r="F58" s="15">
        <f t="shared" si="7"/>
        <v>1.8083282835854794E+40</v>
      </c>
      <c r="G58" s="15">
        <f t="shared" si="8"/>
        <v>4.8556197905309794E+39</v>
      </c>
      <c r="H58" s="15">
        <f t="shared" si="9"/>
        <v>1.2427388869396508E+41</v>
      </c>
      <c r="I58" s="16">
        <v>285.82</v>
      </c>
      <c r="J58" s="45">
        <v>1</v>
      </c>
      <c r="K58" s="19">
        <f t="shared" si="10"/>
        <v>306.03382279620541</v>
      </c>
      <c r="L58" s="16">
        <f t="shared" si="11"/>
        <v>408.59863203639389</v>
      </c>
      <c r="M58" s="45"/>
    </row>
    <row r="59" spans="1:29" x14ac:dyDescent="0.25">
      <c r="A59" s="16">
        <v>3.47</v>
      </c>
      <c r="B59" s="45">
        <f t="shared" si="12"/>
        <v>3470</v>
      </c>
      <c r="C59" s="16">
        <f t="shared" si="13"/>
        <v>0.79770114942528736</v>
      </c>
      <c r="D59" s="15">
        <f t="shared" si="14"/>
        <v>1.07073012026E+20</v>
      </c>
      <c r="E59" s="15">
        <f>FORECAST($C59, OFFSET('De Vaucouleurs Deprojection'!$F$3:$F$126, MATCH($C59, 'De Vaucouleurs Deprojection'!$A$3:$A$126,1)-1,0,2), OFFSET('De Vaucouleurs Deprojection'!$A$3:$A$126, MATCH($C59, 'De Vaucouleurs Deprojection'!$A$3:$A$126,1)-1,0,2))*LCDMTotalBulgeMass</f>
        <v>1.1709569262261379E+41</v>
      </c>
      <c r="F59" s="15">
        <f t="shared" si="7"/>
        <v>2.4437417736608164E+40</v>
      </c>
      <c r="G59" s="15">
        <f t="shared" si="8"/>
        <v>7.0570343660796546E+39</v>
      </c>
      <c r="H59" s="15">
        <f t="shared" si="9"/>
        <v>1.4859014472530161E+41</v>
      </c>
      <c r="I59" s="16">
        <v>287.76</v>
      </c>
      <c r="J59" s="45">
        <v>1</v>
      </c>
      <c r="K59" s="19">
        <f t="shared" si="10"/>
        <v>304.33415614624397</v>
      </c>
      <c r="L59" s="16">
        <f t="shared" si="11"/>
        <v>274.70265196007705</v>
      </c>
      <c r="M59" s="45"/>
    </row>
    <row r="60" spans="1:29" x14ac:dyDescent="0.25">
      <c r="A60" s="16">
        <v>4.1100000000000003</v>
      </c>
      <c r="B60" s="45">
        <f t="shared" si="12"/>
        <v>4110</v>
      </c>
      <c r="C60" s="16">
        <f t="shared" si="13"/>
        <v>0.94482758620689655</v>
      </c>
      <c r="D60" s="15">
        <f t="shared" si="14"/>
        <v>1.2682134853800002E+20</v>
      </c>
      <c r="E60" s="15">
        <f>FORECAST($C60, OFFSET('De Vaucouleurs Deprojection'!$F$3:$F$126, MATCH($C60, 'De Vaucouleurs Deprojection'!$A$3:$A$126,1)-1,0,2), OFFSET('De Vaucouleurs Deprojection'!$A$3:$A$126, MATCH($C60, 'De Vaucouleurs Deprojection'!$A$3:$A$126,1)-1,0,2))*LCDMTotalBulgeMass</f>
        <v>1.3184374192022071E+41</v>
      </c>
      <c r="F60" s="15">
        <f t="shared" si="7"/>
        <v>3.1560191896305085E+40</v>
      </c>
      <c r="G60" s="15">
        <f t="shared" si="8"/>
        <v>9.8394875579291045E+39</v>
      </c>
      <c r="H60" s="15">
        <f t="shared" si="9"/>
        <v>1.732434213744549E+41</v>
      </c>
      <c r="I60" s="16">
        <v>289.75</v>
      </c>
      <c r="J60" s="45">
        <v>1</v>
      </c>
      <c r="K60" s="19">
        <f t="shared" si="10"/>
        <v>301.94503769313854</v>
      </c>
      <c r="L60" s="16">
        <f t="shared" si="11"/>
        <v>148.71894433706987</v>
      </c>
      <c r="M60" s="45"/>
    </row>
    <row r="61" spans="1:29" x14ac:dyDescent="0.25">
      <c r="A61" s="16">
        <v>4.83</v>
      </c>
      <c r="B61" s="45">
        <f t="shared" si="12"/>
        <v>4830</v>
      </c>
      <c r="C61" s="16">
        <f t="shared" si="13"/>
        <v>1.1103448275862069</v>
      </c>
      <c r="D61" s="15">
        <f t="shared" si="14"/>
        <v>1.4903822711399999E+20</v>
      </c>
      <c r="E61" s="15">
        <f>FORECAST($C61, OFFSET('De Vaucouleurs Deprojection'!$F$3:$F$126, MATCH($C61, 'De Vaucouleurs Deprojection'!$A$3:$A$126,1)-1,0,2), OFFSET('De Vaucouleurs Deprojection'!$A$3:$A$126, MATCH($C61, 'De Vaucouleurs Deprojection'!$A$3:$A$126,1)-1,0,2))*LCDMTotalBulgeMass</f>
        <v>1.4666844790811379E+41</v>
      </c>
      <c r="F61" s="15">
        <f t="shared" si="7"/>
        <v>3.9763155650805827E+40</v>
      </c>
      <c r="G61" s="15">
        <f t="shared" si="8"/>
        <v>1.3495462940638079E+40</v>
      </c>
      <c r="H61" s="15">
        <f t="shared" si="9"/>
        <v>1.9992706649955767E+41</v>
      </c>
      <c r="I61" s="16">
        <v>290.26</v>
      </c>
      <c r="J61" s="45">
        <v>1</v>
      </c>
      <c r="K61" s="19">
        <f t="shared" si="10"/>
        <v>299.21451881288607</v>
      </c>
      <c r="L61" s="16">
        <f t="shared" si="11"/>
        <v>80.18340717033071</v>
      </c>
      <c r="M61" s="45"/>
    </row>
    <row r="62" spans="1:29" x14ac:dyDescent="0.25">
      <c r="A62" s="16">
        <v>5.62</v>
      </c>
      <c r="B62" s="45">
        <f t="shared" si="12"/>
        <v>5620</v>
      </c>
      <c r="C62" s="16">
        <f t="shared" si="13"/>
        <v>1.2919540229885058</v>
      </c>
      <c r="D62" s="15">
        <f t="shared" si="14"/>
        <v>1.7341507999600001E+20</v>
      </c>
      <c r="E62" s="15">
        <f>FORECAST($C62, OFFSET('De Vaucouleurs Deprojection'!$F$3:$F$126, MATCH($C62, 'De Vaucouleurs Deprojection'!$A$3:$A$126,1)-1,0,2), OFFSET('De Vaucouleurs Deprojection'!$A$3:$A$126, MATCH($C62, 'De Vaucouleurs Deprojection'!$A$3:$A$126,1)-1,0,2))*LCDMTotalBulgeMass</f>
        <v>1.609281853646793E+41</v>
      </c>
      <c r="F62" s="15">
        <f t="shared" si="7"/>
        <v>4.8753784859257305E+40</v>
      </c>
      <c r="G62" s="15">
        <f t="shared" si="8"/>
        <v>1.8134093329626293E+40</v>
      </c>
      <c r="H62" s="15">
        <f t="shared" si="9"/>
        <v>2.2781606355356291E+41</v>
      </c>
      <c r="I62" s="16">
        <v>290.67</v>
      </c>
      <c r="J62" s="45">
        <v>1</v>
      </c>
      <c r="K62" s="19">
        <f t="shared" si="10"/>
        <v>296.10411675207558</v>
      </c>
      <c r="L62" s="16">
        <f t="shared" si="11"/>
        <v>29.529624875188315</v>
      </c>
      <c r="M62" s="45"/>
    </row>
    <row r="63" spans="1:29" x14ac:dyDescent="0.25">
      <c r="A63" s="16">
        <v>6.48</v>
      </c>
      <c r="B63" s="45">
        <f t="shared" si="12"/>
        <v>6480</v>
      </c>
      <c r="C63" s="16">
        <f t="shared" si="13"/>
        <v>1.4896551724137932</v>
      </c>
      <c r="D63" s="15">
        <f t="shared" si="14"/>
        <v>1.9995190718400001E+20</v>
      </c>
      <c r="E63" s="15">
        <f>FORECAST($C63, OFFSET('De Vaucouleurs Deprojection'!$F$3:$F$126, MATCH($C63, 'De Vaucouleurs Deprojection'!$A$3:$A$126,1)-1,0,2), OFFSET('De Vaucouleurs Deprojection'!$A$3:$A$126, MATCH($C63, 'De Vaucouleurs Deprojection'!$A$3:$A$126,1)-1,0,2))*LCDMTotalBulgeMass</f>
        <v>1.7452896355338624E+41</v>
      </c>
      <c r="F63" s="15">
        <f t="shared" si="7"/>
        <v>5.8298341068056566E+40</v>
      </c>
      <c r="G63" s="15">
        <f t="shared" si="8"/>
        <v>2.3912898562510686E+40</v>
      </c>
      <c r="H63" s="15">
        <f t="shared" si="9"/>
        <v>2.5674020318395348E+41</v>
      </c>
      <c r="I63" s="16">
        <v>290.81</v>
      </c>
      <c r="J63" s="45">
        <v>1</v>
      </c>
      <c r="K63" s="19">
        <f t="shared" si="10"/>
        <v>292.73851734015375</v>
      </c>
      <c r="L63" s="16">
        <f t="shared" si="11"/>
        <v>3.7191791312736804</v>
      </c>
      <c r="M63" s="45"/>
    </row>
    <row r="64" spans="1:29" x14ac:dyDescent="0.25">
      <c r="A64" s="16">
        <v>7.43</v>
      </c>
      <c r="B64" s="45">
        <f t="shared" si="12"/>
        <v>7430</v>
      </c>
      <c r="C64" s="16">
        <f t="shared" si="13"/>
        <v>1.7080459770114942</v>
      </c>
      <c r="D64" s="15">
        <f t="shared" si="14"/>
        <v>2.2926584419399998E+20</v>
      </c>
      <c r="E64" s="15">
        <f>FORECAST($C64, OFFSET('De Vaucouleurs Deprojection'!$F$3:$F$126, MATCH($C64, 'De Vaucouleurs Deprojection'!$A$3:$A$126,1)-1,0,2), OFFSET('De Vaucouleurs Deprojection'!$A$3:$A$126, MATCH($C64, 'De Vaucouleurs Deprojection'!$A$3:$A$126,1)-1,0,2))*LCDMTotalBulgeMass</f>
        <v>1.8766073631142067E+41</v>
      </c>
      <c r="F64" s="15">
        <f t="shared" si="7"/>
        <v>6.8337822361358688E+40</v>
      </c>
      <c r="G64" s="15">
        <f t="shared" si="8"/>
        <v>3.1158110302394354E+40</v>
      </c>
      <c r="H64" s="15">
        <f t="shared" si="9"/>
        <v>2.8715666897517373E+41</v>
      </c>
      <c r="I64" s="16">
        <v>291.67</v>
      </c>
      <c r="J64" s="45">
        <v>1</v>
      </c>
      <c r="K64" s="19">
        <f t="shared" si="10"/>
        <v>289.12488836553189</v>
      </c>
      <c r="L64" s="16">
        <f t="shared" si="11"/>
        <v>6.4775932319050264</v>
      </c>
      <c r="M64" s="45"/>
    </row>
    <row r="65" spans="1:13" x14ac:dyDescent="0.25">
      <c r="A65" s="16">
        <v>8.48</v>
      </c>
      <c r="B65" s="45">
        <f t="shared" si="12"/>
        <v>8480</v>
      </c>
      <c r="C65" s="16">
        <f t="shared" si="13"/>
        <v>1.9494252873563218</v>
      </c>
      <c r="D65" s="15">
        <f t="shared" si="14"/>
        <v>2.6166545878400002E+20</v>
      </c>
      <c r="E65" s="15">
        <f>FORECAST($C65, OFFSET('De Vaucouleurs Deprojection'!$F$3:$F$126, MATCH($C65, 'De Vaucouleurs Deprojection'!$A$3:$A$126,1)-1,0,2), OFFSET('De Vaucouleurs Deprojection'!$A$3:$A$126, MATCH($C65, 'De Vaucouleurs Deprojection'!$A$3:$A$126,1)-1,0,2))*LCDMTotalBulgeMass</f>
        <v>2.002423711991379E+41</v>
      </c>
      <c r="F65" s="15">
        <f t="shared" si="7"/>
        <v>7.8644826136296012E+40</v>
      </c>
      <c r="G65" s="15">
        <f t="shared" si="8"/>
        <v>4.0189691248959883E+40</v>
      </c>
      <c r="H65" s="15">
        <f t="shared" si="9"/>
        <v>3.190768885843938E+41</v>
      </c>
      <c r="I65" s="16">
        <v>292.2</v>
      </c>
      <c r="J65" s="45">
        <v>1</v>
      </c>
      <c r="K65" s="19">
        <f t="shared" si="10"/>
        <v>285.27924709197401</v>
      </c>
      <c r="L65" s="16">
        <f t="shared" si="11"/>
        <v>47.896820813949986</v>
      </c>
      <c r="M65" s="45"/>
    </row>
    <row r="66" spans="1:13" x14ac:dyDescent="0.25">
      <c r="A66" s="16">
        <v>9.6300000000000008</v>
      </c>
      <c r="B66" s="45">
        <f t="shared" si="12"/>
        <v>9630</v>
      </c>
      <c r="C66" s="16">
        <f t="shared" si="13"/>
        <v>2.2137931034482761</v>
      </c>
      <c r="D66" s="15">
        <f t="shared" si="14"/>
        <v>2.9715075095400002E+20</v>
      </c>
      <c r="E66" s="15">
        <f>FORECAST($C66, OFFSET('De Vaucouleurs Deprojection'!$F$3:$F$126, MATCH($C66, 'De Vaucouleurs Deprojection'!$A$3:$A$126,1)-1,0,2), OFFSET('De Vaucouleurs Deprojection'!$A$3:$A$126, MATCH($C66, 'De Vaucouleurs Deprojection'!$A$3:$A$126,1)-1,0,2))*LCDMTotalBulgeMass</f>
        <v>2.1220491133235175E+41</v>
      </c>
      <c r="F66" s="15">
        <f t="shared" si="7"/>
        <v>8.8865508696368936E+40</v>
      </c>
      <c r="G66" s="15">
        <f t="shared" si="8"/>
        <v>5.1277994695878711E+40</v>
      </c>
      <c r="H66" s="15">
        <f t="shared" si="9"/>
        <v>3.5234841472459936E+41</v>
      </c>
      <c r="I66" s="16">
        <v>292.17</v>
      </c>
      <c r="J66" s="45">
        <v>1</v>
      </c>
      <c r="K66" s="19">
        <f t="shared" si="10"/>
        <v>281.31536216630309</v>
      </c>
      <c r="L66" s="16">
        <f t="shared" si="11"/>
        <v>117.82316250072472</v>
      </c>
      <c r="M66" s="45"/>
    </row>
    <row r="67" spans="1:13" x14ac:dyDescent="0.25">
      <c r="A67" s="16">
        <v>10.89</v>
      </c>
      <c r="B67" s="45">
        <f t="shared" si="12"/>
        <v>10890</v>
      </c>
      <c r="C67" s="16">
        <f t="shared" si="13"/>
        <v>2.5034482758620689</v>
      </c>
      <c r="D67" s="15">
        <f t="shared" si="14"/>
        <v>3.3603028846200003E+20</v>
      </c>
      <c r="E67" s="15">
        <f>FORECAST($C67, OFFSET('De Vaucouleurs Deprojection'!$F$3:$F$126, MATCH($C67, 'De Vaucouleurs Deprojection'!$A$3:$A$126,1)-1,0,2), OFFSET('De Vaucouleurs Deprojection'!$A$3:$A$126, MATCH($C67, 'De Vaucouleurs Deprojection'!$A$3:$A$126,1)-1,0,2))*LCDMTotalBulgeMass</f>
        <v>2.2348630310131035E+41</v>
      </c>
      <c r="F67" s="15">
        <f t="shared" si="7"/>
        <v>9.8740304480624697E+40</v>
      </c>
      <c r="G67" s="15">
        <f t="shared" si="8"/>
        <v>6.4816285431590227E+40</v>
      </c>
      <c r="H67" s="15">
        <f t="shared" si="9"/>
        <v>3.8704289301352529E+41</v>
      </c>
      <c r="I67" s="16">
        <v>291.2</v>
      </c>
      <c r="J67" s="45">
        <v>1</v>
      </c>
      <c r="K67" s="19">
        <f t="shared" si="10"/>
        <v>277.25924755111168</v>
      </c>
      <c r="L67" s="16">
        <f t="shared" si="11"/>
        <v>194.34457884118524</v>
      </c>
      <c r="M67" s="45"/>
    </row>
    <row r="68" spans="1:13" x14ac:dyDescent="0.25">
      <c r="A68" s="16">
        <v>12.29</v>
      </c>
      <c r="B68" s="45">
        <f t="shared" si="12"/>
        <v>12290</v>
      </c>
      <c r="C68" s="16">
        <f t="shared" si="13"/>
        <v>2.825287356321839</v>
      </c>
      <c r="D68" s="15">
        <f t="shared" si="14"/>
        <v>3.7922977458199999E+20</v>
      </c>
      <c r="E68" s="15">
        <f>FORECAST($C68, OFFSET('De Vaucouleurs Deprojection'!$F$3:$F$126, MATCH($C68, 'De Vaucouleurs Deprojection'!$A$3:$A$126,1)-1,0,2), OFFSET('De Vaucouleurs Deprojection'!$A$3:$A$126, MATCH($C68, 'De Vaucouleurs Deprojection'!$A$3:$A$126,1)-1,0,2))*LCDMTotalBulgeMass</f>
        <v>2.3420632969647587E+41</v>
      </c>
      <c r="F68" s="15">
        <f t="shared" si="7"/>
        <v>1.0813904837651051E+41</v>
      </c>
      <c r="G68" s="15">
        <f t="shared" si="8"/>
        <v>8.1501874737938214E+40</v>
      </c>
      <c r="H68" s="15">
        <f t="shared" si="9"/>
        <v>4.2384725281092456E+41</v>
      </c>
      <c r="I68" s="16">
        <v>289.29000000000002</v>
      </c>
      <c r="J68" s="45">
        <v>1</v>
      </c>
      <c r="K68" s="19">
        <f t="shared" si="10"/>
        <v>273.1172786064119</v>
      </c>
      <c r="L68" s="16">
        <f t="shared" si="11"/>
        <v>261.55691727462283</v>
      </c>
      <c r="M68" s="45"/>
    </row>
    <row r="69" spans="1:13" x14ac:dyDescent="0.25">
      <c r="A69" s="16">
        <v>13.82</v>
      </c>
      <c r="B69" s="45">
        <f t="shared" si="12"/>
        <v>13820</v>
      </c>
      <c r="C69" s="16">
        <f t="shared" si="13"/>
        <v>3.1770114942528735</v>
      </c>
      <c r="D69" s="15">
        <f t="shared" si="14"/>
        <v>4.2644064155600001E+20</v>
      </c>
      <c r="E69" s="15">
        <f>FORECAST($C69, OFFSET('De Vaucouleurs Deprojection'!$F$3:$F$126, MATCH($C69, 'De Vaucouleurs Deprojection'!$A$3:$A$126,1)-1,0,2), OFFSET('De Vaucouleurs Deprojection'!$A$3:$A$126, MATCH($C69, 'De Vaucouleurs Deprojection'!$A$3:$A$126,1)-1,0,2))*LCDMTotalBulgeMass</f>
        <v>2.4420761921878963E+41</v>
      </c>
      <c r="F69" s="15">
        <f t="shared" si="7"/>
        <v>1.1667001803926858E+41</v>
      </c>
      <c r="G69" s="15">
        <f t="shared" si="8"/>
        <v>1.0163746232146239E+41</v>
      </c>
      <c r="H69" s="15">
        <f t="shared" si="9"/>
        <v>4.6251509957952057E+41</v>
      </c>
      <c r="I69" s="16">
        <v>287.05</v>
      </c>
      <c r="J69" s="45">
        <v>1</v>
      </c>
      <c r="K69" s="19">
        <f t="shared" si="10"/>
        <v>269.04775207094303</v>
      </c>
      <c r="L69" s="16">
        <f t="shared" si="11"/>
        <v>324.08093049923622</v>
      </c>
      <c r="M69" s="45"/>
    </row>
    <row r="70" spans="1:13" x14ac:dyDescent="0.25">
      <c r="A70" s="16">
        <v>15.5</v>
      </c>
      <c r="B70" s="45">
        <f t="shared" si="12"/>
        <v>15500</v>
      </c>
      <c r="C70" s="16">
        <f t="shared" si="13"/>
        <v>3.5632183908045976</v>
      </c>
      <c r="D70" s="15">
        <f t="shared" si="14"/>
        <v>4.7828002490000002E+20</v>
      </c>
      <c r="E70" s="15">
        <f>FORECAST($C70, OFFSET('De Vaucouleurs Deprojection'!$F$3:$F$126, MATCH($C70, 'De Vaucouleurs Deprojection'!$A$3:$A$126,1)-1,0,2), OFFSET('De Vaucouleurs Deprojection'!$A$3:$A$126, MATCH($C70, 'De Vaucouleurs Deprojection'!$A$3:$A$126,1)-1,0,2))*LCDMTotalBulgeMass</f>
        <v>2.5352059159185864E+41</v>
      </c>
      <c r="F70" s="15">
        <f t="shared" si="7"/>
        <v>1.2420416897207755E+41</v>
      </c>
      <c r="G70" s="15">
        <f t="shared" si="8"/>
        <v>1.2593581608923746E+41</v>
      </c>
      <c r="H70" s="15">
        <f t="shared" si="9"/>
        <v>5.0366057665317361E+41</v>
      </c>
      <c r="I70" s="16">
        <v>281.43</v>
      </c>
      <c r="J70" s="45">
        <v>1</v>
      </c>
      <c r="K70" s="19">
        <f t="shared" si="10"/>
        <v>265.10844456622192</v>
      </c>
      <c r="L70" s="16">
        <f t="shared" si="11"/>
        <v>266.39317177789098</v>
      </c>
      <c r="M70" s="45"/>
    </row>
    <row r="71" spans="1:13" x14ac:dyDescent="0.25">
      <c r="A71" s="16">
        <v>17.36</v>
      </c>
      <c r="B71" s="45">
        <f t="shared" si="12"/>
        <v>17360</v>
      </c>
      <c r="C71" s="16">
        <f t="shared" si="13"/>
        <v>3.9908045977011493</v>
      </c>
      <c r="D71" s="15">
        <f t="shared" si="14"/>
        <v>5.3567362788799998E+20</v>
      </c>
      <c r="E71" s="15">
        <f>FORECAST($C71, OFFSET('De Vaucouleurs Deprojection'!$F$3:$F$126, MATCH($C71, 'De Vaucouleurs Deprojection'!$A$3:$A$126,1)-1,0,2), OFFSET('De Vaucouleurs Deprojection'!$A$3:$A$126, MATCH($C71, 'De Vaucouleurs Deprojection'!$A$3:$A$126,1)-1,0,2))*LCDMTotalBulgeMass</f>
        <v>2.6222861713000691E+41</v>
      </c>
      <c r="F71" s="15">
        <f t="shared" si="7"/>
        <v>1.3067498869878691E+41</v>
      </c>
      <c r="G71" s="15">
        <f t="shared" si="8"/>
        <v>1.5538502855193224E+41</v>
      </c>
      <c r="H71" s="15">
        <f t="shared" si="9"/>
        <v>5.4828863438072605E+41</v>
      </c>
      <c r="I71" s="16">
        <v>275.38</v>
      </c>
      <c r="J71" s="45">
        <v>1</v>
      </c>
      <c r="K71" s="19">
        <f t="shared" si="10"/>
        <v>261.36666285756928</v>
      </c>
      <c r="L71" s="16">
        <f t="shared" si="11"/>
        <v>196.37361786742821</v>
      </c>
      <c r="M71" s="45"/>
    </row>
    <row r="72" spans="1:13" x14ac:dyDescent="0.25">
      <c r="A72" s="16">
        <v>19.39</v>
      </c>
      <c r="B72" s="45">
        <f t="shared" si="12"/>
        <v>19390</v>
      </c>
      <c r="C72" s="16">
        <f t="shared" si="13"/>
        <v>4.4574712643678165</v>
      </c>
      <c r="D72" s="15">
        <f t="shared" si="14"/>
        <v>5.9831288276199997E+20</v>
      </c>
      <c r="E72" s="15">
        <f>FORECAST($C72, OFFSET('De Vaucouleurs Deprojection'!$F$3:$F$126, MATCH($C72, 'De Vaucouleurs Deprojection'!$A$3:$A$126,1)-1,0,2), OFFSET('De Vaucouleurs Deprojection'!$A$3:$A$126, MATCH($C72, 'De Vaucouleurs Deprojection'!$A$3:$A$126,1)-1,0,2))*LCDMTotalBulgeMass</f>
        <v>2.701938579250207E+41</v>
      </c>
      <c r="F72" s="15">
        <f t="shared" si="7"/>
        <v>1.3594689612133741E+41</v>
      </c>
      <c r="G72" s="15">
        <f t="shared" si="8"/>
        <v>1.9042517993224625E+41</v>
      </c>
      <c r="H72" s="15">
        <f t="shared" si="9"/>
        <v>5.9656593397860434E+41</v>
      </c>
      <c r="I72" s="16">
        <v>267.79000000000002</v>
      </c>
      <c r="J72" s="45">
        <v>1</v>
      </c>
      <c r="K72" s="19">
        <f t="shared" si="10"/>
        <v>257.96497977255297</v>
      </c>
      <c r="L72" s="16">
        <f t="shared" si="11"/>
        <v>96.531022469743789</v>
      </c>
      <c r="M72" s="45"/>
    </row>
    <row r="73" spans="1:13" x14ac:dyDescent="0.25">
      <c r="A73" s="16">
        <v>21.64</v>
      </c>
      <c r="B73" s="45">
        <f t="shared" si="12"/>
        <v>21640</v>
      </c>
      <c r="C73" s="16">
        <f t="shared" si="13"/>
        <v>4.9747126436781608</v>
      </c>
      <c r="D73" s="15">
        <f t="shared" si="14"/>
        <v>6.6774062831200004E+20</v>
      </c>
      <c r="E73" s="15">
        <f>FORECAST($C73, OFFSET('De Vaucouleurs Deprojection'!$F$3:$F$126, MATCH($C73, 'De Vaucouleurs Deprojection'!$A$3:$A$126,1)-1,0,2), OFFSET('De Vaucouleurs Deprojection'!$A$3:$A$126, MATCH($C73, 'De Vaucouleurs Deprojection'!$A$3:$A$126,1)-1,0,2))*LCDMTotalBulgeMass</f>
        <v>2.7756792050390343E+41</v>
      </c>
      <c r="F73" s="15">
        <f t="shared" si="7"/>
        <v>1.4012947322201749E+41</v>
      </c>
      <c r="G73" s="15">
        <f t="shared" si="8"/>
        <v>2.3260101449106945E+41</v>
      </c>
      <c r="H73" s="15">
        <f t="shared" si="9"/>
        <v>6.5029840821699036E+41</v>
      </c>
      <c r="I73" s="16">
        <v>259.70999999999998</v>
      </c>
      <c r="J73" s="45">
        <v>1</v>
      </c>
      <c r="K73" s="19">
        <f t="shared" si="10"/>
        <v>254.94596850556169</v>
      </c>
      <c r="L73" s="16">
        <f t="shared" si="11"/>
        <v>22.69599607999988</v>
      </c>
      <c r="M73" s="45"/>
    </row>
    <row r="74" spans="1:13" x14ac:dyDescent="0.25">
      <c r="A74" s="16">
        <v>24.1</v>
      </c>
      <c r="B74" s="45">
        <f t="shared" si="12"/>
        <v>24100</v>
      </c>
      <c r="C74" s="16">
        <f t="shared" si="13"/>
        <v>5.5402298850574709</v>
      </c>
      <c r="D74" s="15">
        <f t="shared" si="14"/>
        <v>7.4364829678E+20</v>
      </c>
      <c r="E74" s="15">
        <f>FORECAST($C74, OFFSET('De Vaucouleurs Deprojection'!$F$3:$F$126, MATCH($C74, 'De Vaucouleurs Deprojection'!$A$3:$A$126,1)-1,0,2), OFFSET('De Vaucouleurs Deprojection'!$A$3:$A$126, MATCH($C74, 'De Vaucouleurs Deprojection'!$A$3:$A$126,1)-1,0,2))*LCDMTotalBulgeMass</f>
        <v>2.8381424596473101E+41</v>
      </c>
      <c r="F74" s="15">
        <f t="shared" si="7"/>
        <v>1.4325523594786445E+41</v>
      </c>
      <c r="G74" s="15">
        <f t="shared" si="8"/>
        <v>2.8248507102754853E+41</v>
      </c>
      <c r="H74" s="15">
        <f t="shared" si="9"/>
        <v>7.0955455294014388E+41</v>
      </c>
      <c r="I74" s="16">
        <v>251.27</v>
      </c>
      <c r="J74" s="45">
        <v>1</v>
      </c>
      <c r="K74" s="19">
        <f t="shared" si="10"/>
        <v>252.35086968915172</v>
      </c>
      <c r="L74" s="16">
        <f t="shared" si="11"/>
        <v>1.1682792849269175</v>
      </c>
      <c r="M74" s="45"/>
    </row>
    <row r="75" spans="1:13" x14ac:dyDescent="0.25">
      <c r="A75" s="16">
        <v>26.82</v>
      </c>
      <c r="B75" s="45">
        <f t="shared" si="12"/>
        <v>26820</v>
      </c>
      <c r="C75" s="16">
        <f t="shared" si="13"/>
        <v>6.1655172413793107</v>
      </c>
      <c r="D75" s="15">
        <f t="shared" si="14"/>
        <v>8.2757872695599995E+20</v>
      </c>
      <c r="E75" s="15">
        <f>FORECAST($C75, OFFSET('De Vaucouleurs Deprojection'!$F$3:$F$126, MATCH($C75, 'De Vaucouleurs Deprojection'!$A$3:$A$126,1)-1,0,2), OFFSET('De Vaucouleurs Deprojection'!$A$3:$A$126, MATCH($C75, 'De Vaucouleurs Deprojection'!$A$3:$A$126,1)-1,0,2))*LCDMTotalBulgeMass</f>
        <v>2.9017557542602757E+41</v>
      </c>
      <c r="F75" s="15">
        <f t="shared" si="7"/>
        <v>1.4550275188608436E+41</v>
      </c>
      <c r="G75" s="15">
        <f t="shared" si="8"/>
        <v>3.4192213959568541E+41</v>
      </c>
      <c r="H75" s="15">
        <f t="shared" si="9"/>
        <v>7.7760046690779742E+41</v>
      </c>
      <c r="I75" s="16">
        <v>245.82</v>
      </c>
      <c r="J75" s="45">
        <v>1</v>
      </c>
      <c r="K75" s="19">
        <f t="shared" si="10"/>
        <v>250.42016717024077</v>
      </c>
      <c r="L75" s="16">
        <f t="shared" si="11"/>
        <v>21.161537994161069</v>
      </c>
      <c r="M75" s="45"/>
    </row>
    <row r="76" spans="1:13" x14ac:dyDescent="0.25">
      <c r="A76" s="16">
        <v>29.8</v>
      </c>
      <c r="B76" s="45">
        <f t="shared" si="12"/>
        <v>29800</v>
      </c>
      <c r="C76" s="16">
        <f t="shared" si="13"/>
        <v>6.8505747126436782</v>
      </c>
      <c r="D76" s="15">
        <f t="shared" si="14"/>
        <v>9.1953191884000002E+20</v>
      </c>
      <c r="E76" s="15">
        <f>FORECAST($C76, OFFSET('De Vaucouleurs Deprojection'!$F$3:$F$126, MATCH($C76, 'De Vaucouleurs Deprojection'!$A$3:$A$126,1)-1,0,2), OFFSET('De Vaucouleurs Deprojection'!$A$3:$A$126, MATCH($C76, 'De Vaucouleurs Deprojection'!$A$3:$A$126,1)-1,0,2))*LCDMTotalBulgeMass</f>
        <v>2.9566891295238619E+41</v>
      </c>
      <c r="F76" s="15">
        <f t="shared" si="7"/>
        <v>1.4701824796913619E+41</v>
      </c>
      <c r="G76" s="15">
        <f t="shared" si="8"/>
        <v>4.1182592138373623E+41</v>
      </c>
      <c r="H76" s="15">
        <f t="shared" si="9"/>
        <v>8.5451308230525851E+41</v>
      </c>
      <c r="I76" s="16">
        <v>241.29</v>
      </c>
      <c r="J76" s="45">
        <v>1</v>
      </c>
      <c r="K76" s="19">
        <f t="shared" si="10"/>
        <v>249.04146216989045</v>
      </c>
      <c r="L76" s="16">
        <f t="shared" si="11"/>
        <v>60.085165771242906</v>
      </c>
      <c r="M76" s="45"/>
    </row>
    <row r="77" spans="1:13" x14ac:dyDescent="0.25">
      <c r="A77" s="16">
        <v>33.090000000000003</v>
      </c>
      <c r="B77" s="45">
        <f t="shared" si="12"/>
        <v>33090</v>
      </c>
      <c r="C77" s="16">
        <f t="shared" si="13"/>
        <v>7.6068965517241383</v>
      </c>
      <c r="D77" s="15">
        <f t="shared" si="14"/>
        <v>1.0210507112220002E+21</v>
      </c>
      <c r="E77" s="15">
        <f>FORECAST($C77, OFFSET('De Vaucouleurs Deprojection'!$F$3:$F$126, MATCH($C77, 'De Vaucouleurs Deprojection'!$A$3:$A$126,1)-1,0,2), OFFSET('De Vaucouleurs Deprojection'!$A$3:$A$126, MATCH($C77, 'De Vaucouleurs Deprojection'!$A$3:$A$126,1)-1,0,2))*LCDMTotalBulgeMass</f>
        <v>3.0053408284927032E+41</v>
      </c>
      <c r="F77" s="15">
        <f t="shared" si="7"/>
        <v>1.4798828185918663E+41</v>
      </c>
      <c r="G77" s="15">
        <f t="shared" si="8"/>
        <v>4.9435019276107583E+41</v>
      </c>
      <c r="H77" s="15">
        <f t="shared" si="9"/>
        <v>9.4287255746953273E+41</v>
      </c>
      <c r="I77" s="16">
        <v>239.09</v>
      </c>
      <c r="J77" s="45">
        <v>1</v>
      </c>
      <c r="K77" s="19">
        <f t="shared" si="10"/>
        <v>248.25530959465098</v>
      </c>
      <c r="L77" s="16">
        <f t="shared" si="11"/>
        <v>84.002899965801276</v>
      </c>
      <c r="M77" s="45"/>
    </row>
    <row r="78" spans="1:13" x14ac:dyDescent="0.25">
      <c r="A78" s="16">
        <v>36.700000000000003</v>
      </c>
      <c r="B78" s="45">
        <f t="shared" si="12"/>
        <v>36700</v>
      </c>
      <c r="C78" s="16">
        <f t="shared" si="13"/>
        <v>8.4367816091954015</v>
      </c>
      <c r="D78" s="15">
        <f t="shared" si="14"/>
        <v>1.1324436718600001E+21</v>
      </c>
      <c r="E78" s="15">
        <f>FORECAST($C78, OFFSET('De Vaucouleurs Deprojection'!$F$3:$F$126, MATCH($C78, 'De Vaucouleurs Deprojection'!$A$3:$A$126,1)-1,0,2), OFFSET('De Vaucouleurs Deprojection'!$A$3:$A$126, MATCH($C78, 'De Vaucouleurs Deprojection'!$A$3:$A$126,1)-1,0,2))*LCDMTotalBulgeMass</f>
        <v>3.0494012430813447E+41</v>
      </c>
      <c r="F78" s="15">
        <f t="shared" si="7"/>
        <v>1.4856593124344966E+41</v>
      </c>
      <c r="G78" s="15">
        <f t="shared" si="8"/>
        <v>5.9079807211373926E+41</v>
      </c>
      <c r="H78" s="15">
        <f t="shared" si="9"/>
        <v>1.0443041276653234E+42</v>
      </c>
      <c r="I78" s="16">
        <v>242.62</v>
      </c>
      <c r="J78" s="45">
        <v>1</v>
      </c>
      <c r="K78" s="19">
        <f t="shared" si="10"/>
        <v>248.08522303947484</v>
      </c>
      <c r="L78" s="16">
        <f t="shared" si="11"/>
        <v>29.868662871206563</v>
      </c>
      <c r="M78" s="45"/>
    </row>
    <row r="79" spans="1:13" x14ac:dyDescent="0.25">
      <c r="A79" s="16">
        <v>40.67</v>
      </c>
      <c r="B79" s="45">
        <f t="shared" si="12"/>
        <v>40670</v>
      </c>
      <c r="C79" s="16">
        <f t="shared" si="13"/>
        <v>9.3494252873563219</v>
      </c>
      <c r="D79" s="15">
        <f t="shared" si="14"/>
        <v>1.2549450717860001E+21</v>
      </c>
      <c r="E79" s="15">
        <f>FORECAST($C79, OFFSET('De Vaucouleurs Deprojection'!$F$3:$F$126, MATCH($C79, 'De Vaucouleurs Deprojection'!$A$3:$A$126,1)-1,0,2), OFFSET('De Vaucouleurs Deprojection'!$A$3:$A$126, MATCH($C79, 'De Vaucouleurs Deprojection'!$A$3:$A$126,1)-1,0,2))*LCDMTotalBulgeMass</f>
        <v>3.0883415521240414E+41</v>
      </c>
      <c r="F79" s="15">
        <f t="shared" si="7"/>
        <v>1.4888706588499995E+41</v>
      </c>
      <c r="G79" s="15">
        <f t="shared" si="8"/>
        <v>7.0331040428836344E+41</v>
      </c>
      <c r="H79" s="15">
        <f t="shared" si="9"/>
        <v>1.1610316253857676E+42</v>
      </c>
      <c r="I79" s="16">
        <v>249.72</v>
      </c>
      <c r="J79" s="45">
        <v>1</v>
      </c>
      <c r="K79" s="19">
        <f t="shared" si="10"/>
        <v>248.48797114862535</v>
      </c>
      <c r="L79" s="16">
        <f t="shared" si="11"/>
        <v>1.5178950906195405</v>
      </c>
      <c r="M79" s="45"/>
    </row>
    <row r="80" spans="1:13" x14ac:dyDescent="0.25">
      <c r="A80" s="16">
        <v>45.04</v>
      </c>
      <c r="B80" s="45">
        <f t="shared" si="12"/>
        <v>45040</v>
      </c>
      <c r="C80" s="16">
        <f t="shared" si="13"/>
        <v>10.354022988505747</v>
      </c>
      <c r="D80" s="15">
        <f t="shared" si="14"/>
        <v>1.3897891820320001E+21</v>
      </c>
      <c r="E80" s="15">
        <f>FORECAST($C80, OFFSET('De Vaucouleurs Deprojection'!$F$3:$F$126, MATCH($C80, 'De Vaucouleurs Deprojection'!$A$3:$A$126,1)-1,0,2), OFFSET('De Vaucouleurs Deprojection'!$A$3:$A$126, MATCH($C80, 'De Vaucouleurs Deprojection'!$A$3:$A$126,1)-1,0,2))*LCDMTotalBulgeMass</f>
        <v>3.1223661987482756E+41</v>
      </c>
      <c r="F80" s="15">
        <f t="shared" si="7"/>
        <v>1.4905220588854756E+41</v>
      </c>
      <c r="G80" s="15">
        <f t="shared" si="8"/>
        <v>8.3415367426593456E+41</v>
      </c>
      <c r="H80" s="15">
        <f t="shared" si="9"/>
        <v>1.2954425000293097E+42</v>
      </c>
      <c r="I80" s="16">
        <v>255.44</v>
      </c>
      <c r="J80" s="45">
        <v>1</v>
      </c>
      <c r="K80" s="19">
        <f t="shared" si="10"/>
        <v>249.41944649721168</v>
      </c>
      <c r="L80" s="16">
        <f t="shared" si="11"/>
        <v>36.247064479936675</v>
      </c>
      <c r="M80" s="45"/>
    </row>
    <row r="81" spans="1:29" x14ac:dyDescent="0.25">
      <c r="A81" s="16">
        <v>49.85</v>
      </c>
      <c r="B81" s="45">
        <f t="shared" si="12"/>
        <v>49850</v>
      </c>
      <c r="C81" s="16">
        <f t="shared" si="13"/>
        <v>11.459770114942529</v>
      </c>
      <c r="D81" s="15">
        <f t="shared" si="14"/>
        <v>1.53821027363E+21</v>
      </c>
      <c r="E81" s="15">
        <f>FORECAST($C81, OFFSET('De Vaucouleurs Deprojection'!$F$3:$F$126, MATCH($C81, 'De Vaucouleurs Deprojection'!$A$3:$A$126,1)-1,0,2), OFFSET('De Vaucouleurs Deprojection'!$A$3:$A$126, MATCH($C81, 'De Vaucouleurs Deprojection'!$A$3:$A$126,1)-1,0,2))*LCDMTotalBulgeMass</f>
        <v>3.1519122133278619E+41</v>
      </c>
      <c r="F81" s="15">
        <f t="shared" si="7"/>
        <v>1.4913005094604009E+41</v>
      </c>
      <c r="G81" s="15">
        <f t="shared" si="8"/>
        <v>9.8567797383201623E+41</v>
      </c>
      <c r="H81" s="15">
        <f t="shared" si="9"/>
        <v>1.4499992461108426E+42</v>
      </c>
      <c r="I81" s="16">
        <v>260.25</v>
      </c>
      <c r="J81" s="45">
        <v>1</v>
      </c>
      <c r="K81" s="19">
        <f t="shared" si="10"/>
        <v>250.82552990850738</v>
      </c>
      <c r="L81" s="16">
        <f t="shared" si="11"/>
        <v>88.820636505438969</v>
      </c>
      <c r="M81" s="45"/>
    </row>
    <row r="82" spans="1:29" x14ac:dyDescent="0.25">
      <c r="H82" s="15"/>
      <c r="K82" s="45"/>
      <c r="L82" s="16">
        <f>SUM(L52:L81)/(COUNT(L52:L81)-6)</f>
        <v>245.49791870647678</v>
      </c>
      <c r="M82" s="45"/>
    </row>
    <row r="83" spans="1:29" x14ac:dyDescent="0.25">
      <c r="H83" s="15"/>
      <c r="K83" s="45"/>
      <c r="L83" s="17"/>
      <c r="M83" s="45"/>
    </row>
    <row r="84" spans="1:29" x14ac:dyDescent="0.25">
      <c r="I84" s="45"/>
      <c r="J84" s="45"/>
      <c r="L84" s="16"/>
    </row>
    <row r="85" spans="1:29" x14ac:dyDescent="0.25">
      <c r="I85" s="45"/>
      <c r="J85" s="45"/>
      <c r="L85" s="16"/>
    </row>
    <row r="86" spans="1:29" x14ac:dyDescent="0.25">
      <c r="I86" s="45"/>
      <c r="J86" s="45"/>
      <c r="L86" s="16"/>
    </row>
    <row r="87" spans="1:29" x14ac:dyDescent="0.25">
      <c r="I87" s="45"/>
      <c r="J87" s="45"/>
      <c r="L87" s="16"/>
    </row>
    <row r="88" spans="1:29" x14ac:dyDescent="0.25">
      <c r="I88" s="45"/>
      <c r="J88" s="45"/>
      <c r="L88" s="16"/>
    </row>
    <row r="89" spans="1:29" x14ac:dyDescent="0.25">
      <c r="I89" s="45"/>
      <c r="J89" s="45"/>
      <c r="L89" s="16"/>
    </row>
    <row r="90" spans="1:29" x14ac:dyDescent="0.25">
      <c r="I90" s="45"/>
      <c r="J90" s="45"/>
      <c r="L90" s="16"/>
    </row>
    <row r="91" spans="1:29" s="17" customFormat="1" x14ac:dyDescent="0.25">
      <c r="A91" s="16"/>
      <c r="B91" s="45"/>
      <c r="C91" s="16"/>
      <c r="D91" s="15"/>
      <c r="E91" s="15"/>
      <c r="F91" s="15"/>
      <c r="G91" s="15"/>
      <c r="H91" s="18"/>
      <c r="I91" s="45"/>
      <c r="J91" s="45"/>
      <c r="K91" s="19"/>
      <c r="L91" s="16"/>
      <c r="N91" s="45"/>
      <c r="O91" s="45"/>
      <c r="P91" s="45"/>
      <c r="Q91" s="45"/>
      <c r="R91" s="45"/>
      <c r="S91" s="45"/>
      <c r="T91" s="45"/>
      <c r="U91" s="45"/>
      <c r="V91" s="16"/>
      <c r="W91" s="16"/>
      <c r="X91" s="45"/>
      <c r="Y91" s="45"/>
      <c r="Z91" s="45"/>
      <c r="AA91" s="45"/>
      <c r="AB91" s="45"/>
      <c r="AC91" s="45"/>
    </row>
    <row r="92" spans="1:29" s="17" customFormat="1" x14ac:dyDescent="0.25">
      <c r="A92" s="16"/>
      <c r="B92" s="45"/>
      <c r="C92" s="16"/>
      <c r="D92" s="15"/>
      <c r="E92" s="15"/>
      <c r="F92" s="15"/>
      <c r="G92" s="15"/>
      <c r="H92" s="18"/>
      <c r="I92" s="45"/>
      <c r="J92" s="45"/>
      <c r="K92" s="19"/>
      <c r="L92" s="16"/>
      <c r="N92" s="45"/>
      <c r="O92" s="45"/>
      <c r="P92" s="45"/>
      <c r="Q92" s="45"/>
      <c r="R92" s="45"/>
      <c r="S92" s="45"/>
      <c r="T92" s="45"/>
      <c r="U92" s="45"/>
      <c r="V92" s="16"/>
      <c r="W92" s="16"/>
      <c r="X92" s="45"/>
      <c r="Y92" s="45"/>
      <c r="Z92" s="45"/>
      <c r="AA92" s="45"/>
      <c r="AB92" s="45"/>
      <c r="AC92" s="45"/>
    </row>
    <row r="93" spans="1:29" s="17" customFormat="1" x14ac:dyDescent="0.25">
      <c r="A93" s="16"/>
      <c r="B93" s="45"/>
      <c r="C93" s="16"/>
      <c r="D93" s="15"/>
      <c r="E93" s="15"/>
      <c r="F93" s="15"/>
      <c r="G93" s="15"/>
      <c r="H93" s="18"/>
      <c r="I93" s="45"/>
      <c r="J93" s="45"/>
      <c r="K93" s="19"/>
      <c r="L93" s="16"/>
      <c r="N93" s="45"/>
      <c r="O93" s="45"/>
      <c r="P93" s="45"/>
      <c r="Q93" s="45"/>
      <c r="R93" s="45"/>
      <c r="S93" s="45"/>
      <c r="T93" s="45"/>
      <c r="U93" s="45"/>
      <c r="V93" s="16"/>
      <c r="W93" s="16"/>
      <c r="X93" s="45"/>
      <c r="Y93" s="45"/>
      <c r="Z93" s="45"/>
      <c r="AA93" s="45"/>
      <c r="AB93" s="45"/>
      <c r="AC93" s="45"/>
    </row>
    <row r="94" spans="1:29" s="17" customFormat="1" x14ac:dyDescent="0.25">
      <c r="A94" s="16"/>
      <c r="B94" s="45"/>
      <c r="C94" s="16"/>
      <c r="D94" s="15"/>
      <c r="E94" s="15"/>
      <c r="F94" s="15"/>
      <c r="G94" s="15"/>
      <c r="H94" s="18"/>
      <c r="I94" s="45"/>
      <c r="J94" s="45"/>
      <c r="K94" s="19"/>
      <c r="L94" s="16"/>
      <c r="N94" s="45"/>
      <c r="O94" s="45"/>
      <c r="P94" s="45"/>
      <c r="Q94" s="45"/>
      <c r="R94" s="45"/>
      <c r="S94" s="45"/>
      <c r="T94" s="45"/>
      <c r="U94" s="45"/>
      <c r="V94" s="16"/>
      <c r="W94" s="16"/>
      <c r="X94" s="45"/>
      <c r="Y94" s="45"/>
      <c r="Z94" s="45"/>
      <c r="AA94" s="45"/>
      <c r="AB94" s="45"/>
      <c r="AC94" s="45"/>
    </row>
    <row r="95" spans="1:29" s="17" customFormat="1" x14ac:dyDescent="0.25">
      <c r="A95" s="16"/>
      <c r="B95" s="45"/>
      <c r="C95" s="16"/>
      <c r="D95" s="15"/>
      <c r="E95" s="15"/>
      <c r="F95" s="15"/>
      <c r="G95" s="15"/>
      <c r="H95" s="18"/>
      <c r="I95" s="45"/>
      <c r="J95" s="45"/>
      <c r="K95" s="19"/>
      <c r="L95" s="16"/>
      <c r="N95" s="45"/>
      <c r="O95" s="45"/>
      <c r="P95" s="45"/>
      <c r="Q95" s="45"/>
      <c r="R95" s="45"/>
      <c r="S95" s="45"/>
      <c r="T95" s="45"/>
      <c r="U95" s="45"/>
      <c r="V95" s="16"/>
      <c r="W95" s="16"/>
      <c r="X95" s="45"/>
      <c r="Y95" s="45"/>
      <c r="Z95" s="45"/>
      <c r="AA95" s="45"/>
      <c r="AB95" s="45"/>
      <c r="AC95" s="45"/>
    </row>
    <row r="96" spans="1:29" s="17" customFormat="1" x14ac:dyDescent="0.25">
      <c r="A96" s="16"/>
      <c r="B96" s="45"/>
      <c r="C96" s="16"/>
      <c r="D96" s="15"/>
      <c r="E96" s="15"/>
      <c r="F96" s="15"/>
      <c r="G96" s="15"/>
      <c r="H96" s="18"/>
      <c r="I96" s="45"/>
      <c r="J96" s="45"/>
      <c r="K96" s="19"/>
      <c r="L96" s="16"/>
      <c r="N96" s="45"/>
      <c r="O96" s="45"/>
      <c r="P96" s="45"/>
      <c r="Q96" s="45"/>
      <c r="R96" s="45"/>
      <c r="S96" s="45"/>
      <c r="T96" s="45"/>
      <c r="U96" s="45"/>
      <c r="V96" s="16"/>
      <c r="W96" s="16"/>
      <c r="X96" s="45"/>
      <c r="Y96" s="45"/>
      <c r="Z96" s="45"/>
      <c r="AA96" s="45"/>
      <c r="AB96" s="45"/>
      <c r="AC96" s="45"/>
    </row>
    <row r="97" spans="1:29" s="17" customFormat="1" x14ac:dyDescent="0.25">
      <c r="A97" s="16"/>
      <c r="B97" s="45"/>
      <c r="C97" s="16"/>
      <c r="D97" s="15"/>
      <c r="E97" s="15"/>
      <c r="F97" s="15"/>
      <c r="G97" s="15"/>
      <c r="H97" s="18"/>
      <c r="I97" s="45"/>
      <c r="J97" s="45"/>
      <c r="K97" s="19"/>
      <c r="L97" s="16"/>
      <c r="N97" s="45"/>
      <c r="O97" s="45"/>
      <c r="P97" s="45"/>
      <c r="Q97" s="45"/>
      <c r="R97" s="45"/>
      <c r="S97" s="45"/>
      <c r="T97" s="45"/>
      <c r="U97" s="45"/>
      <c r="V97" s="16"/>
      <c r="W97" s="16"/>
      <c r="X97" s="45"/>
      <c r="Y97" s="45"/>
      <c r="Z97" s="45"/>
      <c r="AA97" s="45"/>
      <c r="AB97" s="45"/>
      <c r="AC97" s="45"/>
    </row>
    <row r="98" spans="1:29" s="17" customFormat="1" x14ac:dyDescent="0.25">
      <c r="A98" s="16"/>
      <c r="B98" s="45"/>
      <c r="C98" s="16"/>
      <c r="D98" s="15"/>
      <c r="E98" s="15"/>
      <c r="F98" s="15"/>
      <c r="G98" s="15"/>
      <c r="H98" s="18"/>
      <c r="I98" s="45"/>
      <c r="J98" s="45"/>
      <c r="K98" s="19"/>
      <c r="L98" s="16"/>
      <c r="N98" s="45"/>
      <c r="O98" s="45"/>
      <c r="P98" s="45"/>
      <c r="Q98" s="45"/>
      <c r="R98" s="45"/>
      <c r="S98" s="45"/>
      <c r="T98" s="45"/>
      <c r="U98" s="45"/>
      <c r="V98" s="16"/>
      <c r="W98" s="16"/>
      <c r="X98" s="45"/>
      <c r="Y98" s="45"/>
      <c r="Z98" s="45"/>
      <c r="AA98" s="45"/>
      <c r="AB98" s="45"/>
      <c r="AC98" s="45"/>
    </row>
    <row r="99" spans="1:29" s="17" customFormat="1" x14ac:dyDescent="0.25">
      <c r="A99" s="16"/>
      <c r="B99" s="45"/>
      <c r="C99" s="16"/>
      <c r="D99" s="15"/>
      <c r="E99" s="15"/>
      <c r="F99" s="15"/>
      <c r="G99" s="15"/>
      <c r="H99" s="18"/>
      <c r="I99" s="45"/>
      <c r="J99" s="45"/>
      <c r="K99" s="19"/>
      <c r="L99" s="16"/>
      <c r="N99" s="45"/>
      <c r="O99" s="45"/>
      <c r="P99" s="45"/>
      <c r="Q99" s="45"/>
      <c r="R99" s="45"/>
      <c r="S99" s="45"/>
      <c r="T99" s="45"/>
      <c r="U99" s="45"/>
      <c r="V99" s="16"/>
      <c r="W99" s="16"/>
      <c r="X99" s="45"/>
      <c r="Y99" s="45"/>
      <c r="Z99" s="45"/>
      <c r="AA99" s="45"/>
      <c r="AB99" s="45"/>
      <c r="AC99" s="45"/>
    </row>
    <row r="100" spans="1:29" s="17" customFormat="1" x14ac:dyDescent="0.25">
      <c r="A100" s="16"/>
      <c r="B100" s="45"/>
      <c r="C100" s="16"/>
      <c r="D100" s="15"/>
      <c r="E100" s="15"/>
      <c r="F100" s="15"/>
      <c r="G100" s="15"/>
      <c r="H100" s="18"/>
      <c r="I100" s="45"/>
      <c r="J100" s="45"/>
      <c r="K100" s="19"/>
      <c r="L100" s="16"/>
      <c r="N100" s="45"/>
      <c r="O100" s="45"/>
      <c r="P100" s="45"/>
      <c r="Q100" s="45"/>
      <c r="R100" s="45"/>
      <c r="S100" s="45"/>
      <c r="T100" s="45"/>
      <c r="U100" s="45"/>
      <c r="V100" s="16"/>
      <c r="W100" s="16"/>
      <c r="X100" s="45"/>
      <c r="Y100" s="45"/>
      <c r="Z100" s="45"/>
      <c r="AA100" s="45"/>
      <c r="AB100" s="45"/>
      <c r="AC100" s="45"/>
    </row>
    <row r="101" spans="1:29" s="17" customFormat="1" x14ac:dyDescent="0.25">
      <c r="A101" s="16"/>
      <c r="B101" s="45"/>
      <c r="C101" s="16"/>
      <c r="D101" s="15"/>
      <c r="E101" s="15"/>
      <c r="F101" s="15"/>
      <c r="G101" s="15"/>
      <c r="H101" s="18"/>
      <c r="I101" s="45"/>
      <c r="J101" s="45"/>
      <c r="K101" s="19"/>
      <c r="L101" s="16"/>
      <c r="N101" s="45"/>
      <c r="O101" s="45"/>
      <c r="P101" s="45"/>
      <c r="Q101" s="45"/>
      <c r="R101" s="45"/>
      <c r="S101" s="45"/>
      <c r="T101" s="45"/>
      <c r="U101" s="45"/>
      <c r="V101" s="16"/>
      <c r="W101" s="16"/>
      <c r="X101" s="45"/>
      <c r="Y101" s="45"/>
      <c r="Z101" s="45"/>
      <c r="AA101" s="45"/>
      <c r="AB101" s="45"/>
      <c r="AC101" s="45"/>
    </row>
    <row r="102" spans="1:29" s="17" customFormat="1" x14ac:dyDescent="0.25">
      <c r="A102" s="16"/>
      <c r="B102" s="45"/>
      <c r="C102" s="16"/>
      <c r="D102" s="15"/>
      <c r="E102" s="15"/>
      <c r="F102" s="15"/>
      <c r="G102" s="15"/>
      <c r="H102" s="18"/>
      <c r="I102" s="45"/>
      <c r="J102" s="45"/>
      <c r="K102" s="19"/>
      <c r="L102" s="16"/>
      <c r="N102" s="45"/>
      <c r="O102" s="45"/>
      <c r="P102" s="45"/>
      <c r="Q102" s="45"/>
      <c r="R102" s="45"/>
      <c r="S102" s="45"/>
      <c r="T102" s="45"/>
      <c r="U102" s="45"/>
      <c r="V102" s="16"/>
      <c r="W102" s="16"/>
      <c r="X102" s="45"/>
      <c r="Y102" s="45"/>
      <c r="Z102" s="45"/>
      <c r="AA102" s="45"/>
      <c r="AB102" s="45"/>
      <c r="AC102" s="45"/>
    </row>
    <row r="103" spans="1:29" s="17" customFormat="1" x14ac:dyDescent="0.25">
      <c r="A103" s="16"/>
      <c r="B103" s="45"/>
      <c r="C103" s="16"/>
      <c r="D103" s="15"/>
      <c r="E103" s="15"/>
      <c r="F103" s="15"/>
      <c r="G103" s="15"/>
      <c r="H103" s="18"/>
      <c r="I103" s="45"/>
      <c r="J103" s="45"/>
      <c r="K103" s="19"/>
      <c r="L103" s="16"/>
      <c r="N103" s="45"/>
      <c r="O103" s="45"/>
      <c r="P103" s="45"/>
      <c r="Q103" s="45"/>
      <c r="R103" s="45"/>
      <c r="S103" s="45"/>
      <c r="T103" s="45"/>
      <c r="U103" s="45"/>
      <c r="V103" s="16"/>
      <c r="W103" s="16"/>
      <c r="X103" s="45"/>
      <c r="Y103" s="45"/>
      <c r="Z103" s="45"/>
      <c r="AA103" s="45"/>
      <c r="AB103" s="45"/>
      <c r="AC103" s="45"/>
    </row>
    <row r="104" spans="1:29" s="17" customFormat="1" x14ac:dyDescent="0.25">
      <c r="A104" s="16"/>
      <c r="B104" s="45"/>
      <c r="C104" s="16"/>
      <c r="D104" s="15"/>
      <c r="E104" s="15"/>
      <c r="F104" s="15"/>
      <c r="G104" s="15"/>
      <c r="H104" s="18"/>
      <c r="I104" s="45"/>
      <c r="J104" s="45"/>
      <c r="K104" s="19"/>
      <c r="L104" s="16"/>
      <c r="N104" s="45"/>
      <c r="O104" s="45"/>
      <c r="P104" s="45"/>
      <c r="Q104" s="45"/>
      <c r="R104" s="45"/>
      <c r="S104" s="45"/>
      <c r="T104" s="45"/>
      <c r="U104" s="45"/>
      <c r="V104" s="16"/>
      <c r="W104" s="16"/>
      <c r="X104" s="45"/>
      <c r="Y104" s="45"/>
      <c r="Z104" s="45"/>
      <c r="AA104" s="45"/>
      <c r="AB104" s="45"/>
      <c r="AC104" s="45"/>
    </row>
    <row r="105" spans="1:29" s="17" customFormat="1" x14ac:dyDescent="0.25">
      <c r="A105" s="16"/>
      <c r="B105" s="45"/>
      <c r="C105" s="16"/>
      <c r="D105" s="15"/>
      <c r="E105" s="15"/>
      <c r="F105" s="15"/>
      <c r="G105" s="15"/>
      <c r="H105" s="18"/>
      <c r="I105" s="45"/>
      <c r="J105" s="45"/>
      <c r="K105" s="19"/>
      <c r="L105" s="16"/>
      <c r="N105" s="45"/>
      <c r="O105" s="45"/>
      <c r="P105" s="45"/>
      <c r="Q105" s="45"/>
      <c r="R105" s="45"/>
      <c r="S105" s="45"/>
      <c r="T105" s="45"/>
      <c r="U105" s="45"/>
      <c r="V105" s="16"/>
      <c r="W105" s="16"/>
      <c r="X105" s="45"/>
      <c r="Y105" s="45"/>
      <c r="Z105" s="45"/>
      <c r="AA105" s="45"/>
      <c r="AB105" s="45"/>
      <c r="AC105" s="45"/>
    </row>
    <row r="106" spans="1:29" s="17" customFormat="1" x14ac:dyDescent="0.25">
      <c r="A106" s="16"/>
      <c r="B106" s="45"/>
      <c r="C106" s="16"/>
      <c r="D106" s="15"/>
      <c r="E106" s="15"/>
      <c r="F106" s="15"/>
      <c r="G106" s="15"/>
      <c r="H106" s="18"/>
      <c r="I106" s="45"/>
      <c r="J106" s="45"/>
      <c r="K106" s="19"/>
      <c r="L106" s="16"/>
      <c r="N106" s="45"/>
      <c r="O106" s="45"/>
      <c r="P106" s="45"/>
      <c r="Q106" s="45"/>
      <c r="R106" s="45"/>
      <c r="S106" s="45"/>
      <c r="T106" s="45"/>
      <c r="U106" s="45"/>
      <c r="V106" s="16"/>
      <c r="W106" s="16"/>
      <c r="X106" s="45"/>
      <c r="Y106" s="45"/>
      <c r="Z106" s="45"/>
      <c r="AA106" s="45"/>
      <c r="AB106" s="45"/>
      <c r="AC106" s="45"/>
    </row>
    <row r="107" spans="1:29" s="17" customFormat="1" x14ac:dyDescent="0.25">
      <c r="A107" s="16"/>
      <c r="B107" s="45"/>
      <c r="C107" s="16"/>
      <c r="D107" s="15"/>
      <c r="E107" s="15"/>
      <c r="F107" s="15"/>
      <c r="G107" s="15"/>
      <c r="H107" s="18"/>
      <c r="I107" s="45"/>
      <c r="J107" s="45"/>
      <c r="K107" s="19"/>
      <c r="L107" s="16"/>
      <c r="N107" s="45"/>
      <c r="O107" s="45"/>
      <c r="P107" s="45"/>
      <c r="Q107" s="45"/>
      <c r="R107" s="45"/>
      <c r="S107" s="45"/>
      <c r="T107" s="45"/>
      <c r="U107" s="45"/>
      <c r="V107" s="16"/>
      <c r="W107" s="16"/>
      <c r="X107" s="45"/>
      <c r="Y107" s="45"/>
      <c r="Z107" s="45"/>
      <c r="AA107" s="45"/>
      <c r="AB107" s="45"/>
      <c r="AC107" s="45"/>
    </row>
    <row r="108" spans="1:29" s="17" customFormat="1" x14ac:dyDescent="0.25">
      <c r="A108" s="16"/>
      <c r="B108" s="45"/>
      <c r="C108" s="16"/>
      <c r="D108" s="15"/>
      <c r="E108" s="15"/>
      <c r="F108" s="15"/>
      <c r="G108" s="15"/>
      <c r="H108" s="18"/>
      <c r="I108" s="45"/>
      <c r="J108" s="45"/>
      <c r="K108" s="19"/>
      <c r="L108" s="16"/>
      <c r="N108" s="45"/>
      <c r="O108" s="45"/>
      <c r="P108" s="45"/>
      <c r="Q108" s="45"/>
      <c r="R108" s="45"/>
      <c r="S108" s="45"/>
      <c r="T108" s="45"/>
      <c r="U108" s="45"/>
      <c r="V108" s="16"/>
      <c r="W108" s="16"/>
      <c r="X108" s="45"/>
      <c r="Y108" s="45"/>
      <c r="Z108" s="45"/>
      <c r="AA108" s="45"/>
      <c r="AB108" s="45"/>
      <c r="AC108" s="45"/>
    </row>
    <row r="109" spans="1:29" s="17" customFormat="1" x14ac:dyDescent="0.25">
      <c r="A109" s="16"/>
      <c r="B109" s="45"/>
      <c r="C109" s="16"/>
      <c r="D109" s="15"/>
      <c r="E109" s="15"/>
      <c r="F109" s="15"/>
      <c r="G109" s="15"/>
      <c r="H109" s="18"/>
      <c r="I109" s="45"/>
      <c r="J109" s="45"/>
      <c r="K109" s="19"/>
      <c r="L109" s="16"/>
      <c r="N109" s="45"/>
      <c r="O109" s="45"/>
      <c r="P109" s="45"/>
      <c r="Q109" s="45"/>
      <c r="R109" s="45"/>
      <c r="S109" s="45"/>
      <c r="T109" s="45"/>
      <c r="U109" s="45"/>
      <c r="V109" s="16"/>
      <c r="W109" s="16"/>
      <c r="X109" s="45"/>
      <c r="Y109" s="45"/>
      <c r="Z109" s="45"/>
      <c r="AA109" s="45"/>
      <c r="AB109" s="45"/>
      <c r="AC109" s="45"/>
    </row>
    <row r="110" spans="1:29" s="17" customFormat="1" x14ac:dyDescent="0.25">
      <c r="A110" s="16"/>
      <c r="B110" s="45"/>
      <c r="C110" s="16"/>
      <c r="D110" s="15"/>
      <c r="E110" s="15"/>
      <c r="F110" s="15"/>
      <c r="G110" s="15"/>
      <c r="H110" s="18"/>
      <c r="I110" s="45"/>
      <c r="J110" s="45"/>
      <c r="K110" s="19"/>
      <c r="L110" s="16"/>
      <c r="N110" s="45"/>
      <c r="O110" s="45"/>
      <c r="P110" s="45"/>
      <c r="Q110" s="45"/>
      <c r="R110" s="45"/>
      <c r="S110" s="45"/>
      <c r="T110" s="45"/>
      <c r="U110" s="45"/>
      <c r="V110" s="16"/>
      <c r="W110" s="16"/>
      <c r="X110" s="45"/>
      <c r="Y110" s="45"/>
      <c r="Z110" s="45"/>
      <c r="AA110" s="45"/>
      <c r="AB110" s="45"/>
      <c r="AC110" s="45"/>
    </row>
    <row r="111" spans="1:29" s="17" customFormat="1" x14ac:dyDescent="0.25">
      <c r="A111" s="16"/>
      <c r="B111" s="45"/>
      <c r="C111" s="16"/>
      <c r="D111" s="15"/>
      <c r="E111" s="15"/>
      <c r="F111" s="15"/>
      <c r="G111" s="15"/>
      <c r="H111" s="18"/>
      <c r="I111" s="45"/>
      <c r="J111" s="45"/>
      <c r="K111" s="19"/>
      <c r="L111" s="16"/>
      <c r="N111" s="45"/>
      <c r="O111" s="45"/>
      <c r="P111" s="45"/>
      <c r="Q111" s="45"/>
      <c r="R111" s="45"/>
      <c r="S111" s="45"/>
      <c r="T111" s="45"/>
      <c r="U111" s="45"/>
      <c r="V111" s="16"/>
      <c r="W111" s="16"/>
      <c r="X111" s="45"/>
      <c r="Y111" s="45"/>
      <c r="Z111" s="45"/>
      <c r="AA111" s="45"/>
      <c r="AB111" s="45"/>
      <c r="AC111" s="45"/>
    </row>
    <row r="112" spans="1:29" s="17" customFormat="1" x14ac:dyDescent="0.25">
      <c r="A112" s="16"/>
      <c r="B112" s="45"/>
      <c r="C112" s="16"/>
      <c r="D112" s="15"/>
      <c r="E112" s="15"/>
      <c r="F112" s="15"/>
      <c r="G112" s="15"/>
      <c r="H112" s="18"/>
      <c r="I112" s="45"/>
      <c r="J112" s="45"/>
      <c r="K112" s="19"/>
      <c r="L112" s="16"/>
      <c r="N112" s="45"/>
      <c r="O112" s="45"/>
      <c r="P112" s="45"/>
      <c r="Q112" s="45"/>
      <c r="R112" s="45"/>
      <c r="S112" s="45"/>
      <c r="T112" s="45"/>
      <c r="U112" s="45"/>
      <c r="V112" s="16"/>
      <c r="W112" s="16"/>
      <c r="X112" s="45"/>
      <c r="Y112" s="45"/>
      <c r="Z112" s="45"/>
      <c r="AA112" s="45"/>
      <c r="AB112" s="45"/>
      <c r="AC112" s="45"/>
    </row>
    <row r="113" spans="1:29" s="17" customFormat="1" x14ac:dyDescent="0.25">
      <c r="A113" s="16"/>
      <c r="B113" s="45"/>
      <c r="C113" s="16"/>
      <c r="D113" s="15"/>
      <c r="E113" s="15"/>
      <c r="F113" s="15"/>
      <c r="G113" s="15"/>
      <c r="H113" s="18"/>
      <c r="I113" s="45"/>
      <c r="J113" s="45"/>
      <c r="K113" s="19"/>
      <c r="L113" s="16"/>
      <c r="N113" s="45"/>
      <c r="O113" s="45"/>
      <c r="P113" s="45"/>
      <c r="Q113" s="45"/>
      <c r="R113" s="45"/>
      <c r="S113" s="45"/>
      <c r="T113" s="45"/>
      <c r="U113" s="45"/>
      <c r="V113" s="16"/>
      <c r="W113" s="16"/>
      <c r="X113" s="45"/>
      <c r="Y113" s="45"/>
      <c r="Z113" s="45"/>
      <c r="AA113" s="45"/>
      <c r="AB113" s="45"/>
      <c r="AC113" s="45"/>
    </row>
    <row r="114" spans="1:29" s="17" customFormat="1" x14ac:dyDescent="0.25">
      <c r="A114" s="16"/>
      <c r="B114" s="45"/>
      <c r="C114" s="16"/>
      <c r="D114" s="15"/>
      <c r="E114" s="15"/>
      <c r="F114" s="15"/>
      <c r="G114" s="15"/>
      <c r="H114" s="18"/>
      <c r="I114" s="45"/>
      <c r="J114" s="45"/>
      <c r="K114" s="19"/>
      <c r="L114" s="16"/>
      <c r="N114" s="45"/>
      <c r="O114" s="45"/>
      <c r="P114" s="45"/>
      <c r="Q114" s="45"/>
      <c r="R114" s="45"/>
      <c r="S114" s="45"/>
      <c r="T114" s="45"/>
      <c r="U114" s="45"/>
      <c r="V114" s="16"/>
      <c r="W114" s="16"/>
      <c r="X114" s="45"/>
      <c r="Y114" s="45"/>
      <c r="Z114" s="45"/>
      <c r="AA114" s="45"/>
      <c r="AB114" s="45"/>
      <c r="AC114" s="45"/>
    </row>
    <row r="115" spans="1:29" s="17" customFormat="1" x14ac:dyDescent="0.25">
      <c r="A115" s="16"/>
      <c r="B115" s="45"/>
      <c r="C115" s="16"/>
      <c r="D115" s="15"/>
      <c r="E115" s="15"/>
      <c r="F115" s="15"/>
      <c r="G115" s="15"/>
      <c r="H115" s="18"/>
      <c r="I115" s="45"/>
      <c r="J115" s="45"/>
      <c r="K115" s="19"/>
      <c r="L115" s="16"/>
      <c r="N115" s="45"/>
      <c r="O115" s="45"/>
      <c r="P115" s="45"/>
      <c r="Q115" s="45"/>
      <c r="R115" s="45"/>
      <c r="S115" s="45"/>
      <c r="T115" s="45"/>
      <c r="U115" s="45"/>
      <c r="V115" s="16"/>
      <c r="W115" s="16"/>
      <c r="X115" s="45"/>
      <c r="Y115" s="45"/>
      <c r="Z115" s="45"/>
      <c r="AA115" s="45"/>
      <c r="AB115" s="45"/>
      <c r="AC115" s="45"/>
    </row>
    <row r="116" spans="1:29" s="17" customFormat="1" x14ac:dyDescent="0.25">
      <c r="A116" s="16"/>
      <c r="B116" s="45"/>
      <c r="C116" s="16"/>
      <c r="D116" s="15"/>
      <c r="E116" s="15"/>
      <c r="F116" s="15"/>
      <c r="G116" s="15"/>
      <c r="H116" s="18"/>
      <c r="I116" s="45"/>
      <c r="J116" s="45"/>
      <c r="K116" s="19"/>
      <c r="L116" s="16"/>
      <c r="N116" s="45"/>
      <c r="O116" s="45"/>
      <c r="P116" s="45"/>
      <c r="Q116" s="45"/>
      <c r="R116" s="45"/>
      <c r="S116" s="45"/>
      <c r="T116" s="45"/>
      <c r="U116" s="45"/>
      <c r="V116" s="16"/>
      <c r="W116" s="16"/>
      <c r="X116" s="45"/>
      <c r="Y116" s="45"/>
      <c r="Z116" s="45"/>
      <c r="AA116" s="45"/>
      <c r="AB116" s="45"/>
      <c r="AC116" s="45"/>
    </row>
    <row r="117" spans="1:29" s="17" customFormat="1" x14ac:dyDescent="0.25">
      <c r="A117" s="16"/>
      <c r="B117" s="45"/>
      <c r="C117" s="16"/>
      <c r="D117" s="15"/>
      <c r="E117" s="15"/>
      <c r="F117" s="15"/>
      <c r="G117" s="15"/>
      <c r="H117" s="18"/>
      <c r="I117" s="45"/>
      <c r="J117" s="45"/>
      <c r="K117" s="19"/>
      <c r="L117" s="16"/>
      <c r="N117" s="45"/>
      <c r="O117" s="45"/>
      <c r="P117" s="45"/>
      <c r="Q117" s="45"/>
      <c r="R117" s="45"/>
      <c r="S117" s="45"/>
      <c r="T117" s="45"/>
      <c r="U117" s="45"/>
      <c r="V117" s="16"/>
      <c r="W117" s="16"/>
      <c r="X117" s="45"/>
      <c r="Y117" s="45"/>
      <c r="Z117" s="45"/>
      <c r="AA117" s="45"/>
      <c r="AB117" s="45"/>
      <c r="AC117" s="45"/>
    </row>
    <row r="118" spans="1:29" s="17" customFormat="1" x14ac:dyDescent="0.25">
      <c r="A118" s="16"/>
      <c r="B118" s="45"/>
      <c r="C118" s="16"/>
      <c r="D118" s="15"/>
      <c r="E118" s="15"/>
      <c r="F118" s="15"/>
      <c r="G118" s="15"/>
      <c r="H118" s="18"/>
      <c r="I118" s="45"/>
      <c r="J118" s="45"/>
      <c r="K118" s="19"/>
      <c r="L118" s="16"/>
      <c r="N118" s="45"/>
      <c r="O118" s="45"/>
      <c r="P118" s="45"/>
      <c r="Q118" s="45"/>
      <c r="R118" s="45"/>
      <c r="S118" s="45"/>
      <c r="T118" s="45"/>
      <c r="U118" s="45"/>
      <c r="V118" s="16"/>
      <c r="W118" s="16"/>
      <c r="X118" s="45"/>
      <c r="Y118" s="45"/>
      <c r="Z118" s="45"/>
      <c r="AA118" s="45"/>
      <c r="AB118" s="45"/>
      <c r="AC118" s="45"/>
    </row>
    <row r="119" spans="1:29" s="17" customFormat="1" x14ac:dyDescent="0.25">
      <c r="A119" s="16"/>
      <c r="B119" s="45"/>
      <c r="C119" s="16"/>
      <c r="D119" s="15"/>
      <c r="E119" s="15"/>
      <c r="F119" s="15"/>
      <c r="G119" s="15"/>
      <c r="H119" s="18"/>
      <c r="I119" s="45"/>
      <c r="J119" s="45"/>
      <c r="K119" s="19"/>
      <c r="L119" s="16"/>
      <c r="N119" s="45"/>
      <c r="O119" s="45"/>
      <c r="P119" s="45"/>
      <c r="Q119" s="45"/>
      <c r="R119" s="45"/>
      <c r="S119" s="45"/>
      <c r="T119" s="45"/>
      <c r="U119" s="45"/>
      <c r="V119" s="16"/>
      <c r="W119" s="16"/>
      <c r="X119" s="45"/>
      <c r="Y119" s="45"/>
      <c r="Z119" s="45"/>
      <c r="AA119" s="45"/>
      <c r="AB119" s="45"/>
      <c r="AC119" s="45"/>
    </row>
    <row r="120" spans="1:29" s="17" customFormat="1" x14ac:dyDescent="0.25">
      <c r="A120" s="16"/>
      <c r="B120" s="45"/>
      <c r="C120" s="16"/>
      <c r="D120" s="15"/>
      <c r="E120" s="15"/>
      <c r="F120" s="15"/>
      <c r="G120" s="15"/>
      <c r="H120" s="18"/>
      <c r="I120" s="45"/>
      <c r="J120" s="45"/>
      <c r="K120" s="19"/>
      <c r="L120" s="16"/>
      <c r="N120" s="45"/>
      <c r="O120" s="45"/>
      <c r="P120" s="45"/>
      <c r="Q120" s="45"/>
      <c r="R120" s="45"/>
      <c r="S120" s="45"/>
      <c r="T120" s="45"/>
      <c r="U120" s="45"/>
      <c r="V120" s="16"/>
      <c r="W120" s="16"/>
      <c r="X120" s="45"/>
      <c r="Y120" s="45"/>
      <c r="Z120" s="45"/>
      <c r="AA120" s="45"/>
      <c r="AB120" s="45"/>
      <c r="AC120" s="45"/>
    </row>
    <row r="121" spans="1:29" s="17" customFormat="1" x14ac:dyDescent="0.25">
      <c r="A121" s="16"/>
      <c r="B121" s="45"/>
      <c r="C121" s="16"/>
      <c r="D121" s="15"/>
      <c r="E121" s="15"/>
      <c r="F121" s="15"/>
      <c r="G121" s="15"/>
      <c r="H121" s="18"/>
      <c r="I121" s="45"/>
      <c r="J121" s="45"/>
      <c r="K121" s="19"/>
      <c r="L121" s="16"/>
      <c r="N121" s="45"/>
      <c r="O121" s="45"/>
      <c r="P121" s="45"/>
      <c r="Q121" s="45"/>
      <c r="R121" s="45"/>
      <c r="S121" s="45"/>
      <c r="T121" s="45"/>
      <c r="U121" s="45"/>
      <c r="V121" s="16"/>
      <c r="W121" s="16"/>
      <c r="X121" s="45"/>
      <c r="Y121" s="45"/>
      <c r="Z121" s="45"/>
      <c r="AA121" s="45"/>
      <c r="AB121" s="45"/>
      <c r="AC121" s="45"/>
    </row>
    <row r="122" spans="1:29" s="17" customFormat="1" x14ac:dyDescent="0.25">
      <c r="A122" s="16"/>
      <c r="B122" s="45"/>
      <c r="C122" s="16"/>
      <c r="D122" s="15"/>
      <c r="E122" s="15"/>
      <c r="F122" s="15"/>
      <c r="G122" s="15"/>
      <c r="H122" s="18"/>
      <c r="I122" s="45"/>
      <c r="J122" s="45"/>
      <c r="K122" s="19"/>
      <c r="L122" s="16"/>
      <c r="N122" s="45"/>
      <c r="O122" s="45"/>
      <c r="P122" s="45"/>
      <c r="Q122" s="45"/>
      <c r="R122" s="45"/>
      <c r="S122" s="45"/>
      <c r="T122" s="45"/>
      <c r="U122" s="45"/>
      <c r="V122" s="16"/>
      <c r="W122" s="16"/>
      <c r="X122" s="45"/>
      <c r="Y122" s="45"/>
      <c r="Z122" s="45"/>
      <c r="AA122" s="45"/>
      <c r="AB122" s="45"/>
      <c r="AC122" s="45"/>
    </row>
    <row r="123" spans="1:29" s="17" customFormat="1" x14ac:dyDescent="0.25">
      <c r="A123" s="16"/>
      <c r="B123" s="45"/>
      <c r="C123" s="16"/>
      <c r="D123" s="15"/>
      <c r="E123" s="15"/>
      <c r="F123" s="15"/>
      <c r="G123" s="15"/>
      <c r="H123" s="18"/>
      <c r="I123" s="45"/>
      <c r="J123" s="45"/>
      <c r="K123" s="19"/>
      <c r="L123" s="16"/>
      <c r="N123" s="45"/>
      <c r="O123" s="45"/>
      <c r="P123" s="45"/>
      <c r="Q123" s="45"/>
      <c r="R123" s="45"/>
      <c r="S123" s="45"/>
      <c r="T123" s="45"/>
      <c r="U123" s="45"/>
      <c r="V123" s="16"/>
      <c r="W123" s="16"/>
      <c r="X123" s="45"/>
      <c r="Y123" s="45"/>
      <c r="Z123" s="45"/>
      <c r="AA123" s="45"/>
      <c r="AB123" s="45"/>
      <c r="AC123" s="45"/>
    </row>
    <row r="124" spans="1:29" s="17" customFormat="1" x14ac:dyDescent="0.25">
      <c r="A124" s="16"/>
      <c r="B124" s="45"/>
      <c r="C124" s="16"/>
      <c r="D124" s="15"/>
      <c r="E124" s="15"/>
      <c r="F124" s="15"/>
      <c r="G124" s="15"/>
      <c r="H124" s="18"/>
      <c r="I124" s="45"/>
      <c r="J124" s="45"/>
      <c r="K124" s="19"/>
      <c r="L124" s="16"/>
      <c r="N124" s="45"/>
      <c r="O124" s="45"/>
      <c r="P124" s="45"/>
      <c r="Q124" s="45"/>
      <c r="R124" s="45"/>
      <c r="S124" s="45"/>
      <c r="T124" s="45"/>
      <c r="U124" s="45"/>
      <c r="V124" s="16"/>
      <c r="W124" s="16"/>
      <c r="X124" s="45"/>
      <c r="Y124" s="45"/>
      <c r="Z124" s="45"/>
      <c r="AA124" s="45"/>
      <c r="AB124" s="45"/>
      <c r="AC124" s="45"/>
    </row>
    <row r="125" spans="1:29" s="17" customFormat="1" x14ac:dyDescent="0.25">
      <c r="A125" s="16"/>
      <c r="B125" s="45"/>
      <c r="C125" s="16"/>
      <c r="D125" s="15"/>
      <c r="E125" s="15"/>
      <c r="F125" s="15"/>
      <c r="G125" s="15"/>
      <c r="H125" s="18"/>
      <c r="I125" s="45"/>
      <c r="J125" s="45"/>
      <c r="K125" s="19"/>
      <c r="L125" s="16"/>
      <c r="N125" s="45"/>
      <c r="O125" s="45"/>
      <c r="P125" s="45"/>
      <c r="Q125" s="45"/>
      <c r="R125" s="45"/>
      <c r="S125" s="45"/>
      <c r="T125" s="45"/>
      <c r="U125" s="45"/>
      <c r="V125" s="16"/>
      <c r="W125" s="16"/>
      <c r="X125" s="45"/>
      <c r="Y125" s="45"/>
      <c r="Z125" s="45"/>
      <c r="AA125" s="45"/>
      <c r="AB125" s="45"/>
      <c r="AC125" s="45"/>
    </row>
    <row r="126" spans="1:29" s="17" customFormat="1" x14ac:dyDescent="0.25">
      <c r="A126" s="16"/>
      <c r="B126" s="45"/>
      <c r="C126" s="16"/>
      <c r="D126" s="15"/>
      <c r="E126" s="15"/>
      <c r="F126" s="15"/>
      <c r="G126" s="15"/>
      <c r="H126" s="18"/>
      <c r="I126" s="45"/>
      <c r="J126" s="45"/>
      <c r="K126" s="19"/>
      <c r="L126" s="16"/>
      <c r="N126" s="45"/>
      <c r="O126" s="45"/>
      <c r="P126" s="45"/>
      <c r="Q126" s="45"/>
      <c r="R126" s="45"/>
      <c r="S126" s="45"/>
      <c r="T126" s="45"/>
      <c r="U126" s="45"/>
      <c r="V126" s="16"/>
      <c r="W126" s="16"/>
      <c r="X126" s="45"/>
      <c r="Y126" s="45"/>
      <c r="Z126" s="45"/>
      <c r="AA126" s="45"/>
      <c r="AB126" s="45"/>
      <c r="AC126" s="45"/>
    </row>
    <row r="127" spans="1:29" s="17" customFormat="1" x14ac:dyDescent="0.25">
      <c r="A127" s="16"/>
      <c r="B127" s="45"/>
      <c r="C127" s="16"/>
      <c r="D127" s="15"/>
      <c r="E127" s="15"/>
      <c r="F127" s="15"/>
      <c r="G127" s="15"/>
      <c r="H127" s="18"/>
      <c r="I127" s="45"/>
      <c r="J127" s="45"/>
      <c r="K127" s="19"/>
      <c r="L127" s="16"/>
      <c r="N127" s="45"/>
      <c r="O127" s="45"/>
      <c r="P127" s="45"/>
      <c r="Q127" s="45"/>
      <c r="R127" s="45"/>
      <c r="S127" s="45"/>
      <c r="T127" s="45"/>
      <c r="U127" s="45"/>
      <c r="V127" s="16"/>
      <c r="W127" s="16"/>
      <c r="X127" s="45"/>
      <c r="Y127" s="45"/>
      <c r="Z127" s="45"/>
      <c r="AA127" s="45"/>
      <c r="AB127" s="45"/>
      <c r="AC127" s="45"/>
    </row>
    <row r="128" spans="1:29" s="17" customFormat="1" x14ac:dyDescent="0.25">
      <c r="A128" s="16"/>
      <c r="B128" s="45"/>
      <c r="C128" s="16"/>
      <c r="D128" s="15"/>
      <c r="E128" s="15"/>
      <c r="F128" s="15"/>
      <c r="G128" s="15"/>
      <c r="H128" s="18"/>
      <c r="I128" s="45"/>
      <c r="J128" s="45"/>
      <c r="K128" s="19"/>
      <c r="L128" s="16"/>
      <c r="N128" s="45"/>
      <c r="O128" s="45"/>
      <c r="P128" s="45"/>
      <c r="Q128" s="45"/>
      <c r="R128" s="45"/>
      <c r="S128" s="45"/>
      <c r="T128" s="45"/>
      <c r="U128" s="45"/>
      <c r="V128" s="16"/>
      <c r="W128" s="16"/>
      <c r="X128" s="45"/>
      <c r="Y128" s="45"/>
      <c r="Z128" s="45"/>
      <c r="AA128" s="45"/>
      <c r="AB128" s="45"/>
      <c r="AC128" s="45"/>
    </row>
    <row r="129" spans="1:29" s="17" customFormat="1" x14ac:dyDescent="0.25">
      <c r="A129" s="16"/>
      <c r="B129" s="45"/>
      <c r="C129" s="16"/>
      <c r="D129" s="15"/>
      <c r="E129" s="15"/>
      <c r="F129" s="15"/>
      <c r="G129" s="15"/>
      <c r="H129" s="18"/>
      <c r="I129" s="45"/>
      <c r="J129" s="45"/>
      <c r="K129" s="19"/>
      <c r="L129" s="16"/>
      <c r="N129" s="45"/>
      <c r="O129" s="45"/>
      <c r="P129" s="45"/>
      <c r="Q129" s="45"/>
      <c r="R129" s="45"/>
      <c r="S129" s="45"/>
      <c r="T129" s="45"/>
      <c r="U129" s="45"/>
      <c r="V129" s="16"/>
      <c r="W129" s="16"/>
      <c r="X129" s="45"/>
      <c r="Y129" s="45"/>
      <c r="Z129" s="45"/>
      <c r="AA129" s="45"/>
      <c r="AB129" s="45"/>
      <c r="AC129" s="45"/>
    </row>
    <row r="130" spans="1:29" s="17" customFormat="1" x14ac:dyDescent="0.25">
      <c r="A130" s="16"/>
      <c r="B130" s="45"/>
      <c r="C130" s="16"/>
      <c r="D130" s="15"/>
      <c r="E130" s="15"/>
      <c r="F130" s="15"/>
      <c r="G130" s="15"/>
      <c r="H130" s="18"/>
      <c r="I130" s="45"/>
      <c r="J130" s="45"/>
      <c r="K130" s="19"/>
      <c r="L130" s="16"/>
      <c r="N130" s="45"/>
      <c r="O130" s="45"/>
      <c r="P130" s="45"/>
      <c r="Q130" s="45"/>
      <c r="R130" s="45"/>
      <c r="S130" s="45"/>
      <c r="T130" s="45"/>
      <c r="U130" s="45"/>
      <c r="V130" s="16"/>
      <c r="W130" s="16"/>
      <c r="X130" s="45"/>
      <c r="Y130" s="45"/>
      <c r="Z130" s="45"/>
      <c r="AA130" s="45"/>
      <c r="AB130" s="45"/>
      <c r="AC130" s="45"/>
    </row>
    <row r="131" spans="1:29" s="17" customFormat="1" x14ac:dyDescent="0.25">
      <c r="A131" s="16"/>
      <c r="B131" s="45"/>
      <c r="C131" s="16"/>
      <c r="D131" s="15"/>
      <c r="E131" s="15"/>
      <c r="F131" s="15"/>
      <c r="G131" s="15"/>
      <c r="H131" s="18"/>
      <c r="I131" s="15"/>
      <c r="J131" s="15"/>
      <c r="K131" s="19"/>
      <c r="L131" s="16"/>
      <c r="N131" s="45"/>
      <c r="O131" s="45"/>
      <c r="P131" s="45"/>
      <c r="Q131" s="45"/>
      <c r="R131" s="45"/>
      <c r="S131" s="45"/>
      <c r="T131" s="45"/>
      <c r="U131" s="45"/>
      <c r="V131" s="16"/>
      <c r="W131" s="16"/>
      <c r="X131" s="45"/>
      <c r="Y131" s="45"/>
      <c r="Z131" s="45"/>
      <c r="AA131" s="45"/>
      <c r="AB131" s="45"/>
      <c r="AC131" s="45"/>
    </row>
    <row r="132" spans="1:29" s="17" customFormat="1" x14ac:dyDescent="0.25">
      <c r="A132" s="16"/>
      <c r="B132" s="45"/>
      <c r="C132" s="16"/>
      <c r="D132" s="15"/>
      <c r="E132" s="15"/>
      <c r="F132" s="15"/>
      <c r="G132" s="15"/>
      <c r="H132" s="18"/>
      <c r="I132" s="15"/>
      <c r="J132" s="15"/>
      <c r="K132" s="19"/>
      <c r="L132" s="16"/>
      <c r="N132" s="45"/>
      <c r="O132" s="45"/>
      <c r="P132" s="45"/>
      <c r="Q132" s="45"/>
      <c r="R132" s="45"/>
      <c r="S132" s="45"/>
      <c r="T132" s="45"/>
      <c r="U132" s="45"/>
      <c r="V132" s="16"/>
      <c r="W132" s="16"/>
      <c r="X132" s="45"/>
      <c r="Y132" s="45"/>
      <c r="Z132" s="45"/>
      <c r="AA132" s="45"/>
      <c r="AB132" s="45"/>
      <c r="AC132" s="45"/>
    </row>
    <row r="133" spans="1:29" s="17" customFormat="1" x14ac:dyDescent="0.25">
      <c r="A133" s="16"/>
      <c r="B133" s="45"/>
      <c r="C133" s="16"/>
      <c r="D133" s="15"/>
      <c r="E133" s="15"/>
      <c r="F133" s="15"/>
      <c r="G133" s="15"/>
      <c r="H133" s="18"/>
      <c r="I133" s="15"/>
      <c r="J133" s="15"/>
      <c r="K133" s="19"/>
      <c r="L133" s="16"/>
      <c r="N133" s="45"/>
      <c r="O133" s="45"/>
      <c r="P133" s="45"/>
      <c r="Q133" s="45"/>
      <c r="R133" s="45"/>
      <c r="S133" s="45"/>
      <c r="T133" s="45"/>
      <c r="U133" s="45"/>
      <c r="V133" s="16"/>
      <c r="W133" s="16"/>
      <c r="X133" s="45"/>
      <c r="Y133" s="45"/>
      <c r="Z133" s="45"/>
      <c r="AA133" s="45"/>
      <c r="AB133" s="45"/>
      <c r="AC133" s="45"/>
    </row>
    <row r="134" spans="1:29" s="17" customFormat="1" x14ac:dyDescent="0.25">
      <c r="A134" s="16"/>
      <c r="B134" s="45"/>
      <c r="C134" s="16"/>
      <c r="D134" s="15"/>
      <c r="E134" s="15"/>
      <c r="F134" s="15"/>
      <c r="G134" s="15"/>
      <c r="H134" s="18"/>
      <c r="I134" s="15"/>
      <c r="J134" s="15"/>
      <c r="K134" s="19"/>
      <c r="L134" s="16"/>
      <c r="N134" s="45"/>
      <c r="O134" s="45"/>
      <c r="P134" s="45"/>
      <c r="Q134" s="45"/>
      <c r="R134" s="45"/>
      <c r="S134" s="45"/>
      <c r="T134" s="45"/>
      <c r="U134" s="45"/>
      <c r="V134" s="16"/>
      <c r="W134" s="16"/>
      <c r="X134" s="45"/>
      <c r="Y134" s="45"/>
      <c r="Z134" s="45"/>
      <c r="AA134" s="45"/>
      <c r="AB134" s="45"/>
      <c r="AC134" s="45"/>
    </row>
    <row r="135" spans="1:29" s="17" customFormat="1" x14ac:dyDescent="0.25">
      <c r="A135" s="16"/>
      <c r="B135" s="45"/>
      <c r="C135" s="16"/>
      <c r="D135" s="15"/>
      <c r="E135" s="15"/>
      <c r="F135" s="15"/>
      <c r="G135" s="15"/>
      <c r="H135" s="18"/>
      <c r="I135" s="15"/>
      <c r="J135" s="15"/>
      <c r="K135" s="19"/>
      <c r="L135" s="16"/>
      <c r="N135" s="45"/>
      <c r="O135" s="45"/>
      <c r="P135" s="45"/>
      <c r="Q135" s="45"/>
      <c r="R135" s="45"/>
      <c r="S135" s="45"/>
      <c r="T135" s="45"/>
      <c r="U135" s="45"/>
      <c r="V135" s="16"/>
      <c r="W135" s="16"/>
      <c r="X135" s="45"/>
      <c r="Y135" s="45"/>
      <c r="Z135" s="45"/>
      <c r="AA135" s="45"/>
      <c r="AB135" s="45"/>
      <c r="AC135" s="45"/>
    </row>
    <row r="136" spans="1:29" s="17" customFormat="1" x14ac:dyDescent="0.25">
      <c r="A136" s="16"/>
      <c r="B136" s="45"/>
      <c r="C136" s="16"/>
      <c r="D136" s="15"/>
      <c r="E136" s="15"/>
      <c r="F136" s="15"/>
      <c r="G136" s="15"/>
      <c r="H136" s="18"/>
      <c r="I136" s="15"/>
      <c r="J136" s="15"/>
      <c r="K136" s="19"/>
      <c r="L136" s="16"/>
      <c r="N136" s="45"/>
      <c r="O136" s="45"/>
      <c r="P136" s="45"/>
      <c r="Q136" s="45"/>
      <c r="R136" s="45"/>
      <c r="S136" s="45"/>
      <c r="T136" s="45"/>
      <c r="U136" s="45"/>
      <c r="V136" s="16"/>
      <c r="W136" s="16"/>
      <c r="X136" s="45"/>
      <c r="Y136" s="45"/>
      <c r="Z136" s="45"/>
      <c r="AA136" s="45"/>
      <c r="AB136" s="45"/>
      <c r="AC136" s="45"/>
    </row>
    <row r="137" spans="1:29" s="17" customFormat="1" x14ac:dyDescent="0.25">
      <c r="A137" s="16"/>
      <c r="B137" s="45"/>
      <c r="C137" s="16"/>
      <c r="D137" s="15"/>
      <c r="E137" s="15"/>
      <c r="F137" s="15"/>
      <c r="G137" s="15"/>
      <c r="H137" s="18"/>
      <c r="I137" s="15"/>
      <c r="J137" s="15"/>
      <c r="K137" s="19"/>
      <c r="L137" s="16"/>
      <c r="N137" s="45"/>
      <c r="O137" s="45"/>
      <c r="P137" s="45"/>
      <c r="Q137" s="45"/>
      <c r="R137" s="45"/>
      <c r="S137" s="45"/>
      <c r="T137" s="45"/>
      <c r="U137" s="45"/>
      <c r="V137" s="16"/>
      <c r="W137" s="16"/>
      <c r="X137" s="45"/>
      <c r="Y137" s="45"/>
      <c r="Z137" s="45"/>
      <c r="AA137" s="45"/>
      <c r="AB137" s="45"/>
      <c r="AC137" s="45"/>
    </row>
    <row r="138" spans="1:29" s="17" customFormat="1" x14ac:dyDescent="0.25">
      <c r="A138" s="16"/>
      <c r="B138" s="45"/>
      <c r="C138" s="16"/>
      <c r="D138" s="15"/>
      <c r="E138" s="15"/>
      <c r="F138" s="15"/>
      <c r="G138" s="15"/>
      <c r="H138" s="18"/>
      <c r="I138" s="15"/>
      <c r="J138" s="15"/>
      <c r="K138" s="19"/>
      <c r="L138" s="16"/>
      <c r="N138" s="45"/>
      <c r="O138" s="45"/>
      <c r="P138" s="45"/>
      <c r="Q138" s="45"/>
      <c r="R138" s="45"/>
      <c r="S138" s="45"/>
      <c r="T138" s="45"/>
      <c r="U138" s="45"/>
      <c r="V138" s="16"/>
      <c r="W138" s="16"/>
      <c r="X138" s="45"/>
      <c r="Y138" s="45"/>
      <c r="Z138" s="45"/>
      <c r="AA138" s="45"/>
      <c r="AB138" s="45"/>
      <c r="AC138" s="45"/>
    </row>
    <row r="139" spans="1:29" s="17" customFormat="1" x14ac:dyDescent="0.25">
      <c r="A139" s="16"/>
      <c r="B139" s="45"/>
      <c r="C139" s="16"/>
      <c r="D139" s="15"/>
      <c r="E139" s="15"/>
      <c r="F139" s="15"/>
      <c r="G139" s="15"/>
      <c r="H139" s="18"/>
      <c r="I139" s="15"/>
      <c r="J139" s="15"/>
      <c r="K139" s="19"/>
      <c r="L139" s="16"/>
      <c r="N139" s="45"/>
      <c r="O139" s="45"/>
      <c r="P139" s="45"/>
      <c r="Q139" s="45"/>
      <c r="R139" s="45"/>
      <c r="S139" s="45"/>
      <c r="T139" s="45"/>
      <c r="U139" s="45"/>
      <c r="V139" s="16"/>
      <c r="W139" s="16"/>
      <c r="X139" s="45"/>
      <c r="Y139" s="45"/>
      <c r="Z139" s="45"/>
      <c r="AA139" s="45"/>
      <c r="AB139" s="45"/>
      <c r="AC139" s="45"/>
    </row>
    <row r="140" spans="1:29" s="17" customFormat="1" x14ac:dyDescent="0.25">
      <c r="A140" s="16"/>
      <c r="B140" s="45"/>
      <c r="C140" s="16"/>
      <c r="D140" s="15"/>
      <c r="E140" s="15"/>
      <c r="F140" s="15"/>
      <c r="G140" s="15"/>
      <c r="H140" s="18"/>
      <c r="I140" s="15"/>
      <c r="J140" s="15"/>
      <c r="K140" s="19"/>
      <c r="L140" s="16"/>
      <c r="N140" s="45"/>
      <c r="O140" s="45"/>
      <c r="P140" s="45"/>
      <c r="Q140" s="45"/>
      <c r="R140" s="45"/>
      <c r="S140" s="45"/>
      <c r="T140" s="45"/>
      <c r="U140" s="45"/>
      <c r="V140" s="16"/>
      <c r="W140" s="16"/>
      <c r="X140" s="45"/>
      <c r="Y140" s="45"/>
      <c r="Z140" s="45"/>
      <c r="AA140" s="45"/>
      <c r="AB140" s="45"/>
      <c r="AC140" s="45"/>
    </row>
    <row r="141" spans="1:29" s="17" customFormat="1" x14ac:dyDescent="0.25">
      <c r="A141" s="16"/>
      <c r="B141" s="45"/>
      <c r="C141" s="16"/>
      <c r="D141" s="15"/>
      <c r="E141" s="15"/>
      <c r="F141" s="15"/>
      <c r="G141" s="15"/>
      <c r="H141" s="18"/>
      <c r="I141" s="15"/>
      <c r="J141" s="15"/>
      <c r="K141" s="19"/>
      <c r="L141" s="16"/>
      <c r="N141" s="45"/>
      <c r="O141" s="45"/>
      <c r="P141" s="45"/>
      <c r="Q141" s="45"/>
      <c r="R141" s="45"/>
      <c r="S141" s="45"/>
      <c r="T141" s="45"/>
      <c r="U141" s="45"/>
      <c r="V141" s="16"/>
      <c r="W141" s="16"/>
      <c r="X141" s="45"/>
      <c r="Y141" s="45"/>
      <c r="Z141" s="45"/>
      <c r="AA141" s="45"/>
      <c r="AB141" s="45"/>
      <c r="AC141" s="45"/>
    </row>
    <row r="142" spans="1:29" s="17" customFormat="1" x14ac:dyDescent="0.25">
      <c r="A142" s="16"/>
      <c r="B142" s="45"/>
      <c r="C142" s="16"/>
      <c r="D142" s="15"/>
      <c r="E142" s="15"/>
      <c r="F142" s="15"/>
      <c r="G142" s="15"/>
      <c r="H142" s="18"/>
      <c r="I142" s="15"/>
      <c r="J142" s="15"/>
      <c r="K142" s="19"/>
      <c r="L142" s="16"/>
      <c r="N142" s="45"/>
      <c r="O142" s="45"/>
      <c r="P142" s="45"/>
      <c r="Q142" s="45"/>
      <c r="R142" s="45"/>
      <c r="S142" s="45"/>
      <c r="T142" s="45"/>
      <c r="U142" s="45"/>
      <c r="V142" s="16"/>
      <c r="W142" s="16"/>
      <c r="X142" s="45"/>
      <c r="Y142" s="45"/>
      <c r="Z142" s="45"/>
      <c r="AA142" s="45"/>
      <c r="AB142" s="45"/>
      <c r="AC142" s="45"/>
    </row>
    <row r="143" spans="1:29" s="17" customFormat="1" x14ac:dyDescent="0.25">
      <c r="A143" s="16"/>
      <c r="B143" s="45"/>
      <c r="C143" s="16"/>
      <c r="D143" s="15"/>
      <c r="E143" s="15"/>
      <c r="F143" s="15"/>
      <c r="G143" s="15"/>
      <c r="H143" s="18"/>
      <c r="I143" s="15"/>
      <c r="J143" s="15"/>
      <c r="K143" s="19"/>
      <c r="L143" s="16"/>
      <c r="N143" s="45"/>
      <c r="O143" s="45"/>
      <c r="P143" s="45"/>
      <c r="Q143" s="45"/>
      <c r="R143" s="45"/>
      <c r="S143" s="45"/>
      <c r="T143" s="45"/>
      <c r="U143" s="45"/>
      <c r="V143" s="16"/>
      <c r="W143" s="16"/>
      <c r="X143" s="45"/>
      <c r="Y143" s="45"/>
      <c r="Z143" s="45"/>
      <c r="AA143" s="45"/>
      <c r="AB143" s="45"/>
      <c r="AC143" s="45"/>
    </row>
    <row r="144" spans="1:29" s="17" customFormat="1" x14ac:dyDescent="0.25">
      <c r="A144" s="16"/>
      <c r="B144" s="45"/>
      <c r="C144" s="16"/>
      <c r="D144" s="15"/>
      <c r="E144" s="15"/>
      <c r="F144" s="15"/>
      <c r="G144" s="15"/>
      <c r="H144" s="18"/>
      <c r="I144" s="15"/>
      <c r="J144" s="15"/>
      <c r="K144" s="19"/>
      <c r="L144" s="16"/>
      <c r="N144" s="45"/>
      <c r="O144" s="45"/>
      <c r="P144" s="45"/>
      <c r="Q144" s="45"/>
      <c r="R144" s="45"/>
      <c r="S144" s="45"/>
      <c r="T144" s="45"/>
      <c r="U144" s="45"/>
      <c r="V144" s="16"/>
      <c r="W144" s="16"/>
      <c r="X144" s="45"/>
      <c r="Y144" s="45"/>
      <c r="Z144" s="45"/>
      <c r="AA144" s="45"/>
      <c r="AB144" s="45"/>
      <c r="AC144" s="45"/>
    </row>
    <row r="145" spans="1:29" s="17" customFormat="1" x14ac:dyDescent="0.25">
      <c r="A145" s="16"/>
      <c r="B145" s="45"/>
      <c r="C145" s="16"/>
      <c r="D145" s="15"/>
      <c r="E145" s="15"/>
      <c r="F145" s="15"/>
      <c r="G145" s="15"/>
      <c r="H145" s="18"/>
      <c r="I145" s="15"/>
      <c r="J145" s="15"/>
      <c r="K145" s="19"/>
      <c r="L145" s="16"/>
      <c r="N145" s="45"/>
      <c r="O145" s="45"/>
      <c r="P145" s="45"/>
      <c r="Q145" s="45"/>
      <c r="R145" s="45"/>
      <c r="S145" s="45"/>
      <c r="T145" s="45"/>
      <c r="U145" s="45"/>
      <c r="V145" s="16"/>
      <c r="W145" s="16"/>
      <c r="X145" s="45"/>
      <c r="Y145" s="45"/>
      <c r="Z145" s="45"/>
      <c r="AA145" s="45"/>
      <c r="AB145" s="45"/>
      <c r="AC145" s="45"/>
    </row>
    <row r="146" spans="1:29" s="17" customFormat="1" x14ac:dyDescent="0.25">
      <c r="A146" s="16"/>
      <c r="B146" s="45"/>
      <c r="C146" s="16"/>
      <c r="D146" s="15"/>
      <c r="E146" s="15"/>
      <c r="F146" s="15"/>
      <c r="G146" s="15"/>
      <c r="H146" s="18"/>
      <c r="I146" s="15"/>
      <c r="J146" s="15"/>
      <c r="K146" s="19"/>
      <c r="L146" s="16"/>
      <c r="N146" s="45"/>
      <c r="O146" s="45"/>
      <c r="P146" s="45"/>
      <c r="Q146" s="45"/>
      <c r="R146" s="45"/>
      <c r="S146" s="45"/>
      <c r="T146" s="45"/>
      <c r="U146" s="45"/>
      <c r="V146" s="16"/>
      <c r="W146" s="16"/>
      <c r="X146" s="45"/>
      <c r="Y146" s="45"/>
      <c r="Z146" s="45"/>
      <c r="AA146" s="45"/>
      <c r="AB146" s="45"/>
      <c r="AC146" s="45"/>
    </row>
    <row r="147" spans="1:29" s="17" customFormat="1" x14ac:dyDescent="0.25">
      <c r="A147" s="16"/>
      <c r="B147" s="45"/>
      <c r="C147" s="16"/>
      <c r="D147" s="15"/>
      <c r="E147" s="15"/>
      <c r="F147" s="15"/>
      <c r="G147" s="15"/>
      <c r="H147" s="18"/>
      <c r="I147" s="15"/>
      <c r="J147" s="15"/>
      <c r="K147" s="19"/>
      <c r="L147" s="16"/>
      <c r="N147" s="45"/>
      <c r="O147" s="45"/>
      <c r="P147" s="45"/>
      <c r="Q147" s="45"/>
      <c r="R147" s="45"/>
      <c r="S147" s="45"/>
      <c r="T147" s="45"/>
      <c r="U147" s="45"/>
      <c r="V147" s="16"/>
      <c r="W147" s="16"/>
      <c r="X147" s="45"/>
      <c r="Y147" s="45"/>
      <c r="Z147" s="45"/>
      <c r="AA147" s="45"/>
      <c r="AB147" s="45"/>
      <c r="AC147" s="45"/>
    </row>
    <row r="148" spans="1:29" s="17" customFormat="1" x14ac:dyDescent="0.25">
      <c r="A148" s="16"/>
      <c r="B148" s="45"/>
      <c r="C148" s="16"/>
      <c r="D148" s="15"/>
      <c r="E148" s="15"/>
      <c r="F148" s="15"/>
      <c r="G148" s="15"/>
      <c r="H148" s="18"/>
      <c r="I148" s="15"/>
      <c r="J148" s="15"/>
      <c r="K148" s="19"/>
      <c r="L148" s="16"/>
      <c r="N148" s="45"/>
      <c r="O148" s="45"/>
      <c r="P148" s="45"/>
      <c r="Q148" s="45"/>
      <c r="R148" s="45"/>
      <c r="S148" s="45"/>
      <c r="T148" s="45"/>
      <c r="U148" s="45"/>
      <c r="V148" s="16"/>
      <c r="W148" s="16"/>
      <c r="X148" s="45"/>
      <c r="Y148" s="45"/>
      <c r="Z148" s="45"/>
      <c r="AA148" s="45"/>
      <c r="AB148" s="45"/>
      <c r="AC148" s="45"/>
    </row>
    <row r="149" spans="1:29" s="17" customFormat="1" x14ac:dyDescent="0.25">
      <c r="A149" s="16"/>
      <c r="B149" s="45"/>
      <c r="C149" s="16"/>
      <c r="D149" s="15"/>
      <c r="E149" s="15"/>
      <c r="F149" s="15"/>
      <c r="G149" s="15"/>
      <c r="H149" s="18"/>
      <c r="I149" s="15"/>
      <c r="J149" s="15"/>
      <c r="K149" s="19"/>
      <c r="L149" s="16"/>
      <c r="N149" s="45"/>
      <c r="O149" s="45"/>
      <c r="P149" s="45"/>
      <c r="Q149" s="45"/>
      <c r="R149" s="45"/>
      <c r="S149" s="45"/>
      <c r="T149" s="45"/>
      <c r="U149" s="45"/>
      <c r="V149" s="16"/>
      <c r="W149" s="16"/>
      <c r="X149" s="45"/>
      <c r="Y149" s="45"/>
      <c r="Z149" s="45"/>
      <c r="AA149" s="45"/>
      <c r="AB149" s="45"/>
      <c r="AC149" s="45"/>
    </row>
    <row r="150" spans="1:29" s="17" customFormat="1" x14ac:dyDescent="0.25">
      <c r="A150" s="16"/>
      <c r="B150" s="45"/>
      <c r="C150" s="16"/>
      <c r="D150" s="15"/>
      <c r="E150" s="15"/>
      <c r="F150" s="15"/>
      <c r="G150" s="15"/>
      <c r="H150" s="18"/>
      <c r="I150" s="15"/>
      <c r="J150" s="15"/>
      <c r="K150" s="19"/>
      <c r="L150" s="16"/>
      <c r="N150" s="45"/>
      <c r="O150" s="45"/>
      <c r="P150" s="45"/>
      <c r="Q150" s="45"/>
      <c r="R150" s="45"/>
      <c r="S150" s="45"/>
      <c r="T150" s="45"/>
      <c r="U150" s="45"/>
      <c r="V150" s="16"/>
      <c r="W150" s="16"/>
      <c r="X150" s="45"/>
      <c r="Y150" s="45"/>
      <c r="Z150" s="45"/>
      <c r="AA150" s="45"/>
      <c r="AB150" s="45"/>
      <c r="AC150" s="45"/>
    </row>
    <row r="151" spans="1:29" s="17" customFormat="1" x14ac:dyDescent="0.25">
      <c r="A151" s="16"/>
      <c r="B151" s="45"/>
      <c r="C151" s="16"/>
      <c r="D151" s="15"/>
      <c r="E151" s="15"/>
      <c r="F151" s="15"/>
      <c r="G151" s="15"/>
      <c r="H151" s="18"/>
      <c r="I151" s="15"/>
      <c r="J151" s="15"/>
      <c r="K151" s="19"/>
      <c r="L151" s="16"/>
      <c r="N151" s="45"/>
      <c r="O151" s="45"/>
      <c r="P151" s="45"/>
      <c r="Q151" s="45"/>
      <c r="R151" s="45"/>
      <c r="S151" s="45"/>
      <c r="T151" s="45"/>
      <c r="U151" s="45"/>
      <c r="V151" s="16"/>
      <c r="W151" s="16"/>
      <c r="X151" s="45"/>
      <c r="Y151" s="45"/>
      <c r="Z151" s="45"/>
      <c r="AA151" s="45"/>
      <c r="AB151" s="45"/>
      <c r="AC151" s="45"/>
    </row>
    <row r="152" spans="1:29" s="17" customFormat="1" x14ac:dyDescent="0.25">
      <c r="A152" s="16"/>
      <c r="B152" s="45"/>
      <c r="C152" s="16"/>
      <c r="D152" s="15"/>
      <c r="E152" s="15"/>
      <c r="F152" s="15"/>
      <c r="G152" s="15"/>
      <c r="H152" s="18"/>
      <c r="I152" s="15"/>
      <c r="J152" s="15"/>
      <c r="K152" s="19"/>
      <c r="L152" s="16"/>
      <c r="N152" s="45"/>
      <c r="O152" s="45"/>
      <c r="P152" s="45"/>
      <c r="Q152" s="45"/>
      <c r="R152" s="45"/>
      <c r="S152" s="45"/>
      <c r="T152" s="45"/>
      <c r="U152" s="45"/>
      <c r="V152" s="16"/>
      <c r="W152" s="16"/>
      <c r="X152" s="45"/>
      <c r="Y152" s="45"/>
      <c r="Z152" s="45"/>
      <c r="AA152" s="45"/>
      <c r="AB152" s="45"/>
      <c r="AC152" s="45"/>
    </row>
    <row r="153" spans="1:29" s="17" customFormat="1" x14ac:dyDescent="0.25">
      <c r="A153" s="16"/>
      <c r="B153" s="45"/>
      <c r="C153" s="16"/>
      <c r="D153" s="15"/>
      <c r="E153" s="15"/>
      <c r="F153" s="15"/>
      <c r="G153" s="15"/>
      <c r="H153" s="18"/>
      <c r="I153" s="15"/>
      <c r="J153" s="15"/>
      <c r="K153" s="19"/>
      <c r="L153" s="16"/>
      <c r="N153" s="45"/>
      <c r="O153" s="45"/>
      <c r="P153" s="45"/>
      <c r="Q153" s="45"/>
      <c r="R153" s="45"/>
      <c r="S153" s="45"/>
      <c r="T153" s="45"/>
      <c r="U153" s="45"/>
      <c r="V153" s="16"/>
      <c r="W153" s="16"/>
      <c r="X153" s="45"/>
      <c r="Y153" s="45"/>
      <c r="Z153" s="45"/>
      <c r="AA153" s="45"/>
      <c r="AB153" s="45"/>
      <c r="AC153" s="45"/>
    </row>
    <row r="154" spans="1:29" s="17" customFormat="1" x14ac:dyDescent="0.25">
      <c r="A154" s="16"/>
      <c r="B154" s="45"/>
      <c r="C154" s="16"/>
      <c r="D154" s="15"/>
      <c r="E154" s="15"/>
      <c r="F154" s="15"/>
      <c r="G154" s="15"/>
      <c r="H154" s="18"/>
      <c r="I154" s="15"/>
      <c r="J154" s="15"/>
      <c r="K154" s="19"/>
      <c r="L154" s="16"/>
      <c r="N154" s="45"/>
      <c r="O154" s="45"/>
      <c r="P154" s="45"/>
      <c r="Q154" s="45"/>
      <c r="R154" s="45"/>
      <c r="S154" s="45"/>
      <c r="T154" s="45"/>
      <c r="U154" s="45"/>
      <c r="V154" s="16"/>
      <c r="W154" s="16"/>
      <c r="X154" s="45"/>
      <c r="Y154" s="45"/>
      <c r="Z154" s="45"/>
      <c r="AA154" s="45"/>
      <c r="AB154" s="45"/>
      <c r="AC154" s="45"/>
    </row>
    <row r="155" spans="1:29" s="17" customFormat="1" x14ac:dyDescent="0.25">
      <c r="A155" s="16"/>
      <c r="B155" s="45"/>
      <c r="C155" s="16"/>
      <c r="D155" s="15"/>
      <c r="E155" s="15"/>
      <c r="F155" s="15"/>
      <c r="G155" s="15"/>
      <c r="H155" s="18"/>
      <c r="I155" s="15"/>
      <c r="J155" s="15"/>
      <c r="K155" s="19"/>
      <c r="L155" s="16"/>
      <c r="N155" s="45"/>
      <c r="O155" s="45"/>
      <c r="P155" s="45"/>
      <c r="Q155" s="45"/>
      <c r="R155" s="45"/>
      <c r="S155" s="45"/>
      <c r="T155" s="45"/>
      <c r="U155" s="45"/>
      <c r="V155" s="16"/>
      <c r="W155" s="16"/>
      <c r="X155" s="45"/>
      <c r="Y155" s="45"/>
      <c r="Z155" s="45"/>
      <c r="AA155" s="45"/>
      <c r="AB155" s="45"/>
      <c r="AC155" s="45"/>
    </row>
    <row r="156" spans="1:29" s="17" customFormat="1" x14ac:dyDescent="0.25">
      <c r="A156" s="16"/>
      <c r="B156" s="45"/>
      <c r="C156" s="16"/>
      <c r="D156" s="15"/>
      <c r="E156" s="15"/>
      <c r="F156" s="15"/>
      <c r="G156" s="15"/>
      <c r="H156" s="18"/>
      <c r="I156" s="15"/>
      <c r="J156" s="15"/>
      <c r="K156" s="19"/>
      <c r="L156" s="16"/>
      <c r="N156" s="45"/>
      <c r="O156" s="45"/>
      <c r="P156" s="45"/>
      <c r="Q156" s="45"/>
      <c r="R156" s="45"/>
      <c r="S156" s="45"/>
      <c r="T156" s="45"/>
      <c r="U156" s="45"/>
      <c r="V156" s="16"/>
      <c r="W156" s="16"/>
      <c r="X156" s="45"/>
      <c r="Y156" s="45"/>
      <c r="Z156" s="45"/>
      <c r="AA156" s="45"/>
      <c r="AB156" s="45"/>
      <c r="AC156" s="45"/>
    </row>
    <row r="157" spans="1:29" s="17" customFormat="1" x14ac:dyDescent="0.25">
      <c r="A157" s="16"/>
      <c r="B157" s="45"/>
      <c r="C157" s="16"/>
      <c r="D157" s="15"/>
      <c r="E157" s="15"/>
      <c r="F157" s="15"/>
      <c r="G157" s="15"/>
      <c r="H157" s="18"/>
      <c r="I157" s="15"/>
      <c r="J157" s="15"/>
      <c r="K157" s="19"/>
      <c r="L157" s="16"/>
      <c r="N157" s="45"/>
      <c r="O157" s="45"/>
      <c r="P157" s="45"/>
      <c r="Q157" s="45"/>
      <c r="R157" s="45"/>
      <c r="S157" s="45"/>
      <c r="T157" s="45"/>
      <c r="U157" s="45"/>
      <c r="V157" s="16"/>
      <c r="W157" s="16"/>
      <c r="X157" s="45"/>
      <c r="Y157" s="45"/>
      <c r="Z157" s="45"/>
      <c r="AA157" s="45"/>
      <c r="AB157" s="45"/>
      <c r="AC157" s="45"/>
    </row>
    <row r="158" spans="1:29" s="17" customFormat="1" x14ac:dyDescent="0.25">
      <c r="A158" s="16"/>
      <c r="B158" s="45"/>
      <c r="C158" s="16"/>
      <c r="D158" s="15"/>
      <c r="E158" s="15"/>
      <c r="F158" s="15"/>
      <c r="G158" s="15"/>
      <c r="H158" s="18"/>
      <c r="I158" s="15"/>
      <c r="J158" s="15"/>
      <c r="K158" s="19"/>
      <c r="L158" s="16"/>
      <c r="N158" s="45"/>
      <c r="O158" s="45"/>
      <c r="P158" s="45"/>
      <c r="Q158" s="45"/>
      <c r="R158" s="45"/>
      <c r="S158" s="45"/>
      <c r="T158" s="45"/>
      <c r="U158" s="45"/>
      <c r="V158" s="16"/>
      <c r="W158" s="16"/>
      <c r="X158" s="45"/>
      <c r="Y158" s="45"/>
      <c r="Z158" s="45"/>
      <c r="AA158" s="45"/>
      <c r="AB158" s="45"/>
      <c r="AC158" s="45"/>
    </row>
    <row r="159" spans="1:29" s="17" customFormat="1" x14ac:dyDescent="0.25">
      <c r="A159" s="16"/>
      <c r="B159" s="45"/>
      <c r="C159" s="16"/>
      <c r="D159" s="15"/>
      <c r="E159" s="15"/>
      <c r="F159" s="15"/>
      <c r="G159" s="15"/>
      <c r="H159" s="18"/>
      <c r="I159" s="15"/>
      <c r="J159" s="15"/>
      <c r="K159" s="19"/>
      <c r="L159" s="16"/>
      <c r="N159" s="45"/>
      <c r="O159" s="45"/>
      <c r="P159" s="45"/>
      <c r="Q159" s="45"/>
      <c r="R159" s="45"/>
      <c r="S159" s="45"/>
      <c r="T159" s="45"/>
      <c r="U159" s="45"/>
      <c r="V159" s="16"/>
      <c r="W159" s="16"/>
      <c r="X159" s="45"/>
      <c r="Y159" s="45"/>
      <c r="Z159" s="45"/>
      <c r="AA159" s="45"/>
      <c r="AB159" s="45"/>
      <c r="AC159" s="45"/>
    </row>
    <row r="160" spans="1:29" s="17" customFormat="1" x14ac:dyDescent="0.25">
      <c r="A160" s="16"/>
      <c r="B160" s="45"/>
      <c r="C160" s="16"/>
      <c r="D160" s="15"/>
      <c r="E160" s="15"/>
      <c r="F160" s="15"/>
      <c r="G160" s="15"/>
      <c r="H160" s="18"/>
      <c r="I160" s="15"/>
      <c r="J160" s="15"/>
      <c r="K160" s="19"/>
      <c r="L160" s="16"/>
      <c r="N160" s="45"/>
      <c r="O160" s="45"/>
      <c r="P160" s="45"/>
      <c r="Q160" s="45"/>
      <c r="R160" s="45"/>
      <c r="S160" s="45"/>
      <c r="T160" s="45"/>
      <c r="U160" s="45"/>
      <c r="V160" s="16"/>
      <c r="W160" s="16"/>
      <c r="X160" s="45"/>
      <c r="Y160" s="45"/>
      <c r="Z160" s="45"/>
      <c r="AA160" s="45"/>
      <c r="AB160" s="45"/>
      <c r="AC160" s="45"/>
    </row>
    <row r="161" spans="1:29" s="17" customFormat="1" x14ac:dyDescent="0.25">
      <c r="A161" s="16"/>
      <c r="B161" s="45"/>
      <c r="C161" s="16"/>
      <c r="D161" s="15"/>
      <c r="E161" s="15"/>
      <c r="F161" s="15"/>
      <c r="G161" s="15"/>
      <c r="H161" s="18"/>
      <c r="I161" s="15"/>
      <c r="J161" s="15"/>
      <c r="K161" s="19"/>
      <c r="L161" s="16"/>
      <c r="N161" s="45"/>
      <c r="O161" s="45"/>
      <c r="P161" s="45"/>
      <c r="Q161" s="45"/>
      <c r="R161" s="45"/>
      <c r="S161" s="45"/>
      <c r="T161" s="45"/>
      <c r="U161" s="45"/>
      <c r="V161" s="16"/>
      <c r="W161" s="16"/>
      <c r="X161" s="45"/>
      <c r="Y161" s="45"/>
      <c r="Z161" s="45"/>
      <c r="AA161" s="45"/>
      <c r="AB161" s="45"/>
      <c r="AC161" s="45"/>
    </row>
    <row r="162" spans="1:29" s="17" customFormat="1" x14ac:dyDescent="0.25">
      <c r="A162" s="16"/>
      <c r="B162" s="45"/>
      <c r="C162" s="16"/>
      <c r="D162" s="15"/>
      <c r="E162" s="15"/>
      <c r="F162" s="15"/>
      <c r="G162" s="15"/>
      <c r="H162" s="18"/>
      <c r="I162" s="15"/>
      <c r="J162" s="15"/>
      <c r="K162" s="19"/>
      <c r="L162" s="16"/>
      <c r="N162" s="45"/>
      <c r="O162" s="45"/>
      <c r="P162" s="45"/>
      <c r="Q162" s="45"/>
      <c r="R162" s="45"/>
      <c r="S162" s="45"/>
      <c r="T162" s="45"/>
      <c r="U162" s="45"/>
      <c r="V162" s="16"/>
      <c r="W162" s="16"/>
      <c r="X162" s="45"/>
      <c r="Y162" s="45"/>
      <c r="Z162" s="45"/>
      <c r="AA162" s="45"/>
      <c r="AB162" s="45"/>
      <c r="AC162" s="45"/>
    </row>
    <row r="163" spans="1:29" s="17" customFormat="1" x14ac:dyDescent="0.25">
      <c r="A163" s="16"/>
      <c r="B163" s="45"/>
      <c r="C163" s="16"/>
      <c r="D163" s="15"/>
      <c r="E163" s="15"/>
      <c r="F163" s="15"/>
      <c r="G163" s="15"/>
      <c r="H163" s="18"/>
      <c r="I163" s="15"/>
      <c r="J163" s="15"/>
      <c r="K163" s="19"/>
      <c r="L163" s="16"/>
      <c r="N163" s="45"/>
      <c r="O163" s="45"/>
      <c r="P163" s="45"/>
      <c r="Q163" s="45"/>
      <c r="R163" s="45"/>
      <c r="S163" s="45"/>
      <c r="T163" s="45"/>
      <c r="U163" s="45"/>
      <c r="V163" s="16"/>
      <c r="W163" s="16"/>
      <c r="X163" s="45"/>
      <c r="Y163" s="45"/>
      <c r="Z163" s="45"/>
      <c r="AA163" s="45"/>
      <c r="AB163" s="45"/>
      <c r="AC163" s="45"/>
    </row>
    <row r="164" spans="1:29" s="17" customFormat="1" x14ac:dyDescent="0.25">
      <c r="A164" s="16"/>
      <c r="B164" s="45"/>
      <c r="C164" s="16"/>
      <c r="D164" s="15"/>
      <c r="E164" s="15"/>
      <c r="F164" s="15"/>
      <c r="G164" s="15"/>
      <c r="H164" s="18"/>
      <c r="I164" s="15"/>
      <c r="J164" s="15"/>
      <c r="K164" s="19"/>
      <c r="L164" s="16"/>
      <c r="N164" s="45"/>
      <c r="O164" s="45"/>
      <c r="P164" s="45"/>
      <c r="Q164" s="45"/>
      <c r="R164" s="45"/>
      <c r="S164" s="45"/>
      <c r="T164" s="45"/>
      <c r="U164" s="45"/>
      <c r="V164" s="16"/>
      <c r="W164" s="16"/>
      <c r="X164" s="45"/>
      <c r="Y164" s="45"/>
      <c r="Z164" s="45"/>
      <c r="AA164" s="45"/>
      <c r="AB164" s="45"/>
      <c r="AC164" s="45"/>
    </row>
    <row r="165" spans="1:29" s="17" customFormat="1" x14ac:dyDescent="0.25">
      <c r="A165" s="16"/>
      <c r="B165" s="45"/>
      <c r="C165" s="16"/>
      <c r="D165" s="15"/>
      <c r="E165" s="15"/>
      <c r="F165" s="15"/>
      <c r="G165" s="15"/>
      <c r="H165" s="18"/>
      <c r="I165" s="15"/>
      <c r="J165" s="15"/>
      <c r="K165" s="19"/>
      <c r="L165" s="16"/>
      <c r="N165" s="45"/>
      <c r="O165" s="45"/>
      <c r="P165" s="45"/>
      <c r="Q165" s="45"/>
      <c r="R165" s="45"/>
      <c r="S165" s="45"/>
      <c r="T165" s="45"/>
      <c r="U165" s="45"/>
      <c r="V165" s="16"/>
      <c r="W165" s="16"/>
      <c r="X165" s="45"/>
      <c r="Y165" s="45"/>
      <c r="Z165" s="45"/>
      <c r="AA165" s="45"/>
      <c r="AB165" s="45"/>
      <c r="AC165" s="45"/>
    </row>
    <row r="166" spans="1:29" s="17" customFormat="1" x14ac:dyDescent="0.25">
      <c r="A166" s="16"/>
      <c r="B166" s="45"/>
      <c r="C166" s="16"/>
      <c r="D166" s="15"/>
      <c r="E166" s="15"/>
      <c r="F166" s="15"/>
      <c r="G166" s="15"/>
      <c r="H166" s="18"/>
      <c r="I166" s="15"/>
      <c r="J166" s="15"/>
      <c r="K166" s="19"/>
      <c r="L166" s="16"/>
      <c r="N166" s="45"/>
      <c r="O166" s="45"/>
      <c r="P166" s="45"/>
      <c r="Q166" s="45"/>
      <c r="R166" s="45"/>
      <c r="S166" s="45"/>
      <c r="T166" s="45"/>
      <c r="U166" s="45"/>
      <c r="V166" s="16"/>
      <c r="W166" s="16"/>
      <c r="X166" s="45"/>
      <c r="Y166" s="45"/>
      <c r="Z166" s="45"/>
      <c r="AA166" s="45"/>
      <c r="AB166" s="45"/>
      <c r="AC166" s="45"/>
    </row>
    <row r="167" spans="1:29" s="17" customFormat="1" x14ac:dyDescent="0.25">
      <c r="A167" s="16"/>
      <c r="B167" s="45"/>
      <c r="C167" s="16"/>
      <c r="D167" s="15"/>
      <c r="E167" s="15"/>
      <c r="F167" s="15"/>
      <c r="G167" s="15"/>
      <c r="H167" s="18"/>
      <c r="I167" s="15"/>
      <c r="J167" s="15"/>
      <c r="K167" s="19"/>
      <c r="L167" s="16"/>
      <c r="N167" s="45"/>
      <c r="O167" s="45"/>
      <c r="P167" s="45"/>
      <c r="Q167" s="45"/>
      <c r="R167" s="45"/>
      <c r="S167" s="45"/>
      <c r="T167" s="45"/>
      <c r="U167" s="45"/>
      <c r="V167" s="16"/>
      <c r="W167" s="16"/>
      <c r="X167" s="45"/>
      <c r="Y167" s="45"/>
      <c r="Z167" s="45"/>
      <c r="AA167" s="45"/>
      <c r="AB167" s="45"/>
      <c r="AC167" s="45"/>
    </row>
    <row r="168" spans="1:29" s="17" customFormat="1" x14ac:dyDescent="0.25">
      <c r="A168" s="16"/>
      <c r="B168" s="45"/>
      <c r="C168" s="16"/>
      <c r="D168" s="15"/>
      <c r="E168" s="15"/>
      <c r="F168" s="15"/>
      <c r="G168" s="15"/>
      <c r="H168" s="18"/>
      <c r="I168" s="15"/>
      <c r="J168" s="15"/>
      <c r="K168" s="19"/>
      <c r="L168" s="16"/>
      <c r="N168" s="45"/>
      <c r="O168" s="45"/>
      <c r="P168" s="45"/>
      <c r="Q168" s="45"/>
      <c r="R168" s="45"/>
      <c r="S168" s="45"/>
      <c r="T168" s="45"/>
      <c r="U168" s="45"/>
      <c r="V168" s="16"/>
      <c r="W168" s="16"/>
      <c r="X168" s="45"/>
      <c r="Y168" s="45"/>
      <c r="Z168" s="45"/>
      <c r="AA168" s="45"/>
      <c r="AB168" s="45"/>
      <c r="AC168" s="45"/>
    </row>
    <row r="169" spans="1:29" s="17" customFormat="1" x14ac:dyDescent="0.25">
      <c r="A169" s="16"/>
      <c r="B169" s="45"/>
      <c r="C169" s="16"/>
      <c r="D169" s="15"/>
      <c r="E169" s="15"/>
      <c r="F169" s="15"/>
      <c r="G169" s="15"/>
      <c r="H169" s="18"/>
      <c r="I169" s="15"/>
      <c r="J169" s="15"/>
      <c r="K169" s="19"/>
      <c r="L169" s="16"/>
      <c r="N169" s="45"/>
      <c r="O169" s="45"/>
      <c r="P169" s="45"/>
      <c r="Q169" s="45"/>
      <c r="R169" s="45"/>
      <c r="S169" s="45"/>
      <c r="T169" s="45"/>
      <c r="U169" s="45"/>
      <c r="V169" s="16"/>
      <c r="W169" s="16"/>
      <c r="X169" s="45"/>
      <c r="Y169" s="45"/>
      <c r="Z169" s="45"/>
      <c r="AA169" s="45"/>
      <c r="AB169" s="45"/>
      <c r="AC169" s="45"/>
    </row>
    <row r="170" spans="1:29" s="17" customFormat="1" x14ac:dyDescent="0.25">
      <c r="A170" s="16"/>
      <c r="B170" s="45"/>
      <c r="C170" s="16"/>
      <c r="D170" s="15"/>
      <c r="E170" s="15"/>
      <c r="F170" s="15"/>
      <c r="G170" s="15"/>
      <c r="H170" s="18"/>
      <c r="I170" s="15"/>
      <c r="J170" s="15"/>
      <c r="K170" s="19"/>
      <c r="L170" s="16"/>
      <c r="N170" s="45"/>
      <c r="O170" s="45"/>
      <c r="P170" s="45"/>
      <c r="Q170" s="45"/>
      <c r="R170" s="45"/>
      <c r="S170" s="45"/>
      <c r="T170" s="45"/>
      <c r="U170" s="45"/>
      <c r="V170" s="16"/>
      <c r="W170" s="16"/>
      <c r="X170" s="45"/>
      <c r="Y170" s="45"/>
      <c r="Z170" s="45"/>
      <c r="AA170" s="45"/>
      <c r="AB170" s="45"/>
      <c r="AC170" s="45"/>
    </row>
    <row r="171" spans="1:29" s="17" customFormat="1" x14ac:dyDescent="0.25">
      <c r="A171" s="16"/>
      <c r="B171" s="45"/>
      <c r="C171" s="16"/>
      <c r="D171" s="15"/>
      <c r="E171" s="15"/>
      <c r="F171" s="15"/>
      <c r="G171" s="15"/>
      <c r="H171" s="18"/>
      <c r="I171" s="15"/>
      <c r="J171" s="15"/>
      <c r="K171" s="19"/>
      <c r="L171" s="16"/>
      <c r="N171" s="45"/>
      <c r="O171" s="45"/>
      <c r="P171" s="45"/>
      <c r="Q171" s="45"/>
      <c r="R171" s="45"/>
      <c r="S171" s="45"/>
      <c r="T171" s="45"/>
      <c r="U171" s="45"/>
      <c r="V171" s="16"/>
      <c r="W171" s="16"/>
      <c r="X171" s="45"/>
      <c r="Y171" s="45"/>
      <c r="Z171" s="45"/>
      <c r="AA171" s="45"/>
      <c r="AB171" s="45"/>
      <c r="AC171" s="45"/>
    </row>
    <row r="172" spans="1:29" s="17" customFormat="1" x14ac:dyDescent="0.25">
      <c r="A172" s="16"/>
      <c r="B172" s="45"/>
      <c r="C172" s="16"/>
      <c r="D172" s="15"/>
      <c r="E172" s="15"/>
      <c r="F172" s="15"/>
      <c r="G172" s="15"/>
      <c r="H172" s="18"/>
      <c r="I172" s="15"/>
      <c r="J172" s="15"/>
      <c r="K172" s="19"/>
      <c r="L172" s="16"/>
      <c r="N172" s="45"/>
      <c r="O172" s="45"/>
      <c r="P172" s="45"/>
      <c r="Q172" s="45"/>
      <c r="R172" s="45"/>
      <c r="S172" s="45"/>
      <c r="T172" s="45"/>
      <c r="U172" s="45"/>
      <c r="V172" s="16"/>
      <c r="W172" s="16"/>
      <c r="X172" s="45"/>
      <c r="Y172" s="45"/>
      <c r="Z172" s="45"/>
      <c r="AA172" s="45"/>
      <c r="AB172" s="45"/>
      <c r="AC172" s="45"/>
    </row>
    <row r="173" spans="1:29" s="17" customFormat="1" x14ac:dyDescent="0.25">
      <c r="A173" s="16"/>
      <c r="B173" s="45"/>
      <c r="C173" s="16"/>
      <c r="D173" s="15"/>
      <c r="E173" s="15"/>
      <c r="F173" s="15"/>
      <c r="G173" s="15"/>
      <c r="H173" s="18"/>
      <c r="I173" s="15"/>
      <c r="J173" s="15"/>
      <c r="K173" s="19"/>
      <c r="L173" s="16"/>
      <c r="N173" s="45"/>
      <c r="O173" s="45"/>
      <c r="P173" s="45"/>
      <c r="Q173" s="45"/>
      <c r="R173" s="45"/>
      <c r="S173" s="45"/>
      <c r="T173" s="45"/>
      <c r="U173" s="45"/>
      <c r="V173" s="16"/>
      <c r="W173" s="16"/>
      <c r="X173" s="45"/>
      <c r="Y173" s="45"/>
      <c r="Z173" s="45"/>
      <c r="AA173" s="45"/>
      <c r="AB173" s="45"/>
      <c r="AC173" s="45"/>
    </row>
    <row r="174" spans="1:29" s="17" customFormat="1" x14ac:dyDescent="0.25">
      <c r="A174" s="16"/>
      <c r="B174" s="45"/>
      <c r="C174" s="16"/>
      <c r="D174" s="15"/>
      <c r="E174" s="15"/>
      <c r="F174" s="15"/>
      <c r="G174" s="15"/>
      <c r="H174" s="18"/>
      <c r="I174" s="15"/>
      <c r="J174" s="15"/>
      <c r="K174" s="19"/>
      <c r="L174" s="16"/>
      <c r="N174" s="45"/>
      <c r="O174" s="45"/>
      <c r="P174" s="45"/>
      <c r="Q174" s="45"/>
      <c r="R174" s="45"/>
      <c r="S174" s="45"/>
      <c r="T174" s="45"/>
      <c r="U174" s="45"/>
      <c r="V174" s="16"/>
      <c r="W174" s="16"/>
      <c r="X174" s="45"/>
      <c r="Y174" s="45"/>
      <c r="Z174" s="45"/>
      <c r="AA174" s="45"/>
      <c r="AB174" s="45"/>
      <c r="AC174" s="45"/>
    </row>
    <row r="175" spans="1:29" s="17" customFormat="1" x14ac:dyDescent="0.25">
      <c r="A175" s="16"/>
      <c r="B175" s="45"/>
      <c r="C175" s="16"/>
      <c r="D175" s="15"/>
      <c r="E175" s="15"/>
      <c r="F175" s="15"/>
      <c r="G175" s="15"/>
      <c r="H175" s="18"/>
      <c r="I175" s="15"/>
      <c r="J175" s="15"/>
      <c r="K175" s="19"/>
      <c r="L175" s="16"/>
      <c r="N175" s="45"/>
      <c r="O175" s="45"/>
      <c r="P175" s="45"/>
      <c r="Q175" s="45"/>
      <c r="R175" s="45"/>
      <c r="S175" s="45"/>
      <c r="T175" s="45"/>
      <c r="U175" s="45"/>
      <c r="V175" s="16"/>
      <c r="W175" s="16"/>
      <c r="X175" s="45"/>
      <c r="Y175" s="45"/>
      <c r="Z175" s="45"/>
      <c r="AA175" s="45"/>
      <c r="AB175" s="45"/>
      <c r="AC175" s="45"/>
    </row>
    <row r="176" spans="1:29" s="17" customFormat="1" x14ac:dyDescent="0.25">
      <c r="A176" s="16"/>
      <c r="B176" s="45"/>
      <c r="C176" s="16"/>
      <c r="D176" s="15"/>
      <c r="E176" s="15"/>
      <c r="F176" s="15"/>
      <c r="G176" s="15"/>
      <c r="H176" s="18"/>
      <c r="I176" s="15"/>
      <c r="J176" s="15"/>
      <c r="K176" s="19"/>
      <c r="L176" s="16"/>
      <c r="N176" s="45"/>
      <c r="O176" s="45"/>
      <c r="P176" s="45"/>
      <c r="Q176" s="45"/>
      <c r="R176" s="45"/>
      <c r="S176" s="45"/>
      <c r="T176" s="45"/>
      <c r="U176" s="45"/>
      <c r="V176" s="16"/>
      <c r="W176" s="16"/>
      <c r="X176" s="45"/>
      <c r="Y176" s="45"/>
      <c r="Z176" s="45"/>
      <c r="AA176" s="45"/>
      <c r="AB176" s="45"/>
      <c r="AC176" s="45"/>
    </row>
    <row r="177" spans="1:29" s="17" customFormat="1" x14ac:dyDescent="0.25">
      <c r="A177" s="16"/>
      <c r="B177" s="45"/>
      <c r="C177" s="16"/>
      <c r="D177" s="15"/>
      <c r="E177" s="15"/>
      <c r="F177" s="15"/>
      <c r="G177" s="15"/>
      <c r="H177" s="18"/>
      <c r="I177" s="15"/>
      <c r="J177" s="15"/>
      <c r="K177" s="19"/>
      <c r="L177" s="16"/>
      <c r="N177" s="45"/>
      <c r="O177" s="45"/>
      <c r="P177" s="45"/>
      <c r="Q177" s="45"/>
      <c r="R177" s="45"/>
      <c r="S177" s="45"/>
      <c r="T177" s="45"/>
      <c r="U177" s="45"/>
      <c r="V177" s="16"/>
      <c r="W177" s="16"/>
      <c r="X177" s="45"/>
      <c r="Y177" s="45"/>
      <c r="Z177" s="45"/>
      <c r="AA177" s="45"/>
      <c r="AB177" s="45"/>
      <c r="AC177" s="45"/>
    </row>
    <row r="178" spans="1:29" s="17" customFormat="1" x14ac:dyDescent="0.25">
      <c r="A178" s="16"/>
      <c r="B178" s="45"/>
      <c r="C178" s="16"/>
      <c r="D178" s="15"/>
      <c r="E178" s="15"/>
      <c r="F178" s="15"/>
      <c r="G178" s="15"/>
      <c r="H178" s="18"/>
      <c r="I178" s="15"/>
      <c r="J178" s="15"/>
      <c r="K178" s="19"/>
      <c r="L178" s="16"/>
      <c r="N178" s="45"/>
      <c r="O178" s="45"/>
      <c r="P178" s="45"/>
      <c r="Q178" s="45"/>
      <c r="R178" s="45"/>
      <c r="S178" s="45"/>
      <c r="T178" s="45"/>
      <c r="U178" s="45"/>
      <c r="V178" s="16"/>
      <c r="W178" s="16"/>
      <c r="X178" s="45"/>
      <c r="Y178" s="45"/>
      <c r="Z178" s="45"/>
      <c r="AA178" s="45"/>
      <c r="AB178" s="45"/>
      <c r="AC178" s="45"/>
    </row>
    <row r="179" spans="1:29" s="17" customFormat="1" x14ac:dyDescent="0.25">
      <c r="A179" s="16"/>
      <c r="B179" s="45"/>
      <c r="C179" s="16"/>
      <c r="D179" s="15"/>
      <c r="E179" s="15"/>
      <c r="F179" s="15"/>
      <c r="G179" s="15"/>
      <c r="H179" s="18"/>
      <c r="I179" s="15"/>
      <c r="J179" s="15"/>
      <c r="K179" s="19"/>
      <c r="L179" s="16"/>
      <c r="N179" s="45"/>
      <c r="O179" s="45"/>
      <c r="P179" s="45"/>
      <c r="Q179" s="45"/>
      <c r="R179" s="45"/>
      <c r="S179" s="45"/>
      <c r="T179" s="45"/>
      <c r="U179" s="45"/>
      <c r="V179" s="16"/>
      <c r="W179" s="16"/>
      <c r="X179" s="45"/>
      <c r="Y179" s="45"/>
      <c r="Z179" s="45"/>
      <c r="AA179" s="45"/>
      <c r="AB179" s="45"/>
      <c r="AC179" s="45"/>
    </row>
    <row r="180" spans="1:29" s="17" customFormat="1" x14ac:dyDescent="0.25">
      <c r="A180" s="16"/>
      <c r="B180" s="45"/>
      <c r="C180" s="16"/>
      <c r="D180" s="15"/>
      <c r="E180" s="15"/>
      <c r="F180" s="15"/>
      <c r="G180" s="15"/>
      <c r="H180" s="18"/>
      <c r="I180" s="15"/>
      <c r="J180" s="15"/>
      <c r="K180" s="19"/>
      <c r="L180" s="16"/>
      <c r="N180" s="45"/>
      <c r="O180" s="45"/>
      <c r="P180" s="45"/>
      <c r="Q180" s="45"/>
      <c r="R180" s="45"/>
      <c r="S180" s="45"/>
      <c r="T180" s="45"/>
      <c r="U180" s="45"/>
      <c r="V180" s="16"/>
      <c r="W180" s="16"/>
      <c r="X180" s="45"/>
      <c r="Y180" s="45"/>
      <c r="Z180" s="45"/>
      <c r="AA180" s="45"/>
      <c r="AB180" s="45"/>
      <c r="AC180" s="45"/>
    </row>
    <row r="181" spans="1:29" s="17" customFormat="1" x14ac:dyDescent="0.25">
      <c r="A181" s="16"/>
      <c r="B181" s="45"/>
      <c r="C181" s="16"/>
      <c r="D181" s="15"/>
      <c r="E181" s="15"/>
      <c r="F181" s="15"/>
      <c r="G181" s="15"/>
      <c r="H181" s="18"/>
      <c r="I181" s="15"/>
      <c r="J181" s="15"/>
      <c r="K181" s="19"/>
      <c r="L181" s="16"/>
      <c r="N181" s="45"/>
      <c r="O181" s="45"/>
      <c r="P181" s="45"/>
      <c r="Q181" s="45"/>
      <c r="R181" s="45"/>
      <c r="S181" s="45"/>
      <c r="T181" s="45"/>
      <c r="U181" s="45"/>
      <c r="V181" s="16"/>
      <c r="W181" s="16"/>
      <c r="X181" s="45"/>
      <c r="Y181" s="45"/>
      <c r="Z181" s="45"/>
      <c r="AA181" s="45"/>
      <c r="AB181" s="45"/>
      <c r="AC181" s="45"/>
    </row>
    <row r="182" spans="1:29" s="17" customFormat="1" x14ac:dyDescent="0.25">
      <c r="A182" s="16"/>
      <c r="B182" s="45"/>
      <c r="C182" s="16"/>
      <c r="D182" s="15"/>
      <c r="E182" s="15"/>
      <c r="F182" s="15"/>
      <c r="G182" s="15"/>
      <c r="H182" s="18"/>
      <c r="I182" s="15"/>
      <c r="J182" s="15"/>
      <c r="K182" s="19"/>
      <c r="L182" s="16"/>
      <c r="N182" s="45"/>
      <c r="O182" s="45"/>
      <c r="P182" s="45"/>
      <c r="Q182" s="45"/>
      <c r="R182" s="45"/>
      <c r="S182" s="45"/>
      <c r="T182" s="45"/>
      <c r="U182" s="45"/>
      <c r="V182" s="16"/>
      <c r="W182" s="16"/>
      <c r="X182" s="45"/>
      <c r="Y182" s="45"/>
      <c r="Z182" s="45"/>
      <c r="AA182" s="45"/>
      <c r="AB182" s="45"/>
      <c r="AC182" s="45"/>
    </row>
    <row r="183" spans="1:29" s="17" customFormat="1" x14ac:dyDescent="0.25">
      <c r="A183" s="16"/>
      <c r="B183" s="45"/>
      <c r="C183" s="16"/>
      <c r="D183" s="15"/>
      <c r="E183" s="15"/>
      <c r="F183" s="15"/>
      <c r="G183" s="15"/>
      <c r="H183" s="18"/>
      <c r="I183" s="15"/>
      <c r="J183" s="15"/>
      <c r="K183" s="19"/>
      <c r="L183" s="16"/>
      <c r="N183" s="45"/>
      <c r="O183" s="45"/>
      <c r="P183" s="45"/>
      <c r="Q183" s="45"/>
      <c r="R183" s="45"/>
      <c r="S183" s="45"/>
      <c r="T183" s="45"/>
      <c r="U183" s="45"/>
      <c r="V183" s="16"/>
      <c r="W183" s="16"/>
      <c r="X183" s="45"/>
      <c r="Y183" s="45"/>
      <c r="Z183" s="45"/>
      <c r="AA183" s="45"/>
      <c r="AB183" s="45"/>
      <c r="AC183" s="45"/>
    </row>
    <row r="184" spans="1:29" s="17" customFormat="1" x14ac:dyDescent="0.25">
      <c r="A184" s="16"/>
      <c r="B184" s="45"/>
      <c r="C184" s="16"/>
      <c r="D184" s="15"/>
      <c r="E184" s="15"/>
      <c r="F184" s="15"/>
      <c r="G184" s="15"/>
      <c r="H184" s="18"/>
      <c r="I184" s="15"/>
      <c r="J184" s="15"/>
      <c r="K184" s="19"/>
      <c r="L184" s="16"/>
      <c r="N184" s="45"/>
      <c r="O184" s="45"/>
      <c r="P184" s="45"/>
      <c r="Q184" s="45"/>
      <c r="R184" s="45"/>
      <c r="S184" s="45"/>
      <c r="T184" s="45"/>
      <c r="U184" s="45"/>
      <c r="V184" s="16"/>
      <c r="W184" s="16"/>
      <c r="X184" s="45"/>
      <c r="Y184" s="45"/>
      <c r="Z184" s="45"/>
      <c r="AA184" s="45"/>
      <c r="AB184" s="45"/>
      <c r="AC184" s="45"/>
    </row>
    <row r="185" spans="1:29" s="17" customFormat="1" x14ac:dyDescent="0.25">
      <c r="A185" s="16"/>
      <c r="B185" s="45"/>
      <c r="C185" s="16"/>
      <c r="D185" s="15"/>
      <c r="E185" s="15"/>
      <c r="F185" s="15"/>
      <c r="G185" s="15"/>
      <c r="H185" s="18"/>
      <c r="I185" s="15"/>
      <c r="J185" s="15"/>
      <c r="K185" s="19"/>
      <c r="L185" s="16"/>
      <c r="N185" s="45"/>
      <c r="O185" s="45"/>
      <c r="P185" s="45"/>
      <c r="Q185" s="45"/>
      <c r="R185" s="45"/>
      <c r="S185" s="45"/>
      <c r="T185" s="45"/>
      <c r="U185" s="45"/>
      <c r="V185" s="16"/>
      <c r="W185" s="16"/>
      <c r="X185" s="45"/>
      <c r="Y185" s="45"/>
      <c r="Z185" s="45"/>
      <c r="AA185" s="45"/>
      <c r="AB185" s="45"/>
      <c r="AC185" s="45"/>
    </row>
    <row r="186" spans="1:29" s="17" customFormat="1" x14ac:dyDescent="0.25">
      <c r="A186" s="16"/>
      <c r="B186" s="45"/>
      <c r="C186" s="16"/>
      <c r="D186" s="15"/>
      <c r="E186" s="15"/>
      <c r="F186" s="15"/>
      <c r="G186" s="15"/>
      <c r="H186" s="18"/>
      <c r="I186" s="15"/>
      <c r="J186" s="15"/>
      <c r="K186" s="19"/>
      <c r="L186" s="16"/>
      <c r="N186" s="45"/>
      <c r="O186" s="45"/>
      <c r="P186" s="45"/>
      <c r="Q186" s="45"/>
      <c r="R186" s="45"/>
      <c r="S186" s="45"/>
      <c r="T186" s="45"/>
      <c r="U186" s="45"/>
      <c r="V186" s="16"/>
      <c r="W186" s="16"/>
      <c r="X186" s="45"/>
      <c r="Y186" s="45"/>
      <c r="Z186" s="45"/>
      <c r="AA186" s="45"/>
      <c r="AB186" s="45"/>
      <c r="AC186" s="45"/>
    </row>
    <row r="187" spans="1:29" s="17" customFormat="1" x14ac:dyDescent="0.25">
      <c r="A187" s="16"/>
      <c r="B187" s="45"/>
      <c r="C187" s="16"/>
      <c r="D187" s="15"/>
      <c r="E187" s="15"/>
      <c r="F187" s="15"/>
      <c r="G187" s="15"/>
      <c r="H187" s="18"/>
      <c r="I187" s="15"/>
      <c r="J187" s="15"/>
      <c r="K187" s="19"/>
      <c r="L187" s="16"/>
      <c r="N187" s="45"/>
      <c r="O187" s="45"/>
      <c r="P187" s="45"/>
      <c r="Q187" s="45"/>
      <c r="R187" s="45"/>
      <c r="S187" s="45"/>
      <c r="T187" s="45"/>
      <c r="U187" s="45"/>
      <c r="V187" s="16"/>
      <c r="W187" s="16"/>
      <c r="X187" s="45"/>
      <c r="Y187" s="45"/>
      <c r="Z187" s="45"/>
      <c r="AA187" s="45"/>
      <c r="AB187" s="45"/>
      <c r="AC187" s="45"/>
    </row>
    <row r="188" spans="1:29" s="17" customFormat="1" x14ac:dyDescent="0.25">
      <c r="A188" s="16"/>
      <c r="B188" s="45"/>
      <c r="C188" s="16"/>
      <c r="D188" s="15"/>
      <c r="E188" s="15"/>
      <c r="F188" s="15"/>
      <c r="G188" s="15"/>
      <c r="H188" s="18"/>
      <c r="I188" s="15"/>
      <c r="J188" s="15"/>
      <c r="K188" s="19"/>
      <c r="L188" s="16"/>
      <c r="N188" s="45"/>
      <c r="O188" s="45"/>
      <c r="P188" s="45"/>
      <c r="Q188" s="45"/>
      <c r="R188" s="45"/>
      <c r="S188" s="45"/>
      <c r="T188" s="45"/>
      <c r="U188" s="45"/>
      <c r="V188" s="16"/>
      <c r="W188" s="16"/>
      <c r="X188" s="45"/>
      <c r="Y188" s="45"/>
      <c r="Z188" s="45"/>
      <c r="AA188" s="45"/>
      <c r="AB188" s="45"/>
      <c r="AC188" s="45"/>
    </row>
    <row r="189" spans="1:29" s="17" customFormat="1" x14ac:dyDescent="0.25">
      <c r="A189" s="16"/>
      <c r="B189" s="45"/>
      <c r="C189" s="16"/>
      <c r="D189" s="15"/>
      <c r="E189" s="15"/>
      <c r="F189" s="15"/>
      <c r="G189" s="15"/>
      <c r="H189" s="18"/>
      <c r="I189" s="15"/>
      <c r="J189" s="15"/>
      <c r="K189" s="19"/>
      <c r="L189" s="16"/>
      <c r="N189" s="45"/>
      <c r="O189" s="45"/>
      <c r="P189" s="45"/>
      <c r="Q189" s="45"/>
      <c r="R189" s="45"/>
      <c r="S189" s="45"/>
      <c r="T189" s="45"/>
      <c r="U189" s="45"/>
      <c r="V189" s="16"/>
      <c r="W189" s="16"/>
      <c r="X189" s="45"/>
      <c r="Y189" s="45"/>
      <c r="Z189" s="45"/>
      <c r="AA189" s="45"/>
      <c r="AB189" s="45"/>
      <c r="AC189" s="45"/>
    </row>
    <row r="190" spans="1:29" s="17" customFormat="1" x14ac:dyDescent="0.25">
      <c r="A190" s="16"/>
      <c r="B190" s="45"/>
      <c r="C190" s="16"/>
      <c r="D190" s="15"/>
      <c r="E190" s="15"/>
      <c r="F190" s="15"/>
      <c r="G190" s="15"/>
      <c r="H190" s="18"/>
      <c r="I190" s="15"/>
      <c r="J190" s="15"/>
      <c r="K190" s="19"/>
      <c r="L190" s="16"/>
      <c r="N190" s="45"/>
      <c r="O190" s="45"/>
      <c r="P190" s="45"/>
      <c r="Q190" s="45"/>
      <c r="R190" s="45"/>
      <c r="S190" s="45"/>
      <c r="T190" s="45"/>
      <c r="U190" s="45"/>
      <c r="V190" s="16"/>
      <c r="W190" s="16"/>
      <c r="X190" s="45"/>
      <c r="Y190" s="45"/>
      <c r="Z190" s="45"/>
      <c r="AA190" s="45"/>
      <c r="AB190" s="45"/>
      <c r="AC190" s="45"/>
    </row>
    <row r="191" spans="1:29" s="17" customFormat="1" x14ac:dyDescent="0.25">
      <c r="A191" s="16"/>
      <c r="B191" s="45"/>
      <c r="C191" s="16"/>
      <c r="D191" s="15"/>
      <c r="E191" s="15"/>
      <c r="F191" s="15"/>
      <c r="G191" s="15"/>
      <c r="H191" s="18"/>
      <c r="I191" s="15"/>
      <c r="J191" s="15"/>
      <c r="K191" s="19"/>
      <c r="L191" s="16"/>
      <c r="N191" s="45"/>
      <c r="O191" s="45"/>
      <c r="P191" s="45"/>
      <c r="Q191" s="45"/>
      <c r="R191" s="45"/>
      <c r="S191" s="45"/>
      <c r="T191" s="45"/>
      <c r="U191" s="45"/>
      <c r="V191" s="16"/>
      <c r="W191" s="16"/>
      <c r="X191" s="45"/>
      <c r="Y191" s="45"/>
      <c r="Z191" s="45"/>
      <c r="AA191" s="45"/>
      <c r="AB191" s="45"/>
      <c r="AC191" s="45"/>
    </row>
    <row r="192" spans="1:29" s="17" customFormat="1" x14ac:dyDescent="0.25">
      <c r="A192" s="16"/>
      <c r="B192" s="45"/>
      <c r="C192" s="16"/>
      <c r="D192" s="15"/>
      <c r="E192" s="15"/>
      <c r="F192" s="15"/>
      <c r="G192" s="15"/>
      <c r="H192" s="18"/>
      <c r="I192" s="15"/>
      <c r="J192" s="15"/>
      <c r="K192" s="19"/>
      <c r="L192" s="16"/>
      <c r="N192" s="45"/>
      <c r="O192" s="45"/>
      <c r="P192" s="45"/>
      <c r="Q192" s="45"/>
      <c r="R192" s="45"/>
      <c r="S192" s="45"/>
      <c r="T192" s="45"/>
      <c r="U192" s="45"/>
      <c r="V192" s="16"/>
      <c r="W192" s="16"/>
      <c r="X192" s="45"/>
      <c r="Y192" s="45"/>
      <c r="Z192" s="45"/>
      <c r="AA192" s="45"/>
      <c r="AB192" s="45"/>
      <c r="AC192" s="45"/>
    </row>
    <row r="193" spans="1:29" s="17" customFormat="1" x14ac:dyDescent="0.25">
      <c r="A193" s="16"/>
      <c r="B193" s="45"/>
      <c r="C193" s="16"/>
      <c r="D193" s="15"/>
      <c r="E193" s="15"/>
      <c r="F193" s="15"/>
      <c r="G193" s="15"/>
      <c r="H193" s="18"/>
      <c r="I193" s="15"/>
      <c r="J193" s="15"/>
      <c r="K193" s="19"/>
      <c r="L193" s="16"/>
      <c r="N193" s="45"/>
      <c r="O193" s="45"/>
      <c r="P193" s="45"/>
      <c r="Q193" s="45"/>
      <c r="R193" s="45"/>
      <c r="S193" s="45"/>
      <c r="T193" s="45"/>
      <c r="U193" s="45"/>
      <c r="V193" s="16"/>
      <c r="W193" s="16"/>
      <c r="X193" s="45"/>
      <c r="Y193" s="45"/>
      <c r="Z193" s="45"/>
      <c r="AA193" s="45"/>
      <c r="AB193" s="45"/>
      <c r="AC193" s="45"/>
    </row>
    <row r="194" spans="1:29" s="17" customFormat="1" x14ac:dyDescent="0.25">
      <c r="A194" s="16"/>
      <c r="B194" s="45"/>
      <c r="C194" s="16"/>
      <c r="D194" s="15"/>
      <c r="E194" s="15"/>
      <c r="F194" s="15"/>
      <c r="G194" s="15"/>
      <c r="H194" s="18"/>
      <c r="I194" s="15"/>
      <c r="J194" s="15"/>
      <c r="K194" s="19"/>
      <c r="L194" s="16"/>
      <c r="N194" s="45"/>
      <c r="O194" s="45"/>
      <c r="P194" s="45"/>
      <c r="Q194" s="45"/>
      <c r="R194" s="45"/>
      <c r="S194" s="45"/>
      <c r="T194" s="45"/>
      <c r="U194" s="45"/>
      <c r="V194" s="16"/>
      <c r="W194" s="16"/>
      <c r="X194" s="45"/>
      <c r="Y194" s="45"/>
      <c r="Z194" s="45"/>
      <c r="AA194" s="45"/>
      <c r="AB194" s="45"/>
      <c r="AC194" s="45"/>
    </row>
    <row r="195" spans="1:29" s="17" customFormat="1" x14ac:dyDescent="0.25">
      <c r="A195" s="16"/>
      <c r="B195" s="45"/>
      <c r="C195" s="16"/>
      <c r="D195" s="15"/>
      <c r="E195" s="15"/>
      <c r="F195" s="15"/>
      <c r="G195" s="15"/>
      <c r="H195" s="18"/>
      <c r="I195" s="15"/>
      <c r="J195" s="15"/>
      <c r="K195" s="19"/>
      <c r="L195" s="16"/>
      <c r="N195" s="45"/>
      <c r="O195" s="45"/>
      <c r="P195" s="45"/>
      <c r="Q195" s="45"/>
      <c r="R195" s="45"/>
      <c r="S195" s="45"/>
      <c r="T195" s="45"/>
      <c r="U195" s="45"/>
      <c r="V195" s="16"/>
      <c r="W195" s="16"/>
      <c r="X195" s="45"/>
      <c r="Y195" s="45"/>
      <c r="Z195" s="45"/>
      <c r="AA195" s="45"/>
      <c r="AB195" s="45"/>
      <c r="AC195" s="45"/>
    </row>
    <row r="196" spans="1:29" s="17" customFormat="1" x14ac:dyDescent="0.25">
      <c r="A196" s="16"/>
      <c r="B196" s="45"/>
      <c r="C196" s="16"/>
      <c r="D196" s="15"/>
      <c r="E196" s="15"/>
      <c r="F196" s="15"/>
      <c r="G196" s="15"/>
      <c r="H196" s="18"/>
      <c r="I196" s="15"/>
      <c r="J196" s="15"/>
      <c r="K196" s="19"/>
      <c r="L196" s="16"/>
      <c r="N196" s="45"/>
      <c r="O196" s="45"/>
      <c r="P196" s="45"/>
      <c r="Q196" s="45"/>
      <c r="R196" s="45"/>
      <c r="S196" s="45"/>
      <c r="T196" s="45"/>
      <c r="U196" s="45"/>
      <c r="V196" s="16"/>
      <c r="W196" s="16"/>
      <c r="X196" s="45"/>
      <c r="Y196" s="45"/>
      <c r="Z196" s="45"/>
      <c r="AA196" s="45"/>
      <c r="AB196" s="45"/>
      <c r="AC196" s="45"/>
    </row>
    <row r="197" spans="1:29" s="17" customFormat="1" x14ac:dyDescent="0.25">
      <c r="A197" s="16"/>
      <c r="B197" s="45"/>
      <c r="C197" s="16"/>
      <c r="D197" s="15"/>
      <c r="E197" s="15"/>
      <c r="F197" s="15"/>
      <c r="G197" s="15"/>
      <c r="H197" s="18"/>
      <c r="I197" s="15"/>
      <c r="J197" s="15"/>
      <c r="K197" s="19"/>
      <c r="L197" s="16"/>
      <c r="N197" s="45"/>
      <c r="O197" s="45"/>
      <c r="P197" s="45"/>
      <c r="Q197" s="45"/>
      <c r="R197" s="45"/>
      <c r="S197" s="45"/>
      <c r="T197" s="45"/>
      <c r="U197" s="45"/>
      <c r="V197" s="16"/>
      <c r="W197" s="16"/>
      <c r="X197" s="45"/>
      <c r="Y197" s="45"/>
      <c r="Z197" s="45"/>
      <c r="AA197" s="45"/>
      <c r="AB197" s="45"/>
      <c r="AC197" s="45"/>
    </row>
    <row r="198" spans="1:29" s="17" customFormat="1" x14ac:dyDescent="0.25">
      <c r="A198" s="16"/>
      <c r="B198" s="45"/>
      <c r="C198" s="16"/>
      <c r="D198" s="15"/>
      <c r="E198" s="15"/>
      <c r="F198" s="15"/>
      <c r="G198" s="15"/>
      <c r="H198" s="18"/>
      <c r="I198" s="15"/>
      <c r="J198" s="15"/>
      <c r="K198" s="19"/>
      <c r="L198" s="16"/>
      <c r="N198" s="45"/>
      <c r="O198" s="45"/>
      <c r="P198" s="45"/>
      <c r="Q198" s="45"/>
      <c r="R198" s="45"/>
      <c r="S198" s="45"/>
      <c r="T198" s="45"/>
      <c r="U198" s="45"/>
      <c r="V198" s="16"/>
      <c r="W198" s="16"/>
      <c r="X198" s="45"/>
      <c r="Y198" s="45"/>
      <c r="Z198" s="45"/>
      <c r="AA198" s="45"/>
      <c r="AB198" s="45"/>
      <c r="AC198" s="45"/>
    </row>
    <row r="199" spans="1:29" s="17" customFormat="1" x14ac:dyDescent="0.25">
      <c r="A199" s="16"/>
      <c r="B199" s="45"/>
      <c r="C199" s="16"/>
      <c r="D199" s="15"/>
      <c r="E199" s="15"/>
      <c r="F199" s="15"/>
      <c r="G199" s="15"/>
      <c r="H199" s="18"/>
      <c r="I199" s="15"/>
      <c r="J199" s="15"/>
      <c r="K199" s="19"/>
      <c r="L199" s="16"/>
      <c r="N199" s="45"/>
      <c r="O199" s="45"/>
      <c r="P199" s="45"/>
      <c r="Q199" s="45"/>
      <c r="R199" s="45"/>
      <c r="S199" s="45"/>
      <c r="T199" s="45"/>
      <c r="U199" s="45"/>
      <c r="V199" s="16"/>
      <c r="W199" s="16"/>
      <c r="X199" s="45"/>
      <c r="Y199" s="45"/>
      <c r="Z199" s="45"/>
      <c r="AA199" s="45"/>
      <c r="AB199" s="45"/>
      <c r="AC199" s="45"/>
    </row>
    <row r="200" spans="1:29" s="17" customFormat="1" x14ac:dyDescent="0.25">
      <c r="A200" s="16"/>
      <c r="B200" s="45"/>
      <c r="C200" s="16"/>
      <c r="D200" s="15"/>
      <c r="E200" s="15"/>
      <c r="F200" s="15"/>
      <c r="G200" s="15"/>
      <c r="H200" s="18"/>
      <c r="I200" s="15"/>
      <c r="J200" s="15"/>
      <c r="K200" s="19"/>
      <c r="L200" s="16"/>
      <c r="N200" s="45"/>
      <c r="O200" s="45"/>
      <c r="P200" s="45"/>
      <c r="Q200" s="45"/>
      <c r="R200" s="45"/>
      <c r="S200" s="45"/>
      <c r="T200" s="45"/>
      <c r="U200" s="45"/>
      <c r="V200" s="16"/>
      <c r="W200" s="16"/>
      <c r="X200" s="45"/>
      <c r="Y200" s="45"/>
      <c r="Z200" s="45"/>
      <c r="AA200" s="45"/>
      <c r="AB200" s="45"/>
      <c r="AC200" s="45"/>
    </row>
    <row r="201" spans="1:29" s="17" customFormat="1" x14ac:dyDescent="0.25">
      <c r="A201" s="16"/>
      <c r="B201" s="45"/>
      <c r="C201" s="16"/>
      <c r="D201" s="15"/>
      <c r="E201" s="15"/>
      <c r="F201" s="15"/>
      <c r="G201" s="15"/>
      <c r="H201" s="18"/>
      <c r="I201" s="15"/>
      <c r="J201" s="15"/>
      <c r="K201" s="19"/>
      <c r="L201" s="16"/>
      <c r="N201" s="45"/>
      <c r="O201" s="45"/>
      <c r="P201" s="45"/>
      <c r="Q201" s="45"/>
      <c r="R201" s="45"/>
      <c r="S201" s="45"/>
      <c r="T201" s="45"/>
      <c r="U201" s="45"/>
      <c r="V201" s="16"/>
      <c r="W201" s="16"/>
      <c r="X201" s="45"/>
      <c r="Y201" s="45"/>
      <c r="Z201" s="45"/>
      <c r="AA201" s="45"/>
      <c r="AB201" s="45"/>
      <c r="AC201" s="45"/>
    </row>
    <row r="202" spans="1:29" s="17" customFormat="1" x14ac:dyDescent="0.25">
      <c r="A202" s="16"/>
      <c r="B202" s="45"/>
      <c r="C202" s="16"/>
      <c r="D202" s="15"/>
      <c r="E202" s="15"/>
      <c r="F202" s="15"/>
      <c r="G202" s="15"/>
      <c r="H202" s="18"/>
      <c r="I202" s="15"/>
      <c r="J202" s="15"/>
      <c r="K202" s="19"/>
      <c r="L202" s="16"/>
      <c r="N202" s="45"/>
      <c r="O202" s="45"/>
      <c r="P202" s="45"/>
      <c r="Q202" s="45"/>
      <c r="R202" s="45"/>
      <c r="S202" s="45"/>
      <c r="T202" s="45"/>
      <c r="U202" s="45"/>
      <c r="V202" s="16"/>
      <c r="W202" s="16"/>
      <c r="X202" s="45"/>
      <c r="Y202" s="45"/>
      <c r="Z202" s="45"/>
      <c r="AA202" s="45"/>
      <c r="AB202" s="45"/>
      <c r="AC202" s="45"/>
    </row>
    <row r="203" spans="1:29" s="17" customFormat="1" x14ac:dyDescent="0.25">
      <c r="A203" s="16"/>
      <c r="B203" s="45"/>
      <c r="C203" s="16"/>
      <c r="D203" s="15"/>
      <c r="E203" s="15"/>
      <c r="F203" s="15"/>
      <c r="G203" s="15"/>
      <c r="H203" s="18"/>
      <c r="I203" s="15"/>
      <c r="J203" s="15"/>
      <c r="K203" s="19"/>
      <c r="L203" s="16"/>
      <c r="N203" s="45"/>
      <c r="O203" s="45"/>
      <c r="P203" s="45"/>
      <c r="Q203" s="45"/>
      <c r="R203" s="45"/>
      <c r="S203" s="45"/>
      <c r="T203" s="45"/>
      <c r="U203" s="45"/>
      <c r="V203" s="16"/>
      <c r="W203" s="16"/>
      <c r="X203" s="45"/>
      <c r="Y203" s="45"/>
      <c r="Z203" s="45"/>
      <c r="AA203" s="45"/>
      <c r="AB203" s="45"/>
      <c r="AC203" s="45"/>
    </row>
    <row r="204" spans="1:29" s="17" customFormat="1" x14ac:dyDescent="0.25">
      <c r="A204" s="16"/>
      <c r="B204" s="45"/>
      <c r="C204" s="16"/>
      <c r="D204" s="15"/>
      <c r="E204" s="15"/>
      <c r="F204" s="15"/>
      <c r="G204" s="15"/>
      <c r="H204" s="18"/>
      <c r="I204" s="15"/>
      <c r="J204" s="15"/>
      <c r="K204" s="19"/>
      <c r="L204" s="16"/>
      <c r="N204" s="45"/>
      <c r="O204" s="45"/>
      <c r="P204" s="45"/>
      <c r="Q204" s="45"/>
      <c r="R204" s="45"/>
      <c r="S204" s="45"/>
      <c r="T204" s="45"/>
      <c r="U204" s="45"/>
      <c r="V204" s="16"/>
      <c r="W204" s="16"/>
      <c r="X204" s="45"/>
      <c r="Y204" s="45"/>
      <c r="Z204" s="45"/>
      <c r="AA204" s="45"/>
      <c r="AB204" s="45"/>
      <c r="AC204" s="45"/>
    </row>
    <row r="205" spans="1:29" s="17" customFormat="1" x14ac:dyDescent="0.25">
      <c r="A205" s="16"/>
      <c r="B205" s="45"/>
      <c r="C205" s="16"/>
      <c r="D205" s="15"/>
      <c r="E205" s="15"/>
      <c r="F205" s="15"/>
      <c r="G205" s="15"/>
      <c r="H205" s="18"/>
      <c r="I205" s="15"/>
      <c r="J205" s="15"/>
      <c r="K205" s="19"/>
      <c r="L205" s="16"/>
      <c r="N205" s="45"/>
      <c r="O205" s="45"/>
      <c r="P205" s="45"/>
      <c r="Q205" s="45"/>
      <c r="R205" s="45"/>
      <c r="S205" s="45"/>
      <c r="T205" s="45"/>
      <c r="U205" s="45"/>
      <c r="V205" s="16"/>
      <c r="W205" s="16"/>
      <c r="X205" s="45"/>
      <c r="Y205" s="45"/>
      <c r="Z205" s="45"/>
      <c r="AA205" s="45"/>
      <c r="AB205" s="45"/>
      <c r="AC205" s="45"/>
    </row>
    <row r="206" spans="1:29" s="17" customFormat="1" x14ac:dyDescent="0.25">
      <c r="A206" s="16"/>
      <c r="B206" s="45"/>
      <c r="C206" s="16"/>
      <c r="D206" s="15"/>
      <c r="E206" s="15"/>
      <c r="F206" s="15"/>
      <c r="G206" s="15"/>
      <c r="H206" s="18"/>
      <c r="I206" s="15"/>
      <c r="J206" s="15"/>
      <c r="K206" s="19"/>
      <c r="L206" s="16"/>
      <c r="N206" s="45"/>
      <c r="O206" s="45"/>
      <c r="P206" s="45"/>
      <c r="Q206" s="45"/>
      <c r="R206" s="45"/>
      <c r="S206" s="45"/>
      <c r="T206" s="45"/>
      <c r="U206" s="45"/>
      <c r="V206" s="16"/>
      <c r="W206" s="16"/>
      <c r="X206" s="45"/>
      <c r="Y206" s="45"/>
      <c r="Z206" s="45"/>
      <c r="AA206" s="45"/>
      <c r="AB206" s="45"/>
      <c r="AC206" s="45"/>
    </row>
    <row r="207" spans="1:29" s="17" customFormat="1" x14ac:dyDescent="0.25">
      <c r="A207" s="16"/>
      <c r="B207" s="45"/>
      <c r="C207" s="16"/>
      <c r="D207" s="15"/>
      <c r="E207" s="15"/>
      <c r="F207" s="15"/>
      <c r="G207" s="15"/>
      <c r="H207" s="18"/>
      <c r="I207" s="15"/>
      <c r="J207" s="15"/>
      <c r="K207" s="19"/>
      <c r="L207" s="16"/>
      <c r="N207" s="45"/>
      <c r="O207" s="45"/>
      <c r="P207" s="45"/>
      <c r="Q207" s="45"/>
      <c r="R207" s="45"/>
      <c r="S207" s="45"/>
      <c r="T207" s="45"/>
      <c r="U207" s="45"/>
      <c r="V207" s="16"/>
      <c r="W207" s="16"/>
      <c r="X207" s="45"/>
      <c r="Y207" s="45"/>
      <c r="Z207" s="45"/>
      <c r="AA207" s="45"/>
      <c r="AB207" s="45"/>
      <c r="AC207" s="45"/>
    </row>
    <row r="208" spans="1:29" s="17" customFormat="1" x14ac:dyDescent="0.25">
      <c r="A208" s="16"/>
      <c r="B208" s="45"/>
      <c r="C208" s="16"/>
      <c r="D208" s="15"/>
      <c r="E208" s="15"/>
      <c r="F208" s="15"/>
      <c r="G208" s="15"/>
      <c r="H208" s="18"/>
      <c r="I208" s="15"/>
      <c r="J208" s="15"/>
      <c r="K208" s="19"/>
      <c r="L208" s="16"/>
      <c r="N208" s="45"/>
      <c r="O208" s="45"/>
      <c r="P208" s="45"/>
      <c r="Q208" s="45"/>
      <c r="R208" s="45"/>
      <c r="S208" s="45"/>
      <c r="T208" s="45"/>
      <c r="U208" s="45"/>
      <c r="V208" s="16"/>
      <c r="W208" s="16"/>
      <c r="X208" s="45"/>
      <c r="Y208" s="45"/>
      <c r="Z208" s="45"/>
      <c r="AA208" s="45"/>
      <c r="AB208" s="45"/>
      <c r="AC208" s="45"/>
    </row>
    <row r="209" spans="1:29" s="17" customFormat="1" x14ac:dyDescent="0.25">
      <c r="A209" s="16"/>
      <c r="B209" s="45"/>
      <c r="C209" s="16"/>
      <c r="D209" s="15"/>
      <c r="E209" s="15"/>
      <c r="F209" s="15"/>
      <c r="G209" s="15"/>
      <c r="H209" s="18"/>
      <c r="I209" s="15"/>
      <c r="J209" s="15"/>
      <c r="K209" s="19"/>
      <c r="L209" s="16"/>
      <c r="N209" s="45"/>
      <c r="O209" s="45"/>
      <c r="P209" s="45"/>
      <c r="Q209" s="45"/>
      <c r="R209" s="45"/>
      <c r="S209" s="45"/>
      <c r="T209" s="45"/>
      <c r="U209" s="45"/>
      <c r="V209" s="16"/>
      <c r="W209" s="16"/>
      <c r="X209" s="45"/>
      <c r="Y209" s="45"/>
      <c r="Z209" s="45"/>
      <c r="AA209" s="45"/>
      <c r="AB209" s="45"/>
      <c r="AC209" s="45"/>
    </row>
    <row r="210" spans="1:29" s="17" customFormat="1" x14ac:dyDescent="0.25">
      <c r="A210" s="16"/>
      <c r="B210" s="45"/>
      <c r="C210" s="16"/>
      <c r="D210" s="15"/>
      <c r="E210" s="15"/>
      <c r="F210" s="15"/>
      <c r="G210" s="15"/>
      <c r="H210" s="18"/>
      <c r="I210" s="15"/>
      <c r="J210" s="15"/>
      <c r="K210" s="19"/>
      <c r="L210" s="16"/>
      <c r="N210" s="45"/>
      <c r="O210" s="45"/>
      <c r="P210" s="45"/>
      <c r="Q210" s="45"/>
      <c r="R210" s="45"/>
      <c r="S210" s="45"/>
      <c r="T210" s="45"/>
      <c r="U210" s="45"/>
      <c r="V210" s="16"/>
      <c r="W210" s="16"/>
      <c r="X210" s="45"/>
      <c r="Y210" s="45"/>
      <c r="Z210" s="45"/>
      <c r="AA210" s="45"/>
      <c r="AB210" s="45"/>
      <c r="AC210" s="45"/>
    </row>
    <row r="211" spans="1:29" s="17" customFormat="1" x14ac:dyDescent="0.25">
      <c r="A211" s="16"/>
      <c r="B211" s="45"/>
      <c r="C211" s="16"/>
      <c r="D211" s="15"/>
      <c r="E211" s="15"/>
      <c r="F211" s="15"/>
      <c r="G211" s="15"/>
      <c r="H211" s="18"/>
      <c r="I211" s="15"/>
      <c r="J211" s="15"/>
      <c r="K211" s="19"/>
      <c r="L211" s="16"/>
      <c r="N211" s="45"/>
      <c r="O211" s="45"/>
      <c r="P211" s="45"/>
      <c r="Q211" s="45"/>
      <c r="R211" s="45"/>
      <c r="S211" s="45"/>
      <c r="T211" s="45"/>
      <c r="U211" s="45"/>
      <c r="V211" s="16"/>
      <c r="W211" s="16"/>
      <c r="X211" s="45"/>
      <c r="Y211" s="45"/>
      <c r="Z211" s="45"/>
      <c r="AA211" s="45"/>
      <c r="AB211" s="45"/>
      <c r="AC211" s="45"/>
    </row>
    <row r="212" spans="1:29" s="17" customFormat="1" x14ac:dyDescent="0.25">
      <c r="A212" s="16"/>
      <c r="B212" s="45"/>
      <c r="C212" s="16"/>
      <c r="D212" s="15"/>
      <c r="E212" s="15"/>
      <c r="F212" s="15"/>
      <c r="G212" s="15"/>
      <c r="H212" s="18"/>
      <c r="I212" s="15"/>
      <c r="J212" s="15"/>
      <c r="K212" s="19"/>
      <c r="L212" s="16"/>
      <c r="N212" s="45"/>
      <c r="O212" s="45"/>
      <c r="P212" s="45"/>
      <c r="Q212" s="45"/>
      <c r="R212" s="45"/>
      <c r="S212" s="45"/>
      <c r="T212" s="45"/>
      <c r="U212" s="45"/>
      <c r="V212" s="16"/>
      <c r="W212" s="16"/>
      <c r="X212" s="45"/>
      <c r="Y212" s="45"/>
      <c r="Z212" s="45"/>
      <c r="AA212" s="45"/>
      <c r="AB212" s="45"/>
      <c r="AC212" s="45"/>
    </row>
    <row r="213" spans="1:29" s="17" customFormat="1" x14ac:dyDescent="0.25">
      <c r="A213" s="16"/>
      <c r="B213" s="45"/>
      <c r="C213" s="16"/>
      <c r="D213" s="15"/>
      <c r="E213" s="15"/>
      <c r="F213" s="15"/>
      <c r="G213" s="15"/>
      <c r="H213" s="18"/>
      <c r="I213" s="15"/>
      <c r="J213" s="15"/>
      <c r="K213" s="19"/>
      <c r="L213" s="16"/>
      <c r="N213" s="45"/>
      <c r="O213" s="45"/>
      <c r="P213" s="45"/>
      <c r="Q213" s="45"/>
      <c r="R213" s="45"/>
      <c r="S213" s="45"/>
      <c r="T213" s="45"/>
      <c r="U213" s="45"/>
      <c r="V213" s="16"/>
      <c r="W213" s="16"/>
      <c r="X213" s="45"/>
      <c r="Y213" s="45"/>
      <c r="Z213" s="45"/>
      <c r="AA213" s="45"/>
      <c r="AB213" s="45"/>
      <c r="AC213" s="45"/>
    </row>
    <row r="214" spans="1:29" s="17" customFormat="1" x14ac:dyDescent="0.25">
      <c r="A214" s="16"/>
      <c r="B214" s="45"/>
      <c r="C214" s="16"/>
      <c r="D214" s="15"/>
      <c r="E214" s="15"/>
      <c r="F214" s="15"/>
      <c r="G214" s="15"/>
      <c r="H214" s="18"/>
      <c r="I214" s="15"/>
      <c r="J214" s="15"/>
      <c r="K214" s="19"/>
      <c r="L214" s="16"/>
      <c r="N214" s="45"/>
      <c r="O214" s="45"/>
      <c r="P214" s="45"/>
      <c r="Q214" s="45"/>
      <c r="R214" s="45"/>
      <c r="S214" s="45"/>
      <c r="T214" s="45"/>
      <c r="U214" s="45"/>
      <c r="V214" s="16"/>
      <c r="W214" s="16"/>
      <c r="X214" s="45"/>
      <c r="Y214" s="45"/>
      <c r="Z214" s="45"/>
      <c r="AA214" s="45"/>
      <c r="AB214" s="45"/>
      <c r="AC214" s="45"/>
    </row>
    <row r="215" spans="1:29" s="17" customFormat="1" x14ac:dyDescent="0.25">
      <c r="A215" s="16"/>
      <c r="B215" s="45"/>
      <c r="C215" s="16"/>
      <c r="D215" s="15"/>
      <c r="E215" s="15"/>
      <c r="F215" s="15"/>
      <c r="G215" s="15"/>
      <c r="H215" s="18"/>
      <c r="I215" s="15"/>
      <c r="J215" s="15"/>
      <c r="K215" s="19"/>
      <c r="L215" s="16"/>
      <c r="N215" s="45"/>
      <c r="O215" s="45"/>
      <c r="P215" s="45"/>
      <c r="Q215" s="45"/>
      <c r="R215" s="45"/>
      <c r="S215" s="45"/>
      <c r="T215" s="45"/>
      <c r="U215" s="45"/>
      <c r="V215" s="16"/>
      <c r="W215" s="16"/>
      <c r="X215" s="45"/>
      <c r="Y215" s="45"/>
      <c r="Z215" s="45"/>
      <c r="AA215" s="45"/>
      <c r="AB215" s="45"/>
      <c r="AC215" s="45"/>
    </row>
    <row r="216" spans="1:29" s="17" customFormat="1" x14ac:dyDescent="0.25">
      <c r="A216" s="16"/>
      <c r="B216" s="45"/>
      <c r="C216" s="16"/>
      <c r="D216" s="15"/>
      <c r="E216" s="15"/>
      <c r="F216" s="15"/>
      <c r="G216" s="15"/>
      <c r="H216" s="18"/>
      <c r="I216" s="15"/>
      <c r="J216" s="15"/>
      <c r="K216" s="19"/>
      <c r="L216" s="16"/>
      <c r="N216" s="45"/>
      <c r="O216" s="45"/>
      <c r="P216" s="45"/>
      <c r="Q216" s="45"/>
      <c r="R216" s="45"/>
      <c r="S216" s="45"/>
      <c r="T216" s="45"/>
      <c r="U216" s="45"/>
      <c r="V216" s="16"/>
      <c r="W216" s="16"/>
      <c r="X216" s="45"/>
      <c r="Y216" s="45"/>
      <c r="Z216" s="45"/>
      <c r="AA216" s="45"/>
      <c r="AB216" s="45"/>
      <c r="AC216" s="45"/>
    </row>
    <row r="217" spans="1:29" s="17" customFormat="1" x14ac:dyDescent="0.25">
      <c r="A217" s="16"/>
      <c r="B217" s="45"/>
      <c r="C217" s="16"/>
      <c r="D217" s="15"/>
      <c r="E217" s="15"/>
      <c r="F217" s="15"/>
      <c r="G217" s="15"/>
      <c r="H217" s="18"/>
      <c r="I217" s="15"/>
      <c r="J217" s="15"/>
      <c r="K217" s="19"/>
      <c r="L217" s="16"/>
      <c r="N217" s="45"/>
      <c r="O217" s="45"/>
      <c r="P217" s="45"/>
      <c r="Q217" s="45"/>
      <c r="R217" s="45"/>
      <c r="S217" s="45"/>
      <c r="T217" s="45"/>
      <c r="U217" s="45"/>
      <c r="V217" s="16"/>
      <c r="W217" s="16"/>
      <c r="X217" s="45"/>
      <c r="Y217" s="45"/>
      <c r="Z217" s="45"/>
      <c r="AA217" s="45"/>
      <c r="AB217" s="45"/>
      <c r="AC217" s="45"/>
    </row>
    <row r="218" spans="1:29" s="17" customFormat="1" x14ac:dyDescent="0.25">
      <c r="A218" s="16"/>
      <c r="B218" s="45"/>
      <c r="C218" s="16"/>
      <c r="D218" s="15"/>
      <c r="E218" s="15"/>
      <c r="F218" s="15"/>
      <c r="G218" s="15"/>
      <c r="H218" s="18"/>
      <c r="I218" s="15"/>
      <c r="J218" s="15"/>
      <c r="K218" s="19"/>
      <c r="L218" s="16"/>
      <c r="N218" s="45"/>
      <c r="O218" s="45"/>
      <c r="P218" s="45"/>
      <c r="Q218" s="45"/>
      <c r="R218" s="45"/>
      <c r="S218" s="45"/>
      <c r="T218" s="45"/>
      <c r="U218" s="45"/>
      <c r="V218" s="16"/>
      <c r="W218" s="16"/>
      <c r="X218" s="45"/>
      <c r="Y218" s="45"/>
      <c r="Z218" s="45"/>
      <c r="AA218" s="45"/>
      <c r="AB218" s="45"/>
      <c r="AC218" s="45"/>
    </row>
    <row r="219" spans="1:29" s="17" customFormat="1" x14ac:dyDescent="0.25">
      <c r="A219" s="16"/>
      <c r="B219" s="45"/>
      <c r="C219" s="16"/>
      <c r="D219" s="15"/>
      <c r="E219" s="15"/>
      <c r="F219" s="15"/>
      <c r="G219" s="15"/>
      <c r="H219" s="18"/>
      <c r="I219" s="15"/>
      <c r="J219" s="15"/>
      <c r="K219" s="19"/>
      <c r="L219" s="16"/>
      <c r="N219" s="45"/>
      <c r="O219" s="45"/>
      <c r="P219" s="45"/>
      <c r="Q219" s="45"/>
      <c r="R219" s="45"/>
      <c r="S219" s="45"/>
      <c r="T219" s="45"/>
      <c r="U219" s="45"/>
      <c r="V219" s="16"/>
      <c r="W219" s="16"/>
      <c r="X219" s="45"/>
      <c r="Y219" s="45"/>
      <c r="Z219" s="45"/>
      <c r="AA219" s="45"/>
      <c r="AB219" s="45"/>
      <c r="AC219" s="45"/>
    </row>
    <row r="220" spans="1:29" s="17" customFormat="1" x14ac:dyDescent="0.25">
      <c r="A220" s="16"/>
      <c r="B220" s="45"/>
      <c r="C220" s="16"/>
      <c r="D220" s="15"/>
      <c r="E220" s="15"/>
      <c r="F220" s="15"/>
      <c r="G220" s="15"/>
      <c r="H220" s="18"/>
      <c r="I220" s="15"/>
      <c r="J220" s="15"/>
      <c r="K220" s="19"/>
      <c r="L220" s="16"/>
      <c r="N220" s="45"/>
      <c r="O220" s="45"/>
      <c r="P220" s="45"/>
      <c r="Q220" s="45"/>
      <c r="R220" s="45"/>
      <c r="S220" s="45"/>
      <c r="T220" s="45"/>
      <c r="U220" s="45"/>
      <c r="V220" s="16"/>
      <c r="W220" s="16"/>
      <c r="X220" s="45"/>
      <c r="Y220" s="45"/>
      <c r="Z220" s="45"/>
      <c r="AA220" s="45"/>
      <c r="AB220" s="45"/>
      <c r="AC220" s="45"/>
    </row>
    <row r="221" spans="1:29" s="17" customFormat="1" x14ac:dyDescent="0.25">
      <c r="A221" s="16"/>
      <c r="B221" s="45"/>
      <c r="C221" s="16"/>
      <c r="D221" s="15"/>
      <c r="E221" s="15"/>
      <c r="F221" s="15"/>
      <c r="G221" s="15"/>
      <c r="H221" s="18"/>
      <c r="I221" s="15"/>
      <c r="J221" s="15"/>
      <c r="K221" s="19"/>
      <c r="L221" s="16"/>
      <c r="N221" s="45"/>
      <c r="O221" s="45"/>
      <c r="P221" s="45"/>
      <c r="Q221" s="45"/>
      <c r="R221" s="45"/>
      <c r="S221" s="45"/>
      <c r="T221" s="45"/>
      <c r="U221" s="45"/>
      <c r="V221" s="16"/>
      <c r="W221" s="16"/>
      <c r="X221" s="45"/>
      <c r="Y221" s="45"/>
      <c r="Z221" s="45"/>
      <c r="AA221" s="45"/>
      <c r="AB221" s="45"/>
      <c r="AC221" s="45"/>
    </row>
    <row r="222" spans="1:29" s="17" customFormat="1" x14ac:dyDescent="0.25">
      <c r="A222" s="16"/>
      <c r="B222" s="45"/>
      <c r="C222" s="16"/>
      <c r="D222" s="15"/>
      <c r="E222" s="15"/>
      <c r="F222" s="15"/>
      <c r="G222" s="15"/>
      <c r="H222" s="18"/>
      <c r="I222" s="15"/>
      <c r="J222" s="15"/>
      <c r="K222" s="19"/>
      <c r="L222" s="16"/>
      <c r="N222" s="45"/>
      <c r="O222" s="45"/>
      <c r="P222" s="45"/>
      <c r="Q222" s="45"/>
      <c r="R222" s="45"/>
      <c r="S222" s="45"/>
      <c r="T222" s="45"/>
      <c r="U222" s="45"/>
      <c r="V222" s="16"/>
      <c r="W222" s="16"/>
      <c r="X222" s="45"/>
      <c r="Y222" s="45"/>
      <c r="Z222" s="45"/>
      <c r="AA222" s="45"/>
      <c r="AB222" s="45"/>
      <c r="AC222" s="45"/>
    </row>
    <row r="223" spans="1:29" s="17" customFormat="1" x14ac:dyDescent="0.25">
      <c r="A223" s="16"/>
      <c r="B223" s="45"/>
      <c r="C223" s="16"/>
      <c r="D223" s="15"/>
      <c r="E223" s="15"/>
      <c r="F223" s="15"/>
      <c r="G223" s="15"/>
      <c r="H223" s="18"/>
      <c r="I223" s="15"/>
      <c r="J223" s="15"/>
      <c r="K223" s="19"/>
      <c r="L223" s="16"/>
      <c r="N223" s="45"/>
      <c r="O223" s="45"/>
      <c r="P223" s="45"/>
      <c r="Q223" s="45"/>
      <c r="R223" s="45"/>
      <c r="S223" s="45"/>
      <c r="T223" s="45"/>
      <c r="U223" s="45"/>
      <c r="V223" s="16"/>
      <c r="W223" s="16"/>
      <c r="X223" s="45"/>
      <c r="Y223" s="45"/>
      <c r="Z223" s="45"/>
      <c r="AA223" s="45"/>
      <c r="AB223" s="45"/>
      <c r="AC223" s="45"/>
    </row>
    <row r="224" spans="1:29" s="17" customFormat="1" x14ac:dyDescent="0.25">
      <c r="A224" s="16"/>
      <c r="B224" s="45"/>
      <c r="C224" s="16"/>
      <c r="D224" s="15"/>
      <c r="E224" s="15"/>
      <c r="F224" s="15"/>
      <c r="G224" s="15"/>
      <c r="H224" s="18"/>
      <c r="I224" s="15"/>
      <c r="J224" s="15"/>
      <c r="K224" s="19"/>
      <c r="L224" s="16"/>
      <c r="N224" s="45"/>
      <c r="O224" s="45"/>
      <c r="P224" s="45"/>
      <c r="Q224" s="45"/>
      <c r="R224" s="45"/>
      <c r="S224" s="45"/>
      <c r="T224" s="45"/>
      <c r="U224" s="45"/>
      <c r="V224" s="16"/>
      <c r="W224" s="16"/>
      <c r="X224" s="45"/>
      <c r="Y224" s="45"/>
      <c r="Z224" s="45"/>
      <c r="AA224" s="45"/>
      <c r="AB224" s="45"/>
      <c r="AC224" s="45"/>
    </row>
    <row r="225" spans="1:29" s="17" customFormat="1" x14ac:dyDescent="0.25">
      <c r="A225" s="16"/>
      <c r="B225" s="45"/>
      <c r="C225" s="16"/>
      <c r="D225" s="15"/>
      <c r="E225" s="15"/>
      <c r="F225" s="15"/>
      <c r="G225" s="15"/>
      <c r="H225" s="18"/>
      <c r="I225" s="15"/>
      <c r="J225" s="15"/>
      <c r="K225" s="19"/>
      <c r="L225" s="16"/>
      <c r="N225" s="45"/>
      <c r="O225" s="45"/>
      <c r="P225" s="45"/>
      <c r="Q225" s="45"/>
      <c r="R225" s="45"/>
      <c r="S225" s="45"/>
      <c r="T225" s="45"/>
      <c r="U225" s="45"/>
      <c r="V225" s="16"/>
      <c r="W225" s="16"/>
      <c r="X225" s="45"/>
      <c r="Y225" s="45"/>
      <c r="Z225" s="45"/>
      <c r="AA225" s="45"/>
      <c r="AB225" s="45"/>
      <c r="AC225" s="45"/>
    </row>
    <row r="226" spans="1:29" s="17" customFormat="1" x14ac:dyDescent="0.25">
      <c r="A226" s="16"/>
      <c r="B226" s="45"/>
      <c r="C226" s="16"/>
      <c r="D226" s="15"/>
      <c r="E226" s="15"/>
      <c r="F226" s="15"/>
      <c r="G226" s="15"/>
      <c r="H226" s="18"/>
      <c r="I226" s="15"/>
      <c r="J226" s="15"/>
      <c r="K226" s="19"/>
      <c r="L226" s="16"/>
      <c r="N226" s="45"/>
      <c r="O226" s="45"/>
      <c r="P226" s="45"/>
      <c r="Q226" s="45"/>
      <c r="R226" s="45"/>
      <c r="S226" s="45"/>
      <c r="T226" s="45"/>
      <c r="U226" s="45"/>
      <c r="V226" s="16"/>
      <c r="W226" s="16"/>
      <c r="X226" s="45"/>
      <c r="Y226" s="45"/>
      <c r="Z226" s="45"/>
      <c r="AA226" s="45"/>
      <c r="AB226" s="45"/>
      <c r="AC226" s="45"/>
    </row>
    <row r="227" spans="1:29" s="17" customFormat="1" x14ac:dyDescent="0.25">
      <c r="A227" s="16"/>
      <c r="B227" s="45"/>
      <c r="C227" s="16"/>
      <c r="D227" s="15"/>
      <c r="E227" s="15"/>
      <c r="F227" s="15"/>
      <c r="G227" s="15"/>
      <c r="H227" s="18"/>
      <c r="I227" s="15"/>
      <c r="J227" s="15"/>
      <c r="K227" s="19"/>
      <c r="L227" s="16"/>
      <c r="N227" s="45"/>
      <c r="O227" s="45"/>
      <c r="P227" s="45"/>
      <c r="Q227" s="45"/>
      <c r="R227" s="45"/>
      <c r="S227" s="45"/>
      <c r="T227" s="45"/>
      <c r="U227" s="45"/>
      <c r="V227" s="16"/>
      <c r="W227" s="16"/>
      <c r="X227" s="45"/>
      <c r="Y227" s="45"/>
      <c r="Z227" s="45"/>
      <c r="AA227" s="45"/>
      <c r="AB227" s="45"/>
      <c r="AC227" s="45"/>
    </row>
    <row r="228" spans="1:29" s="17" customFormat="1" x14ac:dyDescent="0.25">
      <c r="A228" s="16"/>
      <c r="B228" s="45"/>
      <c r="C228" s="16"/>
      <c r="D228" s="15"/>
      <c r="E228" s="15"/>
      <c r="F228" s="15"/>
      <c r="G228" s="15"/>
      <c r="H228" s="18"/>
      <c r="I228" s="15"/>
      <c r="J228" s="15"/>
      <c r="K228" s="19"/>
      <c r="L228" s="16"/>
      <c r="N228" s="45"/>
      <c r="O228" s="45"/>
      <c r="P228" s="45"/>
      <c r="Q228" s="45"/>
      <c r="R228" s="45"/>
      <c r="S228" s="45"/>
      <c r="T228" s="45"/>
      <c r="U228" s="45"/>
      <c r="V228" s="16"/>
      <c r="W228" s="16"/>
      <c r="X228" s="45"/>
      <c r="Y228" s="45"/>
      <c r="Z228" s="45"/>
      <c r="AA228" s="45"/>
      <c r="AB228" s="45"/>
      <c r="AC228" s="45"/>
    </row>
    <row r="229" spans="1:29" s="17" customFormat="1" x14ac:dyDescent="0.25">
      <c r="A229" s="16"/>
      <c r="B229" s="45"/>
      <c r="C229" s="16"/>
      <c r="D229" s="15"/>
      <c r="E229" s="15"/>
      <c r="F229" s="15"/>
      <c r="G229" s="15"/>
      <c r="H229" s="18"/>
      <c r="I229" s="15"/>
      <c r="J229" s="15"/>
      <c r="K229" s="19"/>
      <c r="L229" s="16"/>
      <c r="N229" s="45"/>
      <c r="O229" s="45"/>
      <c r="P229" s="45"/>
      <c r="Q229" s="45"/>
      <c r="R229" s="45"/>
      <c r="S229" s="45"/>
      <c r="T229" s="45"/>
      <c r="U229" s="45"/>
      <c r="V229" s="16"/>
      <c r="W229" s="16"/>
      <c r="X229" s="45"/>
      <c r="Y229" s="45"/>
      <c r="Z229" s="45"/>
      <c r="AA229" s="45"/>
      <c r="AB229" s="45"/>
      <c r="AC229" s="45"/>
    </row>
    <row r="230" spans="1:29" s="17" customFormat="1" x14ac:dyDescent="0.25">
      <c r="A230" s="16"/>
      <c r="B230" s="45"/>
      <c r="C230" s="16"/>
      <c r="D230" s="15"/>
      <c r="E230" s="15"/>
      <c r="F230" s="15"/>
      <c r="G230" s="15"/>
      <c r="H230" s="18"/>
      <c r="I230" s="15"/>
      <c r="J230" s="15"/>
      <c r="K230" s="19"/>
      <c r="L230" s="16"/>
      <c r="N230" s="45"/>
      <c r="O230" s="45"/>
      <c r="P230" s="45"/>
      <c r="Q230" s="45"/>
      <c r="R230" s="45"/>
      <c r="S230" s="45"/>
      <c r="T230" s="45"/>
      <c r="U230" s="45"/>
      <c r="V230" s="16"/>
      <c r="W230" s="16"/>
      <c r="X230" s="45"/>
      <c r="Y230" s="45"/>
      <c r="Z230" s="45"/>
      <c r="AA230" s="45"/>
      <c r="AB230" s="45"/>
      <c r="AC230" s="45"/>
    </row>
    <row r="231" spans="1:29" s="17" customFormat="1" x14ac:dyDescent="0.25">
      <c r="A231" s="16"/>
      <c r="B231" s="45"/>
      <c r="C231" s="16"/>
      <c r="D231" s="15"/>
      <c r="E231" s="15"/>
      <c r="F231" s="15"/>
      <c r="G231" s="15"/>
      <c r="H231" s="18"/>
      <c r="I231" s="15"/>
      <c r="J231" s="15"/>
      <c r="K231" s="19"/>
      <c r="L231" s="16"/>
      <c r="N231" s="45"/>
      <c r="O231" s="45"/>
      <c r="P231" s="45"/>
      <c r="Q231" s="45"/>
      <c r="R231" s="45"/>
      <c r="S231" s="45"/>
      <c r="T231" s="45"/>
      <c r="U231" s="45"/>
      <c r="V231" s="16"/>
      <c r="W231" s="16"/>
      <c r="X231" s="45"/>
      <c r="Y231" s="45"/>
      <c r="Z231" s="45"/>
      <c r="AA231" s="45"/>
      <c r="AB231" s="45"/>
      <c r="AC231" s="45"/>
    </row>
    <row r="232" spans="1:29" s="17" customFormat="1" x14ac:dyDescent="0.25">
      <c r="A232" s="16"/>
      <c r="B232" s="45"/>
      <c r="C232" s="16"/>
      <c r="D232" s="15"/>
      <c r="E232" s="15"/>
      <c r="F232" s="15"/>
      <c r="G232" s="15"/>
      <c r="H232" s="18"/>
      <c r="I232" s="15"/>
      <c r="J232" s="15"/>
      <c r="K232" s="19"/>
      <c r="L232" s="16"/>
      <c r="N232" s="45"/>
      <c r="O232" s="45"/>
      <c r="P232" s="45"/>
      <c r="Q232" s="45"/>
      <c r="R232" s="45"/>
      <c r="S232" s="45"/>
      <c r="T232" s="45"/>
      <c r="U232" s="45"/>
      <c r="V232" s="16"/>
      <c r="W232" s="16"/>
      <c r="X232" s="45"/>
      <c r="Y232" s="45"/>
      <c r="Z232" s="45"/>
      <c r="AA232" s="45"/>
      <c r="AB232" s="45"/>
      <c r="AC232" s="45"/>
    </row>
    <row r="233" spans="1:29" s="17" customFormat="1" x14ac:dyDescent="0.25">
      <c r="A233" s="16"/>
      <c r="B233" s="45"/>
      <c r="C233" s="16"/>
      <c r="D233" s="15"/>
      <c r="E233" s="15"/>
      <c r="F233" s="15"/>
      <c r="G233" s="15"/>
      <c r="H233" s="18"/>
      <c r="I233" s="15"/>
      <c r="J233" s="15"/>
      <c r="K233" s="19"/>
      <c r="L233" s="16"/>
      <c r="N233" s="45"/>
      <c r="O233" s="45"/>
      <c r="P233" s="45"/>
      <c r="Q233" s="45"/>
      <c r="R233" s="45"/>
      <c r="S233" s="45"/>
      <c r="T233" s="45"/>
      <c r="U233" s="45"/>
      <c r="V233" s="16"/>
      <c r="W233" s="16"/>
      <c r="X233" s="45"/>
      <c r="Y233" s="45"/>
      <c r="Z233" s="45"/>
      <c r="AA233" s="45"/>
      <c r="AB233" s="45"/>
      <c r="AC233" s="45"/>
    </row>
    <row r="234" spans="1:29" s="17" customFormat="1" x14ac:dyDescent="0.25">
      <c r="A234" s="16"/>
      <c r="B234" s="45"/>
      <c r="C234" s="16"/>
      <c r="D234" s="15"/>
      <c r="E234" s="15"/>
      <c r="F234" s="15"/>
      <c r="G234" s="15"/>
      <c r="H234" s="18"/>
      <c r="I234" s="15"/>
      <c r="J234" s="15"/>
      <c r="K234" s="19"/>
      <c r="L234" s="16"/>
      <c r="N234" s="45"/>
      <c r="O234" s="45"/>
      <c r="P234" s="45"/>
      <c r="Q234" s="45"/>
      <c r="R234" s="45"/>
      <c r="S234" s="45"/>
      <c r="T234" s="45"/>
      <c r="U234" s="45"/>
      <c r="V234" s="16"/>
      <c r="W234" s="16"/>
      <c r="X234" s="45"/>
      <c r="Y234" s="45"/>
      <c r="Z234" s="45"/>
      <c r="AA234" s="45"/>
      <c r="AB234" s="45"/>
      <c r="AC234" s="45"/>
    </row>
    <row r="235" spans="1:29" s="17" customFormat="1" x14ac:dyDescent="0.25">
      <c r="A235" s="16"/>
      <c r="B235" s="45"/>
      <c r="C235" s="16"/>
      <c r="D235" s="15"/>
      <c r="E235" s="15"/>
      <c r="F235" s="15"/>
      <c r="G235" s="15"/>
      <c r="H235" s="18"/>
      <c r="I235" s="15"/>
      <c r="J235" s="15"/>
      <c r="K235" s="19"/>
      <c r="L235" s="16"/>
      <c r="N235" s="45"/>
      <c r="O235" s="45"/>
      <c r="P235" s="45"/>
      <c r="Q235" s="45"/>
      <c r="R235" s="45"/>
      <c r="S235" s="45"/>
      <c r="T235" s="45"/>
      <c r="U235" s="45"/>
      <c r="V235" s="16"/>
      <c r="W235" s="16"/>
      <c r="X235" s="45"/>
      <c r="Y235" s="45"/>
      <c r="Z235" s="45"/>
      <c r="AA235" s="45"/>
      <c r="AB235" s="45"/>
      <c r="AC235" s="45"/>
    </row>
    <row r="236" spans="1:29" s="17" customFormat="1" x14ac:dyDescent="0.25">
      <c r="A236" s="16"/>
      <c r="B236" s="45"/>
      <c r="C236" s="16"/>
      <c r="D236" s="15"/>
      <c r="E236" s="15"/>
      <c r="F236" s="15"/>
      <c r="G236" s="15"/>
      <c r="H236" s="18"/>
      <c r="I236" s="15"/>
      <c r="J236" s="15"/>
      <c r="K236" s="19"/>
      <c r="L236" s="16"/>
      <c r="N236" s="45"/>
      <c r="O236" s="45"/>
      <c r="P236" s="45"/>
      <c r="Q236" s="45"/>
      <c r="R236" s="45"/>
      <c r="S236" s="45"/>
      <c r="T236" s="45"/>
      <c r="U236" s="45"/>
      <c r="V236" s="16"/>
      <c r="W236" s="16"/>
      <c r="X236" s="45"/>
      <c r="Y236" s="45"/>
      <c r="Z236" s="45"/>
      <c r="AA236" s="45"/>
      <c r="AB236" s="45"/>
      <c r="AC236" s="45"/>
    </row>
    <row r="237" spans="1:29" s="17" customFormat="1" x14ac:dyDescent="0.25">
      <c r="A237" s="16"/>
      <c r="B237" s="45"/>
      <c r="C237" s="16"/>
      <c r="D237" s="15"/>
      <c r="E237" s="15"/>
      <c r="F237" s="15"/>
      <c r="G237" s="15"/>
      <c r="H237" s="18"/>
      <c r="I237" s="15"/>
      <c r="J237" s="15"/>
      <c r="K237" s="19"/>
      <c r="L237" s="16"/>
      <c r="N237" s="45"/>
      <c r="O237" s="45"/>
      <c r="P237" s="45"/>
      <c r="Q237" s="45"/>
      <c r="R237" s="45"/>
      <c r="S237" s="45"/>
      <c r="T237" s="45"/>
      <c r="U237" s="45"/>
      <c r="V237" s="16"/>
      <c r="W237" s="16"/>
      <c r="X237" s="45"/>
      <c r="Y237" s="45"/>
      <c r="Z237" s="45"/>
      <c r="AA237" s="45"/>
      <c r="AB237" s="45"/>
      <c r="AC237" s="45"/>
    </row>
    <row r="238" spans="1:29" s="17" customFormat="1" x14ac:dyDescent="0.25">
      <c r="A238" s="16"/>
      <c r="B238" s="45"/>
      <c r="C238" s="16"/>
      <c r="D238" s="15"/>
      <c r="E238" s="15"/>
      <c r="F238" s="15"/>
      <c r="G238" s="15"/>
      <c r="H238" s="18"/>
      <c r="I238" s="15"/>
      <c r="J238" s="15"/>
      <c r="K238" s="19"/>
      <c r="L238" s="16"/>
      <c r="N238" s="45"/>
      <c r="O238" s="45"/>
      <c r="P238" s="45"/>
      <c r="Q238" s="45"/>
      <c r="R238" s="45"/>
      <c r="S238" s="45"/>
      <c r="T238" s="45"/>
      <c r="U238" s="45"/>
      <c r="V238" s="16"/>
      <c r="W238" s="16"/>
      <c r="X238" s="45"/>
      <c r="Y238" s="45"/>
      <c r="Z238" s="45"/>
      <c r="AA238" s="45"/>
      <c r="AB238" s="45"/>
      <c r="AC238" s="45"/>
    </row>
    <row r="239" spans="1:29" s="17" customFormat="1" x14ac:dyDescent="0.25">
      <c r="A239" s="16"/>
      <c r="B239" s="45"/>
      <c r="C239" s="16"/>
      <c r="D239" s="15"/>
      <c r="E239" s="15"/>
      <c r="F239" s="15"/>
      <c r="G239" s="15"/>
      <c r="H239" s="18"/>
      <c r="I239" s="15"/>
      <c r="J239" s="15"/>
      <c r="K239" s="19"/>
      <c r="L239" s="16"/>
      <c r="N239" s="45"/>
      <c r="O239" s="45"/>
      <c r="P239" s="45"/>
      <c r="Q239" s="45"/>
      <c r="R239" s="45"/>
      <c r="S239" s="45"/>
      <c r="T239" s="45"/>
      <c r="U239" s="45"/>
      <c r="V239" s="16"/>
      <c r="W239" s="16"/>
      <c r="X239" s="45"/>
      <c r="Y239" s="45"/>
      <c r="Z239" s="45"/>
      <c r="AA239" s="45"/>
      <c r="AB239" s="45"/>
      <c r="AC239" s="45"/>
    </row>
    <row r="240" spans="1:29" s="17" customFormat="1" x14ac:dyDescent="0.25">
      <c r="A240" s="16"/>
      <c r="B240" s="45"/>
      <c r="C240" s="16"/>
      <c r="D240" s="15"/>
      <c r="E240" s="15"/>
      <c r="F240" s="15"/>
      <c r="G240" s="15"/>
      <c r="H240" s="18"/>
      <c r="I240" s="15"/>
      <c r="J240" s="15"/>
      <c r="K240" s="19"/>
      <c r="L240" s="16"/>
      <c r="N240" s="45"/>
      <c r="O240" s="45"/>
      <c r="P240" s="45"/>
      <c r="Q240" s="45"/>
      <c r="R240" s="45"/>
      <c r="S240" s="45"/>
      <c r="T240" s="45"/>
      <c r="U240" s="45"/>
      <c r="V240" s="16"/>
      <c r="W240" s="16"/>
      <c r="X240" s="45"/>
      <c r="Y240" s="45"/>
      <c r="Z240" s="45"/>
      <c r="AA240" s="45"/>
      <c r="AB240" s="45"/>
      <c r="AC240" s="45"/>
    </row>
    <row r="241" spans="1:29" s="17" customFormat="1" x14ac:dyDescent="0.25">
      <c r="A241" s="16"/>
      <c r="B241" s="45"/>
      <c r="C241" s="16"/>
      <c r="D241" s="15"/>
      <c r="E241" s="15"/>
      <c r="F241" s="15"/>
      <c r="G241" s="15"/>
      <c r="H241" s="18"/>
      <c r="I241" s="15"/>
      <c r="J241" s="15"/>
      <c r="K241" s="19"/>
      <c r="L241" s="16"/>
      <c r="N241" s="45"/>
      <c r="O241" s="45"/>
      <c r="P241" s="45"/>
      <c r="Q241" s="45"/>
      <c r="R241" s="45"/>
      <c r="S241" s="45"/>
      <c r="T241" s="45"/>
      <c r="U241" s="45"/>
      <c r="V241" s="16"/>
      <c r="W241" s="16"/>
      <c r="X241" s="45"/>
      <c r="Y241" s="45"/>
      <c r="Z241" s="45"/>
      <c r="AA241" s="45"/>
      <c r="AB241" s="45"/>
      <c r="AC241" s="45"/>
    </row>
    <row r="242" spans="1:29" s="17" customFormat="1" x14ac:dyDescent="0.25">
      <c r="A242" s="16"/>
      <c r="B242" s="45"/>
      <c r="C242" s="16"/>
      <c r="D242" s="15"/>
      <c r="E242" s="15"/>
      <c r="F242" s="15"/>
      <c r="G242" s="15"/>
      <c r="H242" s="18"/>
      <c r="I242" s="15"/>
      <c r="J242" s="15"/>
      <c r="K242" s="19"/>
      <c r="L242" s="16"/>
      <c r="N242" s="45"/>
      <c r="O242" s="45"/>
      <c r="P242" s="45"/>
      <c r="Q242" s="45"/>
      <c r="R242" s="45"/>
      <c r="S242" s="45"/>
      <c r="T242" s="45"/>
      <c r="U242" s="45"/>
      <c r="V242" s="16"/>
      <c r="W242" s="16"/>
      <c r="X242" s="45"/>
      <c r="Y242" s="45"/>
      <c r="Z242" s="45"/>
      <c r="AA242" s="45"/>
      <c r="AB242" s="45"/>
      <c r="AC242" s="45"/>
    </row>
    <row r="243" spans="1:29" s="17" customFormat="1" x14ac:dyDescent="0.25">
      <c r="A243" s="16"/>
      <c r="B243" s="45"/>
      <c r="C243" s="16"/>
      <c r="D243" s="15"/>
      <c r="E243" s="15"/>
      <c r="F243" s="15"/>
      <c r="G243" s="15"/>
      <c r="H243" s="18"/>
      <c r="I243" s="15"/>
      <c r="J243" s="15"/>
      <c r="K243" s="19"/>
      <c r="L243" s="16"/>
      <c r="N243" s="45"/>
      <c r="O243" s="45"/>
      <c r="P243" s="45"/>
      <c r="Q243" s="45"/>
      <c r="R243" s="45"/>
      <c r="S243" s="45"/>
      <c r="T243" s="45"/>
      <c r="U243" s="45"/>
      <c r="V243" s="16"/>
      <c r="W243" s="16"/>
      <c r="X243" s="45"/>
      <c r="Y243" s="45"/>
      <c r="Z243" s="45"/>
      <c r="AA243" s="45"/>
      <c r="AB243" s="45"/>
      <c r="AC243" s="45"/>
    </row>
    <row r="244" spans="1:29" s="17" customFormat="1" x14ac:dyDescent="0.25">
      <c r="A244" s="16"/>
      <c r="B244" s="45"/>
      <c r="C244" s="16"/>
      <c r="D244" s="15"/>
      <c r="E244" s="15"/>
      <c r="F244" s="15"/>
      <c r="G244" s="15"/>
      <c r="H244" s="18"/>
      <c r="I244" s="15"/>
      <c r="J244" s="15"/>
      <c r="K244" s="19"/>
      <c r="L244" s="16"/>
      <c r="N244" s="45"/>
      <c r="O244" s="45"/>
      <c r="P244" s="45"/>
      <c r="Q244" s="45"/>
      <c r="R244" s="45"/>
      <c r="S244" s="45"/>
      <c r="T244" s="45"/>
      <c r="U244" s="45"/>
      <c r="V244" s="16"/>
      <c r="W244" s="16"/>
      <c r="X244" s="45"/>
      <c r="Y244" s="45"/>
      <c r="Z244" s="45"/>
      <c r="AA244" s="45"/>
      <c r="AB244" s="45"/>
      <c r="AC244" s="45"/>
    </row>
    <row r="245" spans="1:29" s="17" customFormat="1" x14ac:dyDescent="0.25">
      <c r="A245" s="16"/>
      <c r="B245" s="45"/>
      <c r="C245" s="16"/>
      <c r="D245" s="15"/>
      <c r="E245" s="15"/>
      <c r="F245" s="15"/>
      <c r="G245" s="15"/>
      <c r="H245" s="18"/>
      <c r="I245" s="15"/>
      <c r="J245" s="15"/>
      <c r="K245" s="19"/>
      <c r="L245" s="16"/>
      <c r="N245" s="45"/>
      <c r="O245" s="45"/>
      <c r="P245" s="45"/>
      <c r="Q245" s="45"/>
      <c r="R245" s="45"/>
      <c r="S245" s="45"/>
      <c r="T245" s="45"/>
      <c r="U245" s="45"/>
      <c r="V245" s="16"/>
      <c r="W245" s="16"/>
      <c r="X245" s="45"/>
      <c r="Y245" s="45"/>
      <c r="Z245" s="45"/>
      <c r="AA245" s="45"/>
      <c r="AB245" s="45"/>
      <c r="AC245" s="45"/>
    </row>
    <row r="246" spans="1:29" s="17" customFormat="1" x14ac:dyDescent="0.25">
      <c r="A246" s="16"/>
      <c r="B246" s="45"/>
      <c r="C246" s="16"/>
      <c r="D246" s="15"/>
      <c r="E246" s="15"/>
      <c r="F246" s="15"/>
      <c r="G246" s="15"/>
      <c r="H246" s="18"/>
      <c r="I246" s="15"/>
      <c r="J246" s="15"/>
      <c r="K246" s="19"/>
      <c r="L246" s="16"/>
      <c r="N246" s="45"/>
      <c r="O246" s="45"/>
      <c r="P246" s="45"/>
      <c r="Q246" s="45"/>
      <c r="R246" s="45"/>
      <c r="S246" s="45"/>
      <c r="T246" s="45"/>
      <c r="U246" s="45"/>
      <c r="V246" s="16"/>
      <c r="W246" s="16"/>
      <c r="X246" s="45"/>
      <c r="Y246" s="45"/>
      <c r="Z246" s="45"/>
      <c r="AA246" s="45"/>
      <c r="AB246" s="45"/>
      <c r="AC246" s="45"/>
    </row>
    <row r="247" spans="1:29" s="17" customFormat="1" x14ac:dyDescent="0.25">
      <c r="A247" s="16"/>
      <c r="B247" s="45"/>
      <c r="C247" s="16"/>
      <c r="D247" s="15"/>
      <c r="E247" s="15"/>
      <c r="F247" s="15"/>
      <c r="G247" s="15"/>
      <c r="H247" s="18"/>
      <c r="I247" s="15"/>
      <c r="J247" s="15"/>
      <c r="K247" s="19"/>
      <c r="L247" s="16"/>
      <c r="N247" s="45"/>
      <c r="O247" s="45"/>
      <c r="P247" s="45"/>
      <c r="Q247" s="45"/>
      <c r="R247" s="45"/>
      <c r="S247" s="45"/>
      <c r="T247" s="45"/>
      <c r="U247" s="45"/>
      <c r="V247" s="16"/>
      <c r="W247" s="16"/>
      <c r="X247" s="45"/>
      <c r="Y247" s="45"/>
      <c r="Z247" s="45"/>
      <c r="AA247" s="45"/>
      <c r="AB247" s="45"/>
      <c r="AC247" s="45"/>
    </row>
    <row r="248" spans="1:29" s="17" customFormat="1" x14ac:dyDescent="0.25">
      <c r="A248" s="16"/>
      <c r="B248" s="45"/>
      <c r="C248" s="16"/>
      <c r="D248" s="15"/>
      <c r="E248" s="15"/>
      <c r="F248" s="15"/>
      <c r="G248" s="15"/>
      <c r="H248" s="18"/>
      <c r="I248" s="15"/>
      <c r="J248" s="15"/>
      <c r="K248" s="19"/>
      <c r="L248" s="16"/>
      <c r="N248" s="45"/>
      <c r="O248" s="45"/>
      <c r="P248" s="45"/>
      <c r="Q248" s="45"/>
      <c r="R248" s="45"/>
      <c r="S248" s="45"/>
      <c r="T248" s="45"/>
      <c r="U248" s="45"/>
      <c r="V248" s="16"/>
      <c r="W248" s="16"/>
      <c r="X248" s="45"/>
      <c r="Y248" s="45"/>
      <c r="Z248" s="45"/>
      <c r="AA248" s="45"/>
      <c r="AB248" s="45"/>
      <c r="AC248" s="45"/>
    </row>
    <row r="249" spans="1:29" s="17" customFormat="1" x14ac:dyDescent="0.25">
      <c r="A249" s="16"/>
      <c r="B249" s="45"/>
      <c r="C249" s="16"/>
      <c r="D249" s="15"/>
      <c r="E249" s="15"/>
      <c r="F249" s="15"/>
      <c r="G249" s="15"/>
      <c r="H249" s="18"/>
      <c r="I249" s="15"/>
      <c r="J249" s="15"/>
      <c r="K249" s="19"/>
      <c r="L249" s="16"/>
      <c r="N249" s="45"/>
      <c r="O249" s="45"/>
      <c r="P249" s="45"/>
      <c r="Q249" s="45"/>
      <c r="R249" s="45"/>
      <c r="S249" s="45"/>
      <c r="T249" s="45"/>
      <c r="U249" s="45"/>
      <c r="V249" s="16"/>
      <c r="W249" s="16"/>
      <c r="X249" s="45"/>
      <c r="Y249" s="45"/>
      <c r="Z249" s="45"/>
      <c r="AA249" s="45"/>
      <c r="AB249" s="45"/>
      <c r="AC249" s="45"/>
    </row>
    <row r="250" spans="1:29" s="17" customFormat="1" x14ac:dyDescent="0.25">
      <c r="A250" s="16"/>
      <c r="B250" s="45"/>
      <c r="C250" s="16"/>
      <c r="D250" s="15"/>
      <c r="E250" s="15"/>
      <c r="F250" s="15"/>
      <c r="G250" s="15"/>
      <c r="H250" s="18"/>
      <c r="I250" s="15"/>
      <c r="J250" s="15"/>
      <c r="K250" s="19"/>
      <c r="L250" s="16"/>
      <c r="N250" s="45"/>
      <c r="O250" s="45"/>
      <c r="P250" s="45"/>
      <c r="Q250" s="45"/>
      <c r="R250" s="45"/>
      <c r="S250" s="45"/>
      <c r="T250" s="45"/>
      <c r="U250" s="45"/>
      <c r="V250" s="16"/>
      <c r="W250" s="16"/>
      <c r="X250" s="45"/>
      <c r="Y250" s="45"/>
      <c r="Z250" s="45"/>
      <c r="AA250" s="45"/>
      <c r="AB250" s="45"/>
      <c r="AC250" s="45"/>
    </row>
    <row r="251" spans="1:29" s="17" customFormat="1" x14ac:dyDescent="0.25">
      <c r="A251" s="16"/>
      <c r="B251" s="45"/>
      <c r="C251" s="16"/>
      <c r="D251" s="15"/>
      <c r="E251" s="15"/>
      <c r="F251" s="15"/>
      <c r="G251" s="15"/>
      <c r="H251" s="18"/>
      <c r="I251" s="15"/>
      <c r="J251" s="15"/>
      <c r="K251" s="19"/>
      <c r="L251" s="16"/>
      <c r="N251" s="45"/>
      <c r="O251" s="45"/>
      <c r="P251" s="45"/>
      <c r="Q251" s="45"/>
      <c r="R251" s="45"/>
      <c r="S251" s="45"/>
      <c r="T251" s="45"/>
      <c r="U251" s="45"/>
      <c r="V251" s="16"/>
      <c r="W251" s="16"/>
      <c r="X251" s="45"/>
      <c r="Y251" s="45"/>
      <c r="Z251" s="45"/>
      <c r="AA251" s="45"/>
      <c r="AB251" s="45"/>
      <c r="AC251" s="45"/>
    </row>
    <row r="252" spans="1:29" s="17" customFormat="1" x14ac:dyDescent="0.25">
      <c r="A252" s="16"/>
      <c r="B252" s="45"/>
      <c r="C252" s="16"/>
      <c r="D252" s="15"/>
      <c r="E252" s="15"/>
      <c r="F252" s="15"/>
      <c r="G252" s="15"/>
      <c r="H252" s="18"/>
      <c r="I252" s="15"/>
      <c r="J252" s="15"/>
      <c r="K252" s="19"/>
      <c r="L252" s="16"/>
      <c r="N252" s="45"/>
      <c r="O252" s="45"/>
      <c r="P252" s="45"/>
      <c r="Q252" s="45"/>
      <c r="R252" s="45"/>
      <c r="S252" s="45"/>
      <c r="T252" s="45"/>
      <c r="U252" s="45"/>
      <c r="V252" s="16"/>
      <c r="W252" s="16"/>
      <c r="X252" s="45"/>
      <c r="Y252" s="45"/>
      <c r="Z252" s="45"/>
      <c r="AA252" s="45"/>
      <c r="AB252" s="45"/>
      <c r="AC252" s="45"/>
    </row>
    <row r="253" spans="1:29" s="17" customFormat="1" x14ac:dyDescent="0.25">
      <c r="A253" s="16"/>
      <c r="B253" s="45"/>
      <c r="C253" s="16"/>
      <c r="D253" s="15"/>
      <c r="E253" s="15"/>
      <c r="F253" s="15"/>
      <c r="G253" s="15"/>
      <c r="H253" s="18"/>
      <c r="I253" s="15"/>
      <c r="J253" s="15"/>
      <c r="K253" s="19"/>
      <c r="L253" s="16"/>
      <c r="N253" s="45"/>
      <c r="O253" s="45"/>
      <c r="P253" s="45"/>
      <c r="Q253" s="45"/>
      <c r="R253" s="45"/>
      <c r="S253" s="45"/>
      <c r="T253" s="45"/>
      <c r="U253" s="45"/>
      <c r="V253" s="16"/>
      <c r="W253" s="16"/>
      <c r="X253" s="45"/>
      <c r="Y253" s="45"/>
      <c r="Z253" s="45"/>
      <c r="AA253" s="45"/>
      <c r="AB253" s="45"/>
      <c r="AC253" s="45"/>
    </row>
    <row r="254" spans="1:29" s="17" customFormat="1" x14ac:dyDescent="0.25">
      <c r="A254" s="16"/>
      <c r="B254" s="45"/>
      <c r="C254" s="16"/>
      <c r="D254" s="15"/>
      <c r="E254" s="15"/>
      <c r="F254" s="15"/>
      <c r="G254" s="15"/>
      <c r="H254" s="18"/>
      <c r="I254" s="15"/>
      <c r="J254" s="15"/>
      <c r="K254" s="19"/>
      <c r="L254" s="16"/>
      <c r="N254" s="45"/>
      <c r="O254" s="45"/>
      <c r="P254" s="45"/>
      <c r="Q254" s="45"/>
      <c r="R254" s="45"/>
      <c r="S254" s="45"/>
      <c r="T254" s="45"/>
      <c r="U254" s="45"/>
      <c r="V254" s="16"/>
      <c r="W254" s="16"/>
      <c r="X254" s="45"/>
      <c r="Y254" s="45"/>
      <c r="Z254" s="45"/>
      <c r="AA254" s="45"/>
      <c r="AB254" s="45"/>
      <c r="AC254" s="45"/>
    </row>
    <row r="255" spans="1:29" s="17" customFormat="1" x14ac:dyDescent="0.25">
      <c r="A255" s="16"/>
      <c r="B255" s="45"/>
      <c r="C255" s="16"/>
      <c r="D255" s="15"/>
      <c r="E255" s="15"/>
      <c r="F255" s="15"/>
      <c r="G255" s="15"/>
      <c r="H255" s="18"/>
      <c r="I255" s="15"/>
      <c r="J255" s="15"/>
      <c r="K255" s="19"/>
      <c r="L255" s="16"/>
      <c r="N255" s="45"/>
      <c r="O255" s="45"/>
      <c r="P255" s="45"/>
      <c r="Q255" s="45"/>
      <c r="R255" s="45"/>
      <c r="S255" s="45"/>
      <c r="T255" s="45"/>
      <c r="U255" s="45"/>
      <c r="V255" s="16"/>
      <c r="W255" s="16"/>
      <c r="X255" s="45"/>
      <c r="Y255" s="45"/>
      <c r="Z255" s="45"/>
      <c r="AA255" s="45"/>
      <c r="AB255" s="45"/>
      <c r="AC255" s="45"/>
    </row>
    <row r="256" spans="1:29" s="17" customFormat="1" x14ac:dyDescent="0.25">
      <c r="A256" s="16"/>
      <c r="B256" s="45"/>
      <c r="C256" s="16"/>
      <c r="D256" s="15"/>
      <c r="E256" s="15"/>
      <c r="F256" s="15"/>
      <c r="G256" s="15"/>
      <c r="H256" s="18"/>
      <c r="I256" s="15"/>
      <c r="J256" s="15"/>
      <c r="K256" s="19"/>
      <c r="L256" s="16"/>
      <c r="N256" s="45"/>
      <c r="O256" s="45"/>
      <c r="P256" s="45"/>
      <c r="Q256" s="45"/>
      <c r="R256" s="45"/>
      <c r="S256" s="45"/>
      <c r="T256" s="45"/>
      <c r="U256" s="45"/>
      <c r="V256" s="16"/>
      <c r="W256" s="16"/>
      <c r="X256" s="45"/>
      <c r="Y256" s="45"/>
      <c r="Z256" s="45"/>
      <c r="AA256" s="45"/>
      <c r="AB256" s="45"/>
      <c r="AC256" s="45"/>
    </row>
    <row r="257" spans="1:29" s="17" customFormat="1" x14ac:dyDescent="0.25">
      <c r="A257" s="16"/>
      <c r="B257" s="45"/>
      <c r="C257" s="16"/>
      <c r="D257" s="15"/>
      <c r="E257" s="15"/>
      <c r="F257" s="15"/>
      <c r="G257" s="15"/>
      <c r="H257" s="18"/>
      <c r="I257" s="15"/>
      <c r="J257" s="15"/>
      <c r="K257" s="19"/>
      <c r="L257" s="16"/>
      <c r="N257" s="45"/>
      <c r="O257" s="45"/>
      <c r="P257" s="45"/>
      <c r="Q257" s="45"/>
      <c r="R257" s="45"/>
      <c r="S257" s="45"/>
      <c r="T257" s="45"/>
      <c r="U257" s="45"/>
      <c r="V257" s="16"/>
      <c r="W257" s="16"/>
      <c r="X257" s="45"/>
      <c r="Y257" s="45"/>
      <c r="Z257" s="45"/>
      <c r="AA257" s="45"/>
      <c r="AB257" s="45"/>
      <c r="AC257" s="45"/>
    </row>
    <row r="258" spans="1:29" s="17" customFormat="1" x14ac:dyDescent="0.25">
      <c r="A258" s="16"/>
      <c r="B258" s="45"/>
      <c r="C258" s="16"/>
      <c r="D258" s="15"/>
      <c r="E258" s="15"/>
      <c r="F258" s="15"/>
      <c r="G258" s="15"/>
      <c r="H258" s="18"/>
      <c r="I258" s="15"/>
      <c r="J258" s="15"/>
      <c r="K258" s="19"/>
      <c r="L258" s="16"/>
      <c r="N258" s="45"/>
      <c r="O258" s="45"/>
      <c r="P258" s="45"/>
      <c r="Q258" s="45"/>
      <c r="R258" s="45"/>
      <c r="S258" s="45"/>
      <c r="T258" s="45"/>
      <c r="U258" s="45"/>
      <c r="V258" s="16"/>
      <c r="W258" s="16"/>
      <c r="X258" s="45"/>
      <c r="Y258" s="45"/>
      <c r="Z258" s="45"/>
      <c r="AA258" s="45"/>
      <c r="AB258" s="45"/>
      <c r="AC258" s="45"/>
    </row>
    <row r="259" spans="1:29" s="17" customFormat="1" x14ac:dyDescent="0.25">
      <c r="A259" s="16"/>
      <c r="B259" s="45"/>
      <c r="C259" s="16"/>
      <c r="D259" s="15"/>
      <c r="E259" s="15"/>
      <c r="F259" s="15"/>
      <c r="G259" s="15"/>
      <c r="H259" s="18"/>
      <c r="I259" s="15"/>
      <c r="J259" s="15"/>
      <c r="K259" s="19"/>
      <c r="L259" s="16"/>
      <c r="N259" s="45"/>
      <c r="O259" s="45"/>
      <c r="P259" s="45"/>
      <c r="Q259" s="45"/>
      <c r="R259" s="45"/>
      <c r="S259" s="45"/>
      <c r="T259" s="45"/>
      <c r="U259" s="45"/>
      <c r="V259" s="16"/>
      <c r="W259" s="16"/>
      <c r="X259" s="45"/>
      <c r="Y259" s="45"/>
      <c r="Z259" s="45"/>
      <c r="AA259" s="45"/>
      <c r="AB259" s="45"/>
      <c r="AC259" s="45"/>
    </row>
    <row r="260" spans="1:29" s="17" customFormat="1" x14ac:dyDescent="0.25">
      <c r="A260" s="16"/>
      <c r="B260" s="45"/>
      <c r="C260" s="16"/>
      <c r="D260" s="15"/>
      <c r="E260" s="15"/>
      <c r="F260" s="15"/>
      <c r="G260" s="15"/>
      <c r="H260" s="18"/>
      <c r="I260" s="15"/>
      <c r="J260" s="15"/>
      <c r="K260" s="19"/>
      <c r="L260" s="16"/>
      <c r="N260" s="45"/>
      <c r="O260" s="45"/>
      <c r="P260" s="45"/>
      <c r="Q260" s="45"/>
      <c r="R260" s="45"/>
      <c r="S260" s="45"/>
      <c r="T260" s="45"/>
      <c r="U260" s="45"/>
      <c r="V260" s="16"/>
      <c r="W260" s="16"/>
      <c r="X260" s="45"/>
      <c r="Y260" s="45"/>
      <c r="Z260" s="45"/>
      <c r="AA260" s="45"/>
      <c r="AB260" s="45"/>
      <c r="AC260" s="45"/>
    </row>
    <row r="261" spans="1:29" s="17" customFormat="1" x14ac:dyDescent="0.25">
      <c r="A261" s="16"/>
      <c r="B261" s="45"/>
      <c r="C261" s="16"/>
      <c r="D261" s="15"/>
      <c r="E261" s="15"/>
      <c r="F261" s="15"/>
      <c r="G261" s="15"/>
      <c r="H261" s="18"/>
      <c r="I261" s="15"/>
      <c r="J261" s="15"/>
      <c r="K261" s="19"/>
      <c r="L261" s="16"/>
      <c r="N261" s="45"/>
      <c r="O261" s="45"/>
      <c r="P261" s="45"/>
      <c r="Q261" s="45"/>
      <c r="R261" s="45"/>
      <c r="S261" s="45"/>
      <c r="T261" s="45"/>
      <c r="U261" s="45"/>
      <c r="V261" s="16"/>
      <c r="W261" s="16"/>
      <c r="X261" s="45"/>
      <c r="Y261" s="45"/>
      <c r="Z261" s="45"/>
      <c r="AA261" s="45"/>
      <c r="AB261" s="45"/>
      <c r="AC261" s="45"/>
    </row>
    <row r="262" spans="1:29" s="17" customFormat="1" x14ac:dyDescent="0.25">
      <c r="A262" s="16"/>
      <c r="B262" s="45"/>
      <c r="C262" s="16"/>
      <c r="D262" s="15"/>
      <c r="E262" s="15"/>
      <c r="F262" s="15"/>
      <c r="G262" s="15"/>
      <c r="H262" s="18"/>
      <c r="I262" s="15"/>
      <c r="J262" s="15"/>
      <c r="K262" s="19"/>
      <c r="L262" s="16"/>
      <c r="N262" s="45"/>
      <c r="O262" s="45"/>
      <c r="P262" s="45"/>
      <c r="Q262" s="45"/>
      <c r="R262" s="45"/>
      <c r="S262" s="45"/>
      <c r="T262" s="45"/>
      <c r="U262" s="45"/>
      <c r="V262" s="16"/>
      <c r="W262" s="16"/>
      <c r="X262" s="45"/>
      <c r="Y262" s="45"/>
      <c r="Z262" s="45"/>
      <c r="AA262" s="45"/>
      <c r="AB262" s="45"/>
      <c r="AC262" s="45"/>
    </row>
    <row r="263" spans="1:29" s="17" customFormat="1" x14ac:dyDescent="0.25">
      <c r="A263" s="16"/>
      <c r="B263" s="45"/>
      <c r="C263" s="16"/>
      <c r="D263" s="15"/>
      <c r="E263" s="15"/>
      <c r="F263" s="15"/>
      <c r="G263" s="15"/>
      <c r="H263" s="18"/>
      <c r="I263" s="15"/>
      <c r="J263" s="15"/>
      <c r="K263" s="19"/>
      <c r="L263" s="16"/>
      <c r="N263" s="45"/>
      <c r="O263" s="45"/>
      <c r="P263" s="45"/>
      <c r="Q263" s="45"/>
      <c r="R263" s="45"/>
      <c r="S263" s="45"/>
      <c r="T263" s="45"/>
      <c r="U263" s="45"/>
      <c r="V263" s="16"/>
      <c r="W263" s="16"/>
      <c r="X263" s="45"/>
      <c r="Y263" s="45"/>
      <c r="Z263" s="45"/>
      <c r="AA263" s="45"/>
      <c r="AB263" s="45"/>
      <c r="AC263" s="45"/>
    </row>
    <row r="264" spans="1:29" s="17" customFormat="1" x14ac:dyDescent="0.25">
      <c r="A264" s="16"/>
      <c r="B264" s="45"/>
      <c r="C264" s="16"/>
      <c r="D264" s="15"/>
      <c r="E264" s="15"/>
      <c r="F264" s="15"/>
      <c r="G264" s="15"/>
      <c r="H264" s="18"/>
      <c r="I264" s="15"/>
      <c r="J264" s="15"/>
      <c r="K264" s="19"/>
      <c r="L264" s="16"/>
      <c r="N264" s="45"/>
      <c r="O264" s="45"/>
      <c r="P264" s="45"/>
      <c r="Q264" s="45"/>
      <c r="R264" s="45"/>
      <c r="S264" s="45"/>
      <c r="T264" s="45"/>
      <c r="U264" s="45"/>
      <c r="V264" s="16"/>
      <c r="W264" s="16"/>
      <c r="X264" s="45"/>
      <c r="Y264" s="45"/>
      <c r="Z264" s="45"/>
      <c r="AA264" s="45"/>
      <c r="AB264" s="45"/>
      <c r="AC264" s="45"/>
    </row>
    <row r="265" spans="1:29" s="17" customFormat="1" x14ac:dyDescent="0.25">
      <c r="A265" s="16"/>
      <c r="B265" s="45"/>
      <c r="C265" s="16"/>
      <c r="D265" s="15"/>
      <c r="E265" s="15"/>
      <c r="F265" s="15"/>
      <c r="G265" s="15"/>
      <c r="H265" s="18"/>
      <c r="I265" s="15"/>
      <c r="J265" s="15"/>
      <c r="K265" s="19"/>
      <c r="L265" s="16"/>
      <c r="N265" s="45"/>
      <c r="O265" s="45"/>
      <c r="P265" s="45"/>
      <c r="Q265" s="45"/>
      <c r="R265" s="45"/>
      <c r="S265" s="45"/>
      <c r="T265" s="45"/>
      <c r="U265" s="45"/>
      <c r="V265" s="16"/>
      <c r="W265" s="16"/>
      <c r="X265" s="45"/>
      <c r="Y265" s="45"/>
      <c r="Z265" s="45"/>
      <c r="AA265" s="45"/>
      <c r="AB265" s="45"/>
      <c r="AC265" s="45"/>
    </row>
    <row r="266" spans="1:29" s="17" customFormat="1" x14ac:dyDescent="0.25">
      <c r="A266" s="16"/>
      <c r="B266" s="45"/>
      <c r="C266" s="16"/>
      <c r="D266" s="15"/>
      <c r="E266" s="15"/>
      <c r="F266" s="15"/>
      <c r="G266" s="15"/>
      <c r="H266" s="18"/>
      <c r="I266" s="15"/>
      <c r="J266" s="15"/>
      <c r="K266" s="19"/>
      <c r="L266" s="16"/>
      <c r="N266" s="45"/>
      <c r="O266" s="45"/>
      <c r="P266" s="45"/>
      <c r="Q266" s="45"/>
      <c r="R266" s="45"/>
      <c r="S266" s="45"/>
      <c r="T266" s="45"/>
      <c r="U266" s="45"/>
      <c r="V266" s="16"/>
      <c r="W266" s="16"/>
      <c r="X266" s="45"/>
      <c r="Y266" s="45"/>
      <c r="Z266" s="45"/>
      <c r="AA266" s="45"/>
      <c r="AB266" s="45"/>
      <c r="AC266" s="45"/>
    </row>
    <row r="267" spans="1:29" s="17" customFormat="1" x14ac:dyDescent="0.25">
      <c r="A267" s="16"/>
      <c r="B267" s="45"/>
      <c r="C267" s="16"/>
      <c r="D267" s="15"/>
      <c r="E267" s="15"/>
      <c r="F267" s="15"/>
      <c r="G267" s="15"/>
      <c r="H267" s="18"/>
      <c r="I267" s="15"/>
      <c r="J267" s="15"/>
      <c r="K267" s="19"/>
      <c r="L267" s="16"/>
      <c r="N267" s="45"/>
      <c r="O267" s="45"/>
      <c r="P267" s="45"/>
      <c r="Q267" s="45"/>
      <c r="R267" s="45"/>
      <c r="S267" s="45"/>
      <c r="T267" s="45"/>
      <c r="U267" s="45"/>
      <c r="V267" s="16"/>
      <c r="W267" s="16"/>
      <c r="X267" s="45"/>
      <c r="Y267" s="45"/>
      <c r="Z267" s="45"/>
      <c r="AA267" s="45"/>
      <c r="AB267" s="45"/>
      <c r="AC267" s="45"/>
    </row>
    <row r="268" spans="1:29" s="17" customFormat="1" x14ac:dyDescent="0.25">
      <c r="A268" s="16"/>
      <c r="B268" s="45"/>
      <c r="C268" s="16"/>
      <c r="D268" s="15"/>
      <c r="E268" s="15"/>
      <c r="F268" s="15"/>
      <c r="G268" s="15"/>
      <c r="H268" s="18"/>
      <c r="I268" s="15"/>
      <c r="J268" s="15"/>
      <c r="K268" s="19"/>
      <c r="L268" s="16"/>
      <c r="N268" s="45"/>
      <c r="O268" s="45"/>
      <c r="P268" s="45"/>
      <c r="Q268" s="45"/>
      <c r="R268" s="45"/>
      <c r="S268" s="45"/>
      <c r="T268" s="45"/>
      <c r="U268" s="45"/>
      <c r="V268" s="16"/>
      <c r="W268" s="16"/>
      <c r="X268" s="45"/>
      <c r="Y268" s="45"/>
      <c r="Z268" s="45"/>
      <c r="AA268" s="45"/>
      <c r="AB268" s="45"/>
      <c r="AC268" s="45"/>
    </row>
    <row r="269" spans="1:29" s="17" customFormat="1" x14ac:dyDescent="0.25">
      <c r="A269" s="16"/>
      <c r="B269" s="45"/>
      <c r="C269" s="16"/>
      <c r="D269" s="15"/>
      <c r="E269" s="15"/>
      <c r="F269" s="15"/>
      <c r="G269" s="15"/>
      <c r="H269" s="18"/>
      <c r="I269" s="15"/>
      <c r="J269" s="15"/>
      <c r="K269" s="19"/>
      <c r="L269" s="16"/>
      <c r="N269" s="45"/>
      <c r="O269" s="45"/>
      <c r="P269" s="45"/>
      <c r="Q269" s="45"/>
      <c r="R269" s="45"/>
      <c r="S269" s="45"/>
      <c r="T269" s="45"/>
      <c r="U269" s="45"/>
      <c r="V269" s="16"/>
      <c r="W269" s="16"/>
      <c r="X269" s="45"/>
      <c r="Y269" s="45"/>
      <c r="Z269" s="45"/>
      <c r="AA269" s="45"/>
      <c r="AB269" s="45"/>
      <c r="AC269" s="45"/>
    </row>
    <row r="270" spans="1:29" s="17" customFormat="1" x14ac:dyDescent="0.25">
      <c r="A270" s="16"/>
      <c r="B270" s="45"/>
      <c r="C270" s="16"/>
      <c r="D270" s="15"/>
      <c r="E270" s="15"/>
      <c r="F270" s="15"/>
      <c r="G270" s="15"/>
      <c r="H270" s="18"/>
      <c r="I270" s="15"/>
      <c r="J270" s="15"/>
      <c r="K270" s="19"/>
      <c r="L270" s="16"/>
      <c r="N270" s="45"/>
      <c r="O270" s="45"/>
      <c r="P270" s="45"/>
      <c r="Q270" s="45"/>
      <c r="R270" s="45"/>
      <c r="S270" s="45"/>
      <c r="T270" s="45"/>
      <c r="U270" s="45"/>
      <c r="V270" s="16"/>
      <c r="W270" s="16"/>
      <c r="X270" s="45"/>
      <c r="Y270" s="45"/>
      <c r="Z270" s="45"/>
      <c r="AA270" s="45"/>
      <c r="AB270" s="45"/>
      <c r="AC270" s="45"/>
    </row>
    <row r="271" spans="1:29" s="17" customFormat="1" x14ac:dyDescent="0.25">
      <c r="A271" s="16"/>
      <c r="B271" s="45"/>
      <c r="C271" s="16"/>
      <c r="D271" s="15"/>
      <c r="E271" s="15"/>
      <c r="F271" s="15"/>
      <c r="G271" s="15"/>
      <c r="H271" s="18"/>
      <c r="I271" s="15"/>
      <c r="J271" s="15"/>
      <c r="K271" s="19"/>
      <c r="L271" s="16"/>
      <c r="N271" s="45"/>
      <c r="O271" s="45"/>
      <c r="P271" s="45"/>
      <c r="Q271" s="45"/>
      <c r="R271" s="45"/>
      <c r="S271" s="45"/>
      <c r="T271" s="45"/>
      <c r="U271" s="45"/>
      <c r="V271" s="16"/>
      <c r="W271" s="16"/>
      <c r="X271" s="45"/>
      <c r="Y271" s="45"/>
      <c r="Z271" s="45"/>
      <c r="AA271" s="45"/>
      <c r="AB271" s="45"/>
      <c r="AC271" s="45"/>
    </row>
    <row r="272" spans="1:29" s="17" customFormat="1" x14ac:dyDescent="0.25">
      <c r="A272" s="16"/>
      <c r="B272" s="45"/>
      <c r="C272" s="16"/>
      <c r="D272" s="15"/>
      <c r="E272" s="15"/>
      <c r="F272" s="15"/>
      <c r="G272" s="15"/>
      <c r="H272" s="18"/>
      <c r="I272" s="15"/>
      <c r="J272" s="15"/>
      <c r="K272" s="19"/>
      <c r="L272" s="16"/>
      <c r="N272" s="45"/>
      <c r="O272" s="45"/>
      <c r="P272" s="45"/>
      <c r="Q272" s="45"/>
      <c r="R272" s="45"/>
      <c r="S272" s="45"/>
      <c r="T272" s="45"/>
      <c r="U272" s="45"/>
      <c r="V272" s="16"/>
      <c r="W272" s="16"/>
      <c r="X272" s="45"/>
      <c r="Y272" s="45"/>
      <c r="Z272" s="45"/>
      <c r="AA272" s="45"/>
      <c r="AB272" s="45"/>
      <c r="AC272" s="45"/>
    </row>
    <row r="273" spans="1:29" s="17" customFormat="1" x14ac:dyDescent="0.25">
      <c r="A273" s="16"/>
      <c r="B273" s="45"/>
      <c r="C273" s="16"/>
      <c r="D273" s="15"/>
      <c r="E273" s="15"/>
      <c r="F273" s="15"/>
      <c r="G273" s="15"/>
      <c r="H273" s="18"/>
      <c r="I273" s="15"/>
      <c r="J273" s="15"/>
      <c r="K273" s="19"/>
      <c r="L273" s="16"/>
      <c r="N273" s="45"/>
      <c r="O273" s="45"/>
      <c r="P273" s="45"/>
      <c r="Q273" s="45"/>
      <c r="R273" s="45"/>
      <c r="S273" s="45"/>
      <c r="T273" s="45"/>
      <c r="U273" s="45"/>
      <c r="V273" s="16"/>
      <c r="W273" s="16"/>
      <c r="X273" s="45"/>
      <c r="Y273" s="45"/>
      <c r="Z273" s="45"/>
      <c r="AA273" s="45"/>
      <c r="AB273" s="45"/>
      <c r="AC273" s="45"/>
    </row>
    <row r="274" spans="1:29" s="17" customFormat="1" x14ac:dyDescent="0.25">
      <c r="A274" s="16"/>
      <c r="B274" s="45"/>
      <c r="C274" s="16"/>
      <c r="D274" s="15"/>
      <c r="E274" s="15"/>
      <c r="F274" s="15"/>
      <c r="G274" s="15"/>
      <c r="H274" s="18"/>
      <c r="I274" s="15"/>
      <c r="J274" s="15"/>
      <c r="K274" s="19"/>
      <c r="L274" s="16"/>
      <c r="N274" s="45"/>
      <c r="O274" s="45"/>
      <c r="P274" s="45"/>
      <c r="Q274" s="45"/>
      <c r="R274" s="45"/>
      <c r="S274" s="45"/>
      <c r="T274" s="45"/>
      <c r="U274" s="45"/>
      <c r="V274" s="16"/>
      <c r="W274" s="16"/>
      <c r="X274" s="45"/>
      <c r="Y274" s="45"/>
      <c r="Z274" s="45"/>
      <c r="AA274" s="45"/>
      <c r="AB274" s="45"/>
      <c r="AC274" s="45"/>
    </row>
    <row r="275" spans="1:29" s="17" customFormat="1" x14ac:dyDescent="0.25">
      <c r="A275" s="16"/>
      <c r="B275" s="45"/>
      <c r="C275" s="16"/>
      <c r="D275" s="15"/>
      <c r="E275" s="15"/>
      <c r="F275" s="15"/>
      <c r="G275" s="15"/>
      <c r="H275" s="18"/>
      <c r="I275" s="15"/>
      <c r="J275" s="15"/>
      <c r="K275" s="19"/>
      <c r="L275" s="16"/>
      <c r="N275" s="45"/>
      <c r="O275" s="45"/>
      <c r="P275" s="45"/>
      <c r="Q275" s="45"/>
      <c r="R275" s="45"/>
      <c r="S275" s="45"/>
      <c r="T275" s="45"/>
      <c r="U275" s="45"/>
      <c r="V275" s="16"/>
      <c r="W275" s="16"/>
      <c r="X275" s="45"/>
      <c r="Y275" s="45"/>
      <c r="Z275" s="45"/>
      <c r="AA275" s="45"/>
      <c r="AB275" s="45"/>
      <c r="AC275" s="45"/>
    </row>
    <row r="276" spans="1:29" s="17" customFormat="1" x14ac:dyDescent="0.25">
      <c r="A276" s="16"/>
      <c r="B276" s="45"/>
      <c r="C276" s="16"/>
      <c r="D276" s="15"/>
      <c r="E276" s="15"/>
      <c r="F276" s="15"/>
      <c r="G276" s="15"/>
      <c r="H276" s="18"/>
      <c r="I276" s="15"/>
      <c r="J276" s="15"/>
      <c r="K276" s="19"/>
      <c r="L276" s="16"/>
      <c r="N276" s="45"/>
      <c r="O276" s="45"/>
      <c r="P276" s="45"/>
      <c r="Q276" s="45"/>
      <c r="R276" s="45"/>
      <c r="S276" s="45"/>
      <c r="T276" s="45"/>
      <c r="U276" s="45"/>
      <c r="V276" s="16"/>
      <c r="W276" s="16"/>
      <c r="X276" s="45"/>
      <c r="Y276" s="45"/>
      <c r="Z276" s="45"/>
      <c r="AA276" s="45"/>
      <c r="AB276" s="45"/>
      <c r="AC276" s="45"/>
    </row>
    <row r="277" spans="1:29" s="17" customFormat="1" x14ac:dyDescent="0.25">
      <c r="A277" s="16"/>
      <c r="B277" s="45"/>
      <c r="C277" s="16"/>
      <c r="D277" s="15"/>
      <c r="E277" s="15"/>
      <c r="F277" s="15"/>
      <c r="G277" s="15"/>
      <c r="H277" s="18"/>
      <c r="I277" s="15"/>
      <c r="J277" s="15"/>
      <c r="K277" s="19"/>
      <c r="L277" s="16"/>
      <c r="N277" s="45"/>
      <c r="O277" s="45"/>
      <c r="P277" s="45"/>
      <c r="Q277" s="45"/>
      <c r="R277" s="45"/>
      <c r="S277" s="45"/>
      <c r="T277" s="45"/>
      <c r="U277" s="45"/>
      <c r="V277" s="16"/>
      <c r="W277" s="16"/>
      <c r="X277" s="45"/>
      <c r="Y277" s="45"/>
      <c r="Z277" s="45"/>
      <c r="AA277" s="45"/>
      <c r="AB277" s="45"/>
      <c r="AC277" s="45"/>
    </row>
    <row r="278" spans="1:29" s="17" customFormat="1" x14ac:dyDescent="0.25">
      <c r="A278" s="16"/>
      <c r="B278" s="45"/>
      <c r="C278" s="16"/>
      <c r="D278" s="15"/>
      <c r="E278" s="15"/>
      <c r="F278" s="15"/>
      <c r="G278" s="15"/>
      <c r="H278" s="18"/>
      <c r="I278" s="15"/>
      <c r="J278" s="15"/>
      <c r="K278" s="19"/>
      <c r="L278" s="16"/>
      <c r="N278" s="45"/>
      <c r="O278" s="45"/>
      <c r="P278" s="45"/>
      <c r="Q278" s="45"/>
      <c r="R278" s="45"/>
      <c r="S278" s="45"/>
      <c r="T278" s="45"/>
      <c r="U278" s="45"/>
      <c r="V278" s="16"/>
      <c r="W278" s="16"/>
      <c r="X278" s="45"/>
      <c r="Y278" s="45"/>
      <c r="Z278" s="45"/>
      <c r="AA278" s="45"/>
      <c r="AB278" s="45"/>
      <c r="AC278" s="45"/>
    </row>
    <row r="279" spans="1:29" s="17" customFormat="1" x14ac:dyDescent="0.25">
      <c r="A279" s="16"/>
      <c r="B279" s="45"/>
      <c r="C279" s="16"/>
      <c r="D279" s="15"/>
      <c r="E279" s="15"/>
      <c r="F279" s="15"/>
      <c r="G279" s="15"/>
      <c r="H279" s="18"/>
      <c r="I279" s="15"/>
      <c r="J279" s="15"/>
      <c r="K279" s="19"/>
      <c r="L279" s="16"/>
      <c r="N279" s="45"/>
      <c r="O279" s="45"/>
      <c r="P279" s="45"/>
      <c r="Q279" s="45"/>
      <c r="R279" s="45"/>
      <c r="S279" s="45"/>
      <c r="T279" s="45"/>
      <c r="U279" s="45"/>
      <c r="V279" s="16"/>
      <c r="W279" s="16"/>
      <c r="X279" s="45"/>
      <c r="Y279" s="45"/>
      <c r="Z279" s="45"/>
      <c r="AA279" s="45"/>
      <c r="AB279" s="45"/>
      <c r="AC279" s="45"/>
    </row>
    <row r="280" spans="1:29" s="17" customFormat="1" x14ac:dyDescent="0.25">
      <c r="A280" s="16"/>
      <c r="B280" s="45"/>
      <c r="C280" s="16"/>
      <c r="D280" s="15"/>
      <c r="E280" s="15"/>
      <c r="F280" s="15"/>
      <c r="G280" s="15"/>
      <c r="H280" s="18"/>
      <c r="I280" s="15"/>
      <c r="J280" s="15"/>
      <c r="K280" s="19"/>
      <c r="L280" s="16"/>
      <c r="N280" s="45"/>
      <c r="O280" s="45"/>
      <c r="P280" s="45"/>
      <c r="Q280" s="45"/>
      <c r="R280" s="45"/>
      <c r="S280" s="45"/>
      <c r="T280" s="45"/>
      <c r="U280" s="45"/>
      <c r="V280" s="16"/>
      <c r="W280" s="16"/>
      <c r="X280" s="45"/>
      <c r="Y280" s="45"/>
      <c r="Z280" s="45"/>
      <c r="AA280" s="45"/>
      <c r="AB280" s="45"/>
      <c r="AC280" s="45"/>
    </row>
    <row r="281" spans="1:29" s="17" customFormat="1" x14ac:dyDescent="0.25">
      <c r="A281" s="16"/>
      <c r="B281" s="45"/>
      <c r="C281" s="16"/>
      <c r="D281" s="15"/>
      <c r="E281" s="15"/>
      <c r="F281" s="15"/>
      <c r="G281" s="15"/>
      <c r="H281" s="18"/>
      <c r="I281" s="15"/>
      <c r="J281" s="15"/>
      <c r="K281" s="19"/>
      <c r="L281" s="16"/>
      <c r="N281" s="45"/>
      <c r="O281" s="45"/>
      <c r="P281" s="45"/>
      <c r="Q281" s="45"/>
      <c r="R281" s="45"/>
      <c r="S281" s="45"/>
      <c r="T281" s="45"/>
      <c r="U281" s="45"/>
      <c r="V281" s="16"/>
      <c r="W281" s="16"/>
      <c r="X281" s="45"/>
      <c r="Y281" s="45"/>
      <c r="Z281" s="45"/>
      <c r="AA281" s="45"/>
      <c r="AB281" s="45"/>
      <c r="AC281" s="45"/>
    </row>
    <row r="282" spans="1:29" s="17" customFormat="1" x14ac:dyDescent="0.25">
      <c r="A282" s="16"/>
      <c r="B282" s="45"/>
      <c r="C282" s="16"/>
      <c r="D282" s="15"/>
      <c r="E282" s="15"/>
      <c r="F282" s="15"/>
      <c r="G282" s="15"/>
      <c r="H282" s="18"/>
      <c r="I282" s="15"/>
      <c r="J282" s="15"/>
      <c r="K282" s="19"/>
      <c r="L282" s="16"/>
      <c r="N282" s="45"/>
      <c r="O282" s="45"/>
      <c r="P282" s="45"/>
      <c r="Q282" s="45"/>
      <c r="R282" s="45"/>
      <c r="S282" s="45"/>
      <c r="T282" s="45"/>
      <c r="U282" s="45"/>
      <c r="V282" s="16"/>
      <c r="W282" s="16"/>
      <c r="X282" s="45"/>
      <c r="Y282" s="45"/>
      <c r="Z282" s="45"/>
      <c r="AA282" s="45"/>
      <c r="AB282" s="45"/>
      <c r="AC282" s="45"/>
    </row>
    <row r="283" spans="1:29" s="17" customFormat="1" x14ac:dyDescent="0.25">
      <c r="A283" s="16"/>
      <c r="B283" s="45"/>
      <c r="C283" s="16"/>
      <c r="D283" s="15"/>
      <c r="E283" s="15"/>
      <c r="F283" s="15"/>
      <c r="G283" s="15"/>
      <c r="H283" s="18"/>
      <c r="I283" s="15"/>
      <c r="J283" s="15"/>
      <c r="K283" s="19"/>
      <c r="L283" s="16"/>
      <c r="N283" s="45"/>
      <c r="O283" s="45"/>
      <c r="P283" s="45"/>
      <c r="Q283" s="45"/>
      <c r="R283" s="45"/>
      <c r="S283" s="45"/>
      <c r="T283" s="45"/>
      <c r="U283" s="45"/>
      <c r="V283" s="16"/>
      <c r="W283" s="16"/>
      <c r="X283" s="45"/>
      <c r="Y283" s="45"/>
      <c r="Z283" s="45"/>
      <c r="AA283" s="45"/>
      <c r="AB283" s="45"/>
      <c r="AC283" s="45"/>
    </row>
    <row r="284" spans="1:29" s="17" customFormat="1" x14ac:dyDescent="0.25">
      <c r="A284" s="16"/>
      <c r="B284" s="45"/>
      <c r="C284" s="16"/>
      <c r="D284" s="15"/>
      <c r="E284" s="15"/>
      <c r="F284" s="15"/>
      <c r="G284" s="15"/>
      <c r="H284" s="18"/>
      <c r="I284" s="15"/>
      <c r="J284" s="15"/>
      <c r="K284" s="19"/>
      <c r="L284" s="16"/>
      <c r="N284" s="45"/>
      <c r="O284" s="45"/>
      <c r="P284" s="45"/>
      <c r="Q284" s="45"/>
      <c r="R284" s="45"/>
      <c r="S284" s="45"/>
      <c r="T284" s="45"/>
      <c r="U284" s="45"/>
      <c r="V284" s="16"/>
      <c r="W284" s="16"/>
      <c r="X284" s="45"/>
      <c r="Y284" s="45"/>
      <c r="Z284" s="45"/>
      <c r="AA284" s="45"/>
      <c r="AB284" s="45"/>
      <c r="AC284" s="45"/>
    </row>
    <row r="285" spans="1:29" s="17" customFormat="1" x14ac:dyDescent="0.25">
      <c r="A285" s="16"/>
      <c r="B285" s="45"/>
      <c r="C285" s="16"/>
      <c r="D285" s="15"/>
      <c r="E285" s="15"/>
      <c r="F285" s="15"/>
      <c r="G285" s="15"/>
      <c r="H285" s="18"/>
      <c r="I285" s="15"/>
      <c r="J285" s="15"/>
      <c r="K285" s="19"/>
      <c r="L285" s="16"/>
      <c r="N285" s="45"/>
      <c r="O285" s="45"/>
      <c r="P285" s="45"/>
      <c r="Q285" s="45"/>
      <c r="R285" s="45"/>
      <c r="S285" s="45"/>
      <c r="T285" s="45"/>
      <c r="U285" s="45"/>
      <c r="V285" s="16"/>
      <c r="W285" s="16"/>
      <c r="X285" s="45"/>
      <c r="Y285" s="45"/>
      <c r="Z285" s="45"/>
      <c r="AA285" s="45"/>
      <c r="AB285" s="45"/>
      <c r="AC285" s="45"/>
    </row>
    <row r="286" spans="1:29" s="17" customFormat="1" x14ac:dyDescent="0.25">
      <c r="A286" s="16"/>
      <c r="B286" s="45"/>
      <c r="C286" s="16"/>
      <c r="D286" s="15"/>
      <c r="E286" s="15"/>
      <c r="F286" s="15"/>
      <c r="G286" s="15"/>
      <c r="H286" s="18"/>
      <c r="I286" s="15"/>
      <c r="J286" s="15"/>
      <c r="K286" s="19"/>
      <c r="L286" s="16"/>
      <c r="N286" s="45"/>
      <c r="O286" s="45"/>
      <c r="P286" s="45"/>
      <c r="Q286" s="45"/>
      <c r="R286" s="45"/>
      <c r="S286" s="45"/>
      <c r="T286" s="45"/>
      <c r="U286" s="45"/>
      <c r="V286" s="16"/>
      <c r="W286" s="16"/>
      <c r="X286" s="45"/>
      <c r="Y286" s="45"/>
      <c r="Z286" s="45"/>
      <c r="AA286" s="45"/>
      <c r="AB286" s="45"/>
      <c r="AC286" s="45"/>
    </row>
    <row r="287" spans="1:29" s="17" customFormat="1" x14ac:dyDescent="0.25">
      <c r="A287" s="16"/>
      <c r="B287" s="45"/>
      <c r="C287" s="16"/>
      <c r="D287" s="15"/>
      <c r="E287" s="15"/>
      <c r="F287" s="15"/>
      <c r="G287" s="15"/>
      <c r="H287" s="18"/>
      <c r="I287" s="15"/>
      <c r="J287" s="15"/>
      <c r="K287" s="19"/>
      <c r="L287" s="16"/>
      <c r="N287" s="45"/>
      <c r="O287" s="45"/>
      <c r="P287" s="45"/>
      <c r="Q287" s="45"/>
      <c r="R287" s="45"/>
      <c r="S287" s="45"/>
      <c r="T287" s="45"/>
      <c r="U287" s="45"/>
      <c r="V287" s="16"/>
      <c r="W287" s="16"/>
      <c r="X287" s="45"/>
      <c r="Y287" s="45"/>
      <c r="Z287" s="45"/>
      <c r="AA287" s="45"/>
      <c r="AB287" s="45"/>
      <c r="AC287" s="45"/>
    </row>
    <row r="288" spans="1:29" s="17" customFormat="1" x14ac:dyDescent="0.25">
      <c r="A288" s="16"/>
      <c r="B288" s="45"/>
      <c r="C288" s="16"/>
      <c r="D288" s="15"/>
      <c r="E288" s="15"/>
      <c r="F288" s="15"/>
      <c r="G288" s="15"/>
      <c r="H288" s="18"/>
      <c r="I288" s="15"/>
      <c r="J288" s="15"/>
      <c r="K288" s="19"/>
      <c r="L288" s="16"/>
      <c r="N288" s="45"/>
      <c r="O288" s="45"/>
      <c r="P288" s="45"/>
      <c r="Q288" s="45"/>
      <c r="R288" s="45"/>
      <c r="S288" s="45"/>
      <c r="T288" s="45"/>
      <c r="U288" s="45"/>
      <c r="V288" s="16"/>
      <c r="W288" s="16"/>
      <c r="X288" s="45"/>
      <c r="Y288" s="45"/>
      <c r="Z288" s="45"/>
      <c r="AA288" s="45"/>
      <c r="AB288" s="45"/>
      <c r="AC288" s="45"/>
    </row>
    <row r="289" spans="1:29" s="17" customFormat="1" x14ac:dyDescent="0.25">
      <c r="A289" s="16"/>
      <c r="B289" s="45"/>
      <c r="C289" s="16"/>
      <c r="D289" s="15"/>
      <c r="E289" s="15"/>
      <c r="F289" s="15"/>
      <c r="G289" s="15"/>
      <c r="H289" s="18"/>
      <c r="I289" s="15"/>
      <c r="J289" s="15"/>
      <c r="K289" s="19"/>
      <c r="L289" s="16"/>
      <c r="N289" s="45"/>
      <c r="O289" s="45"/>
      <c r="P289" s="45"/>
      <c r="Q289" s="45"/>
      <c r="R289" s="45"/>
      <c r="S289" s="45"/>
      <c r="T289" s="45"/>
      <c r="U289" s="45"/>
      <c r="V289" s="16"/>
      <c r="W289" s="16"/>
      <c r="X289" s="45"/>
      <c r="Y289" s="45"/>
      <c r="Z289" s="45"/>
      <c r="AA289" s="45"/>
      <c r="AB289" s="45"/>
      <c r="AC289" s="45"/>
    </row>
    <row r="290" spans="1:29" s="17" customFormat="1" x14ac:dyDescent="0.25">
      <c r="A290" s="16"/>
      <c r="B290" s="45"/>
      <c r="C290" s="16"/>
      <c r="D290" s="15"/>
      <c r="E290" s="15"/>
      <c r="F290" s="15"/>
      <c r="G290" s="15"/>
      <c r="H290" s="18"/>
      <c r="I290" s="15"/>
      <c r="J290" s="15"/>
      <c r="K290" s="19"/>
      <c r="L290" s="16"/>
      <c r="N290" s="45"/>
      <c r="O290" s="45"/>
      <c r="P290" s="45"/>
      <c r="Q290" s="45"/>
      <c r="R290" s="45"/>
      <c r="S290" s="45"/>
      <c r="T290" s="45"/>
      <c r="U290" s="45"/>
      <c r="V290" s="16"/>
      <c r="W290" s="16"/>
      <c r="X290" s="45"/>
      <c r="Y290" s="45"/>
      <c r="Z290" s="45"/>
      <c r="AA290" s="45"/>
      <c r="AB290" s="45"/>
      <c r="AC290" s="45"/>
    </row>
    <row r="291" spans="1:29" s="17" customFormat="1" x14ac:dyDescent="0.25">
      <c r="A291" s="16"/>
      <c r="B291" s="45"/>
      <c r="C291" s="16"/>
      <c r="D291" s="15"/>
      <c r="E291" s="15"/>
      <c r="F291" s="15"/>
      <c r="G291" s="15"/>
      <c r="H291" s="18"/>
      <c r="I291" s="15"/>
      <c r="J291" s="15"/>
      <c r="K291" s="19"/>
      <c r="L291" s="16"/>
      <c r="N291" s="45"/>
      <c r="O291" s="45"/>
      <c r="P291" s="45"/>
      <c r="Q291" s="45"/>
      <c r="R291" s="45"/>
      <c r="S291" s="45"/>
      <c r="T291" s="45"/>
      <c r="U291" s="45"/>
      <c r="V291" s="16"/>
      <c r="W291" s="16"/>
      <c r="X291" s="45"/>
      <c r="Y291" s="45"/>
      <c r="Z291" s="45"/>
      <c r="AA291" s="45"/>
      <c r="AB291" s="45"/>
      <c r="AC291" s="45"/>
    </row>
    <row r="292" spans="1:29" s="17" customFormat="1" x14ac:dyDescent="0.25">
      <c r="A292" s="16"/>
      <c r="B292" s="45"/>
      <c r="C292" s="16"/>
      <c r="D292" s="15"/>
      <c r="E292" s="15"/>
      <c r="F292" s="15"/>
      <c r="G292" s="15"/>
      <c r="H292" s="18"/>
      <c r="I292" s="15"/>
      <c r="J292" s="15"/>
      <c r="K292" s="19"/>
      <c r="L292" s="16"/>
      <c r="N292" s="45"/>
      <c r="O292" s="45"/>
      <c r="P292" s="45"/>
      <c r="Q292" s="45"/>
      <c r="R292" s="45"/>
      <c r="S292" s="45"/>
      <c r="T292" s="45"/>
      <c r="U292" s="45"/>
      <c r="V292" s="16"/>
      <c r="W292" s="16"/>
      <c r="X292" s="45"/>
      <c r="Y292" s="45"/>
      <c r="Z292" s="45"/>
      <c r="AA292" s="45"/>
      <c r="AB292" s="45"/>
      <c r="AC292" s="45"/>
    </row>
    <row r="293" spans="1:29" s="17" customFormat="1" x14ac:dyDescent="0.25">
      <c r="A293" s="16"/>
      <c r="B293" s="45"/>
      <c r="C293" s="16"/>
      <c r="D293" s="15"/>
      <c r="E293" s="15"/>
      <c r="F293" s="15"/>
      <c r="G293" s="15"/>
      <c r="H293" s="18"/>
      <c r="I293" s="15"/>
      <c r="J293" s="15"/>
      <c r="K293" s="19"/>
      <c r="L293" s="16"/>
      <c r="N293" s="45"/>
      <c r="O293" s="45"/>
      <c r="P293" s="45"/>
      <c r="Q293" s="45"/>
      <c r="R293" s="45"/>
      <c r="S293" s="45"/>
      <c r="T293" s="45"/>
      <c r="U293" s="45"/>
      <c r="V293" s="16"/>
      <c r="W293" s="16"/>
      <c r="X293" s="45"/>
      <c r="Y293" s="45"/>
      <c r="Z293" s="45"/>
      <c r="AA293" s="45"/>
      <c r="AB293" s="45"/>
      <c r="AC293" s="45"/>
    </row>
    <row r="294" spans="1:29" s="17" customFormat="1" x14ac:dyDescent="0.25">
      <c r="A294" s="16"/>
      <c r="B294" s="45"/>
      <c r="C294" s="16"/>
      <c r="D294" s="15"/>
      <c r="E294" s="15"/>
      <c r="F294" s="15"/>
      <c r="G294" s="15"/>
      <c r="H294" s="18"/>
      <c r="I294" s="15"/>
      <c r="J294" s="15"/>
      <c r="K294" s="19"/>
      <c r="L294" s="16"/>
      <c r="N294" s="45"/>
      <c r="O294" s="45"/>
      <c r="P294" s="45"/>
      <c r="Q294" s="45"/>
      <c r="R294" s="45"/>
      <c r="S294" s="45"/>
      <c r="T294" s="45"/>
      <c r="U294" s="45"/>
      <c r="V294" s="16"/>
      <c r="W294" s="16"/>
      <c r="X294" s="45"/>
      <c r="Y294" s="45"/>
      <c r="Z294" s="45"/>
      <c r="AA294" s="45"/>
      <c r="AB294" s="45"/>
      <c r="AC294" s="45"/>
    </row>
    <row r="295" spans="1:29" s="17" customFormat="1" x14ac:dyDescent="0.25">
      <c r="A295" s="16"/>
      <c r="B295" s="45"/>
      <c r="C295" s="16"/>
      <c r="D295" s="15"/>
      <c r="E295" s="15"/>
      <c r="F295" s="15"/>
      <c r="G295" s="15"/>
      <c r="H295" s="18"/>
      <c r="I295" s="15"/>
      <c r="J295" s="15"/>
      <c r="K295" s="19"/>
      <c r="L295" s="16"/>
      <c r="N295" s="45"/>
      <c r="O295" s="45"/>
      <c r="P295" s="45"/>
      <c r="Q295" s="45"/>
      <c r="R295" s="45"/>
      <c r="S295" s="45"/>
      <c r="T295" s="45"/>
      <c r="U295" s="45"/>
      <c r="V295" s="16"/>
      <c r="W295" s="16"/>
      <c r="X295" s="45"/>
      <c r="Y295" s="45"/>
      <c r="Z295" s="45"/>
      <c r="AA295" s="45"/>
      <c r="AB295" s="45"/>
      <c r="AC295" s="45"/>
    </row>
    <row r="296" spans="1:29" s="17" customFormat="1" x14ac:dyDescent="0.25">
      <c r="A296" s="16"/>
      <c r="B296" s="45"/>
      <c r="C296" s="16"/>
      <c r="D296" s="15"/>
      <c r="E296" s="15"/>
      <c r="F296" s="15"/>
      <c r="G296" s="15"/>
      <c r="H296" s="18"/>
      <c r="I296" s="15"/>
      <c r="J296" s="15"/>
      <c r="K296" s="19"/>
      <c r="L296" s="16"/>
      <c r="N296" s="45"/>
      <c r="O296" s="45"/>
      <c r="P296" s="45"/>
      <c r="Q296" s="45"/>
      <c r="R296" s="45"/>
      <c r="S296" s="45"/>
      <c r="T296" s="45"/>
      <c r="U296" s="45"/>
      <c r="V296" s="16"/>
      <c r="W296" s="16"/>
      <c r="X296" s="45"/>
      <c r="Y296" s="45"/>
      <c r="Z296" s="45"/>
      <c r="AA296" s="45"/>
      <c r="AB296" s="45"/>
      <c r="AC296" s="45"/>
    </row>
    <row r="297" spans="1:29" s="17" customFormat="1" x14ac:dyDescent="0.25">
      <c r="A297" s="16"/>
      <c r="B297" s="45"/>
      <c r="C297" s="16"/>
      <c r="D297" s="15"/>
      <c r="E297" s="15"/>
      <c r="F297" s="15"/>
      <c r="G297" s="15"/>
      <c r="H297" s="18"/>
      <c r="I297" s="15"/>
      <c r="J297" s="15"/>
      <c r="K297" s="19"/>
      <c r="L297" s="16"/>
      <c r="N297" s="45"/>
      <c r="O297" s="45"/>
      <c r="P297" s="45"/>
      <c r="Q297" s="45"/>
      <c r="R297" s="45"/>
      <c r="S297" s="45"/>
      <c r="T297" s="45"/>
      <c r="U297" s="45"/>
      <c r="V297" s="16"/>
      <c r="W297" s="16"/>
      <c r="X297" s="45"/>
      <c r="Y297" s="45"/>
      <c r="Z297" s="45"/>
      <c r="AA297" s="45"/>
      <c r="AB297" s="45"/>
      <c r="AC297" s="45"/>
    </row>
    <row r="298" spans="1:29" s="17" customFormat="1" x14ac:dyDescent="0.25">
      <c r="A298" s="16"/>
      <c r="B298" s="45"/>
      <c r="C298" s="16"/>
      <c r="D298" s="15"/>
      <c r="E298" s="15"/>
      <c r="F298" s="15"/>
      <c r="G298" s="15"/>
      <c r="H298" s="18"/>
      <c r="I298" s="15"/>
      <c r="J298" s="15"/>
      <c r="K298" s="19"/>
      <c r="L298" s="16"/>
      <c r="N298" s="45"/>
      <c r="O298" s="45"/>
      <c r="P298" s="45"/>
      <c r="Q298" s="45"/>
      <c r="R298" s="45"/>
      <c r="S298" s="45"/>
      <c r="T298" s="45"/>
      <c r="U298" s="45"/>
      <c r="V298" s="16"/>
      <c r="W298" s="16"/>
      <c r="X298" s="45"/>
      <c r="Y298" s="45"/>
      <c r="Z298" s="45"/>
      <c r="AA298" s="45"/>
      <c r="AB298" s="45"/>
      <c r="AC298" s="45"/>
    </row>
    <row r="299" spans="1:29" s="17" customFormat="1" x14ac:dyDescent="0.25">
      <c r="A299" s="16"/>
      <c r="B299" s="45"/>
      <c r="C299" s="16"/>
      <c r="D299" s="15"/>
      <c r="E299" s="15"/>
      <c r="F299" s="15"/>
      <c r="G299" s="15"/>
      <c r="H299" s="18"/>
      <c r="I299" s="15"/>
      <c r="J299" s="15"/>
      <c r="K299" s="19"/>
      <c r="L299" s="16"/>
      <c r="N299" s="45"/>
      <c r="O299" s="45"/>
      <c r="P299" s="45"/>
      <c r="Q299" s="45"/>
      <c r="R299" s="45"/>
      <c r="S299" s="45"/>
      <c r="T299" s="45"/>
      <c r="U299" s="45"/>
      <c r="V299" s="16"/>
      <c r="W299" s="16"/>
      <c r="X299" s="45"/>
      <c r="Y299" s="45"/>
      <c r="Z299" s="45"/>
      <c r="AA299" s="45"/>
      <c r="AB299" s="45"/>
      <c r="AC299" s="45"/>
    </row>
    <row r="300" spans="1:29" s="17" customFormat="1" x14ac:dyDescent="0.25">
      <c r="A300" s="16"/>
      <c r="B300" s="45"/>
      <c r="C300" s="16"/>
      <c r="D300" s="15"/>
      <c r="E300" s="15"/>
      <c r="F300" s="15"/>
      <c r="G300" s="15"/>
      <c r="H300" s="18"/>
      <c r="I300" s="15"/>
      <c r="J300" s="15"/>
      <c r="K300" s="19"/>
      <c r="L300" s="16"/>
      <c r="N300" s="45"/>
      <c r="O300" s="45"/>
      <c r="P300" s="45"/>
      <c r="Q300" s="45"/>
      <c r="R300" s="45"/>
      <c r="S300" s="45"/>
      <c r="T300" s="45"/>
      <c r="U300" s="45"/>
      <c r="V300" s="16"/>
      <c r="W300" s="16"/>
      <c r="X300" s="45"/>
      <c r="Y300" s="45"/>
      <c r="Z300" s="45"/>
      <c r="AA300" s="45"/>
      <c r="AB300" s="45"/>
      <c r="AC300" s="45"/>
    </row>
    <row r="301" spans="1:29" s="17" customFormat="1" x14ac:dyDescent="0.25">
      <c r="A301" s="16"/>
      <c r="B301" s="45"/>
      <c r="C301" s="16"/>
      <c r="D301" s="15"/>
      <c r="E301" s="15"/>
      <c r="F301" s="15"/>
      <c r="G301" s="15"/>
      <c r="H301" s="18"/>
      <c r="I301" s="15"/>
      <c r="J301" s="15"/>
      <c r="K301" s="19"/>
      <c r="L301" s="16"/>
      <c r="N301" s="45"/>
      <c r="O301" s="45"/>
      <c r="P301" s="45"/>
      <c r="Q301" s="45"/>
      <c r="R301" s="45"/>
      <c r="S301" s="45"/>
      <c r="T301" s="45"/>
      <c r="U301" s="45"/>
      <c r="V301" s="16"/>
      <c r="W301" s="16"/>
      <c r="X301" s="45"/>
      <c r="Y301" s="45"/>
      <c r="Z301" s="45"/>
      <c r="AA301" s="45"/>
      <c r="AB301" s="45"/>
      <c r="AC301" s="45"/>
    </row>
    <row r="302" spans="1:29" s="17" customFormat="1" x14ac:dyDescent="0.25">
      <c r="A302" s="16"/>
      <c r="B302" s="45"/>
      <c r="C302" s="16"/>
      <c r="D302" s="15"/>
      <c r="E302" s="15"/>
      <c r="F302" s="15"/>
      <c r="G302" s="15"/>
      <c r="H302" s="18"/>
      <c r="I302" s="15"/>
      <c r="J302" s="15"/>
      <c r="K302" s="19"/>
      <c r="L302" s="16"/>
      <c r="N302" s="45"/>
      <c r="O302" s="45"/>
      <c r="P302" s="45"/>
      <c r="Q302" s="45"/>
      <c r="R302" s="45"/>
      <c r="S302" s="45"/>
      <c r="T302" s="45"/>
      <c r="U302" s="45"/>
      <c r="V302" s="16"/>
      <c r="W302" s="16"/>
      <c r="X302" s="45"/>
      <c r="Y302" s="45"/>
      <c r="Z302" s="45"/>
      <c r="AA302" s="45"/>
      <c r="AB302" s="45"/>
      <c r="AC302" s="45"/>
    </row>
    <row r="303" spans="1:29" s="17" customFormat="1" x14ac:dyDescent="0.25">
      <c r="A303" s="16"/>
      <c r="B303" s="45"/>
      <c r="C303" s="16"/>
      <c r="D303" s="15"/>
      <c r="E303" s="15"/>
      <c r="F303" s="15"/>
      <c r="G303" s="15"/>
      <c r="H303" s="18"/>
      <c r="I303" s="15"/>
      <c r="J303" s="15"/>
      <c r="K303" s="19"/>
      <c r="L303" s="16"/>
      <c r="N303" s="45"/>
      <c r="O303" s="45"/>
      <c r="P303" s="45"/>
      <c r="Q303" s="45"/>
      <c r="R303" s="45"/>
      <c r="S303" s="45"/>
      <c r="T303" s="45"/>
      <c r="U303" s="45"/>
      <c r="V303" s="16"/>
      <c r="W303" s="16"/>
      <c r="X303" s="45"/>
      <c r="Y303" s="45"/>
      <c r="Z303" s="45"/>
      <c r="AA303" s="45"/>
      <c r="AB303" s="45"/>
      <c r="AC303" s="45"/>
    </row>
    <row r="304" spans="1:29" s="17" customFormat="1" x14ac:dyDescent="0.25">
      <c r="A304" s="16"/>
      <c r="B304" s="45"/>
      <c r="C304" s="16"/>
      <c r="D304" s="15"/>
      <c r="E304" s="15"/>
      <c r="F304" s="15"/>
      <c r="G304" s="15"/>
      <c r="H304" s="18"/>
      <c r="I304" s="15"/>
      <c r="J304" s="15"/>
      <c r="K304" s="19"/>
      <c r="L304" s="16"/>
      <c r="N304" s="45"/>
      <c r="O304" s="45"/>
      <c r="P304" s="45"/>
      <c r="Q304" s="45"/>
      <c r="R304" s="45"/>
      <c r="S304" s="45"/>
      <c r="T304" s="45"/>
      <c r="U304" s="45"/>
      <c r="V304" s="16"/>
      <c r="W304" s="16"/>
      <c r="X304" s="45"/>
      <c r="Y304" s="45"/>
      <c r="Z304" s="45"/>
      <c r="AA304" s="45"/>
      <c r="AB304" s="45"/>
      <c r="AC304" s="45"/>
    </row>
    <row r="305" spans="1:29" s="17" customFormat="1" x14ac:dyDescent="0.25">
      <c r="A305" s="16"/>
      <c r="B305" s="45"/>
      <c r="C305" s="16"/>
      <c r="D305" s="15"/>
      <c r="E305" s="15"/>
      <c r="F305" s="15"/>
      <c r="G305" s="15"/>
      <c r="H305" s="18"/>
      <c r="I305" s="15"/>
      <c r="J305" s="15"/>
      <c r="K305" s="19"/>
      <c r="L305" s="16"/>
      <c r="N305" s="45"/>
      <c r="O305" s="45"/>
      <c r="P305" s="45"/>
      <c r="Q305" s="45"/>
      <c r="R305" s="45"/>
      <c r="S305" s="45"/>
      <c r="T305" s="45"/>
      <c r="U305" s="45"/>
      <c r="V305" s="16"/>
      <c r="W305" s="16"/>
      <c r="X305" s="45"/>
      <c r="Y305" s="45"/>
      <c r="Z305" s="45"/>
      <c r="AA305" s="45"/>
      <c r="AB305" s="45"/>
      <c r="AC305" s="45"/>
    </row>
    <row r="306" spans="1:29" s="17" customFormat="1" x14ac:dyDescent="0.25">
      <c r="A306" s="16"/>
      <c r="B306" s="45"/>
      <c r="C306" s="16"/>
      <c r="D306" s="15"/>
      <c r="E306" s="15"/>
      <c r="F306" s="15"/>
      <c r="G306" s="15"/>
      <c r="H306" s="18"/>
      <c r="I306" s="15"/>
      <c r="J306" s="15"/>
      <c r="K306" s="19"/>
      <c r="L306" s="16"/>
      <c r="N306" s="45"/>
      <c r="O306" s="45"/>
      <c r="P306" s="45"/>
      <c r="Q306" s="45"/>
      <c r="R306" s="45"/>
      <c r="S306" s="45"/>
      <c r="T306" s="45"/>
      <c r="U306" s="45"/>
      <c r="V306" s="16"/>
      <c r="W306" s="16"/>
      <c r="X306" s="45"/>
      <c r="Y306" s="45"/>
      <c r="Z306" s="45"/>
      <c r="AA306" s="45"/>
      <c r="AB306" s="45"/>
      <c r="AC306" s="45"/>
    </row>
    <row r="307" spans="1:29" s="17" customFormat="1" x14ac:dyDescent="0.25">
      <c r="A307" s="16"/>
      <c r="B307" s="45"/>
      <c r="C307" s="16"/>
      <c r="D307" s="15"/>
      <c r="E307" s="15"/>
      <c r="F307" s="15"/>
      <c r="G307" s="15"/>
      <c r="H307" s="18"/>
      <c r="I307" s="15"/>
      <c r="J307" s="15"/>
      <c r="K307" s="19"/>
      <c r="L307" s="16"/>
      <c r="N307" s="45"/>
      <c r="O307" s="45"/>
      <c r="P307" s="45"/>
      <c r="Q307" s="45"/>
      <c r="R307" s="45"/>
      <c r="S307" s="45"/>
      <c r="T307" s="45"/>
      <c r="U307" s="45"/>
      <c r="V307" s="16"/>
      <c r="W307" s="16"/>
      <c r="X307" s="45"/>
      <c r="Y307" s="45"/>
      <c r="Z307" s="45"/>
      <c r="AA307" s="45"/>
      <c r="AB307" s="45"/>
      <c r="AC307" s="45"/>
    </row>
    <row r="308" spans="1:29" s="17" customFormat="1" x14ac:dyDescent="0.25">
      <c r="A308" s="16"/>
      <c r="B308" s="45"/>
      <c r="C308" s="16"/>
      <c r="D308" s="15"/>
      <c r="E308" s="15"/>
      <c r="F308" s="15"/>
      <c r="G308" s="15"/>
      <c r="H308" s="18"/>
      <c r="I308" s="15"/>
      <c r="J308" s="15"/>
      <c r="K308" s="19"/>
      <c r="L308" s="16"/>
      <c r="N308" s="45"/>
      <c r="O308" s="45"/>
      <c r="P308" s="45"/>
      <c r="Q308" s="45"/>
      <c r="R308" s="45"/>
      <c r="S308" s="45"/>
      <c r="T308" s="45"/>
      <c r="U308" s="45"/>
      <c r="V308" s="16"/>
      <c r="W308" s="16"/>
      <c r="X308" s="45"/>
      <c r="Y308" s="45"/>
      <c r="Z308" s="45"/>
      <c r="AA308" s="45"/>
      <c r="AB308" s="45"/>
      <c r="AC308" s="45"/>
    </row>
    <row r="309" spans="1:29" s="17" customFormat="1" x14ac:dyDescent="0.25">
      <c r="A309" s="16"/>
      <c r="B309" s="45"/>
      <c r="C309" s="16"/>
      <c r="D309" s="15"/>
      <c r="E309" s="15"/>
      <c r="F309" s="15"/>
      <c r="G309" s="15"/>
      <c r="H309" s="18"/>
      <c r="I309" s="15"/>
      <c r="J309" s="15"/>
      <c r="K309" s="19"/>
      <c r="L309" s="16"/>
      <c r="N309" s="45"/>
      <c r="O309" s="45"/>
      <c r="P309" s="45"/>
      <c r="Q309" s="45"/>
      <c r="R309" s="45"/>
      <c r="S309" s="45"/>
      <c r="T309" s="45"/>
      <c r="U309" s="45"/>
      <c r="V309" s="16"/>
      <c r="W309" s="16"/>
      <c r="X309" s="45"/>
      <c r="Y309" s="45"/>
      <c r="Z309" s="45"/>
      <c r="AA309" s="45"/>
      <c r="AB309" s="45"/>
      <c r="AC309" s="45"/>
    </row>
    <row r="310" spans="1:29" s="17" customFormat="1" x14ac:dyDescent="0.25">
      <c r="A310" s="16"/>
      <c r="B310" s="45"/>
      <c r="C310" s="16"/>
      <c r="D310" s="15"/>
      <c r="E310" s="15"/>
      <c r="F310" s="15"/>
      <c r="G310" s="15"/>
      <c r="H310" s="18"/>
      <c r="I310" s="15"/>
      <c r="J310" s="15"/>
      <c r="K310" s="19"/>
      <c r="L310" s="16"/>
      <c r="N310" s="45"/>
      <c r="O310" s="45"/>
      <c r="P310" s="45"/>
      <c r="Q310" s="45"/>
      <c r="R310" s="45"/>
      <c r="S310" s="45"/>
      <c r="T310" s="45"/>
      <c r="U310" s="45"/>
      <c r="V310" s="16"/>
      <c r="W310" s="16"/>
      <c r="X310" s="45"/>
      <c r="Y310" s="45"/>
      <c r="Z310" s="45"/>
      <c r="AA310" s="45"/>
      <c r="AB310" s="45"/>
      <c r="AC310" s="45"/>
    </row>
    <row r="311" spans="1:29" s="17" customFormat="1" x14ac:dyDescent="0.25">
      <c r="A311" s="16"/>
      <c r="B311" s="45"/>
      <c r="C311" s="16"/>
      <c r="D311" s="15"/>
      <c r="E311" s="15"/>
      <c r="F311" s="15"/>
      <c r="G311" s="15"/>
      <c r="H311" s="18"/>
      <c r="I311" s="15"/>
      <c r="J311" s="15"/>
      <c r="K311" s="19"/>
      <c r="L311" s="16"/>
      <c r="N311" s="45"/>
      <c r="O311" s="45"/>
      <c r="P311" s="45"/>
      <c r="Q311" s="45"/>
      <c r="R311" s="45"/>
      <c r="S311" s="45"/>
      <c r="T311" s="45"/>
      <c r="U311" s="45"/>
      <c r="V311" s="16"/>
      <c r="W311" s="16"/>
      <c r="X311" s="45"/>
      <c r="Y311" s="45"/>
      <c r="Z311" s="45"/>
      <c r="AA311" s="45"/>
      <c r="AB311" s="45"/>
      <c r="AC311" s="45"/>
    </row>
    <row r="312" spans="1:29" s="17" customFormat="1" x14ac:dyDescent="0.25">
      <c r="A312" s="16"/>
      <c r="B312" s="45"/>
      <c r="C312" s="16"/>
      <c r="D312" s="15"/>
      <c r="E312" s="15"/>
      <c r="F312" s="15"/>
      <c r="G312" s="15"/>
      <c r="H312" s="18"/>
      <c r="I312" s="15"/>
      <c r="J312" s="15"/>
      <c r="K312" s="19"/>
      <c r="L312" s="16"/>
      <c r="N312" s="45"/>
      <c r="O312" s="45"/>
      <c r="P312" s="45"/>
      <c r="Q312" s="45"/>
      <c r="R312" s="45"/>
      <c r="S312" s="45"/>
      <c r="T312" s="45"/>
      <c r="U312" s="45"/>
      <c r="V312" s="16"/>
      <c r="W312" s="16"/>
      <c r="X312" s="45"/>
      <c r="Y312" s="45"/>
      <c r="Z312" s="45"/>
      <c r="AA312" s="45"/>
      <c r="AB312" s="45"/>
      <c r="AC312" s="45"/>
    </row>
    <row r="313" spans="1:29" s="17" customFormat="1" x14ac:dyDescent="0.25">
      <c r="A313" s="16"/>
      <c r="B313" s="45"/>
      <c r="C313" s="16"/>
      <c r="D313" s="15"/>
      <c r="E313" s="15"/>
      <c r="F313" s="15"/>
      <c r="G313" s="15"/>
      <c r="H313" s="18"/>
      <c r="I313" s="15"/>
      <c r="J313" s="15"/>
      <c r="K313" s="19"/>
      <c r="L313" s="16"/>
      <c r="N313" s="45"/>
      <c r="O313" s="45"/>
      <c r="P313" s="45"/>
      <c r="Q313" s="45"/>
      <c r="R313" s="45"/>
      <c r="S313" s="45"/>
      <c r="T313" s="45"/>
      <c r="U313" s="45"/>
      <c r="V313" s="16"/>
      <c r="W313" s="16"/>
      <c r="X313" s="45"/>
      <c r="Y313" s="45"/>
      <c r="Z313" s="45"/>
      <c r="AA313" s="45"/>
      <c r="AB313" s="45"/>
      <c r="AC313" s="45"/>
    </row>
    <row r="314" spans="1:29" s="17" customFormat="1" x14ac:dyDescent="0.25">
      <c r="A314" s="16"/>
      <c r="B314" s="45"/>
      <c r="C314" s="16"/>
      <c r="D314" s="15"/>
      <c r="E314" s="15"/>
      <c r="F314" s="15"/>
      <c r="G314" s="15"/>
      <c r="H314" s="18"/>
      <c r="I314" s="15"/>
      <c r="J314" s="15"/>
      <c r="K314" s="19"/>
      <c r="L314" s="16"/>
      <c r="N314" s="45"/>
      <c r="O314" s="45"/>
      <c r="P314" s="45"/>
      <c r="Q314" s="45"/>
      <c r="R314" s="45"/>
      <c r="S314" s="45"/>
      <c r="T314" s="45"/>
      <c r="U314" s="45"/>
      <c r="V314" s="16"/>
      <c r="W314" s="16"/>
      <c r="X314" s="45"/>
      <c r="Y314" s="45"/>
      <c r="Z314" s="45"/>
      <c r="AA314" s="45"/>
      <c r="AB314" s="45"/>
      <c r="AC314" s="45"/>
    </row>
    <row r="315" spans="1:29" s="17" customFormat="1" x14ac:dyDescent="0.25">
      <c r="A315" s="16"/>
      <c r="B315" s="45"/>
      <c r="C315" s="16"/>
      <c r="D315" s="15"/>
      <c r="E315" s="15"/>
      <c r="F315" s="15"/>
      <c r="G315" s="15"/>
      <c r="H315" s="18"/>
      <c r="I315" s="15"/>
      <c r="J315" s="15"/>
      <c r="K315" s="19"/>
      <c r="L315" s="16"/>
      <c r="N315" s="45"/>
      <c r="O315" s="45"/>
      <c r="P315" s="45"/>
      <c r="Q315" s="45"/>
      <c r="R315" s="45"/>
      <c r="S315" s="45"/>
      <c r="T315" s="45"/>
      <c r="U315" s="45"/>
      <c r="V315" s="16"/>
      <c r="W315" s="16"/>
      <c r="X315" s="45"/>
      <c r="Y315" s="45"/>
      <c r="Z315" s="45"/>
      <c r="AA315" s="45"/>
      <c r="AB315" s="45"/>
      <c r="AC315" s="45"/>
    </row>
    <row r="316" spans="1:29" s="17" customFormat="1" x14ac:dyDescent="0.25">
      <c r="A316" s="16"/>
      <c r="B316" s="45"/>
      <c r="C316" s="16"/>
      <c r="D316" s="15"/>
      <c r="E316" s="15"/>
      <c r="F316" s="15"/>
      <c r="G316" s="15"/>
      <c r="H316" s="18"/>
      <c r="I316" s="15"/>
      <c r="J316" s="15"/>
      <c r="K316" s="19"/>
      <c r="L316" s="16"/>
      <c r="N316" s="45"/>
      <c r="O316" s="45"/>
      <c r="P316" s="45"/>
      <c r="Q316" s="45"/>
      <c r="R316" s="45"/>
      <c r="S316" s="45"/>
      <c r="T316" s="45"/>
      <c r="U316" s="45"/>
      <c r="V316" s="16"/>
      <c r="W316" s="16"/>
      <c r="X316" s="45"/>
      <c r="Y316" s="45"/>
      <c r="Z316" s="45"/>
      <c r="AA316" s="45"/>
      <c r="AB316" s="45"/>
      <c r="AC316" s="45"/>
    </row>
    <row r="317" spans="1:29" s="17" customFormat="1" x14ac:dyDescent="0.25">
      <c r="A317" s="16"/>
      <c r="B317" s="45"/>
      <c r="C317" s="16"/>
      <c r="D317" s="15"/>
      <c r="E317" s="15"/>
      <c r="F317" s="15"/>
      <c r="G317" s="15"/>
      <c r="H317" s="18"/>
      <c r="I317" s="15"/>
      <c r="J317" s="15"/>
      <c r="K317" s="19"/>
      <c r="L317" s="16"/>
      <c r="N317" s="45"/>
      <c r="O317" s="45"/>
      <c r="P317" s="45"/>
      <c r="Q317" s="45"/>
      <c r="R317" s="45"/>
      <c r="S317" s="45"/>
      <c r="T317" s="45"/>
      <c r="U317" s="45"/>
      <c r="V317" s="16"/>
      <c r="W317" s="16"/>
      <c r="X317" s="45"/>
      <c r="Y317" s="45"/>
      <c r="Z317" s="45"/>
      <c r="AA317" s="45"/>
      <c r="AB317" s="45"/>
      <c r="AC317" s="45"/>
    </row>
    <row r="318" spans="1:29" s="17" customFormat="1" x14ac:dyDescent="0.25">
      <c r="A318" s="16"/>
      <c r="B318" s="45"/>
      <c r="C318" s="16"/>
      <c r="D318" s="15"/>
      <c r="E318" s="15"/>
      <c r="F318" s="15"/>
      <c r="G318" s="15"/>
      <c r="H318" s="18"/>
      <c r="I318" s="15"/>
      <c r="J318" s="15"/>
      <c r="K318" s="19"/>
      <c r="L318" s="16"/>
      <c r="N318" s="45"/>
      <c r="O318" s="45"/>
      <c r="P318" s="45"/>
      <c r="Q318" s="45"/>
      <c r="R318" s="45"/>
      <c r="S318" s="45"/>
      <c r="T318" s="45"/>
      <c r="U318" s="45"/>
      <c r="V318" s="16"/>
      <c r="W318" s="16"/>
      <c r="X318" s="45"/>
      <c r="Y318" s="45"/>
      <c r="Z318" s="45"/>
      <c r="AA318" s="45"/>
      <c r="AB318" s="45"/>
      <c r="AC318" s="45"/>
    </row>
    <row r="319" spans="1:29" s="17" customFormat="1" x14ac:dyDescent="0.25">
      <c r="A319" s="16"/>
      <c r="B319" s="45"/>
      <c r="C319" s="16"/>
      <c r="D319" s="15"/>
      <c r="E319" s="15"/>
      <c r="F319" s="15"/>
      <c r="G319" s="15"/>
      <c r="H319" s="18"/>
      <c r="I319" s="15"/>
      <c r="J319" s="15"/>
      <c r="K319" s="19"/>
      <c r="L319" s="16"/>
      <c r="N319" s="45"/>
      <c r="O319" s="45"/>
      <c r="P319" s="45"/>
      <c r="Q319" s="45"/>
      <c r="R319" s="45"/>
      <c r="S319" s="45"/>
      <c r="T319" s="45"/>
      <c r="U319" s="45"/>
      <c r="V319" s="16"/>
      <c r="W319" s="16"/>
      <c r="X319" s="45"/>
      <c r="Y319" s="45"/>
      <c r="Z319" s="45"/>
      <c r="AA319" s="45"/>
      <c r="AB319" s="45"/>
      <c r="AC319" s="45"/>
    </row>
    <row r="320" spans="1:29" s="17" customFormat="1" x14ac:dyDescent="0.25">
      <c r="A320" s="16"/>
      <c r="B320" s="45"/>
      <c r="C320" s="16"/>
      <c r="D320" s="15"/>
      <c r="E320" s="15"/>
      <c r="F320" s="15"/>
      <c r="G320" s="15"/>
      <c r="H320" s="18"/>
      <c r="I320" s="15"/>
      <c r="J320" s="15"/>
      <c r="K320" s="19"/>
      <c r="L320" s="16"/>
      <c r="N320" s="45"/>
      <c r="O320" s="45"/>
      <c r="P320" s="45"/>
      <c r="Q320" s="45"/>
      <c r="R320" s="45"/>
      <c r="S320" s="45"/>
      <c r="T320" s="45"/>
      <c r="U320" s="45"/>
      <c r="V320" s="16"/>
      <c r="W320" s="16"/>
      <c r="X320" s="45"/>
      <c r="Y320" s="45"/>
      <c r="Z320" s="45"/>
      <c r="AA320" s="45"/>
      <c r="AB320" s="45"/>
      <c r="AC320" s="45"/>
    </row>
    <row r="321" spans="1:29" s="17" customFormat="1" x14ac:dyDescent="0.25">
      <c r="A321" s="16"/>
      <c r="B321" s="45"/>
      <c r="C321" s="16"/>
      <c r="D321" s="15"/>
      <c r="E321" s="15"/>
      <c r="F321" s="15"/>
      <c r="G321" s="15"/>
      <c r="H321" s="18"/>
      <c r="I321" s="15"/>
      <c r="J321" s="15"/>
      <c r="K321" s="19"/>
      <c r="L321" s="16"/>
      <c r="N321" s="45"/>
      <c r="O321" s="45"/>
      <c r="P321" s="45"/>
      <c r="Q321" s="45"/>
      <c r="R321" s="45"/>
      <c r="S321" s="45"/>
      <c r="T321" s="45"/>
      <c r="U321" s="45"/>
      <c r="V321" s="16"/>
      <c r="W321" s="16"/>
      <c r="X321" s="45"/>
      <c r="Y321" s="45"/>
      <c r="Z321" s="45"/>
      <c r="AA321" s="45"/>
      <c r="AB321" s="45"/>
      <c r="AC321" s="45"/>
    </row>
    <row r="322" spans="1:29" s="17" customFormat="1" x14ac:dyDescent="0.25">
      <c r="A322" s="16"/>
      <c r="B322" s="45"/>
      <c r="C322" s="16"/>
      <c r="D322" s="15"/>
      <c r="E322" s="15"/>
      <c r="F322" s="15"/>
      <c r="G322" s="15"/>
      <c r="H322" s="18"/>
      <c r="I322" s="15"/>
      <c r="J322" s="15"/>
      <c r="K322" s="19"/>
      <c r="L322" s="16"/>
      <c r="N322" s="45"/>
      <c r="O322" s="45"/>
      <c r="P322" s="45"/>
      <c r="Q322" s="45"/>
      <c r="R322" s="45"/>
      <c r="S322" s="45"/>
      <c r="T322" s="45"/>
      <c r="U322" s="45"/>
      <c r="V322" s="16"/>
      <c r="W322" s="16"/>
      <c r="X322" s="45"/>
      <c r="Y322" s="45"/>
      <c r="Z322" s="45"/>
      <c r="AA322" s="45"/>
      <c r="AB322" s="45"/>
      <c r="AC322" s="45"/>
    </row>
    <row r="323" spans="1:29" s="17" customFormat="1" x14ac:dyDescent="0.25">
      <c r="A323" s="16"/>
      <c r="B323" s="45"/>
      <c r="C323" s="16"/>
      <c r="D323" s="15"/>
      <c r="E323" s="15"/>
      <c r="F323" s="15"/>
      <c r="G323" s="15"/>
      <c r="H323" s="18"/>
      <c r="I323" s="15"/>
      <c r="J323" s="15"/>
      <c r="K323" s="19"/>
      <c r="L323" s="16"/>
      <c r="N323" s="45"/>
      <c r="O323" s="45"/>
      <c r="P323" s="45"/>
      <c r="Q323" s="45"/>
      <c r="R323" s="45"/>
      <c r="S323" s="45"/>
      <c r="T323" s="45"/>
      <c r="U323" s="45"/>
      <c r="V323" s="16"/>
      <c r="W323" s="16"/>
      <c r="X323" s="45"/>
      <c r="Y323" s="45"/>
      <c r="Z323" s="45"/>
      <c r="AA323" s="45"/>
      <c r="AB323" s="45"/>
      <c r="AC323" s="45"/>
    </row>
    <row r="324" spans="1:29" s="17" customFormat="1" x14ac:dyDescent="0.25">
      <c r="A324" s="16"/>
      <c r="B324" s="45"/>
      <c r="C324" s="16"/>
      <c r="D324" s="15"/>
      <c r="E324" s="15"/>
      <c r="F324" s="15"/>
      <c r="G324" s="15"/>
      <c r="H324" s="18"/>
      <c r="I324" s="15"/>
      <c r="J324" s="15"/>
      <c r="K324" s="19"/>
      <c r="L324" s="16"/>
      <c r="N324" s="45"/>
      <c r="O324" s="45"/>
      <c r="P324" s="45"/>
      <c r="Q324" s="45"/>
      <c r="R324" s="45"/>
      <c r="S324" s="45"/>
      <c r="T324" s="45"/>
      <c r="U324" s="45"/>
      <c r="V324" s="16"/>
      <c r="W324" s="16"/>
      <c r="X324" s="45"/>
      <c r="Y324" s="45"/>
      <c r="Z324" s="45"/>
      <c r="AA324" s="45"/>
      <c r="AB324" s="45"/>
      <c r="AC324" s="45"/>
    </row>
    <row r="325" spans="1:29" s="17" customFormat="1" x14ac:dyDescent="0.25">
      <c r="A325" s="16"/>
      <c r="B325" s="45"/>
      <c r="C325" s="16"/>
      <c r="D325" s="15"/>
      <c r="E325" s="15"/>
      <c r="F325" s="15"/>
      <c r="G325" s="15"/>
      <c r="H325" s="18"/>
      <c r="I325" s="15"/>
      <c r="J325" s="15"/>
      <c r="K325" s="19"/>
      <c r="L325" s="16"/>
      <c r="N325" s="45"/>
      <c r="O325" s="45"/>
      <c r="P325" s="45"/>
      <c r="Q325" s="45"/>
      <c r="R325" s="45"/>
      <c r="S325" s="45"/>
      <c r="T325" s="45"/>
      <c r="U325" s="45"/>
      <c r="V325" s="16"/>
      <c r="W325" s="16"/>
      <c r="X325" s="45"/>
      <c r="Y325" s="45"/>
      <c r="Z325" s="45"/>
      <c r="AA325" s="45"/>
      <c r="AB325" s="45"/>
      <c r="AC325" s="45"/>
    </row>
    <row r="326" spans="1:29" s="17" customFormat="1" x14ac:dyDescent="0.25">
      <c r="A326" s="16"/>
      <c r="B326" s="45"/>
      <c r="C326" s="16"/>
      <c r="D326" s="15"/>
      <c r="E326" s="15"/>
      <c r="F326" s="15"/>
      <c r="G326" s="15"/>
      <c r="H326" s="18"/>
      <c r="I326" s="15"/>
      <c r="J326" s="15"/>
      <c r="K326" s="19"/>
      <c r="L326" s="16"/>
      <c r="N326" s="45"/>
      <c r="O326" s="45"/>
      <c r="P326" s="45"/>
      <c r="Q326" s="45"/>
      <c r="R326" s="45"/>
      <c r="S326" s="45"/>
      <c r="T326" s="45"/>
      <c r="U326" s="45"/>
      <c r="V326" s="16"/>
      <c r="W326" s="16"/>
      <c r="X326" s="45"/>
      <c r="Y326" s="45"/>
      <c r="Z326" s="45"/>
      <c r="AA326" s="45"/>
      <c r="AB326" s="45"/>
      <c r="AC326" s="45"/>
    </row>
    <row r="327" spans="1:29" s="17" customFormat="1" x14ac:dyDescent="0.25">
      <c r="A327" s="16"/>
      <c r="B327" s="45"/>
      <c r="C327" s="16"/>
      <c r="D327" s="15"/>
      <c r="E327" s="15"/>
      <c r="F327" s="15"/>
      <c r="G327" s="15"/>
      <c r="H327" s="18"/>
      <c r="I327" s="15"/>
      <c r="J327" s="15"/>
      <c r="K327" s="19"/>
      <c r="L327" s="16"/>
      <c r="N327" s="45"/>
      <c r="O327" s="45"/>
      <c r="P327" s="45"/>
      <c r="Q327" s="45"/>
      <c r="R327" s="45"/>
      <c r="S327" s="45"/>
      <c r="T327" s="45"/>
      <c r="U327" s="45"/>
      <c r="V327" s="16"/>
      <c r="W327" s="16"/>
      <c r="X327" s="45"/>
      <c r="Y327" s="45"/>
      <c r="Z327" s="45"/>
      <c r="AA327" s="45"/>
      <c r="AB327" s="45"/>
      <c r="AC327" s="45"/>
    </row>
    <row r="328" spans="1:29" s="17" customFormat="1" x14ac:dyDescent="0.25">
      <c r="A328" s="16"/>
      <c r="B328" s="45"/>
      <c r="C328" s="16"/>
      <c r="D328" s="15"/>
      <c r="E328" s="15"/>
      <c r="F328" s="15"/>
      <c r="G328" s="15"/>
      <c r="H328" s="18"/>
      <c r="I328" s="15"/>
      <c r="J328" s="15"/>
      <c r="K328" s="19"/>
      <c r="L328" s="16"/>
      <c r="N328" s="45"/>
      <c r="O328" s="45"/>
      <c r="P328" s="45"/>
      <c r="Q328" s="45"/>
      <c r="R328" s="45"/>
      <c r="S328" s="45"/>
      <c r="T328" s="45"/>
      <c r="U328" s="45"/>
      <c r="V328" s="16"/>
      <c r="W328" s="16"/>
      <c r="X328" s="45"/>
      <c r="Y328" s="45"/>
      <c r="Z328" s="45"/>
      <c r="AA328" s="45"/>
      <c r="AB328" s="45"/>
      <c r="AC328" s="45"/>
    </row>
    <row r="329" spans="1:29" s="17" customFormat="1" x14ac:dyDescent="0.25">
      <c r="A329" s="16"/>
      <c r="B329" s="45"/>
      <c r="C329" s="16"/>
      <c r="D329" s="15"/>
      <c r="E329" s="15"/>
      <c r="F329" s="15"/>
      <c r="G329" s="15"/>
      <c r="H329" s="18"/>
      <c r="I329" s="15"/>
      <c r="J329" s="15"/>
      <c r="K329" s="19"/>
      <c r="L329" s="16"/>
      <c r="N329" s="45"/>
      <c r="O329" s="45"/>
      <c r="P329" s="45"/>
      <c r="Q329" s="45"/>
      <c r="R329" s="45"/>
      <c r="S329" s="45"/>
      <c r="T329" s="45"/>
      <c r="U329" s="45"/>
      <c r="V329" s="16"/>
      <c r="W329" s="16"/>
      <c r="X329" s="45"/>
      <c r="Y329" s="45"/>
      <c r="Z329" s="45"/>
      <c r="AA329" s="45"/>
      <c r="AB329" s="45"/>
      <c r="AC329" s="45"/>
    </row>
    <row r="330" spans="1:29" s="17" customFormat="1" x14ac:dyDescent="0.25">
      <c r="A330" s="16"/>
      <c r="B330" s="45"/>
      <c r="C330" s="16"/>
      <c r="D330" s="15"/>
      <c r="E330" s="15"/>
      <c r="F330" s="15"/>
      <c r="G330" s="15"/>
      <c r="H330" s="18"/>
      <c r="I330" s="15"/>
      <c r="J330" s="15"/>
      <c r="K330" s="19"/>
      <c r="L330" s="16"/>
      <c r="N330" s="45"/>
      <c r="O330" s="45"/>
      <c r="P330" s="45"/>
      <c r="Q330" s="45"/>
      <c r="R330" s="45"/>
      <c r="S330" s="45"/>
      <c r="T330" s="45"/>
      <c r="U330" s="45"/>
      <c r="V330" s="16"/>
      <c r="W330" s="16"/>
      <c r="X330" s="45"/>
      <c r="Y330" s="45"/>
      <c r="Z330" s="45"/>
      <c r="AA330" s="45"/>
      <c r="AB330" s="45"/>
      <c r="AC330" s="45"/>
    </row>
    <row r="331" spans="1:29" s="17" customFormat="1" x14ac:dyDescent="0.25">
      <c r="A331" s="16"/>
      <c r="B331" s="45"/>
      <c r="C331" s="16"/>
      <c r="D331" s="15"/>
      <c r="E331" s="15"/>
      <c r="F331" s="15"/>
      <c r="G331" s="15"/>
      <c r="H331" s="18"/>
      <c r="I331" s="15"/>
      <c r="J331" s="15"/>
      <c r="K331" s="19"/>
      <c r="L331" s="16"/>
      <c r="N331" s="45"/>
      <c r="O331" s="45"/>
      <c r="P331" s="45"/>
      <c r="Q331" s="45"/>
      <c r="R331" s="45"/>
      <c r="S331" s="45"/>
      <c r="T331" s="45"/>
      <c r="U331" s="45"/>
      <c r="V331" s="16"/>
      <c r="W331" s="16"/>
      <c r="X331" s="45"/>
      <c r="Y331" s="45"/>
      <c r="Z331" s="45"/>
      <c r="AA331" s="45"/>
      <c r="AB331" s="45"/>
      <c r="AC331" s="45"/>
    </row>
    <row r="332" spans="1:29" s="17" customFormat="1" x14ac:dyDescent="0.25">
      <c r="A332" s="16"/>
      <c r="B332" s="45"/>
      <c r="C332" s="16"/>
      <c r="D332" s="15"/>
      <c r="E332" s="15"/>
      <c r="F332" s="15"/>
      <c r="G332" s="15"/>
      <c r="H332" s="18"/>
      <c r="I332" s="15"/>
      <c r="J332" s="15"/>
      <c r="K332" s="19"/>
      <c r="L332" s="16"/>
      <c r="N332" s="45"/>
      <c r="O332" s="45"/>
      <c r="P332" s="45"/>
      <c r="Q332" s="45"/>
      <c r="R332" s="45"/>
      <c r="S332" s="45"/>
      <c r="T332" s="45"/>
      <c r="U332" s="45"/>
      <c r="V332" s="16"/>
      <c r="W332" s="16"/>
      <c r="X332" s="45"/>
      <c r="Y332" s="45"/>
      <c r="Z332" s="45"/>
      <c r="AA332" s="45"/>
      <c r="AB332" s="45"/>
      <c r="AC332" s="45"/>
    </row>
    <row r="333" spans="1:29" s="17" customFormat="1" x14ac:dyDescent="0.25">
      <c r="A333" s="16"/>
      <c r="B333" s="45"/>
      <c r="C333" s="16"/>
      <c r="D333" s="15"/>
      <c r="E333" s="15"/>
      <c r="F333" s="15"/>
      <c r="G333" s="15"/>
      <c r="H333" s="18"/>
      <c r="I333" s="15"/>
      <c r="J333" s="15"/>
      <c r="K333" s="19"/>
      <c r="L333" s="16"/>
      <c r="N333" s="45"/>
      <c r="O333" s="45"/>
      <c r="P333" s="45"/>
      <c r="Q333" s="45"/>
      <c r="R333" s="45"/>
      <c r="S333" s="45"/>
      <c r="T333" s="45"/>
      <c r="U333" s="45"/>
      <c r="V333" s="16"/>
      <c r="W333" s="16"/>
      <c r="X333" s="45"/>
      <c r="Y333" s="45"/>
      <c r="Z333" s="45"/>
      <c r="AA333" s="45"/>
      <c r="AB333" s="45"/>
      <c r="AC333" s="45"/>
    </row>
    <row r="334" spans="1:29" s="17" customFormat="1" x14ac:dyDescent="0.25">
      <c r="A334" s="16"/>
      <c r="B334" s="45"/>
      <c r="C334" s="16"/>
      <c r="D334" s="15"/>
      <c r="E334" s="15"/>
      <c r="F334" s="15"/>
      <c r="G334" s="15"/>
      <c r="H334" s="18"/>
      <c r="I334" s="15"/>
      <c r="J334" s="15"/>
      <c r="K334" s="19"/>
      <c r="L334" s="16"/>
      <c r="N334" s="45"/>
      <c r="O334" s="45"/>
      <c r="P334" s="45"/>
      <c r="Q334" s="45"/>
      <c r="R334" s="45"/>
      <c r="S334" s="45"/>
      <c r="T334" s="45"/>
      <c r="U334" s="45"/>
      <c r="V334" s="16"/>
      <c r="W334" s="16"/>
      <c r="X334" s="45"/>
      <c r="Y334" s="45"/>
      <c r="Z334" s="45"/>
      <c r="AA334" s="45"/>
      <c r="AB334" s="45"/>
      <c r="AC334" s="45"/>
    </row>
    <row r="335" spans="1:29" s="17" customFormat="1" x14ac:dyDescent="0.25">
      <c r="A335" s="16"/>
      <c r="B335" s="45"/>
      <c r="C335" s="16"/>
      <c r="D335" s="15"/>
      <c r="E335" s="15"/>
      <c r="F335" s="15"/>
      <c r="G335" s="15"/>
      <c r="H335" s="18"/>
      <c r="I335" s="15"/>
      <c r="J335" s="15"/>
      <c r="K335" s="19"/>
      <c r="L335" s="16"/>
      <c r="N335" s="45"/>
      <c r="O335" s="45"/>
      <c r="P335" s="45"/>
      <c r="Q335" s="45"/>
      <c r="R335" s="45"/>
      <c r="S335" s="45"/>
      <c r="T335" s="45"/>
      <c r="U335" s="45"/>
      <c r="V335" s="16"/>
      <c r="W335" s="16"/>
      <c r="X335" s="45"/>
      <c r="Y335" s="45"/>
      <c r="Z335" s="45"/>
      <c r="AA335" s="45"/>
      <c r="AB335" s="45"/>
      <c r="AC335" s="45"/>
    </row>
    <row r="336" spans="1:29" s="17" customFormat="1" x14ac:dyDescent="0.25">
      <c r="A336" s="16"/>
      <c r="B336" s="45"/>
      <c r="C336" s="16"/>
      <c r="D336" s="15"/>
      <c r="E336" s="15"/>
      <c r="F336" s="15"/>
      <c r="G336" s="15"/>
      <c r="H336" s="18"/>
      <c r="I336" s="15"/>
      <c r="J336" s="15"/>
      <c r="K336" s="19"/>
      <c r="L336" s="16"/>
      <c r="N336" s="45"/>
      <c r="O336" s="45"/>
      <c r="P336" s="45"/>
      <c r="Q336" s="45"/>
      <c r="R336" s="45"/>
      <c r="S336" s="45"/>
      <c r="T336" s="45"/>
      <c r="U336" s="45"/>
      <c r="V336" s="16"/>
      <c r="W336" s="16"/>
      <c r="X336" s="45"/>
      <c r="Y336" s="45"/>
      <c r="Z336" s="45"/>
      <c r="AA336" s="45"/>
      <c r="AB336" s="45"/>
      <c r="AC336" s="45"/>
    </row>
    <row r="337" spans="1:29" s="17" customFormat="1" x14ac:dyDescent="0.25">
      <c r="A337" s="16"/>
      <c r="B337" s="45"/>
      <c r="C337" s="16"/>
      <c r="D337" s="15"/>
      <c r="E337" s="15"/>
      <c r="F337" s="15"/>
      <c r="G337" s="15"/>
      <c r="H337" s="18"/>
      <c r="I337" s="15"/>
      <c r="J337" s="15"/>
      <c r="K337" s="19"/>
      <c r="L337" s="16"/>
      <c r="N337" s="45"/>
      <c r="O337" s="45"/>
      <c r="P337" s="45"/>
      <c r="Q337" s="45"/>
      <c r="R337" s="45"/>
      <c r="S337" s="45"/>
      <c r="T337" s="45"/>
      <c r="U337" s="45"/>
      <c r="V337" s="16"/>
      <c r="W337" s="16"/>
      <c r="X337" s="45"/>
      <c r="Y337" s="45"/>
      <c r="Z337" s="45"/>
      <c r="AA337" s="45"/>
      <c r="AB337" s="45"/>
      <c r="AC337" s="45"/>
    </row>
    <row r="338" spans="1:29" s="17" customFormat="1" x14ac:dyDescent="0.25">
      <c r="A338" s="16"/>
      <c r="B338" s="45"/>
      <c r="C338" s="16"/>
      <c r="D338" s="15"/>
      <c r="E338" s="15"/>
      <c r="F338" s="15"/>
      <c r="G338" s="15"/>
      <c r="H338" s="18"/>
      <c r="I338" s="15"/>
      <c r="J338" s="15"/>
      <c r="K338" s="19"/>
      <c r="L338" s="16"/>
      <c r="N338" s="45"/>
      <c r="O338" s="45"/>
      <c r="P338" s="45"/>
      <c r="Q338" s="45"/>
      <c r="R338" s="45"/>
      <c r="S338" s="45"/>
      <c r="T338" s="45"/>
      <c r="U338" s="45"/>
      <c r="V338" s="16"/>
      <c r="W338" s="16"/>
      <c r="X338" s="45"/>
      <c r="Y338" s="45"/>
      <c r="Z338" s="45"/>
      <c r="AA338" s="45"/>
      <c r="AB338" s="45"/>
      <c r="AC338" s="45"/>
    </row>
    <row r="339" spans="1:29" s="17" customFormat="1" x14ac:dyDescent="0.25">
      <c r="A339" s="16"/>
      <c r="B339" s="45"/>
      <c r="C339" s="16"/>
      <c r="D339" s="15"/>
      <c r="E339" s="15"/>
      <c r="F339" s="15"/>
      <c r="G339" s="15"/>
      <c r="H339" s="18"/>
      <c r="I339" s="15"/>
      <c r="J339" s="15"/>
      <c r="K339" s="19"/>
      <c r="L339" s="16"/>
      <c r="N339" s="45"/>
      <c r="O339" s="45"/>
      <c r="P339" s="45"/>
      <c r="Q339" s="45"/>
      <c r="R339" s="45"/>
      <c r="S339" s="45"/>
      <c r="T339" s="45"/>
      <c r="U339" s="45"/>
      <c r="V339" s="16"/>
      <c r="W339" s="16"/>
      <c r="X339" s="45"/>
      <c r="Y339" s="45"/>
      <c r="Z339" s="45"/>
      <c r="AA339" s="45"/>
      <c r="AB339" s="45"/>
      <c r="AC339" s="45"/>
    </row>
    <row r="340" spans="1:29" s="17" customFormat="1" x14ac:dyDescent="0.25">
      <c r="A340" s="16"/>
      <c r="B340" s="45"/>
      <c r="C340" s="16"/>
      <c r="D340" s="15"/>
      <c r="E340" s="15"/>
      <c r="F340" s="15"/>
      <c r="G340" s="15"/>
      <c r="H340" s="18"/>
      <c r="I340" s="15"/>
      <c r="J340" s="15"/>
      <c r="K340" s="19"/>
      <c r="L340" s="16"/>
      <c r="N340" s="45"/>
      <c r="O340" s="45"/>
      <c r="P340" s="45"/>
      <c r="Q340" s="45"/>
      <c r="R340" s="45"/>
      <c r="S340" s="45"/>
      <c r="T340" s="45"/>
      <c r="U340" s="45"/>
      <c r="V340" s="16"/>
      <c r="W340" s="16"/>
      <c r="X340" s="45"/>
      <c r="Y340" s="45"/>
      <c r="Z340" s="45"/>
      <c r="AA340" s="45"/>
      <c r="AB340" s="45"/>
      <c r="AC340" s="45"/>
    </row>
    <row r="341" spans="1:29" s="17" customFormat="1" x14ac:dyDescent="0.25">
      <c r="A341" s="16"/>
      <c r="B341" s="45"/>
      <c r="C341" s="16"/>
      <c r="D341" s="15"/>
      <c r="E341" s="15"/>
      <c r="F341" s="15"/>
      <c r="G341" s="15"/>
      <c r="H341" s="18"/>
      <c r="I341" s="15"/>
      <c r="J341" s="15"/>
      <c r="K341" s="19"/>
      <c r="L341" s="16"/>
      <c r="N341" s="45"/>
      <c r="O341" s="45"/>
      <c r="P341" s="45"/>
      <c r="Q341" s="45"/>
      <c r="R341" s="45"/>
      <c r="S341" s="45"/>
      <c r="T341" s="45"/>
      <c r="U341" s="45"/>
      <c r="V341" s="16"/>
      <c r="W341" s="16"/>
      <c r="X341" s="45"/>
      <c r="Y341" s="45"/>
      <c r="Z341" s="45"/>
      <c r="AA341" s="45"/>
      <c r="AB341" s="45"/>
      <c r="AC341" s="45"/>
    </row>
    <row r="342" spans="1:29" s="17" customFormat="1" x14ac:dyDescent="0.25">
      <c r="A342" s="16"/>
      <c r="B342" s="45"/>
      <c r="C342" s="16"/>
      <c r="D342" s="15"/>
      <c r="E342" s="15"/>
      <c r="F342" s="15"/>
      <c r="G342" s="15"/>
      <c r="H342" s="18"/>
      <c r="I342" s="15"/>
      <c r="J342" s="15"/>
      <c r="K342" s="19"/>
      <c r="L342" s="16"/>
      <c r="N342" s="45"/>
      <c r="O342" s="45"/>
      <c r="P342" s="45"/>
      <c r="Q342" s="45"/>
      <c r="R342" s="45"/>
      <c r="S342" s="45"/>
      <c r="T342" s="45"/>
      <c r="U342" s="45"/>
      <c r="V342" s="16"/>
      <c r="W342" s="16"/>
      <c r="X342" s="45"/>
      <c r="Y342" s="45"/>
      <c r="Z342" s="45"/>
      <c r="AA342" s="45"/>
      <c r="AB342" s="45"/>
      <c r="AC342" s="45"/>
    </row>
    <row r="343" spans="1:29" s="17" customFormat="1" x14ac:dyDescent="0.25">
      <c r="A343" s="16"/>
      <c r="B343" s="45"/>
      <c r="C343" s="16"/>
      <c r="D343" s="15"/>
      <c r="E343" s="15"/>
      <c r="F343" s="15"/>
      <c r="G343" s="15"/>
      <c r="H343" s="18"/>
      <c r="I343" s="15"/>
      <c r="J343" s="15"/>
      <c r="K343" s="19"/>
      <c r="L343" s="16"/>
      <c r="N343" s="45"/>
      <c r="O343" s="45"/>
      <c r="P343" s="45"/>
      <c r="Q343" s="45"/>
      <c r="R343" s="45"/>
      <c r="S343" s="45"/>
      <c r="T343" s="45"/>
      <c r="U343" s="45"/>
      <c r="V343" s="16"/>
      <c r="W343" s="16"/>
      <c r="X343" s="45"/>
      <c r="Y343" s="45"/>
      <c r="Z343" s="45"/>
      <c r="AA343" s="45"/>
      <c r="AB343" s="45"/>
      <c r="AC343" s="45"/>
    </row>
    <row r="344" spans="1:29" s="17" customFormat="1" x14ac:dyDescent="0.25">
      <c r="A344" s="16"/>
      <c r="B344" s="45"/>
      <c r="C344" s="16"/>
      <c r="D344" s="15"/>
      <c r="E344" s="15"/>
      <c r="F344" s="15"/>
      <c r="G344" s="15"/>
      <c r="H344" s="18"/>
      <c r="I344" s="15"/>
      <c r="J344" s="15"/>
      <c r="K344" s="19"/>
      <c r="L344" s="16"/>
      <c r="N344" s="45"/>
      <c r="O344" s="45"/>
      <c r="P344" s="45"/>
      <c r="Q344" s="45"/>
      <c r="R344" s="45"/>
      <c r="S344" s="45"/>
      <c r="T344" s="45"/>
      <c r="U344" s="45"/>
      <c r="V344" s="16"/>
      <c r="W344" s="16"/>
      <c r="X344" s="45"/>
      <c r="Y344" s="45"/>
      <c r="Z344" s="45"/>
      <c r="AA344" s="45"/>
      <c r="AB344" s="45"/>
      <c r="AC344" s="45"/>
    </row>
    <row r="345" spans="1:29" s="17" customFormat="1" x14ac:dyDescent="0.25">
      <c r="A345" s="16"/>
      <c r="B345" s="45"/>
      <c r="C345" s="16"/>
      <c r="D345" s="15"/>
      <c r="E345" s="15"/>
      <c r="F345" s="15"/>
      <c r="G345" s="15"/>
      <c r="H345" s="18"/>
      <c r="I345" s="15"/>
      <c r="J345" s="15"/>
      <c r="K345" s="19"/>
      <c r="L345" s="16"/>
      <c r="N345" s="45"/>
      <c r="O345" s="45"/>
      <c r="P345" s="45"/>
      <c r="Q345" s="45"/>
      <c r="R345" s="45"/>
      <c r="S345" s="45"/>
      <c r="T345" s="45"/>
      <c r="U345" s="45"/>
      <c r="V345" s="16"/>
      <c r="W345" s="16"/>
      <c r="X345" s="45"/>
      <c r="Y345" s="45"/>
      <c r="Z345" s="45"/>
      <c r="AA345" s="45"/>
      <c r="AB345" s="45"/>
      <c r="AC345" s="45"/>
    </row>
    <row r="346" spans="1:29" s="17" customFormat="1" x14ac:dyDescent="0.25">
      <c r="A346" s="16"/>
      <c r="B346" s="45"/>
      <c r="C346" s="16"/>
      <c r="D346" s="15"/>
      <c r="E346" s="15"/>
      <c r="F346" s="15"/>
      <c r="G346" s="15"/>
      <c r="H346" s="18"/>
      <c r="I346" s="15"/>
      <c r="J346" s="15"/>
      <c r="K346" s="19"/>
      <c r="L346" s="16"/>
      <c r="N346" s="45"/>
      <c r="O346" s="45"/>
      <c r="P346" s="45"/>
      <c r="Q346" s="45"/>
      <c r="R346" s="45"/>
      <c r="S346" s="45"/>
      <c r="T346" s="45"/>
      <c r="U346" s="45"/>
      <c r="V346" s="16"/>
      <c r="W346" s="16"/>
      <c r="X346" s="45"/>
      <c r="Y346" s="45"/>
      <c r="Z346" s="45"/>
      <c r="AA346" s="45"/>
      <c r="AB346" s="45"/>
      <c r="AC346" s="45"/>
    </row>
    <row r="347" spans="1:29" s="17" customFormat="1" x14ac:dyDescent="0.25">
      <c r="A347" s="16"/>
      <c r="B347" s="45"/>
      <c r="C347" s="16"/>
      <c r="D347" s="15"/>
      <c r="E347" s="15"/>
      <c r="F347" s="15"/>
      <c r="G347" s="15"/>
      <c r="H347" s="18"/>
      <c r="I347" s="15"/>
      <c r="J347" s="15"/>
      <c r="K347" s="19"/>
      <c r="L347" s="16"/>
      <c r="N347" s="45"/>
      <c r="O347" s="45"/>
      <c r="P347" s="45"/>
      <c r="Q347" s="45"/>
      <c r="R347" s="45"/>
      <c r="S347" s="45"/>
      <c r="T347" s="45"/>
      <c r="U347" s="45"/>
      <c r="V347" s="16"/>
      <c r="W347" s="16"/>
      <c r="X347" s="45"/>
      <c r="Y347" s="45"/>
      <c r="Z347" s="45"/>
      <c r="AA347" s="45"/>
      <c r="AB347" s="45"/>
      <c r="AC347" s="45"/>
    </row>
    <row r="348" spans="1:29" s="17" customFormat="1" x14ac:dyDescent="0.25">
      <c r="A348" s="16"/>
      <c r="B348" s="45"/>
      <c r="C348" s="16"/>
      <c r="D348" s="15"/>
      <c r="E348" s="15"/>
      <c r="F348" s="15"/>
      <c r="G348" s="15"/>
      <c r="H348" s="18"/>
      <c r="I348" s="15"/>
      <c r="J348" s="15"/>
      <c r="K348" s="19"/>
      <c r="L348" s="16"/>
      <c r="N348" s="45"/>
      <c r="O348" s="45"/>
      <c r="P348" s="45"/>
      <c r="Q348" s="45"/>
      <c r="R348" s="45"/>
      <c r="S348" s="45"/>
      <c r="T348" s="45"/>
      <c r="U348" s="45"/>
      <c r="V348" s="16"/>
      <c r="W348" s="16"/>
      <c r="X348" s="45"/>
      <c r="Y348" s="45"/>
      <c r="Z348" s="45"/>
      <c r="AA348" s="45"/>
      <c r="AB348" s="45"/>
      <c r="AC348" s="45"/>
    </row>
    <row r="349" spans="1:29" s="17" customFormat="1" x14ac:dyDescent="0.25">
      <c r="A349" s="16"/>
      <c r="B349" s="45"/>
      <c r="C349" s="16"/>
      <c r="D349" s="15"/>
      <c r="E349" s="15"/>
      <c r="F349" s="15"/>
      <c r="G349" s="15"/>
      <c r="H349" s="18"/>
      <c r="I349" s="15"/>
      <c r="J349" s="15"/>
      <c r="K349" s="19"/>
      <c r="L349" s="16"/>
      <c r="N349" s="45"/>
      <c r="O349" s="45"/>
      <c r="P349" s="45"/>
      <c r="Q349" s="45"/>
      <c r="R349" s="45"/>
      <c r="S349" s="45"/>
      <c r="T349" s="45"/>
      <c r="U349" s="45"/>
      <c r="V349" s="16"/>
      <c r="W349" s="16"/>
      <c r="X349" s="45"/>
      <c r="Y349" s="45"/>
      <c r="Z349" s="45"/>
      <c r="AA349" s="45"/>
      <c r="AB349" s="45"/>
      <c r="AC349" s="45"/>
    </row>
    <row r="350" spans="1:29" s="17" customFormat="1" x14ac:dyDescent="0.25">
      <c r="A350" s="16"/>
      <c r="B350" s="45"/>
      <c r="C350" s="16"/>
      <c r="D350" s="15"/>
      <c r="E350" s="15"/>
      <c r="F350" s="15"/>
      <c r="G350" s="15"/>
      <c r="H350" s="18"/>
      <c r="I350" s="15"/>
      <c r="J350" s="15"/>
      <c r="K350" s="19"/>
      <c r="L350" s="16"/>
      <c r="N350" s="45"/>
      <c r="O350" s="45"/>
      <c r="P350" s="45"/>
      <c r="Q350" s="45"/>
      <c r="R350" s="45"/>
      <c r="S350" s="45"/>
      <c r="T350" s="45"/>
      <c r="U350" s="45"/>
      <c r="V350" s="16"/>
      <c r="W350" s="16"/>
      <c r="X350" s="45"/>
      <c r="Y350" s="45"/>
      <c r="Z350" s="45"/>
      <c r="AA350" s="45"/>
      <c r="AB350" s="45"/>
      <c r="AC350" s="45"/>
    </row>
    <row r="351" spans="1:29" s="17" customFormat="1" x14ac:dyDescent="0.25">
      <c r="A351" s="16"/>
      <c r="B351" s="45"/>
      <c r="C351" s="16"/>
      <c r="D351" s="15"/>
      <c r="E351" s="15"/>
      <c r="F351" s="15"/>
      <c r="G351" s="15"/>
      <c r="H351" s="18"/>
      <c r="I351" s="15"/>
      <c r="J351" s="15"/>
      <c r="K351" s="19"/>
      <c r="L351" s="16"/>
      <c r="N351" s="45"/>
      <c r="O351" s="45"/>
      <c r="P351" s="45"/>
      <c r="Q351" s="45"/>
      <c r="R351" s="45"/>
      <c r="S351" s="45"/>
      <c r="T351" s="45"/>
      <c r="U351" s="45"/>
      <c r="V351" s="16"/>
      <c r="W351" s="16"/>
      <c r="X351" s="45"/>
      <c r="Y351" s="45"/>
      <c r="Z351" s="45"/>
      <c r="AA351" s="45"/>
      <c r="AB351" s="45"/>
      <c r="AC351" s="45"/>
    </row>
    <row r="352" spans="1:29" s="17" customFormat="1" x14ac:dyDescent="0.25">
      <c r="A352" s="16"/>
      <c r="B352" s="45"/>
      <c r="C352" s="16"/>
      <c r="D352" s="15"/>
      <c r="E352" s="15"/>
      <c r="F352" s="15"/>
      <c r="G352" s="15"/>
      <c r="H352" s="18"/>
      <c r="I352" s="15"/>
      <c r="J352" s="15"/>
      <c r="K352" s="19"/>
      <c r="L352" s="16"/>
      <c r="N352" s="45"/>
      <c r="O352" s="45"/>
      <c r="P352" s="45"/>
      <c r="Q352" s="45"/>
      <c r="R352" s="45"/>
      <c r="S352" s="45"/>
      <c r="T352" s="45"/>
      <c r="U352" s="45"/>
      <c r="V352" s="16"/>
      <c r="W352" s="16"/>
      <c r="X352" s="45"/>
      <c r="Y352" s="45"/>
      <c r="Z352" s="45"/>
      <c r="AA352" s="45"/>
      <c r="AB352" s="45"/>
      <c r="AC352" s="45"/>
    </row>
    <row r="353" spans="1:29" s="17" customFormat="1" x14ac:dyDescent="0.25">
      <c r="A353" s="16"/>
      <c r="B353" s="45"/>
      <c r="C353" s="16"/>
      <c r="D353" s="15"/>
      <c r="E353" s="15"/>
      <c r="F353" s="15"/>
      <c r="G353" s="15"/>
      <c r="H353" s="18"/>
      <c r="I353" s="15"/>
      <c r="J353" s="15"/>
      <c r="K353" s="19"/>
      <c r="L353" s="16"/>
      <c r="N353" s="45"/>
      <c r="O353" s="45"/>
      <c r="P353" s="45"/>
      <c r="Q353" s="45"/>
      <c r="R353" s="45"/>
      <c r="S353" s="45"/>
      <c r="T353" s="45"/>
      <c r="U353" s="45"/>
      <c r="V353" s="16"/>
      <c r="W353" s="16"/>
      <c r="X353" s="45"/>
      <c r="Y353" s="45"/>
      <c r="Z353" s="45"/>
      <c r="AA353" s="45"/>
      <c r="AB353" s="45"/>
      <c r="AC353" s="45"/>
    </row>
    <row r="354" spans="1:29" s="17" customFormat="1" x14ac:dyDescent="0.25">
      <c r="A354" s="16"/>
      <c r="B354" s="45"/>
      <c r="C354" s="16"/>
      <c r="D354" s="15"/>
      <c r="E354" s="15"/>
      <c r="F354" s="15"/>
      <c r="G354" s="15"/>
      <c r="H354" s="18"/>
      <c r="I354" s="15"/>
      <c r="J354" s="15"/>
      <c r="K354" s="19"/>
      <c r="L354" s="16"/>
      <c r="N354" s="45"/>
      <c r="O354" s="45"/>
      <c r="P354" s="45"/>
      <c r="Q354" s="45"/>
      <c r="R354" s="45"/>
      <c r="S354" s="45"/>
      <c r="T354" s="45"/>
      <c r="U354" s="45"/>
      <c r="V354" s="16"/>
      <c r="W354" s="16"/>
      <c r="X354" s="45"/>
      <c r="Y354" s="45"/>
      <c r="Z354" s="45"/>
      <c r="AA354" s="45"/>
      <c r="AB354" s="45"/>
      <c r="AC354" s="45"/>
    </row>
    <row r="355" spans="1:29" s="17" customFormat="1" x14ac:dyDescent="0.25">
      <c r="A355" s="16"/>
      <c r="B355" s="45"/>
      <c r="C355" s="16"/>
      <c r="D355" s="15"/>
      <c r="E355" s="15"/>
      <c r="F355" s="15"/>
      <c r="G355" s="15"/>
      <c r="H355" s="18"/>
      <c r="I355" s="15"/>
      <c r="J355" s="15"/>
      <c r="K355" s="19"/>
      <c r="L355" s="16"/>
      <c r="N355" s="45"/>
      <c r="O355" s="45"/>
      <c r="P355" s="45"/>
      <c r="Q355" s="45"/>
      <c r="R355" s="45"/>
      <c r="S355" s="45"/>
      <c r="T355" s="45"/>
      <c r="U355" s="45"/>
      <c r="V355" s="16"/>
      <c r="W355" s="16"/>
      <c r="X355" s="45"/>
      <c r="Y355" s="45"/>
      <c r="Z355" s="45"/>
      <c r="AA355" s="45"/>
      <c r="AB355" s="45"/>
      <c r="AC355" s="45"/>
    </row>
    <row r="356" spans="1:29" s="17" customFormat="1" x14ac:dyDescent="0.25">
      <c r="A356" s="16"/>
      <c r="B356" s="45"/>
      <c r="C356" s="16"/>
      <c r="D356" s="15"/>
      <c r="E356" s="15"/>
      <c r="F356" s="15"/>
      <c r="G356" s="15"/>
      <c r="H356" s="18"/>
      <c r="I356" s="15"/>
      <c r="J356" s="15"/>
      <c r="K356" s="19"/>
      <c r="L356" s="16"/>
      <c r="N356" s="45"/>
      <c r="O356" s="45"/>
      <c r="P356" s="45"/>
      <c r="Q356" s="45"/>
      <c r="R356" s="45"/>
      <c r="S356" s="45"/>
      <c r="T356" s="45"/>
      <c r="U356" s="45"/>
      <c r="V356" s="16"/>
      <c r="W356" s="16"/>
      <c r="X356" s="45"/>
      <c r="Y356" s="45"/>
      <c r="Z356" s="45"/>
      <c r="AA356" s="45"/>
      <c r="AB356" s="45"/>
      <c r="AC356" s="45"/>
    </row>
    <row r="357" spans="1:29" s="17" customFormat="1" x14ac:dyDescent="0.25">
      <c r="A357" s="16"/>
      <c r="B357" s="45"/>
      <c r="C357" s="16"/>
      <c r="D357" s="15"/>
      <c r="E357" s="15"/>
      <c r="F357" s="15"/>
      <c r="G357" s="15"/>
      <c r="H357" s="18"/>
      <c r="I357" s="15"/>
      <c r="J357" s="15"/>
      <c r="K357" s="19"/>
      <c r="L357" s="16"/>
      <c r="N357" s="45"/>
      <c r="O357" s="45"/>
      <c r="P357" s="45"/>
      <c r="Q357" s="45"/>
      <c r="R357" s="45"/>
      <c r="S357" s="45"/>
      <c r="T357" s="45"/>
      <c r="U357" s="45"/>
      <c r="V357" s="16"/>
      <c r="W357" s="16"/>
      <c r="X357" s="45"/>
      <c r="Y357" s="45"/>
      <c r="Z357" s="45"/>
      <c r="AA357" s="45"/>
      <c r="AB357" s="45"/>
      <c r="AC357" s="45"/>
    </row>
    <row r="358" spans="1:29" s="17" customFormat="1" x14ac:dyDescent="0.25">
      <c r="A358" s="16"/>
      <c r="B358" s="45"/>
      <c r="C358" s="16"/>
      <c r="D358" s="15"/>
      <c r="E358" s="15"/>
      <c r="F358" s="15"/>
      <c r="G358" s="15"/>
      <c r="H358" s="18"/>
      <c r="I358" s="15"/>
      <c r="J358" s="15"/>
      <c r="K358" s="19"/>
      <c r="L358" s="16"/>
      <c r="N358" s="45"/>
      <c r="O358" s="45"/>
      <c r="P358" s="45"/>
      <c r="Q358" s="45"/>
      <c r="R358" s="45"/>
      <c r="S358" s="45"/>
      <c r="T358" s="45"/>
      <c r="U358" s="45"/>
      <c r="V358" s="16"/>
      <c r="W358" s="16"/>
      <c r="X358" s="45"/>
      <c r="Y358" s="45"/>
      <c r="Z358" s="45"/>
      <c r="AA358" s="45"/>
      <c r="AB358" s="45"/>
      <c r="AC358" s="45"/>
    </row>
    <row r="359" spans="1:29" s="17" customFormat="1" x14ac:dyDescent="0.25">
      <c r="A359" s="16"/>
      <c r="B359" s="45"/>
      <c r="C359" s="16"/>
      <c r="D359" s="15"/>
      <c r="E359" s="15"/>
      <c r="F359" s="15"/>
      <c r="G359" s="15"/>
      <c r="H359" s="18"/>
      <c r="I359" s="15"/>
      <c r="J359" s="15"/>
      <c r="K359" s="19"/>
      <c r="L359" s="16"/>
      <c r="N359" s="45"/>
      <c r="O359" s="45"/>
      <c r="P359" s="45"/>
      <c r="Q359" s="45"/>
      <c r="R359" s="45"/>
      <c r="S359" s="45"/>
      <c r="T359" s="45"/>
      <c r="U359" s="45"/>
      <c r="V359" s="16"/>
      <c r="W359" s="16"/>
      <c r="X359" s="45"/>
      <c r="Y359" s="45"/>
      <c r="Z359" s="45"/>
      <c r="AA359" s="45"/>
      <c r="AB359" s="45"/>
      <c r="AC359" s="45"/>
    </row>
    <row r="360" spans="1:29" s="17" customFormat="1" x14ac:dyDescent="0.25">
      <c r="A360" s="16"/>
      <c r="B360" s="45"/>
      <c r="C360" s="16"/>
      <c r="D360" s="15"/>
      <c r="E360" s="15"/>
      <c r="F360" s="15"/>
      <c r="G360" s="15"/>
      <c r="H360" s="18"/>
      <c r="I360" s="15"/>
      <c r="J360" s="15"/>
      <c r="K360" s="19"/>
      <c r="L360" s="16"/>
      <c r="N360" s="45"/>
      <c r="O360" s="45"/>
      <c r="P360" s="45"/>
      <c r="Q360" s="45"/>
      <c r="R360" s="45"/>
      <c r="S360" s="45"/>
      <c r="T360" s="45"/>
      <c r="U360" s="45"/>
      <c r="V360" s="16"/>
      <c r="W360" s="16"/>
      <c r="X360" s="45"/>
      <c r="Y360" s="45"/>
      <c r="Z360" s="45"/>
      <c r="AA360" s="45"/>
      <c r="AB360" s="45"/>
      <c r="AC360" s="45"/>
    </row>
    <row r="361" spans="1:29" s="17" customFormat="1" x14ac:dyDescent="0.25">
      <c r="A361" s="16"/>
      <c r="B361" s="45"/>
      <c r="C361" s="16"/>
      <c r="D361" s="15"/>
      <c r="E361" s="15"/>
      <c r="F361" s="15"/>
      <c r="G361" s="15"/>
      <c r="H361" s="18"/>
      <c r="I361" s="15"/>
      <c r="J361" s="15"/>
      <c r="K361" s="19"/>
      <c r="L361" s="16"/>
      <c r="N361" s="45"/>
      <c r="O361" s="45"/>
      <c r="P361" s="45"/>
      <c r="Q361" s="45"/>
      <c r="R361" s="45"/>
      <c r="S361" s="45"/>
      <c r="T361" s="45"/>
      <c r="U361" s="45"/>
      <c r="V361" s="16"/>
      <c r="W361" s="16"/>
      <c r="X361" s="45"/>
      <c r="Y361" s="45"/>
      <c r="Z361" s="45"/>
      <c r="AA361" s="45"/>
      <c r="AB361" s="45"/>
      <c r="AC361" s="45"/>
    </row>
    <row r="362" spans="1:29" s="17" customFormat="1" x14ac:dyDescent="0.25">
      <c r="A362" s="16"/>
      <c r="B362" s="45"/>
      <c r="C362" s="16"/>
      <c r="D362" s="15"/>
      <c r="E362" s="15"/>
      <c r="F362" s="15"/>
      <c r="G362" s="15"/>
      <c r="H362" s="18"/>
      <c r="I362" s="15"/>
      <c r="J362" s="15"/>
      <c r="K362" s="19"/>
      <c r="L362" s="16"/>
      <c r="N362" s="45"/>
      <c r="O362" s="45"/>
      <c r="P362" s="45"/>
      <c r="Q362" s="45"/>
      <c r="R362" s="45"/>
      <c r="S362" s="45"/>
      <c r="T362" s="45"/>
      <c r="U362" s="45"/>
      <c r="V362" s="16"/>
      <c r="W362" s="16"/>
      <c r="X362" s="45"/>
      <c r="Y362" s="45"/>
      <c r="Z362" s="45"/>
      <c r="AA362" s="45"/>
      <c r="AB362" s="45"/>
      <c r="AC362" s="45"/>
    </row>
    <row r="363" spans="1:29" s="17" customFormat="1" x14ac:dyDescent="0.25">
      <c r="A363" s="16"/>
      <c r="B363" s="45"/>
      <c r="C363" s="16"/>
      <c r="D363" s="15"/>
      <c r="E363" s="15"/>
      <c r="F363" s="15"/>
      <c r="G363" s="15"/>
      <c r="H363" s="18"/>
      <c r="I363" s="15"/>
      <c r="J363" s="15"/>
      <c r="K363" s="19"/>
      <c r="L363" s="16"/>
      <c r="N363" s="45"/>
      <c r="O363" s="45"/>
      <c r="P363" s="45"/>
      <c r="Q363" s="45"/>
      <c r="R363" s="45"/>
      <c r="S363" s="45"/>
      <c r="T363" s="45"/>
      <c r="U363" s="45"/>
      <c r="V363" s="16"/>
      <c r="W363" s="16"/>
      <c r="X363" s="45"/>
      <c r="Y363" s="45"/>
      <c r="Z363" s="45"/>
      <c r="AA363" s="45"/>
      <c r="AB363" s="45"/>
      <c r="AC363" s="45"/>
    </row>
    <row r="364" spans="1:29" s="17" customFormat="1" x14ac:dyDescent="0.25">
      <c r="A364" s="16"/>
      <c r="B364" s="45"/>
      <c r="C364" s="16"/>
      <c r="D364" s="15"/>
      <c r="E364" s="15"/>
      <c r="F364" s="15"/>
      <c r="G364" s="15"/>
      <c r="H364" s="18"/>
      <c r="I364" s="15"/>
      <c r="J364" s="15"/>
      <c r="K364" s="19"/>
      <c r="L364" s="16"/>
      <c r="N364" s="45"/>
      <c r="O364" s="45"/>
      <c r="P364" s="45"/>
      <c r="Q364" s="45"/>
      <c r="R364" s="45"/>
      <c r="S364" s="45"/>
      <c r="T364" s="45"/>
      <c r="U364" s="45"/>
      <c r="V364" s="16"/>
      <c r="W364" s="16"/>
      <c r="X364" s="45"/>
      <c r="Y364" s="45"/>
      <c r="Z364" s="45"/>
      <c r="AA364" s="45"/>
      <c r="AB364" s="45"/>
      <c r="AC364" s="45"/>
    </row>
    <row r="365" spans="1:29" s="17" customFormat="1" x14ac:dyDescent="0.25">
      <c r="A365" s="16"/>
      <c r="B365" s="45"/>
      <c r="C365" s="16"/>
      <c r="D365" s="15"/>
      <c r="E365" s="15"/>
      <c r="F365" s="15"/>
      <c r="G365" s="15"/>
      <c r="H365" s="18"/>
      <c r="I365" s="15"/>
      <c r="J365" s="15"/>
      <c r="K365" s="19"/>
      <c r="L365" s="16"/>
      <c r="N365" s="45"/>
      <c r="O365" s="45"/>
      <c r="P365" s="45"/>
      <c r="Q365" s="45"/>
      <c r="R365" s="45"/>
      <c r="S365" s="45"/>
      <c r="T365" s="45"/>
      <c r="U365" s="45"/>
      <c r="V365" s="16"/>
      <c r="W365" s="16"/>
      <c r="X365" s="45"/>
      <c r="Y365" s="45"/>
      <c r="Z365" s="45"/>
      <c r="AA365" s="45"/>
      <c r="AB365" s="45"/>
      <c r="AC365" s="45"/>
    </row>
    <row r="366" spans="1:29" s="17" customFormat="1" x14ac:dyDescent="0.25">
      <c r="A366" s="16"/>
      <c r="B366" s="45"/>
      <c r="C366" s="16"/>
      <c r="D366" s="15"/>
      <c r="E366" s="15"/>
      <c r="F366" s="15"/>
      <c r="G366" s="15"/>
      <c r="H366" s="18"/>
      <c r="I366" s="15"/>
      <c r="J366" s="15"/>
      <c r="K366" s="19"/>
      <c r="L366" s="16"/>
      <c r="N366" s="45"/>
      <c r="O366" s="45"/>
      <c r="P366" s="45"/>
      <c r="Q366" s="45"/>
      <c r="R366" s="45"/>
      <c r="S366" s="45"/>
      <c r="T366" s="45"/>
      <c r="U366" s="45"/>
      <c r="V366" s="16"/>
      <c r="W366" s="16"/>
      <c r="X366" s="45"/>
      <c r="Y366" s="45"/>
      <c r="Z366" s="45"/>
      <c r="AA366" s="45"/>
      <c r="AB366" s="45"/>
      <c r="AC366" s="45"/>
    </row>
    <row r="367" spans="1:29" s="17" customFormat="1" x14ac:dyDescent="0.25">
      <c r="A367" s="16"/>
      <c r="B367" s="45"/>
      <c r="C367" s="16"/>
      <c r="D367" s="15"/>
      <c r="E367" s="15"/>
      <c r="F367" s="15"/>
      <c r="G367" s="15"/>
      <c r="H367" s="18"/>
      <c r="I367" s="15"/>
      <c r="J367" s="15"/>
      <c r="K367" s="19"/>
      <c r="L367" s="16"/>
      <c r="N367" s="45"/>
      <c r="O367" s="45"/>
      <c r="P367" s="45"/>
      <c r="Q367" s="45"/>
      <c r="R367" s="45"/>
      <c r="S367" s="45"/>
      <c r="T367" s="45"/>
      <c r="U367" s="45"/>
      <c r="V367" s="16"/>
      <c r="W367" s="16"/>
      <c r="X367" s="45"/>
      <c r="Y367" s="45"/>
      <c r="Z367" s="45"/>
      <c r="AA367" s="45"/>
      <c r="AB367" s="45"/>
      <c r="AC367" s="45"/>
    </row>
    <row r="368" spans="1:29" s="17" customFormat="1" x14ac:dyDescent="0.25">
      <c r="A368" s="16"/>
      <c r="B368" s="45"/>
      <c r="C368" s="16"/>
      <c r="D368" s="15"/>
      <c r="E368" s="15"/>
      <c r="F368" s="15"/>
      <c r="G368" s="15"/>
      <c r="H368" s="18"/>
      <c r="I368" s="15"/>
      <c r="J368" s="15"/>
      <c r="K368" s="19"/>
      <c r="L368" s="16"/>
      <c r="N368" s="45"/>
      <c r="O368" s="45"/>
      <c r="P368" s="45"/>
      <c r="Q368" s="45"/>
      <c r="R368" s="45"/>
      <c r="S368" s="45"/>
      <c r="T368" s="45"/>
      <c r="U368" s="45"/>
      <c r="V368" s="16"/>
      <c r="W368" s="16"/>
      <c r="X368" s="45"/>
      <c r="Y368" s="45"/>
      <c r="Z368" s="45"/>
      <c r="AA368" s="45"/>
      <c r="AB368" s="45"/>
      <c r="AC368" s="45"/>
    </row>
    <row r="369" spans="1:29" s="17" customFormat="1" x14ac:dyDescent="0.25">
      <c r="A369" s="16"/>
      <c r="B369" s="45"/>
      <c r="C369" s="16"/>
      <c r="D369" s="15"/>
      <c r="E369" s="15"/>
      <c r="F369" s="15"/>
      <c r="G369" s="15"/>
      <c r="H369" s="18"/>
      <c r="I369" s="15"/>
      <c r="J369" s="15"/>
      <c r="K369" s="19"/>
      <c r="L369" s="16"/>
      <c r="N369" s="45"/>
      <c r="O369" s="45"/>
      <c r="P369" s="45"/>
      <c r="Q369" s="45"/>
      <c r="R369" s="45"/>
      <c r="S369" s="45"/>
      <c r="T369" s="45"/>
      <c r="U369" s="45"/>
      <c r="V369" s="16"/>
      <c r="W369" s="16"/>
      <c r="X369" s="45"/>
      <c r="Y369" s="45"/>
      <c r="Z369" s="45"/>
      <c r="AA369" s="45"/>
      <c r="AB369" s="45"/>
      <c r="AC369" s="45"/>
    </row>
    <row r="370" spans="1:29" s="17" customFormat="1" x14ac:dyDescent="0.25">
      <c r="A370" s="16"/>
      <c r="B370" s="45"/>
      <c r="C370" s="16"/>
      <c r="D370" s="15"/>
      <c r="E370" s="15"/>
      <c r="F370" s="15"/>
      <c r="G370" s="15"/>
      <c r="H370" s="18"/>
      <c r="I370" s="15"/>
      <c r="J370" s="15"/>
      <c r="K370" s="19"/>
      <c r="L370" s="16"/>
      <c r="N370" s="45"/>
      <c r="O370" s="45"/>
      <c r="P370" s="45"/>
      <c r="Q370" s="45"/>
      <c r="R370" s="45"/>
      <c r="S370" s="45"/>
      <c r="T370" s="45"/>
      <c r="U370" s="45"/>
      <c r="V370" s="16"/>
      <c r="W370" s="16"/>
      <c r="X370" s="45"/>
      <c r="Y370" s="45"/>
      <c r="Z370" s="45"/>
      <c r="AA370" s="45"/>
      <c r="AB370" s="45"/>
      <c r="AC370" s="45"/>
    </row>
    <row r="371" spans="1:29" s="17" customFormat="1" x14ac:dyDescent="0.25">
      <c r="A371" s="16"/>
      <c r="B371" s="45"/>
      <c r="C371" s="16"/>
      <c r="D371" s="15"/>
      <c r="E371" s="15"/>
      <c r="F371" s="15"/>
      <c r="G371" s="15"/>
      <c r="H371" s="18"/>
      <c r="I371" s="15"/>
      <c r="J371" s="15"/>
      <c r="K371" s="19"/>
      <c r="L371" s="16"/>
      <c r="N371" s="45"/>
      <c r="O371" s="45"/>
      <c r="P371" s="45"/>
      <c r="Q371" s="45"/>
      <c r="R371" s="45"/>
      <c r="S371" s="45"/>
      <c r="T371" s="45"/>
      <c r="U371" s="45"/>
      <c r="V371" s="16"/>
      <c r="W371" s="16"/>
      <c r="X371" s="45"/>
      <c r="Y371" s="45"/>
      <c r="Z371" s="45"/>
      <c r="AA371" s="45"/>
      <c r="AB371" s="45"/>
      <c r="AC371" s="45"/>
    </row>
    <row r="372" spans="1:29" s="17" customFormat="1" x14ac:dyDescent="0.25">
      <c r="A372" s="16"/>
      <c r="B372" s="45"/>
      <c r="C372" s="16"/>
      <c r="D372" s="15"/>
      <c r="E372" s="15"/>
      <c r="F372" s="15"/>
      <c r="G372" s="15"/>
      <c r="H372" s="18"/>
      <c r="I372" s="15"/>
      <c r="J372" s="15"/>
      <c r="K372" s="19"/>
      <c r="L372" s="16"/>
      <c r="N372" s="45"/>
      <c r="O372" s="45"/>
      <c r="P372" s="45"/>
      <c r="Q372" s="45"/>
      <c r="R372" s="45"/>
      <c r="S372" s="45"/>
      <c r="T372" s="45"/>
      <c r="U372" s="45"/>
      <c r="V372" s="16"/>
      <c r="W372" s="16"/>
      <c r="X372" s="45"/>
      <c r="Y372" s="45"/>
      <c r="Z372" s="45"/>
      <c r="AA372" s="45"/>
      <c r="AB372" s="45"/>
      <c r="AC372" s="45"/>
    </row>
    <row r="373" spans="1:29" s="17" customFormat="1" x14ac:dyDescent="0.25">
      <c r="A373" s="16"/>
      <c r="B373" s="45"/>
      <c r="C373" s="16"/>
      <c r="D373" s="15"/>
      <c r="E373" s="15"/>
      <c r="F373" s="15"/>
      <c r="G373" s="15"/>
      <c r="H373" s="18"/>
      <c r="I373" s="15"/>
      <c r="J373" s="15"/>
      <c r="K373" s="19"/>
      <c r="L373" s="16"/>
      <c r="N373" s="45"/>
      <c r="O373" s="45"/>
      <c r="P373" s="45"/>
      <c r="Q373" s="45"/>
      <c r="R373" s="45"/>
      <c r="S373" s="45"/>
      <c r="T373" s="45"/>
      <c r="U373" s="45"/>
      <c r="V373" s="16"/>
      <c r="W373" s="16"/>
      <c r="X373" s="45"/>
      <c r="Y373" s="45"/>
      <c r="Z373" s="45"/>
      <c r="AA373" s="45"/>
      <c r="AB373" s="45"/>
      <c r="AC373" s="45"/>
    </row>
    <row r="374" spans="1:29" s="17" customFormat="1" x14ac:dyDescent="0.25">
      <c r="A374" s="16"/>
      <c r="B374" s="45"/>
      <c r="C374" s="16"/>
      <c r="D374" s="15"/>
      <c r="E374" s="15"/>
      <c r="F374" s="15"/>
      <c r="G374" s="15"/>
      <c r="H374" s="18"/>
      <c r="I374" s="15"/>
      <c r="J374" s="15"/>
      <c r="K374" s="19"/>
      <c r="L374" s="16"/>
      <c r="N374" s="45"/>
      <c r="O374" s="45"/>
      <c r="P374" s="45"/>
      <c r="Q374" s="45"/>
      <c r="R374" s="45"/>
      <c r="S374" s="45"/>
      <c r="T374" s="45"/>
      <c r="U374" s="45"/>
      <c r="V374" s="16"/>
      <c r="W374" s="16"/>
      <c r="X374" s="45"/>
      <c r="Y374" s="45"/>
      <c r="Z374" s="45"/>
      <c r="AA374" s="45"/>
      <c r="AB374" s="45"/>
      <c r="AC374" s="45"/>
    </row>
    <row r="375" spans="1:29" s="17" customFormat="1" x14ac:dyDescent="0.25">
      <c r="A375" s="16"/>
      <c r="B375" s="45"/>
      <c r="C375" s="16"/>
      <c r="D375" s="15"/>
      <c r="E375" s="15"/>
      <c r="F375" s="15"/>
      <c r="G375" s="15"/>
      <c r="H375" s="18"/>
      <c r="I375" s="15"/>
      <c r="J375" s="15"/>
      <c r="K375" s="19"/>
      <c r="L375" s="16"/>
      <c r="N375" s="45"/>
      <c r="O375" s="45"/>
      <c r="P375" s="45"/>
      <c r="Q375" s="45"/>
      <c r="R375" s="45"/>
      <c r="S375" s="45"/>
      <c r="T375" s="45"/>
      <c r="U375" s="45"/>
      <c r="V375" s="16"/>
      <c r="W375" s="16"/>
      <c r="X375" s="45"/>
      <c r="Y375" s="45"/>
      <c r="Z375" s="45"/>
      <c r="AA375" s="45"/>
      <c r="AB375" s="45"/>
      <c r="AC375" s="45"/>
    </row>
    <row r="376" spans="1:29" s="17" customFormat="1" x14ac:dyDescent="0.25">
      <c r="A376" s="16"/>
      <c r="B376" s="45"/>
      <c r="C376" s="16"/>
      <c r="D376" s="15"/>
      <c r="E376" s="15"/>
      <c r="F376" s="15"/>
      <c r="G376" s="15"/>
      <c r="H376" s="18"/>
      <c r="I376" s="15"/>
      <c r="J376" s="15"/>
      <c r="K376" s="19"/>
      <c r="L376" s="16"/>
      <c r="N376" s="45"/>
      <c r="O376" s="45"/>
      <c r="P376" s="45"/>
      <c r="Q376" s="45"/>
      <c r="R376" s="45"/>
      <c r="S376" s="45"/>
      <c r="T376" s="45"/>
      <c r="U376" s="45"/>
      <c r="V376" s="16"/>
      <c r="W376" s="16"/>
      <c r="X376" s="45"/>
      <c r="Y376" s="45"/>
      <c r="Z376" s="45"/>
      <c r="AA376" s="45"/>
      <c r="AB376" s="45"/>
      <c r="AC376" s="45"/>
    </row>
    <row r="377" spans="1:29" s="17" customFormat="1" x14ac:dyDescent="0.25">
      <c r="A377" s="16"/>
      <c r="B377" s="45"/>
      <c r="C377" s="16"/>
      <c r="D377" s="15"/>
      <c r="E377" s="15"/>
      <c r="F377" s="15"/>
      <c r="G377" s="15"/>
      <c r="H377" s="18"/>
      <c r="I377" s="15"/>
      <c r="J377" s="15"/>
      <c r="K377" s="19"/>
      <c r="L377" s="16"/>
      <c r="N377" s="45"/>
      <c r="O377" s="45"/>
      <c r="P377" s="45"/>
      <c r="Q377" s="45"/>
      <c r="R377" s="45"/>
      <c r="S377" s="45"/>
      <c r="T377" s="45"/>
      <c r="U377" s="45"/>
      <c r="V377" s="16"/>
      <c r="W377" s="16"/>
      <c r="X377" s="45"/>
      <c r="Y377" s="45"/>
      <c r="Z377" s="45"/>
      <c r="AA377" s="45"/>
      <c r="AB377" s="45"/>
      <c r="AC377" s="45"/>
    </row>
    <row r="378" spans="1:29" s="17" customFormat="1" x14ac:dyDescent="0.25">
      <c r="A378" s="16"/>
      <c r="B378" s="45"/>
      <c r="C378" s="16"/>
      <c r="D378" s="15"/>
      <c r="E378" s="15"/>
      <c r="F378" s="15"/>
      <c r="G378" s="15"/>
      <c r="H378" s="18"/>
      <c r="I378" s="15"/>
      <c r="J378" s="15"/>
      <c r="K378" s="19"/>
      <c r="L378" s="16"/>
      <c r="N378" s="45"/>
      <c r="O378" s="45"/>
      <c r="P378" s="45"/>
      <c r="Q378" s="45"/>
      <c r="R378" s="45"/>
      <c r="S378" s="45"/>
      <c r="T378" s="45"/>
      <c r="U378" s="45"/>
      <c r="V378" s="16"/>
      <c r="W378" s="16"/>
      <c r="X378" s="45"/>
      <c r="Y378" s="45"/>
      <c r="Z378" s="45"/>
      <c r="AA378" s="45"/>
      <c r="AB378" s="45"/>
      <c r="AC378" s="45"/>
    </row>
    <row r="379" spans="1:29" s="17" customFormat="1" x14ac:dyDescent="0.25">
      <c r="A379" s="16"/>
      <c r="B379" s="45"/>
      <c r="C379" s="16"/>
      <c r="D379" s="15"/>
      <c r="E379" s="15"/>
      <c r="F379" s="15"/>
      <c r="G379" s="15"/>
      <c r="H379" s="18"/>
      <c r="I379" s="15"/>
      <c r="J379" s="15"/>
      <c r="K379" s="19"/>
      <c r="L379" s="16"/>
      <c r="N379" s="45"/>
      <c r="O379" s="45"/>
      <c r="P379" s="45"/>
      <c r="Q379" s="45"/>
      <c r="R379" s="45"/>
      <c r="S379" s="45"/>
      <c r="T379" s="45"/>
      <c r="U379" s="45"/>
      <c r="V379" s="16"/>
      <c r="W379" s="16"/>
      <c r="X379" s="45"/>
      <c r="Y379" s="45"/>
      <c r="Z379" s="45"/>
      <c r="AA379" s="45"/>
      <c r="AB379" s="45"/>
      <c r="AC379" s="45"/>
    </row>
    <row r="380" spans="1:29" s="17" customFormat="1" x14ac:dyDescent="0.25">
      <c r="A380" s="16"/>
      <c r="B380" s="45"/>
      <c r="C380" s="16"/>
      <c r="D380" s="15"/>
      <c r="E380" s="15"/>
      <c r="F380" s="15"/>
      <c r="G380" s="15"/>
      <c r="H380" s="18"/>
      <c r="I380" s="15"/>
      <c r="J380" s="15"/>
      <c r="K380" s="19"/>
      <c r="L380" s="16"/>
      <c r="N380" s="45"/>
      <c r="O380" s="45"/>
      <c r="P380" s="45"/>
      <c r="Q380" s="45"/>
      <c r="R380" s="45"/>
      <c r="S380" s="45"/>
      <c r="T380" s="45"/>
      <c r="U380" s="45"/>
      <c r="V380" s="16"/>
      <c r="W380" s="16"/>
      <c r="X380" s="45"/>
      <c r="Y380" s="45"/>
      <c r="Z380" s="45"/>
      <c r="AA380" s="45"/>
      <c r="AB380" s="45"/>
      <c r="AC380" s="45"/>
    </row>
    <row r="381" spans="1:29" s="17" customFormat="1" x14ac:dyDescent="0.25">
      <c r="A381" s="16"/>
      <c r="B381" s="45"/>
      <c r="C381" s="16"/>
      <c r="D381" s="15"/>
      <c r="E381" s="15"/>
      <c r="F381" s="15"/>
      <c r="G381" s="15"/>
      <c r="H381" s="18"/>
      <c r="I381" s="15"/>
      <c r="J381" s="15"/>
      <c r="K381" s="19"/>
      <c r="L381" s="16"/>
      <c r="N381" s="45"/>
      <c r="O381" s="45"/>
      <c r="P381" s="45"/>
      <c r="Q381" s="45"/>
      <c r="R381" s="45"/>
      <c r="S381" s="45"/>
      <c r="T381" s="45"/>
      <c r="U381" s="45"/>
      <c r="V381" s="16"/>
      <c r="W381" s="16"/>
      <c r="X381" s="45"/>
      <c r="Y381" s="45"/>
      <c r="Z381" s="45"/>
      <c r="AA381" s="45"/>
      <c r="AB381" s="45"/>
      <c r="AC381" s="45"/>
    </row>
    <row r="382" spans="1:29" s="17" customFormat="1" x14ac:dyDescent="0.25">
      <c r="A382" s="16"/>
      <c r="B382" s="45"/>
      <c r="C382" s="16"/>
      <c r="D382" s="15"/>
      <c r="E382" s="15"/>
      <c r="F382" s="15"/>
      <c r="G382" s="15"/>
      <c r="H382" s="18"/>
      <c r="I382" s="15"/>
      <c r="J382" s="15"/>
      <c r="K382" s="19"/>
      <c r="L382" s="16"/>
      <c r="N382" s="45"/>
      <c r="O382" s="45"/>
      <c r="P382" s="45"/>
      <c r="Q382" s="45"/>
      <c r="R382" s="45"/>
      <c r="S382" s="45"/>
      <c r="T382" s="45"/>
      <c r="U382" s="45"/>
      <c r="V382" s="16"/>
      <c r="W382" s="16"/>
      <c r="X382" s="45"/>
      <c r="Y382" s="45"/>
      <c r="Z382" s="45"/>
      <c r="AA382" s="45"/>
      <c r="AB382" s="45"/>
      <c r="AC382" s="45"/>
    </row>
    <row r="383" spans="1:29" s="17" customFormat="1" x14ac:dyDescent="0.25">
      <c r="A383" s="16"/>
      <c r="B383" s="45"/>
      <c r="C383" s="16"/>
      <c r="D383" s="15"/>
      <c r="E383" s="15"/>
      <c r="F383" s="15"/>
      <c r="G383" s="15"/>
      <c r="H383" s="18"/>
      <c r="I383" s="15"/>
      <c r="J383" s="15"/>
      <c r="K383" s="19"/>
      <c r="L383" s="16"/>
      <c r="N383" s="45"/>
      <c r="O383" s="45"/>
      <c r="P383" s="45"/>
      <c r="Q383" s="45"/>
      <c r="R383" s="45"/>
      <c r="S383" s="45"/>
      <c r="T383" s="45"/>
      <c r="U383" s="45"/>
      <c r="V383" s="16"/>
      <c r="W383" s="16"/>
      <c r="X383" s="45"/>
      <c r="Y383" s="45"/>
      <c r="Z383" s="45"/>
      <c r="AA383" s="45"/>
      <c r="AB383" s="45"/>
      <c r="AC383" s="45"/>
    </row>
    <row r="384" spans="1:29" s="17" customFormat="1" x14ac:dyDescent="0.25">
      <c r="A384" s="16"/>
      <c r="B384" s="45"/>
      <c r="C384" s="16"/>
      <c r="D384" s="15"/>
      <c r="E384" s="15"/>
      <c r="F384" s="15"/>
      <c r="G384" s="15"/>
      <c r="H384" s="18"/>
      <c r="I384" s="15"/>
      <c r="J384" s="15"/>
      <c r="K384" s="19"/>
      <c r="L384" s="16"/>
      <c r="N384" s="45"/>
      <c r="O384" s="45"/>
      <c r="P384" s="45"/>
      <c r="Q384" s="45"/>
      <c r="R384" s="45"/>
      <c r="S384" s="45"/>
      <c r="T384" s="45"/>
      <c r="U384" s="45"/>
      <c r="V384" s="16"/>
      <c r="W384" s="16"/>
      <c r="X384" s="45"/>
      <c r="Y384" s="45"/>
      <c r="Z384" s="45"/>
      <c r="AA384" s="45"/>
      <c r="AB384" s="45"/>
      <c r="AC384" s="45"/>
    </row>
    <row r="385" spans="1:29" s="17" customFormat="1" x14ac:dyDescent="0.25">
      <c r="A385" s="16"/>
      <c r="B385" s="45"/>
      <c r="C385" s="16"/>
      <c r="D385" s="15"/>
      <c r="E385" s="15"/>
      <c r="F385" s="15"/>
      <c r="G385" s="15"/>
      <c r="H385" s="18"/>
      <c r="I385" s="15"/>
      <c r="J385" s="15"/>
      <c r="K385" s="19"/>
      <c r="L385" s="16"/>
      <c r="N385" s="45"/>
      <c r="O385" s="45"/>
      <c r="P385" s="45"/>
      <c r="Q385" s="45"/>
      <c r="R385" s="45"/>
      <c r="S385" s="45"/>
      <c r="T385" s="45"/>
      <c r="U385" s="45"/>
      <c r="V385" s="16"/>
      <c r="W385" s="16"/>
      <c r="X385" s="45"/>
      <c r="Y385" s="45"/>
      <c r="Z385" s="45"/>
      <c r="AA385" s="45"/>
      <c r="AB385" s="45"/>
      <c r="AC385" s="45"/>
    </row>
    <row r="386" spans="1:29" s="17" customFormat="1" x14ac:dyDescent="0.25">
      <c r="A386" s="16"/>
      <c r="B386" s="45"/>
      <c r="C386" s="16"/>
      <c r="D386" s="15"/>
      <c r="E386" s="15"/>
      <c r="F386" s="15"/>
      <c r="G386" s="15"/>
      <c r="H386" s="18"/>
      <c r="I386" s="15"/>
      <c r="J386" s="15"/>
      <c r="K386" s="19"/>
      <c r="L386" s="16"/>
      <c r="N386" s="45"/>
      <c r="O386" s="45"/>
      <c r="P386" s="45"/>
      <c r="Q386" s="45"/>
      <c r="R386" s="45"/>
      <c r="S386" s="45"/>
      <c r="T386" s="45"/>
      <c r="U386" s="45"/>
      <c r="V386" s="16"/>
      <c r="W386" s="16"/>
      <c r="X386" s="45"/>
      <c r="Y386" s="45"/>
      <c r="Z386" s="45"/>
      <c r="AA386" s="45"/>
      <c r="AB386" s="45"/>
      <c r="AC386" s="45"/>
    </row>
    <row r="387" spans="1:29" s="17" customFormat="1" x14ac:dyDescent="0.25">
      <c r="A387" s="16"/>
      <c r="B387" s="45"/>
      <c r="C387" s="16"/>
      <c r="D387" s="15"/>
      <c r="E387" s="15"/>
      <c r="F387" s="15"/>
      <c r="G387" s="15"/>
      <c r="H387" s="18"/>
      <c r="I387" s="15"/>
      <c r="J387" s="15"/>
      <c r="K387" s="19"/>
      <c r="L387" s="16"/>
      <c r="N387" s="45"/>
      <c r="O387" s="45"/>
      <c r="P387" s="45"/>
      <c r="Q387" s="45"/>
      <c r="R387" s="45"/>
      <c r="S387" s="45"/>
      <c r="T387" s="45"/>
      <c r="U387" s="45"/>
      <c r="V387" s="16"/>
      <c r="W387" s="16"/>
      <c r="X387" s="45"/>
      <c r="Y387" s="45"/>
      <c r="Z387" s="45"/>
      <c r="AA387" s="45"/>
      <c r="AB387" s="45"/>
      <c r="AC387" s="45"/>
    </row>
    <row r="388" spans="1:29" s="17" customFormat="1" x14ac:dyDescent="0.25">
      <c r="A388" s="16"/>
      <c r="B388" s="45"/>
      <c r="C388" s="16"/>
      <c r="D388" s="15"/>
      <c r="E388" s="15"/>
      <c r="F388" s="15"/>
      <c r="G388" s="15"/>
      <c r="H388" s="18"/>
      <c r="I388" s="15"/>
      <c r="J388" s="15"/>
      <c r="K388" s="19"/>
      <c r="L388" s="16"/>
      <c r="N388" s="45"/>
      <c r="O388" s="45"/>
      <c r="P388" s="45"/>
      <c r="Q388" s="45"/>
      <c r="R388" s="45"/>
      <c r="S388" s="45"/>
      <c r="T388" s="45"/>
      <c r="U388" s="45"/>
      <c r="V388" s="16"/>
      <c r="W388" s="16"/>
      <c r="X388" s="45"/>
      <c r="Y388" s="45"/>
      <c r="Z388" s="45"/>
      <c r="AA388" s="45"/>
      <c r="AB388" s="45"/>
      <c r="AC388" s="45"/>
    </row>
    <row r="389" spans="1:29" s="17" customFormat="1" x14ac:dyDescent="0.25">
      <c r="A389" s="16"/>
      <c r="B389" s="45"/>
      <c r="C389" s="16"/>
      <c r="D389" s="15"/>
      <c r="E389" s="15"/>
      <c r="F389" s="15"/>
      <c r="G389" s="15"/>
      <c r="H389" s="18"/>
      <c r="I389" s="15"/>
      <c r="J389" s="15"/>
      <c r="K389" s="19"/>
      <c r="L389" s="16"/>
      <c r="N389" s="45"/>
      <c r="O389" s="45"/>
      <c r="P389" s="45"/>
      <c r="Q389" s="45"/>
      <c r="R389" s="45"/>
      <c r="S389" s="45"/>
      <c r="T389" s="45"/>
      <c r="U389" s="45"/>
      <c r="V389" s="16"/>
      <c r="W389" s="16"/>
      <c r="X389" s="45"/>
      <c r="Y389" s="45"/>
      <c r="Z389" s="45"/>
      <c r="AA389" s="45"/>
      <c r="AB389" s="45"/>
      <c r="AC389" s="45"/>
    </row>
    <row r="390" spans="1:29" s="17" customFormat="1" x14ac:dyDescent="0.25">
      <c r="A390" s="16"/>
      <c r="B390" s="45"/>
      <c r="C390" s="16"/>
      <c r="D390" s="15"/>
      <c r="E390" s="15"/>
      <c r="F390" s="15"/>
      <c r="G390" s="15"/>
      <c r="H390" s="18"/>
      <c r="I390" s="15"/>
      <c r="J390" s="15"/>
      <c r="K390" s="19"/>
      <c r="L390" s="16"/>
      <c r="N390" s="45"/>
      <c r="O390" s="45"/>
      <c r="P390" s="45"/>
      <c r="Q390" s="45"/>
      <c r="R390" s="45"/>
      <c r="S390" s="45"/>
      <c r="T390" s="45"/>
      <c r="U390" s="45"/>
      <c r="V390" s="16"/>
      <c r="W390" s="16"/>
      <c r="X390" s="45"/>
      <c r="Y390" s="45"/>
      <c r="Z390" s="45"/>
      <c r="AA390" s="45"/>
      <c r="AB390" s="45"/>
      <c r="AC390" s="45"/>
    </row>
    <row r="391" spans="1:29" s="17" customFormat="1" x14ac:dyDescent="0.25">
      <c r="A391" s="16"/>
      <c r="B391" s="45"/>
      <c r="C391" s="16"/>
      <c r="D391" s="15"/>
      <c r="E391" s="15"/>
      <c r="F391" s="15"/>
      <c r="G391" s="15"/>
      <c r="H391" s="18"/>
      <c r="I391" s="15"/>
      <c r="J391" s="15"/>
      <c r="K391" s="19"/>
      <c r="L391" s="16"/>
      <c r="N391" s="45"/>
      <c r="O391" s="45"/>
      <c r="P391" s="45"/>
      <c r="Q391" s="45"/>
      <c r="R391" s="45"/>
      <c r="S391" s="45"/>
      <c r="T391" s="45"/>
      <c r="U391" s="45"/>
      <c r="V391" s="16"/>
      <c r="W391" s="16"/>
      <c r="X391" s="45"/>
      <c r="Y391" s="45"/>
      <c r="Z391" s="45"/>
      <c r="AA391" s="45"/>
      <c r="AB391" s="45"/>
      <c r="AC391" s="45"/>
    </row>
    <row r="392" spans="1:29" s="17" customFormat="1" x14ac:dyDescent="0.25">
      <c r="A392" s="16"/>
      <c r="B392" s="45"/>
      <c r="C392" s="16"/>
      <c r="D392" s="15"/>
      <c r="E392" s="15"/>
      <c r="F392" s="15"/>
      <c r="G392" s="15"/>
      <c r="H392" s="18"/>
      <c r="I392" s="15"/>
      <c r="J392" s="15"/>
      <c r="K392" s="19"/>
      <c r="L392" s="16"/>
      <c r="N392" s="45"/>
      <c r="O392" s="45"/>
      <c r="P392" s="45"/>
      <c r="Q392" s="45"/>
      <c r="R392" s="45"/>
      <c r="S392" s="45"/>
      <c r="T392" s="45"/>
      <c r="U392" s="45"/>
      <c r="V392" s="16"/>
      <c r="W392" s="16"/>
      <c r="X392" s="45"/>
      <c r="Y392" s="45"/>
      <c r="Z392" s="45"/>
      <c r="AA392" s="45"/>
      <c r="AB392" s="45"/>
      <c r="AC392" s="45"/>
    </row>
    <row r="393" spans="1:29" s="17" customFormat="1" x14ac:dyDescent="0.25">
      <c r="A393" s="16"/>
      <c r="B393" s="45"/>
      <c r="C393" s="16"/>
      <c r="D393" s="15"/>
      <c r="E393" s="15"/>
      <c r="F393" s="15"/>
      <c r="G393" s="15"/>
      <c r="H393" s="18"/>
      <c r="I393" s="15"/>
      <c r="J393" s="15"/>
      <c r="K393" s="19"/>
      <c r="L393" s="16"/>
      <c r="N393" s="45"/>
      <c r="O393" s="45"/>
      <c r="P393" s="45"/>
      <c r="Q393" s="45"/>
      <c r="R393" s="45"/>
      <c r="S393" s="45"/>
      <c r="T393" s="45"/>
      <c r="U393" s="45"/>
      <c r="V393" s="16"/>
      <c r="W393" s="16"/>
      <c r="X393" s="45"/>
      <c r="Y393" s="45"/>
      <c r="Z393" s="45"/>
      <c r="AA393" s="45"/>
      <c r="AB393" s="45"/>
      <c r="AC393" s="45"/>
    </row>
    <row r="394" spans="1:29" s="17" customFormat="1" x14ac:dyDescent="0.25">
      <c r="A394" s="16"/>
      <c r="B394" s="45"/>
      <c r="C394" s="16"/>
      <c r="D394" s="15"/>
      <c r="E394" s="15"/>
      <c r="F394" s="15"/>
      <c r="G394" s="15"/>
      <c r="H394" s="18"/>
      <c r="I394" s="15"/>
      <c r="J394" s="15"/>
      <c r="K394" s="19"/>
      <c r="L394" s="16"/>
      <c r="N394" s="45"/>
      <c r="O394" s="45"/>
      <c r="P394" s="45"/>
      <c r="Q394" s="45"/>
      <c r="R394" s="45"/>
      <c r="S394" s="45"/>
      <c r="T394" s="45"/>
      <c r="U394" s="45"/>
      <c r="V394" s="16"/>
      <c r="W394" s="16"/>
      <c r="X394" s="45"/>
      <c r="Y394" s="45"/>
      <c r="Z394" s="45"/>
      <c r="AA394" s="45"/>
      <c r="AB394" s="45"/>
      <c r="AC394" s="45"/>
    </row>
    <row r="395" spans="1:29" s="17" customFormat="1" x14ac:dyDescent="0.25">
      <c r="A395" s="16"/>
      <c r="B395" s="45"/>
      <c r="C395" s="16"/>
      <c r="D395" s="15"/>
      <c r="E395" s="15"/>
      <c r="F395" s="15"/>
      <c r="G395" s="15"/>
      <c r="H395" s="18"/>
      <c r="I395" s="15"/>
      <c r="J395" s="15"/>
      <c r="K395" s="19"/>
      <c r="L395" s="16"/>
      <c r="N395" s="45"/>
      <c r="O395" s="45"/>
      <c r="P395" s="45"/>
      <c r="Q395" s="45"/>
      <c r="R395" s="45"/>
      <c r="S395" s="45"/>
      <c r="T395" s="45"/>
      <c r="U395" s="45"/>
      <c r="V395" s="16"/>
      <c r="W395" s="16"/>
      <c r="X395" s="45"/>
      <c r="Y395" s="45"/>
      <c r="Z395" s="45"/>
      <c r="AA395" s="45"/>
      <c r="AB395" s="45"/>
      <c r="AC395" s="45"/>
    </row>
    <row r="396" spans="1:29" s="17" customFormat="1" x14ac:dyDescent="0.25">
      <c r="A396" s="16"/>
      <c r="B396" s="45"/>
      <c r="C396" s="16"/>
      <c r="D396" s="15"/>
      <c r="E396" s="15"/>
      <c r="F396" s="15"/>
      <c r="G396" s="15"/>
      <c r="H396" s="18"/>
      <c r="I396" s="15"/>
      <c r="J396" s="15"/>
      <c r="K396" s="19"/>
      <c r="L396" s="16"/>
      <c r="N396" s="45"/>
      <c r="O396" s="45"/>
      <c r="P396" s="45"/>
      <c r="Q396" s="45"/>
      <c r="R396" s="45"/>
      <c r="S396" s="45"/>
      <c r="T396" s="45"/>
      <c r="U396" s="45"/>
      <c r="V396" s="16"/>
      <c r="W396" s="16"/>
      <c r="X396" s="45"/>
      <c r="Y396" s="45"/>
      <c r="Z396" s="45"/>
      <c r="AA396" s="45"/>
      <c r="AB396" s="45"/>
      <c r="AC396" s="45"/>
    </row>
    <row r="397" spans="1:29" s="17" customFormat="1" x14ac:dyDescent="0.25">
      <c r="A397" s="16"/>
      <c r="B397" s="45"/>
      <c r="C397" s="16"/>
      <c r="D397" s="15"/>
      <c r="E397" s="15"/>
      <c r="F397" s="15"/>
      <c r="G397" s="15"/>
      <c r="H397" s="18"/>
      <c r="I397" s="15"/>
      <c r="J397" s="15"/>
      <c r="K397" s="19"/>
      <c r="L397" s="16"/>
      <c r="N397" s="45"/>
      <c r="O397" s="45"/>
      <c r="P397" s="45"/>
      <c r="Q397" s="45"/>
      <c r="R397" s="45"/>
      <c r="S397" s="45"/>
      <c r="T397" s="45"/>
      <c r="U397" s="45"/>
      <c r="V397" s="16"/>
      <c r="W397" s="16"/>
      <c r="X397" s="45"/>
      <c r="Y397" s="45"/>
      <c r="Z397" s="45"/>
      <c r="AA397" s="45"/>
      <c r="AB397" s="45"/>
      <c r="AC397" s="45"/>
    </row>
    <row r="398" spans="1:29" s="17" customFormat="1" x14ac:dyDescent="0.25">
      <c r="A398" s="16"/>
      <c r="B398" s="45"/>
      <c r="C398" s="16"/>
      <c r="D398" s="15"/>
      <c r="E398" s="15"/>
      <c r="F398" s="15"/>
      <c r="G398" s="15"/>
      <c r="H398" s="18"/>
      <c r="I398" s="15"/>
      <c r="J398" s="15"/>
      <c r="K398" s="19"/>
      <c r="L398" s="16"/>
      <c r="N398" s="45"/>
      <c r="O398" s="45"/>
      <c r="P398" s="45"/>
      <c r="Q398" s="45"/>
      <c r="R398" s="45"/>
      <c r="S398" s="45"/>
      <c r="T398" s="45"/>
      <c r="U398" s="45"/>
      <c r="V398" s="16"/>
      <c r="W398" s="16"/>
      <c r="X398" s="45"/>
      <c r="Y398" s="45"/>
      <c r="Z398" s="45"/>
      <c r="AA398" s="45"/>
      <c r="AB398" s="45"/>
      <c r="AC398" s="45"/>
    </row>
    <row r="399" spans="1:29" s="17" customFormat="1" x14ac:dyDescent="0.25">
      <c r="A399" s="16"/>
      <c r="B399" s="45"/>
      <c r="C399" s="16"/>
      <c r="D399" s="15"/>
      <c r="E399" s="15"/>
      <c r="F399" s="15"/>
      <c r="G399" s="15"/>
      <c r="H399" s="18"/>
      <c r="I399" s="15"/>
      <c r="J399" s="15"/>
      <c r="K399" s="19"/>
      <c r="L399" s="16"/>
      <c r="N399" s="45"/>
      <c r="O399" s="45"/>
      <c r="P399" s="45"/>
      <c r="Q399" s="45"/>
      <c r="R399" s="45"/>
      <c r="S399" s="45"/>
      <c r="T399" s="45"/>
      <c r="U399" s="45"/>
      <c r="V399" s="16"/>
      <c r="W399" s="16"/>
      <c r="X399" s="45"/>
      <c r="Y399" s="45"/>
      <c r="Z399" s="45"/>
      <c r="AA399" s="45"/>
      <c r="AB399" s="45"/>
      <c r="AC399" s="45"/>
    </row>
    <row r="400" spans="1:29" s="17" customFormat="1" x14ac:dyDescent="0.25">
      <c r="A400" s="16"/>
      <c r="B400" s="45"/>
      <c r="C400" s="16"/>
      <c r="D400" s="15"/>
      <c r="E400" s="15"/>
      <c r="F400" s="15"/>
      <c r="G400" s="15"/>
      <c r="H400" s="18"/>
      <c r="I400" s="15"/>
      <c r="J400" s="15"/>
      <c r="K400" s="19"/>
      <c r="L400" s="16"/>
      <c r="N400" s="45"/>
      <c r="O400" s="45"/>
      <c r="P400" s="45"/>
      <c r="Q400" s="45"/>
      <c r="R400" s="45"/>
      <c r="S400" s="45"/>
      <c r="T400" s="45"/>
      <c r="U400" s="45"/>
      <c r="V400" s="16"/>
      <c r="W400" s="16"/>
      <c r="X400" s="45"/>
      <c r="Y400" s="45"/>
      <c r="Z400" s="45"/>
      <c r="AA400" s="45"/>
      <c r="AB400" s="45"/>
      <c r="AC400" s="45"/>
    </row>
    <row r="401" spans="1:29" s="17" customFormat="1" x14ac:dyDescent="0.25">
      <c r="A401" s="16"/>
      <c r="B401" s="45"/>
      <c r="C401" s="16"/>
      <c r="D401" s="15"/>
      <c r="E401" s="15"/>
      <c r="F401" s="15"/>
      <c r="G401" s="15"/>
      <c r="H401" s="18"/>
      <c r="I401" s="15"/>
      <c r="J401" s="15"/>
      <c r="K401" s="19"/>
      <c r="L401" s="16"/>
      <c r="N401" s="45"/>
      <c r="O401" s="45"/>
      <c r="P401" s="45"/>
      <c r="Q401" s="45"/>
      <c r="R401" s="45"/>
      <c r="S401" s="45"/>
      <c r="T401" s="45"/>
      <c r="U401" s="45"/>
      <c r="V401" s="16"/>
      <c r="W401" s="16"/>
      <c r="X401" s="45"/>
      <c r="Y401" s="45"/>
      <c r="Z401" s="45"/>
      <c r="AA401" s="45"/>
      <c r="AB401" s="45"/>
      <c r="AC401" s="45"/>
    </row>
    <row r="402" spans="1:29" s="17" customFormat="1" x14ac:dyDescent="0.25">
      <c r="A402" s="16"/>
      <c r="B402" s="45"/>
      <c r="C402" s="16"/>
      <c r="D402" s="15"/>
      <c r="E402" s="15"/>
      <c r="F402" s="15"/>
      <c r="G402" s="15"/>
      <c r="H402" s="18"/>
      <c r="I402" s="15"/>
      <c r="J402" s="15"/>
      <c r="K402" s="19"/>
      <c r="L402" s="16"/>
      <c r="N402" s="45"/>
      <c r="O402" s="45"/>
      <c r="P402" s="45"/>
      <c r="Q402" s="45"/>
      <c r="R402" s="45"/>
      <c r="S402" s="45"/>
      <c r="T402" s="45"/>
      <c r="U402" s="45"/>
      <c r="V402" s="16"/>
      <c r="W402" s="16"/>
      <c r="X402" s="45"/>
      <c r="Y402" s="45"/>
      <c r="Z402" s="45"/>
      <c r="AA402" s="45"/>
      <c r="AB402" s="45"/>
      <c r="AC402" s="45"/>
    </row>
    <row r="403" spans="1:29" s="17" customFormat="1" x14ac:dyDescent="0.25">
      <c r="A403" s="16"/>
      <c r="B403" s="45"/>
      <c r="C403" s="16"/>
      <c r="D403" s="15"/>
      <c r="E403" s="15"/>
      <c r="F403" s="15"/>
      <c r="G403" s="15"/>
      <c r="H403" s="18"/>
      <c r="I403" s="15"/>
      <c r="J403" s="15"/>
      <c r="K403" s="19"/>
      <c r="L403" s="16"/>
      <c r="N403" s="45"/>
      <c r="O403" s="45"/>
      <c r="P403" s="45"/>
      <c r="Q403" s="45"/>
      <c r="R403" s="45"/>
      <c r="S403" s="45"/>
      <c r="T403" s="45"/>
      <c r="U403" s="45"/>
      <c r="V403" s="16"/>
      <c r="W403" s="16"/>
      <c r="X403" s="45"/>
      <c r="Y403" s="45"/>
      <c r="Z403" s="45"/>
      <c r="AA403" s="45"/>
      <c r="AB403" s="45"/>
      <c r="AC403" s="45"/>
    </row>
    <row r="404" spans="1:29" s="17" customFormat="1" x14ac:dyDescent="0.25">
      <c r="A404" s="16"/>
      <c r="B404" s="45"/>
      <c r="C404" s="16"/>
      <c r="D404" s="15"/>
      <c r="E404" s="15"/>
      <c r="F404" s="15"/>
      <c r="G404" s="15"/>
      <c r="H404" s="18"/>
      <c r="I404" s="15"/>
      <c r="J404" s="15"/>
      <c r="K404" s="19"/>
      <c r="L404" s="16"/>
      <c r="N404" s="45"/>
      <c r="O404" s="45"/>
      <c r="P404" s="45"/>
      <c r="Q404" s="45"/>
      <c r="R404" s="45"/>
      <c r="S404" s="45"/>
      <c r="T404" s="45"/>
      <c r="U404" s="45"/>
      <c r="V404" s="16"/>
      <c r="W404" s="16"/>
      <c r="X404" s="45"/>
      <c r="Y404" s="45"/>
      <c r="Z404" s="45"/>
      <c r="AA404" s="45"/>
      <c r="AB404" s="45"/>
      <c r="AC404" s="45"/>
    </row>
    <row r="405" spans="1:29" s="17" customFormat="1" x14ac:dyDescent="0.25">
      <c r="A405" s="16"/>
      <c r="B405" s="45"/>
      <c r="C405" s="16"/>
      <c r="D405" s="15"/>
      <c r="E405" s="15"/>
      <c r="F405" s="15"/>
      <c r="G405" s="15"/>
      <c r="H405" s="18"/>
      <c r="I405" s="15"/>
      <c r="J405" s="15"/>
      <c r="K405" s="19"/>
      <c r="L405" s="16"/>
      <c r="N405" s="45"/>
      <c r="O405" s="45"/>
      <c r="P405" s="45"/>
      <c r="Q405" s="45"/>
      <c r="R405" s="45"/>
      <c r="S405" s="45"/>
      <c r="T405" s="45"/>
      <c r="U405" s="45"/>
      <c r="V405" s="16"/>
      <c r="W405" s="16"/>
      <c r="X405" s="45"/>
      <c r="Y405" s="45"/>
      <c r="Z405" s="45"/>
      <c r="AA405" s="45"/>
      <c r="AB405" s="45"/>
      <c r="AC405" s="45"/>
    </row>
    <row r="406" spans="1:29" s="17" customFormat="1" x14ac:dyDescent="0.25">
      <c r="A406" s="16"/>
      <c r="B406" s="45"/>
      <c r="C406" s="16"/>
      <c r="D406" s="15"/>
      <c r="E406" s="15"/>
      <c r="F406" s="15"/>
      <c r="G406" s="15"/>
      <c r="H406" s="18"/>
      <c r="I406" s="15"/>
      <c r="J406" s="15"/>
      <c r="K406" s="19"/>
      <c r="L406" s="16"/>
      <c r="N406" s="45"/>
      <c r="O406" s="45"/>
      <c r="P406" s="45"/>
      <c r="Q406" s="45"/>
      <c r="R406" s="45"/>
      <c r="S406" s="45"/>
      <c r="T406" s="45"/>
      <c r="U406" s="45"/>
      <c r="V406" s="16"/>
      <c r="W406" s="16"/>
      <c r="X406" s="45"/>
      <c r="Y406" s="45"/>
      <c r="Z406" s="45"/>
      <c r="AA406" s="45"/>
      <c r="AB406" s="45"/>
      <c r="AC406" s="45"/>
    </row>
    <row r="407" spans="1:29" s="17" customFormat="1" x14ac:dyDescent="0.25">
      <c r="A407" s="16"/>
      <c r="B407" s="45"/>
      <c r="C407" s="16"/>
      <c r="D407" s="15"/>
      <c r="E407" s="15"/>
      <c r="F407" s="15"/>
      <c r="G407" s="15"/>
      <c r="H407" s="18"/>
      <c r="I407" s="15"/>
      <c r="J407" s="15"/>
      <c r="K407" s="19"/>
      <c r="L407" s="16"/>
      <c r="N407" s="45"/>
      <c r="O407" s="45"/>
      <c r="P407" s="45"/>
      <c r="Q407" s="45"/>
      <c r="R407" s="45"/>
      <c r="S407" s="45"/>
      <c r="T407" s="45"/>
      <c r="U407" s="45"/>
      <c r="V407" s="16"/>
      <c r="W407" s="16"/>
      <c r="X407" s="45"/>
      <c r="Y407" s="45"/>
      <c r="Z407" s="45"/>
      <c r="AA407" s="45"/>
      <c r="AB407" s="45"/>
      <c r="AC407" s="45"/>
    </row>
    <row r="408" spans="1:29" s="17" customFormat="1" x14ac:dyDescent="0.25">
      <c r="A408" s="16"/>
      <c r="B408" s="45"/>
      <c r="C408" s="16"/>
      <c r="D408" s="15"/>
      <c r="E408" s="15"/>
      <c r="F408" s="15"/>
      <c r="G408" s="15"/>
      <c r="H408" s="18"/>
      <c r="I408" s="15"/>
      <c r="J408" s="15"/>
      <c r="K408" s="19"/>
      <c r="L408" s="16"/>
      <c r="N408" s="45"/>
      <c r="O408" s="45"/>
      <c r="P408" s="45"/>
      <c r="Q408" s="45"/>
      <c r="R408" s="45"/>
      <c r="S408" s="45"/>
      <c r="T408" s="45"/>
      <c r="U408" s="45"/>
      <c r="V408" s="16"/>
      <c r="W408" s="16"/>
      <c r="X408" s="45"/>
      <c r="Y408" s="45"/>
      <c r="Z408" s="45"/>
      <c r="AA408" s="45"/>
      <c r="AB408" s="45"/>
      <c r="AC408" s="45"/>
    </row>
    <row r="409" spans="1:29" s="17" customFormat="1" x14ac:dyDescent="0.25">
      <c r="A409" s="16"/>
      <c r="B409" s="45"/>
      <c r="C409" s="16"/>
      <c r="D409" s="15"/>
      <c r="E409" s="15"/>
      <c r="F409" s="15"/>
      <c r="G409" s="15"/>
      <c r="H409" s="18"/>
      <c r="I409" s="15"/>
      <c r="J409" s="15"/>
      <c r="K409" s="19"/>
      <c r="L409" s="16"/>
      <c r="N409" s="45"/>
      <c r="O409" s="45"/>
      <c r="P409" s="45"/>
      <c r="Q409" s="45"/>
      <c r="R409" s="45"/>
      <c r="S409" s="45"/>
      <c r="T409" s="45"/>
      <c r="U409" s="45"/>
      <c r="V409" s="16"/>
      <c r="W409" s="16"/>
      <c r="X409" s="45"/>
      <c r="Y409" s="45"/>
      <c r="Z409" s="45"/>
      <c r="AA409" s="45"/>
      <c r="AB409" s="45"/>
      <c r="AC409" s="45"/>
    </row>
    <row r="410" spans="1:29" s="17" customFormat="1" x14ac:dyDescent="0.25">
      <c r="A410" s="16"/>
      <c r="B410" s="45"/>
      <c r="C410" s="16"/>
      <c r="D410" s="15"/>
      <c r="E410" s="15"/>
      <c r="F410" s="15"/>
      <c r="G410" s="15"/>
      <c r="H410" s="18"/>
      <c r="I410" s="15"/>
      <c r="J410" s="15"/>
      <c r="K410" s="19"/>
      <c r="L410" s="16"/>
      <c r="N410" s="45"/>
      <c r="O410" s="45"/>
      <c r="P410" s="45"/>
      <c r="Q410" s="45"/>
      <c r="R410" s="45"/>
      <c r="S410" s="45"/>
      <c r="T410" s="45"/>
      <c r="U410" s="45"/>
      <c r="V410" s="16"/>
      <c r="W410" s="16"/>
      <c r="X410" s="45"/>
      <c r="Y410" s="45"/>
      <c r="Z410" s="45"/>
      <c r="AA410" s="45"/>
      <c r="AB410" s="45"/>
      <c r="AC410" s="45"/>
    </row>
    <row r="411" spans="1:29" s="17" customFormat="1" x14ac:dyDescent="0.25">
      <c r="A411" s="16"/>
      <c r="B411" s="45"/>
      <c r="C411" s="16"/>
      <c r="D411" s="15"/>
      <c r="E411" s="15"/>
      <c r="F411" s="15"/>
      <c r="G411" s="15"/>
      <c r="H411" s="18"/>
      <c r="I411" s="15"/>
      <c r="J411" s="15"/>
      <c r="K411" s="19"/>
      <c r="L411" s="16"/>
      <c r="N411" s="45"/>
      <c r="O411" s="45"/>
      <c r="P411" s="45"/>
      <c r="Q411" s="45"/>
      <c r="R411" s="45"/>
      <c r="S411" s="45"/>
      <c r="T411" s="45"/>
      <c r="U411" s="45"/>
      <c r="V411" s="16"/>
      <c r="W411" s="16"/>
      <c r="X411" s="45"/>
      <c r="Y411" s="45"/>
      <c r="Z411" s="45"/>
      <c r="AA411" s="45"/>
      <c r="AB411" s="45"/>
      <c r="AC411" s="45"/>
    </row>
    <row r="412" spans="1:29" s="17" customFormat="1" x14ac:dyDescent="0.25">
      <c r="A412" s="16"/>
      <c r="B412" s="45"/>
      <c r="C412" s="16"/>
      <c r="D412" s="15"/>
      <c r="E412" s="15"/>
      <c r="F412" s="15"/>
      <c r="G412" s="15"/>
      <c r="H412" s="18"/>
      <c r="I412" s="15"/>
      <c r="J412" s="15"/>
      <c r="K412" s="19"/>
      <c r="L412" s="16"/>
      <c r="N412" s="45"/>
      <c r="O412" s="45"/>
      <c r="P412" s="45"/>
      <c r="Q412" s="45"/>
      <c r="R412" s="45"/>
      <c r="S412" s="45"/>
      <c r="T412" s="45"/>
      <c r="U412" s="45"/>
      <c r="V412" s="16"/>
      <c r="W412" s="16"/>
      <c r="X412" s="45"/>
      <c r="Y412" s="45"/>
      <c r="Z412" s="45"/>
      <c r="AA412" s="45"/>
      <c r="AB412" s="45"/>
      <c r="AC412" s="45"/>
    </row>
    <row r="413" spans="1:29" s="17" customFormat="1" x14ac:dyDescent="0.25">
      <c r="A413" s="16"/>
      <c r="B413" s="45"/>
      <c r="C413" s="16"/>
      <c r="D413" s="15"/>
      <c r="E413" s="15"/>
      <c r="F413" s="15"/>
      <c r="G413" s="15"/>
      <c r="H413" s="18"/>
      <c r="I413" s="15"/>
      <c r="J413" s="15"/>
      <c r="K413" s="19"/>
      <c r="L413" s="16"/>
      <c r="N413" s="45"/>
      <c r="O413" s="45"/>
      <c r="P413" s="45"/>
      <c r="Q413" s="45"/>
      <c r="R413" s="45"/>
      <c r="S413" s="45"/>
      <c r="T413" s="45"/>
      <c r="U413" s="45"/>
      <c r="V413" s="16"/>
      <c r="W413" s="16"/>
      <c r="X413" s="45"/>
      <c r="Y413" s="45"/>
      <c r="Z413" s="45"/>
      <c r="AA413" s="45"/>
      <c r="AB413" s="45"/>
      <c r="AC413" s="45"/>
    </row>
    <row r="414" spans="1:29" s="17" customFormat="1" x14ac:dyDescent="0.25">
      <c r="A414" s="16"/>
      <c r="B414" s="45"/>
      <c r="C414" s="16"/>
      <c r="D414" s="15"/>
      <c r="E414" s="15"/>
      <c r="F414" s="15"/>
      <c r="G414" s="15"/>
      <c r="H414" s="18"/>
      <c r="I414" s="15"/>
      <c r="J414" s="15"/>
      <c r="K414" s="19"/>
      <c r="L414" s="16"/>
      <c r="N414" s="45"/>
      <c r="O414" s="45"/>
      <c r="P414" s="45"/>
      <c r="Q414" s="45"/>
      <c r="R414" s="45"/>
      <c r="S414" s="45"/>
      <c r="T414" s="45"/>
      <c r="U414" s="45"/>
      <c r="V414" s="16"/>
      <c r="W414" s="16"/>
      <c r="X414" s="45"/>
      <c r="Y414" s="45"/>
      <c r="Z414" s="45"/>
      <c r="AA414" s="45"/>
      <c r="AB414" s="45"/>
      <c r="AC414" s="45"/>
    </row>
    <row r="415" spans="1:29" s="17" customFormat="1" x14ac:dyDescent="0.25">
      <c r="A415" s="16"/>
      <c r="B415" s="45"/>
      <c r="C415" s="16"/>
      <c r="D415" s="15"/>
      <c r="E415" s="15"/>
      <c r="F415" s="15"/>
      <c r="G415" s="15"/>
      <c r="H415" s="18"/>
      <c r="I415" s="15"/>
      <c r="J415" s="15"/>
      <c r="K415" s="19"/>
      <c r="L415" s="16"/>
      <c r="N415" s="45"/>
      <c r="O415" s="45"/>
      <c r="P415" s="45"/>
      <c r="Q415" s="45"/>
      <c r="R415" s="45"/>
      <c r="S415" s="45"/>
      <c r="T415" s="45"/>
      <c r="U415" s="45"/>
      <c r="V415" s="16"/>
      <c r="W415" s="16"/>
      <c r="X415" s="45"/>
      <c r="Y415" s="45"/>
      <c r="Z415" s="45"/>
      <c r="AA415" s="45"/>
      <c r="AB415" s="45"/>
      <c r="AC415" s="45"/>
    </row>
    <row r="416" spans="1:29" s="17" customFormat="1" x14ac:dyDescent="0.25">
      <c r="A416" s="16"/>
      <c r="B416" s="45"/>
      <c r="C416" s="16"/>
      <c r="D416" s="15"/>
      <c r="E416" s="15"/>
      <c r="F416" s="15"/>
      <c r="G416" s="15"/>
      <c r="H416" s="18"/>
      <c r="I416" s="15"/>
      <c r="J416" s="15"/>
      <c r="K416" s="19"/>
      <c r="L416" s="16"/>
      <c r="N416" s="45"/>
      <c r="O416" s="45"/>
      <c r="P416" s="45"/>
      <c r="Q416" s="45"/>
      <c r="R416" s="45"/>
      <c r="S416" s="45"/>
      <c r="T416" s="45"/>
      <c r="U416" s="45"/>
      <c r="V416" s="16"/>
      <c r="W416" s="16"/>
      <c r="X416" s="45"/>
      <c r="Y416" s="45"/>
      <c r="Z416" s="45"/>
      <c r="AA416" s="45"/>
      <c r="AB416" s="45"/>
      <c r="AC416" s="45"/>
    </row>
    <row r="417" spans="1:29" s="17" customFormat="1" x14ac:dyDescent="0.25">
      <c r="A417" s="16"/>
      <c r="B417" s="45"/>
      <c r="C417" s="16"/>
      <c r="D417" s="15"/>
      <c r="E417" s="15"/>
      <c r="F417" s="15"/>
      <c r="G417" s="15"/>
      <c r="H417" s="18"/>
      <c r="I417" s="15"/>
      <c r="J417" s="15"/>
      <c r="K417" s="19"/>
      <c r="L417" s="16"/>
      <c r="N417" s="45"/>
      <c r="O417" s="45"/>
      <c r="P417" s="45"/>
      <c r="Q417" s="45"/>
      <c r="R417" s="45"/>
      <c r="S417" s="45"/>
      <c r="T417" s="45"/>
      <c r="U417" s="45"/>
      <c r="V417" s="16"/>
      <c r="W417" s="16"/>
      <c r="X417" s="45"/>
      <c r="Y417" s="45"/>
      <c r="Z417" s="45"/>
      <c r="AA417" s="45"/>
      <c r="AB417" s="45"/>
      <c r="AC417" s="45"/>
    </row>
    <row r="418" spans="1:29" s="17" customFormat="1" x14ac:dyDescent="0.25">
      <c r="A418" s="16"/>
      <c r="B418" s="45"/>
      <c r="C418" s="16"/>
      <c r="D418" s="15"/>
      <c r="E418" s="15"/>
      <c r="F418" s="15"/>
      <c r="G418" s="15"/>
      <c r="H418" s="18"/>
      <c r="I418" s="15"/>
      <c r="J418" s="15"/>
      <c r="K418" s="19"/>
      <c r="L418" s="16"/>
      <c r="N418" s="45"/>
      <c r="O418" s="45"/>
      <c r="P418" s="45"/>
      <c r="Q418" s="45"/>
      <c r="R418" s="45"/>
      <c r="S418" s="45"/>
      <c r="T418" s="45"/>
      <c r="U418" s="45"/>
      <c r="V418" s="16"/>
      <c r="W418" s="16"/>
      <c r="X418" s="45"/>
      <c r="Y418" s="45"/>
      <c r="Z418" s="45"/>
      <c r="AA418" s="45"/>
      <c r="AB418" s="45"/>
      <c r="AC418" s="45"/>
    </row>
    <row r="419" spans="1:29" s="17" customFormat="1" x14ac:dyDescent="0.25">
      <c r="A419" s="16"/>
      <c r="B419" s="45"/>
      <c r="C419" s="16"/>
      <c r="D419" s="15"/>
      <c r="E419" s="15"/>
      <c r="F419" s="15"/>
      <c r="G419" s="15"/>
      <c r="H419" s="18"/>
      <c r="I419" s="15"/>
      <c r="J419" s="15"/>
      <c r="K419" s="19"/>
      <c r="L419" s="16"/>
      <c r="N419" s="45"/>
      <c r="O419" s="45"/>
      <c r="P419" s="45"/>
      <c r="Q419" s="45"/>
      <c r="R419" s="45"/>
      <c r="S419" s="45"/>
      <c r="T419" s="45"/>
      <c r="U419" s="45"/>
      <c r="V419" s="16"/>
      <c r="W419" s="16"/>
      <c r="X419" s="45"/>
      <c r="Y419" s="45"/>
      <c r="Z419" s="45"/>
      <c r="AA419" s="45"/>
      <c r="AB419" s="45"/>
      <c r="AC419" s="45"/>
    </row>
    <row r="420" spans="1:29" s="17" customFormat="1" x14ac:dyDescent="0.25">
      <c r="A420" s="16"/>
      <c r="B420" s="45"/>
      <c r="C420" s="16"/>
      <c r="D420" s="15"/>
      <c r="E420" s="15"/>
      <c r="F420" s="15"/>
      <c r="G420" s="15"/>
      <c r="H420" s="18"/>
      <c r="I420" s="15"/>
      <c r="J420" s="15"/>
      <c r="K420" s="19"/>
      <c r="L420" s="16"/>
      <c r="N420" s="45"/>
      <c r="O420" s="45"/>
      <c r="P420" s="45"/>
      <c r="Q420" s="45"/>
      <c r="R420" s="45"/>
      <c r="S420" s="45"/>
      <c r="T420" s="45"/>
      <c r="U420" s="45"/>
      <c r="V420" s="16"/>
      <c r="W420" s="16"/>
      <c r="X420" s="45"/>
      <c r="Y420" s="45"/>
      <c r="Z420" s="45"/>
      <c r="AA420" s="45"/>
      <c r="AB420" s="45"/>
      <c r="AC420" s="45"/>
    </row>
    <row r="421" spans="1:29" s="17" customFormat="1" x14ac:dyDescent="0.25">
      <c r="A421" s="16"/>
      <c r="B421" s="45"/>
      <c r="C421" s="16"/>
      <c r="D421" s="15"/>
      <c r="E421" s="15"/>
      <c r="F421" s="15"/>
      <c r="G421" s="15"/>
      <c r="H421" s="18"/>
      <c r="I421" s="15"/>
      <c r="J421" s="15"/>
      <c r="K421" s="19"/>
      <c r="L421" s="16"/>
      <c r="N421" s="45"/>
      <c r="O421" s="45"/>
      <c r="P421" s="45"/>
      <c r="Q421" s="45"/>
      <c r="R421" s="45"/>
      <c r="S421" s="45"/>
      <c r="T421" s="45"/>
      <c r="U421" s="45"/>
      <c r="V421" s="16"/>
      <c r="W421" s="16"/>
      <c r="X421" s="45"/>
      <c r="Y421" s="45"/>
      <c r="Z421" s="45"/>
      <c r="AA421" s="45"/>
      <c r="AB421" s="45"/>
      <c r="AC421" s="45"/>
    </row>
    <row r="422" spans="1:29" s="17" customFormat="1" x14ac:dyDescent="0.25">
      <c r="A422" s="16"/>
      <c r="B422" s="45"/>
      <c r="C422" s="16"/>
      <c r="D422" s="15"/>
      <c r="E422" s="15"/>
      <c r="F422" s="15"/>
      <c r="G422" s="15"/>
      <c r="H422" s="18"/>
      <c r="I422" s="15"/>
      <c r="J422" s="15"/>
      <c r="K422" s="19"/>
      <c r="L422" s="16"/>
      <c r="N422" s="45"/>
      <c r="O422" s="45"/>
      <c r="P422" s="45"/>
      <c r="Q422" s="45"/>
      <c r="R422" s="45"/>
      <c r="S422" s="45"/>
      <c r="T422" s="45"/>
      <c r="U422" s="45"/>
      <c r="V422" s="16"/>
      <c r="W422" s="16"/>
      <c r="X422" s="45"/>
      <c r="Y422" s="45"/>
      <c r="Z422" s="45"/>
      <c r="AA422" s="45"/>
      <c r="AB422" s="45"/>
      <c r="AC422" s="45"/>
    </row>
    <row r="423" spans="1:29" s="17" customFormat="1" x14ac:dyDescent="0.25">
      <c r="A423" s="16"/>
      <c r="B423" s="45"/>
      <c r="C423" s="16"/>
      <c r="D423" s="15"/>
      <c r="E423" s="15"/>
      <c r="F423" s="15"/>
      <c r="G423" s="15"/>
      <c r="H423" s="18"/>
      <c r="I423" s="15"/>
      <c r="J423" s="15"/>
      <c r="K423" s="19"/>
      <c r="L423" s="16"/>
      <c r="N423" s="45"/>
      <c r="O423" s="45"/>
      <c r="P423" s="45"/>
      <c r="Q423" s="45"/>
      <c r="R423" s="45"/>
      <c r="S423" s="45"/>
      <c r="T423" s="45"/>
      <c r="U423" s="45"/>
      <c r="V423" s="16"/>
      <c r="W423" s="16"/>
      <c r="X423" s="45"/>
      <c r="Y423" s="45"/>
      <c r="Z423" s="45"/>
      <c r="AA423" s="45"/>
      <c r="AB423" s="45"/>
      <c r="AC423" s="45"/>
    </row>
    <row r="424" spans="1:29" s="17" customFormat="1" x14ac:dyDescent="0.25">
      <c r="A424" s="16"/>
      <c r="B424" s="45"/>
      <c r="C424" s="16"/>
      <c r="D424" s="15"/>
      <c r="E424" s="15"/>
      <c r="F424" s="15"/>
      <c r="G424" s="15"/>
      <c r="H424" s="18"/>
      <c r="I424" s="15"/>
      <c r="J424" s="15"/>
      <c r="K424" s="19"/>
      <c r="L424" s="16"/>
      <c r="N424" s="45"/>
      <c r="O424" s="45"/>
      <c r="P424" s="45"/>
      <c r="Q424" s="45"/>
      <c r="R424" s="45"/>
      <c r="S424" s="45"/>
      <c r="T424" s="45"/>
      <c r="U424" s="45"/>
      <c r="V424" s="16"/>
      <c r="W424" s="16"/>
      <c r="X424" s="45"/>
      <c r="Y424" s="45"/>
      <c r="Z424" s="45"/>
      <c r="AA424" s="45"/>
      <c r="AB424" s="45"/>
      <c r="AC424" s="45"/>
    </row>
    <row r="425" spans="1:29" s="17" customFormat="1" x14ac:dyDescent="0.25">
      <c r="A425" s="16"/>
      <c r="B425" s="45"/>
      <c r="C425" s="16"/>
      <c r="D425" s="15"/>
      <c r="E425" s="15"/>
      <c r="F425" s="15"/>
      <c r="G425" s="15"/>
      <c r="H425" s="18"/>
      <c r="I425" s="15"/>
      <c r="J425" s="15"/>
      <c r="K425" s="19"/>
      <c r="L425" s="16"/>
      <c r="N425" s="45"/>
      <c r="O425" s="45"/>
      <c r="P425" s="45"/>
      <c r="Q425" s="45"/>
      <c r="R425" s="45"/>
      <c r="S425" s="45"/>
      <c r="T425" s="45"/>
      <c r="U425" s="45"/>
      <c r="V425" s="16"/>
      <c r="W425" s="16"/>
      <c r="X425" s="45"/>
      <c r="Y425" s="45"/>
      <c r="Z425" s="45"/>
      <c r="AA425" s="45"/>
      <c r="AB425" s="45"/>
      <c r="AC425" s="45"/>
    </row>
    <row r="426" spans="1:29" s="17" customFormat="1" x14ac:dyDescent="0.25">
      <c r="A426" s="16"/>
      <c r="B426" s="45"/>
      <c r="C426" s="16"/>
      <c r="D426" s="15"/>
      <c r="E426" s="15"/>
      <c r="F426" s="15"/>
      <c r="G426" s="15"/>
      <c r="H426" s="18"/>
      <c r="I426" s="15"/>
      <c r="J426" s="15"/>
      <c r="K426" s="19"/>
      <c r="L426" s="16"/>
      <c r="N426" s="45"/>
      <c r="O426" s="45"/>
      <c r="P426" s="45"/>
      <c r="Q426" s="45"/>
      <c r="R426" s="45"/>
      <c r="S426" s="45"/>
      <c r="T426" s="45"/>
      <c r="U426" s="45"/>
      <c r="V426" s="16"/>
      <c r="W426" s="16"/>
      <c r="X426" s="45"/>
      <c r="Y426" s="45"/>
      <c r="Z426" s="45"/>
      <c r="AA426" s="45"/>
      <c r="AB426" s="45"/>
      <c r="AC426" s="45"/>
    </row>
    <row r="427" spans="1:29" s="17" customFormat="1" x14ac:dyDescent="0.25">
      <c r="A427" s="16"/>
      <c r="B427" s="45"/>
      <c r="C427" s="16"/>
      <c r="D427" s="15"/>
      <c r="E427" s="15"/>
      <c r="F427" s="15"/>
      <c r="G427" s="15"/>
      <c r="H427" s="18"/>
      <c r="I427" s="15"/>
      <c r="J427" s="15"/>
      <c r="K427" s="19"/>
      <c r="L427" s="16"/>
      <c r="N427" s="45"/>
      <c r="O427" s="45"/>
      <c r="P427" s="45"/>
      <c r="Q427" s="45"/>
      <c r="R427" s="45"/>
      <c r="S427" s="45"/>
      <c r="T427" s="45"/>
      <c r="U427" s="45"/>
      <c r="V427" s="16"/>
      <c r="W427" s="16"/>
      <c r="X427" s="45"/>
      <c r="Y427" s="45"/>
      <c r="Z427" s="45"/>
      <c r="AA427" s="45"/>
      <c r="AB427" s="45"/>
      <c r="AC427" s="45"/>
    </row>
    <row r="428" spans="1:29" s="17" customFormat="1" x14ac:dyDescent="0.25">
      <c r="A428" s="16"/>
      <c r="B428" s="45"/>
      <c r="C428" s="16"/>
      <c r="D428" s="15"/>
      <c r="E428" s="15"/>
      <c r="F428" s="15"/>
      <c r="G428" s="15"/>
      <c r="H428" s="18"/>
      <c r="I428" s="15"/>
      <c r="J428" s="15"/>
      <c r="K428" s="19"/>
      <c r="L428" s="16"/>
      <c r="N428" s="45"/>
      <c r="O428" s="45"/>
      <c r="P428" s="45"/>
      <c r="Q428" s="45"/>
      <c r="R428" s="45"/>
      <c r="S428" s="45"/>
      <c r="T428" s="45"/>
      <c r="U428" s="45"/>
      <c r="V428" s="16"/>
      <c r="W428" s="16"/>
      <c r="X428" s="45"/>
      <c r="Y428" s="45"/>
      <c r="Z428" s="45"/>
      <c r="AA428" s="45"/>
      <c r="AB428" s="45"/>
      <c r="AC428" s="45"/>
    </row>
    <row r="429" spans="1:29" s="17" customFormat="1" x14ac:dyDescent="0.25">
      <c r="A429" s="16"/>
      <c r="B429" s="45"/>
      <c r="C429" s="16"/>
      <c r="D429" s="15"/>
      <c r="E429" s="15"/>
      <c r="F429" s="15"/>
      <c r="G429" s="15"/>
      <c r="H429" s="18"/>
      <c r="I429" s="15"/>
      <c r="J429" s="15"/>
      <c r="K429" s="19"/>
      <c r="L429" s="16"/>
      <c r="N429" s="45"/>
      <c r="O429" s="45"/>
      <c r="P429" s="45"/>
      <c r="Q429" s="45"/>
      <c r="R429" s="45"/>
      <c r="S429" s="45"/>
      <c r="T429" s="45"/>
      <c r="U429" s="45"/>
      <c r="V429" s="16"/>
      <c r="W429" s="16"/>
      <c r="X429" s="45"/>
      <c r="Y429" s="45"/>
      <c r="Z429" s="45"/>
      <c r="AA429" s="45"/>
      <c r="AB429" s="45"/>
      <c r="AC429" s="45"/>
    </row>
    <row r="430" spans="1:29" s="17" customFormat="1" x14ac:dyDescent="0.25">
      <c r="A430" s="16"/>
      <c r="B430" s="45"/>
      <c r="C430" s="16"/>
      <c r="D430" s="15"/>
      <c r="E430" s="15"/>
      <c r="F430" s="15"/>
      <c r="G430" s="15"/>
      <c r="H430" s="18"/>
      <c r="I430" s="15"/>
      <c r="J430" s="15"/>
      <c r="K430" s="19"/>
      <c r="L430" s="16"/>
      <c r="N430" s="45"/>
      <c r="O430" s="45"/>
      <c r="P430" s="45"/>
      <c r="Q430" s="45"/>
      <c r="R430" s="45"/>
      <c r="S430" s="45"/>
      <c r="T430" s="45"/>
      <c r="U430" s="45"/>
      <c r="V430" s="16"/>
      <c r="W430" s="16"/>
      <c r="X430" s="45"/>
      <c r="Y430" s="45"/>
      <c r="Z430" s="45"/>
      <c r="AA430" s="45"/>
      <c r="AB430" s="45"/>
      <c r="AC430" s="45"/>
    </row>
    <row r="431" spans="1:29" s="17" customFormat="1" x14ac:dyDescent="0.25">
      <c r="A431" s="16"/>
      <c r="B431" s="45"/>
      <c r="C431" s="16"/>
      <c r="D431" s="15"/>
      <c r="E431" s="15"/>
      <c r="F431" s="15"/>
      <c r="G431" s="15"/>
      <c r="H431" s="18"/>
      <c r="I431" s="15"/>
      <c r="J431" s="15"/>
      <c r="K431" s="19"/>
      <c r="L431" s="16"/>
      <c r="N431" s="45"/>
      <c r="O431" s="45"/>
      <c r="P431" s="45"/>
      <c r="Q431" s="45"/>
      <c r="R431" s="45"/>
      <c r="S431" s="45"/>
      <c r="T431" s="45"/>
      <c r="U431" s="45"/>
      <c r="V431" s="16"/>
      <c r="W431" s="16"/>
      <c r="X431" s="45"/>
      <c r="Y431" s="45"/>
      <c r="Z431" s="45"/>
      <c r="AA431" s="45"/>
      <c r="AB431" s="45"/>
      <c r="AC431" s="45"/>
    </row>
    <row r="432" spans="1:29" s="17" customFormat="1" x14ac:dyDescent="0.25">
      <c r="A432" s="16"/>
      <c r="B432" s="45"/>
      <c r="C432" s="16"/>
      <c r="D432" s="15"/>
      <c r="E432" s="15"/>
      <c r="F432" s="15"/>
      <c r="G432" s="15"/>
      <c r="H432" s="18"/>
      <c r="I432" s="15"/>
      <c r="J432" s="15"/>
      <c r="K432" s="19"/>
      <c r="L432" s="16"/>
      <c r="N432" s="45"/>
      <c r="O432" s="45"/>
      <c r="P432" s="45"/>
      <c r="Q432" s="45"/>
      <c r="R432" s="45"/>
      <c r="S432" s="45"/>
      <c r="T432" s="45"/>
      <c r="U432" s="45"/>
      <c r="V432" s="16"/>
      <c r="W432" s="16"/>
      <c r="X432" s="45"/>
      <c r="Y432" s="45"/>
      <c r="Z432" s="45"/>
      <c r="AA432" s="45"/>
      <c r="AB432" s="45"/>
      <c r="AC432" s="45"/>
    </row>
    <row r="433" spans="1:29" s="17" customFormat="1" x14ac:dyDescent="0.25">
      <c r="A433" s="16"/>
      <c r="B433" s="45"/>
      <c r="C433" s="16"/>
      <c r="D433" s="15"/>
      <c r="E433" s="15"/>
      <c r="F433" s="15"/>
      <c r="G433" s="15"/>
      <c r="H433" s="18"/>
      <c r="I433" s="15"/>
      <c r="J433" s="15"/>
      <c r="K433" s="19"/>
      <c r="L433" s="16"/>
      <c r="N433" s="45"/>
      <c r="O433" s="45"/>
      <c r="P433" s="45"/>
      <c r="Q433" s="45"/>
      <c r="R433" s="45"/>
      <c r="S433" s="45"/>
      <c r="T433" s="45"/>
      <c r="U433" s="45"/>
      <c r="V433" s="16"/>
      <c r="W433" s="16"/>
      <c r="X433" s="45"/>
      <c r="Y433" s="45"/>
      <c r="Z433" s="45"/>
      <c r="AA433" s="45"/>
      <c r="AB433" s="45"/>
      <c r="AC433" s="45"/>
    </row>
    <row r="434" spans="1:29" s="17" customFormat="1" x14ac:dyDescent="0.25">
      <c r="A434" s="16"/>
      <c r="B434" s="45"/>
      <c r="C434" s="16"/>
      <c r="D434" s="15"/>
      <c r="E434" s="15"/>
      <c r="F434" s="15"/>
      <c r="G434" s="15"/>
      <c r="H434" s="18"/>
      <c r="I434" s="15"/>
      <c r="J434" s="15"/>
      <c r="K434" s="19"/>
      <c r="L434" s="16"/>
      <c r="N434" s="45"/>
      <c r="O434" s="45"/>
      <c r="P434" s="45"/>
      <c r="Q434" s="45"/>
      <c r="R434" s="45"/>
      <c r="S434" s="45"/>
      <c r="T434" s="45"/>
      <c r="U434" s="45"/>
      <c r="V434" s="16"/>
      <c r="W434" s="16"/>
      <c r="X434" s="45"/>
      <c r="Y434" s="45"/>
      <c r="Z434" s="45"/>
      <c r="AA434" s="45"/>
      <c r="AB434" s="45"/>
      <c r="AC434" s="45"/>
    </row>
    <row r="435" spans="1:29" s="17" customFormat="1" x14ac:dyDescent="0.25">
      <c r="A435" s="16"/>
      <c r="B435" s="45"/>
      <c r="C435" s="16"/>
      <c r="D435" s="15"/>
      <c r="E435" s="15"/>
      <c r="F435" s="15"/>
      <c r="G435" s="15"/>
      <c r="H435" s="18"/>
      <c r="I435" s="15"/>
      <c r="J435" s="15"/>
      <c r="K435" s="19"/>
      <c r="L435" s="16"/>
      <c r="N435" s="45"/>
      <c r="O435" s="45"/>
      <c r="P435" s="45"/>
      <c r="Q435" s="45"/>
      <c r="R435" s="45"/>
      <c r="S435" s="45"/>
      <c r="T435" s="45"/>
      <c r="U435" s="45"/>
      <c r="V435" s="16"/>
      <c r="W435" s="16"/>
      <c r="X435" s="45"/>
      <c r="Y435" s="45"/>
      <c r="Z435" s="45"/>
      <c r="AA435" s="45"/>
      <c r="AB435" s="45"/>
      <c r="AC435" s="45"/>
    </row>
    <row r="436" spans="1:29" s="17" customFormat="1" x14ac:dyDescent="0.25">
      <c r="A436" s="16"/>
      <c r="B436" s="45"/>
      <c r="C436" s="16"/>
      <c r="D436" s="15"/>
      <c r="E436" s="15"/>
      <c r="F436" s="15"/>
      <c r="G436" s="15"/>
      <c r="H436" s="18"/>
      <c r="I436" s="15"/>
      <c r="J436" s="15"/>
      <c r="K436" s="19"/>
      <c r="L436" s="16"/>
      <c r="N436" s="45"/>
      <c r="O436" s="45"/>
      <c r="P436" s="45"/>
      <c r="Q436" s="45"/>
      <c r="R436" s="45"/>
      <c r="S436" s="45"/>
      <c r="T436" s="45"/>
      <c r="U436" s="45"/>
      <c r="V436" s="16"/>
      <c r="W436" s="16"/>
      <c r="X436" s="45"/>
      <c r="Y436" s="45"/>
      <c r="Z436" s="45"/>
      <c r="AA436" s="45"/>
      <c r="AB436" s="45"/>
      <c r="AC436" s="45"/>
    </row>
    <row r="437" spans="1:29" s="17" customFormat="1" x14ac:dyDescent="0.25">
      <c r="A437" s="16"/>
      <c r="B437" s="45"/>
      <c r="C437" s="16"/>
      <c r="D437" s="15"/>
      <c r="E437" s="15"/>
      <c r="F437" s="15"/>
      <c r="G437" s="15"/>
      <c r="H437" s="18"/>
      <c r="I437" s="15"/>
      <c r="J437" s="15"/>
      <c r="K437" s="19"/>
      <c r="L437" s="16"/>
      <c r="N437" s="45"/>
      <c r="O437" s="45"/>
      <c r="P437" s="45"/>
      <c r="Q437" s="45"/>
      <c r="R437" s="45"/>
      <c r="S437" s="45"/>
      <c r="T437" s="45"/>
      <c r="U437" s="45"/>
      <c r="V437" s="16"/>
      <c r="W437" s="16"/>
      <c r="X437" s="45"/>
      <c r="Y437" s="45"/>
      <c r="Z437" s="45"/>
      <c r="AA437" s="45"/>
      <c r="AB437" s="45"/>
      <c r="AC437" s="45"/>
    </row>
    <row r="438" spans="1:29" s="17" customFormat="1" x14ac:dyDescent="0.25">
      <c r="A438" s="16"/>
      <c r="B438" s="45"/>
      <c r="C438" s="16"/>
      <c r="D438" s="15"/>
      <c r="E438" s="15"/>
      <c r="F438" s="15"/>
      <c r="G438" s="15"/>
      <c r="H438" s="18"/>
      <c r="I438" s="15"/>
      <c r="J438" s="15"/>
      <c r="K438" s="19"/>
      <c r="L438" s="16"/>
      <c r="N438" s="45"/>
      <c r="O438" s="45"/>
      <c r="P438" s="45"/>
      <c r="Q438" s="45"/>
      <c r="R438" s="45"/>
      <c r="S438" s="45"/>
      <c r="T438" s="45"/>
      <c r="U438" s="45"/>
      <c r="V438" s="16"/>
      <c r="W438" s="16"/>
      <c r="X438" s="45"/>
      <c r="Y438" s="45"/>
      <c r="Z438" s="45"/>
      <c r="AA438" s="45"/>
      <c r="AB438" s="45"/>
      <c r="AC438" s="45"/>
    </row>
    <row r="439" spans="1:29" s="17" customFormat="1" x14ac:dyDescent="0.25">
      <c r="A439" s="16"/>
      <c r="B439" s="45"/>
      <c r="C439" s="16"/>
      <c r="D439" s="15"/>
      <c r="E439" s="15"/>
      <c r="F439" s="15"/>
      <c r="G439" s="15"/>
      <c r="H439" s="18"/>
      <c r="I439" s="15"/>
      <c r="J439" s="15"/>
      <c r="K439" s="19"/>
      <c r="L439" s="16"/>
      <c r="N439" s="45"/>
      <c r="O439" s="45"/>
      <c r="P439" s="45"/>
      <c r="Q439" s="45"/>
      <c r="R439" s="45"/>
      <c r="S439" s="45"/>
      <c r="T439" s="45"/>
      <c r="U439" s="45"/>
      <c r="V439" s="16"/>
      <c r="W439" s="16"/>
      <c r="X439" s="45"/>
      <c r="Y439" s="45"/>
      <c r="Z439" s="45"/>
      <c r="AA439" s="45"/>
      <c r="AB439" s="45"/>
      <c r="AC439" s="45"/>
    </row>
    <row r="440" spans="1:29" s="17" customFormat="1" x14ac:dyDescent="0.25">
      <c r="A440" s="16"/>
      <c r="B440" s="45"/>
      <c r="C440" s="16"/>
      <c r="D440" s="15"/>
      <c r="E440" s="15"/>
      <c r="F440" s="15"/>
      <c r="G440" s="15"/>
      <c r="H440" s="18"/>
      <c r="I440" s="15"/>
      <c r="J440" s="15"/>
      <c r="K440" s="19"/>
      <c r="L440" s="16"/>
      <c r="N440" s="45"/>
      <c r="O440" s="45"/>
      <c r="P440" s="45"/>
      <c r="Q440" s="45"/>
      <c r="R440" s="45"/>
      <c r="S440" s="45"/>
      <c r="T440" s="45"/>
      <c r="U440" s="45"/>
      <c r="V440" s="16"/>
      <c r="W440" s="16"/>
      <c r="X440" s="45"/>
      <c r="Y440" s="45"/>
      <c r="Z440" s="45"/>
      <c r="AA440" s="45"/>
      <c r="AB440" s="45"/>
      <c r="AC440" s="45"/>
    </row>
    <row r="441" spans="1:29" s="17" customFormat="1" x14ac:dyDescent="0.25">
      <c r="A441" s="16"/>
      <c r="B441" s="45"/>
      <c r="C441" s="16"/>
      <c r="D441" s="15"/>
      <c r="E441" s="15"/>
      <c r="F441" s="15"/>
      <c r="G441" s="15"/>
      <c r="H441" s="18"/>
      <c r="I441" s="15"/>
      <c r="J441" s="15"/>
      <c r="K441" s="19"/>
      <c r="L441" s="16"/>
      <c r="N441" s="45"/>
      <c r="O441" s="45"/>
      <c r="P441" s="45"/>
      <c r="Q441" s="45"/>
      <c r="R441" s="45"/>
      <c r="S441" s="45"/>
      <c r="T441" s="45"/>
      <c r="U441" s="45"/>
      <c r="V441" s="16"/>
      <c r="W441" s="16"/>
      <c r="X441" s="45"/>
      <c r="Y441" s="45"/>
      <c r="Z441" s="45"/>
      <c r="AA441" s="45"/>
      <c r="AB441" s="45"/>
      <c r="AC441" s="45"/>
    </row>
    <row r="442" spans="1:29" s="17" customFormat="1" x14ac:dyDescent="0.25">
      <c r="A442" s="16"/>
      <c r="B442" s="45"/>
      <c r="C442" s="16"/>
      <c r="D442" s="15"/>
      <c r="E442" s="15"/>
      <c r="F442" s="15"/>
      <c r="G442" s="15"/>
      <c r="H442" s="18"/>
      <c r="I442" s="15"/>
      <c r="J442" s="15"/>
      <c r="K442" s="19"/>
      <c r="L442" s="16"/>
      <c r="N442" s="45"/>
      <c r="O442" s="45"/>
      <c r="P442" s="45"/>
      <c r="Q442" s="45"/>
      <c r="R442" s="45"/>
      <c r="S442" s="45"/>
      <c r="T442" s="45"/>
      <c r="U442" s="45"/>
      <c r="V442" s="16"/>
      <c r="W442" s="16"/>
      <c r="X442" s="45"/>
      <c r="Y442" s="45"/>
      <c r="Z442" s="45"/>
      <c r="AA442" s="45"/>
      <c r="AB442" s="45"/>
      <c r="AC442" s="45"/>
    </row>
    <row r="443" spans="1:29" s="17" customFormat="1" x14ac:dyDescent="0.25">
      <c r="A443" s="16"/>
      <c r="B443" s="45"/>
      <c r="C443" s="16"/>
      <c r="D443" s="15"/>
      <c r="E443" s="15"/>
      <c r="F443" s="15"/>
      <c r="G443" s="15"/>
      <c r="H443" s="18"/>
      <c r="I443" s="15"/>
      <c r="J443" s="15"/>
      <c r="K443" s="19"/>
      <c r="L443" s="16"/>
      <c r="N443" s="45"/>
      <c r="O443" s="45"/>
      <c r="P443" s="45"/>
      <c r="Q443" s="45"/>
      <c r="R443" s="45"/>
      <c r="S443" s="45"/>
      <c r="T443" s="45"/>
      <c r="U443" s="45"/>
      <c r="V443" s="16"/>
      <c r="W443" s="16"/>
      <c r="X443" s="45"/>
      <c r="Y443" s="45"/>
      <c r="Z443" s="45"/>
      <c r="AA443" s="45"/>
      <c r="AB443" s="45"/>
      <c r="AC443" s="45"/>
    </row>
    <row r="444" spans="1:29" s="17" customFormat="1" x14ac:dyDescent="0.25">
      <c r="A444" s="16"/>
      <c r="B444" s="45"/>
      <c r="C444" s="16"/>
      <c r="D444" s="15"/>
      <c r="E444" s="15"/>
      <c r="F444" s="15"/>
      <c r="G444" s="15"/>
      <c r="H444" s="18"/>
      <c r="I444" s="15"/>
      <c r="J444" s="15"/>
      <c r="K444" s="19"/>
      <c r="L444" s="16"/>
      <c r="N444" s="45"/>
      <c r="O444" s="45"/>
      <c r="P444" s="45"/>
      <c r="Q444" s="45"/>
      <c r="R444" s="45"/>
      <c r="S444" s="45"/>
      <c r="T444" s="45"/>
      <c r="U444" s="45"/>
      <c r="V444" s="16"/>
      <c r="W444" s="16"/>
      <c r="X444" s="45"/>
      <c r="Y444" s="45"/>
      <c r="Z444" s="45"/>
      <c r="AA444" s="45"/>
      <c r="AB444" s="45"/>
      <c r="AC444" s="45"/>
    </row>
    <row r="445" spans="1:29" s="17" customFormat="1" x14ac:dyDescent="0.25">
      <c r="A445" s="16"/>
      <c r="B445" s="45"/>
      <c r="C445" s="16"/>
      <c r="D445" s="15"/>
      <c r="E445" s="15"/>
      <c r="F445" s="15"/>
      <c r="G445" s="15"/>
      <c r="H445" s="18"/>
      <c r="I445" s="15"/>
      <c r="J445" s="15"/>
      <c r="K445" s="19"/>
      <c r="L445" s="16"/>
      <c r="N445" s="45"/>
      <c r="O445" s="45"/>
      <c r="P445" s="45"/>
      <c r="Q445" s="45"/>
      <c r="R445" s="45"/>
      <c r="S445" s="45"/>
      <c r="T445" s="45"/>
      <c r="U445" s="45"/>
      <c r="V445" s="16"/>
      <c r="W445" s="16"/>
      <c r="X445" s="45"/>
      <c r="Y445" s="45"/>
      <c r="Z445" s="45"/>
      <c r="AA445" s="45"/>
      <c r="AB445" s="45"/>
      <c r="AC445" s="45"/>
    </row>
    <row r="446" spans="1:29" s="17" customFormat="1" x14ac:dyDescent="0.25">
      <c r="A446" s="16"/>
      <c r="B446" s="45"/>
      <c r="C446" s="16"/>
      <c r="D446" s="15"/>
      <c r="E446" s="15"/>
      <c r="F446" s="15"/>
      <c r="G446" s="15"/>
      <c r="H446" s="18"/>
      <c r="I446" s="15"/>
      <c r="J446" s="15"/>
      <c r="K446" s="19"/>
      <c r="L446" s="16"/>
      <c r="N446" s="45"/>
      <c r="O446" s="45"/>
      <c r="P446" s="45"/>
      <c r="Q446" s="45"/>
      <c r="R446" s="45"/>
      <c r="S446" s="45"/>
      <c r="T446" s="45"/>
      <c r="U446" s="45"/>
      <c r="V446" s="16"/>
      <c r="W446" s="16"/>
      <c r="X446" s="45"/>
      <c r="Y446" s="45"/>
      <c r="Z446" s="45"/>
      <c r="AA446" s="45"/>
      <c r="AB446" s="45"/>
      <c r="AC446" s="45"/>
    </row>
    <row r="447" spans="1:29" s="17" customFormat="1" x14ac:dyDescent="0.25">
      <c r="A447" s="16"/>
      <c r="B447" s="45"/>
      <c r="C447" s="16"/>
      <c r="D447" s="15"/>
      <c r="E447" s="15"/>
      <c r="F447" s="15"/>
      <c r="G447" s="15"/>
      <c r="H447" s="18"/>
      <c r="I447" s="15"/>
      <c r="J447" s="15"/>
      <c r="K447" s="19"/>
      <c r="L447" s="16"/>
      <c r="N447" s="45"/>
      <c r="O447" s="45"/>
      <c r="P447" s="45"/>
      <c r="Q447" s="45"/>
      <c r="R447" s="45"/>
      <c r="S447" s="45"/>
      <c r="T447" s="45"/>
      <c r="U447" s="45"/>
      <c r="V447" s="16"/>
      <c r="W447" s="16"/>
      <c r="X447" s="45"/>
      <c r="Y447" s="45"/>
      <c r="Z447" s="45"/>
      <c r="AA447" s="45"/>
      <c r="AB447" s="45"/>
      <c r="AC447" s="45"/>
    </row>
    <row r="448" spans="1:29" s="17" customFormat="1" x14ac:dyDescent="0.25">
      <c r="A448" s="16"/>
      <c r="B448" s="45"/>
      <c r="C448" s="16"/>
      <c r="D448" s="15"/>
      <c r="E448" s="15"/>
      <c r="F448" s="15"/>
      <c r="G448" s="15"/>
      <c r="H448" s="18"/>
      <c r="I448" s="15"/>
      <c r="J448" s="15"/>
      <c r="K448" s="19"/>
      <c r="L448" s="16"/>
      <c r="N448" s="45"/>
      <c r="O448" s="45"/>
      <c r="P448" s="45"/>
      <c r="Q448" s="45"/>
      <c r="R448" s="45"/>
      <c r="S448" s="45"/>
      <c r="T448" s="45"/>
      <c r="U448" s="45"/>
      <c r="V448" s="16"/>
      <c r="W448" s="16"/>
      <c r="X448" s="45"/>
      <c r="Y448" s="45"/>
      <c r="Z448" s="45"/>
      <c r="AA448" s="45"/>
      <c r="AB448" s="45"/>
      <c r="AC448" s="45"/>
    </row>
    <row r="449" spans="1:29" s="17" customFormat="1" x14ac:dyDescent="0.25">
      <c r="A449" s="16"/>
      <c r="B449" s="45"/>
      <c r="C449" s="16"/>
      <c r="D449" s="15"/>
      <c r="E449" s="15"/>
      <c r="F449" s="15"/>
      <c r="G449" s="15"/>
      <c r="H449" s="18"/>
      <c r="I449" s="15"/>
      <c r="J449" s="15"/>
      <c r="K449" s="19"/>
      <c r="L449" s="16"/>
      <c r="N449" s="45"/>
      <c r="O449" s="45"/>
      <c r="P449" s="45"/>
      <c r="Q449" s="45"/>
      <c r="R449" s="45"/>
      <c r="S449" s="45"/>
      <c r="T449" s="45"/>
      <c r="U449" s="45"/>
      <c r="V449" s="16"/>
      <c r="W449" s="16"/>
      <c r="X449" s="45"/>
      <c r="Y449" s="45"/>
      <c r="Z449" s="45"/>
      <c r="AA449" s="45"/>
      <c r="AB449" s="45"/>
      <c r="AC449" s="45"/>
    </row>
    <row r="450" spans="1:29" s="17" customFormat="1" x14ac:dyDescent="0.25">
      <c r="A450" s="16"/>
      <c r="B450" s="45"/>
      <c r="C450" s="16"/>
      <c r="D450" s="15"/>
      <c r="E450" s="15"/>
      <c r="F450" s="15"/>
      <c r="G450" s="15"/>
      <c r="H450" s="18"/>
      <c r="I450" s="15"/>
      <c r="J450" s="15"/>
      <c r="K450" s="19"/>
      <c r="L450" s="16"/>
      <c r="N450" s="45"/>
      <c r="O450" s="45"/>
      <c r="P450" s="45"/>
      <c r="Q450" s="45"/>
      <c r="R450" s="45"/>
      <c r="S450" s="45"/>
      <c r="T450" s="45"/>
      <c r="U450" s="45"/>
      <c r="V450" s="16"/>
      <c r="W450" s="16"/>
      <c r="X450" s="45"/>
      <c r="Y450" s="45"/>
      <c r="Z450" s="45"/>
      <c r="AA450" s="45"/>
      <c r="AB450" s="45"/>
      <c r="AC450" s="45"/>
    </row>
    <row r="451" spans="1:29" s="17" customFormat="1" x14ac:dyDescent="0.25">
      <c r="A451" s="16"/>
      <c r="B451" s="45"/>
      <c r="C451" s="16"/>
      <c r="D451" s="15"/>
      <c r="E451" s="15"/>
      <c r="F451" s="15"/>
      <c r="G451" s="15"/>
      <c r="H451" s="18"/>
      <c r="I451" s="15"/>
      <c r="J451" s="15"/>
      <c r="K451" s="19"/>
      <c r="L451" s="16"/>
      <c r="N451" s="45"/>
      <c r="O451" s="45"/>
      <c r="P451" s="45"/>
      <c r="Q451" s="45"/>
      <c r="R451" s="45"/>
      <c r="S451" s="45"/>
      <c r="T451" s="45"/>
      <c r="U451" s="45"/>
      <c r="V451" s="16"/>
      <c r="W451" s="16"/>
      <c r="X451" s="45"/>
      <c r="Y451" s="45"/>
      <c r="Z451" s="45"/>
      <c r="AA451" s="45"/>
      <c r="AB451" s="45"/>
      <c r="AC451" s="45"/>
    </row>
    <row r="452" spans="1:29" s="17" customFormat="1" x14ac:dyDescent="0.25">
      <c r="A452" s="16"/>
      <c r="B452" s="45"/>
      <c r="C452" s="16"/>
      <c r="D452" s="15"/>
      <c r="E452" s="15"/>
      <c r="F452" s="15"/>
      <c r="G452" s="15"/>
      <c r="H452" s="18"/>
      <c r="I452" s="15"/>
      <c r="J452" s="15"/>
      <c r="K452" s="19"/>
      <c r="L452" s="16"/>
      <c r="N452" s="45"/>
      <c r="O452" s="45"/>
      <c r="P452" s="45"/>
      <c r="Q452" s="45"/>
      <c r="R452" s="45"/>
      <c r="S452" s="45"/>
      <c r="T452" s="45"/>
      <c r="U452" s="45"/>
      <c r="V452" s="16"/>
      <c r="W452" s="16"/>
      <c r="X452" s="45"/>
      <c r="Y452" s="45"/>
      <c r="Z452" s="45"/>
      <c r="AA452" s="45"/>
      <c r="AB452" s="45"/>
      <c r="AC452" s="45"/>
    </row>
    <row r="453" spans="1:29" s="17" customFormat="1" x14ac:dyDescent="0.25">
      <c r="A453" s="16"/>
      <c r="B453" s="45"/>
      <c r="C453" s="16"/>
      <c r="D453" s="15"/>
      <c r="E453" s="15"/>
      <c r="F453" s="15"/>
      <c r="G453" s="15"/>
      <c r="H453" s="18"/>
      <c r="I453" s="15"/>
      <c r="J453" s="15"/>
      <c r="K453" s="19"/>
      <c r="L453" s="16"/>
      <c r="N453" s="45"/>
      <c r="O453" s="45"/>
      <c r="P453" s="45"/>
      <c r="Q453" s="45"/>
      <c r="R453" s="45"/>
      <c r="S453" s="45"/>
      <c r="T453" s="45"/>
      <c r="U453" s="45"/>
      <c r="V453" s="16"/>
      <c r="W453" s="16"/>
      <c r="X453" s="45"/>
      <c r="Y453" s="45"/>
      <c r="Z453" s="45"/>
      <c r="AA453" s="45"/>
      <c r="AB453" s="45"/>
      <c r="AC453" s="45"/>
    </row>
    <row r="454" spans="1:29" s="17" customFormat="1" x14ac:dyDescent="0.25">
      <c r="A454" s="16"/>
      <c r="B454" s="45"/>
      <c r="C454" s="16"/>
      <c r="D454" s="15"/>
      <c r="E454" s="15"/>
      <c r="F454" s="15"/>
      <c r="G454" s="15"/>
      <c r="H454" s="18"/>
      <c r="I454" s="15"/>
      <c r="J454" s="15"/>
      <c r="K454" s="19"/>
      <c r="L454" s="16"/>
      <c r="N454" s="45"/>
      <c r="O454" s="45"/>
      <c r="P454" s="45"/>
      <c r="Q454" s="45"/>
      <c r="R454" s="45"/>
      <c r="S454" s="45"/>
      <c r="T454" s="45"/>
      <c r="U454" s="45"/>
      <c r="V454" s="16"/>
      <c r="W454" s="16"/>
      <c r="X454" s="45"/>
      <c r="Y454" s="45"/>
      <c r="Z454" s="45"/>
      <c r="AA454" s="45"/>
      <c r="AB454" s="45"/>
      <c r="AC454" s="45"/>
    </row>
    <row r="455" spans="1:29" s="17" customFormat="1" x14ac:dyDescent="0.25">
      <c r="A455" s="16"/>
      <c r="B455" s="45"/>
      <c r="C455" s="16"/>
      <c r="D455" s="15"/>
      <c r="E455" s="15"/>
      <c r="F455" s="15"/>
      <c r="G455" s="15"/>
      <c r="H455" s="18"/>
      <c r="I455" s="15"/>
      <c r="J455" s="15"/>
      <c r="K455" s="19"/>
      <c r="L455" s="16"/>
      <c r="N455" s="45"/>
      <c r="O455" s="45"/>
      <c r="P455" s="45"/>
      <c r="Q455" s="45"/>
      <c r="R455" s="45"/>
      <c r="S455" s="45"/>
      <c r="T455" s="45"/>
      <c r="U455" s="45"/>
      <c r="V455" s="16"/>
      <c r="W455" s="16"/>
      <c r="X455" s="45"/>
      <c r="Y455" s="45"/>
      <c r="Z455" s="45"/>
      <c r="AA455" s="45"/>
      <c r="AB455" s="45"/>
      <c r="AC455" s="45"/>
    </row>
    <row r="456" spans="1:29" s="17" customFormat="1" x14ac:dyDescent="0.25">
      <c r="A456" s="16"/>
      <c r="B456" s="45"/>
      <c r="C456" s="16"/>
      <c r="D456" s="15"/>
      <c r="E456" s="15"/>
      <c r="F456" s="15"/>
      <c r="G456" s="15"/>
      <c r="H456" s="18"/>
      <c r="I456" s="15"/>
      <c r="J456" s="15"/>
      <c r="K456" s="19"/>
      <c r="L456" s="16"/>
      <c r="N456" s="45"/>
      <c r="O456" s="45"/>
      <c r="P456" s="45"/>
      <c r="Q456" s="45"/>
      <c r="R456" s="45"/>
      <c r="S456" s="45"/>
      <c r="T456" s="45"/>
      <c r="U456" s="45"/>
      <c r="V456" s="16"/>
      <c r="W456" s="16"/>
      <c r="X456" s="45"/>
      <c r="Y456" s="45"/>
      <c r="Z456" s="45"/>
      <c r="AA456" s="45"/>
      <c r="AB456" s="45"/>
      <c r="AC456" s="45"/>
    </row>
    <row r="457" spans="1:29" s="17" customFormat="1" x14ac:dyDescent="0.25">
      <c r="A457" s="16"/>
      <c r="B457" s="45"/>
      <c r="C457" s="16"/>
      <c r="D457" s="15"/>
      <c r="E457" s="15"/>
      <c r="F457" s="15"/>
      <c r="G457" s="15"/>
      <c r="H457" s="18"/>
      <c r="I457" s="15"/>
      <c r="J457" s="15"/>
      <c r="K457" s="19"/>
      <c r="L457" s="16"/>
      <c r="N457" s="45"/>
      <c r="O457" s="45"/>
      <c r="P457" s="45"/>
      <c r="Q457" s="45"/>
      <c r="R457" s="45"/>
      <c r="S457" s="45"/>
      <c r="T457" s="45"/>
      <c r="U457" s="45"/>
      <c r="V457" s="16"/>
      <c r="W457" s="16"/>
      <c r="X457" s="45"/>
      <c r="Y457" s="45"/>
      <c r="Z457" s="45"/>
      <c r="AA457" s="45"/>
      <c r="AB457" s="45"/>
      <c r="AC457" s="45"/>
    </row>
    <row r="458" spans="1:29" s="17" customFormat="1" x14ac:dyDescent="0.25">
      <c r="A458" s="16"/>
      <c r="B458" s="45"/>
      <c r="C458" s="16"/>
      <c r="D458" s="15"/>
      <c r="E458" s="15"/>
      <c r="F458" s="15"/>
      <c r="G458" s="15"/>
      <c r="H458" s="18"/>
      <c r="I458" s="15"/>
      <c r="J458" s="15"/>
      <c r="K458" s="19"/>
      <c r="L458" s="16"/>
      <c r="N458" s="45"/>
      <c r="O458" s="45"/>
      <c r="P458" s="45"/>
      <c r="Q458" s="45"/>
      <c r="R458" s="45"/>
      <c r="S458" s="45"/>
      <c r="T458" s="45"/>
      <c r="U458" s="45"/>
      <c r="V458" s="16"/>
      <c r="W458" s="16"/>
      <c r="X458" s="45"/>
      <c r="Y458" s="45"/>
      <c r="Z458" s="45"/>
      <c r="AA458" s="45"/>
      <c r="AB458" s="45"/>
      <c r="AC458" s="45"/>
    </row>
    <row r="459" spans="1:29" s="17" customFormat="1" x14ac:dyDescent="0.25">
      <c r="A459" s="16"/>
      <c r="B459" s="45"/>
      <c r="C459" s="16"/>
      <c r="D459" s="15"/>
      <c r="E459" s="15"/>
      <c r="F459" s="15"/>
      <c r="G459" s="15"/>
      <c r="H459" s="18"/>
      <c r="I459" s="15"/>
      <c r="J459" s="15"/>
      <c r="K459" s="19"/>
      <c r="L459" s="16"/>
      <c r="N459" s="45"/>
      <c r="O459" s="45"/>
      <c r="P459" s="45"/>
      <c r="Q459" s="45"/>
      <c r="R459" s="45"/>
      <c r="S459" s="45"/>
      <c r="T459" s="45"/>
      <c r="U459" s="45"/>
      <c r="V459" s="16"/>
      <c r="W459" s="16"/>
      <c r="X459" s="45"/>
      <c r="Y459" s="45"/>
      <c r="Z459" s="45"/>
      <c r="AA459" s="45"/>
      <c r="AB459" s="45"/>
      <c r="AC459" s="45"/>
    </row>
    <row r="460" spans="1:29" s="17" customFormat="1" x14ac:dyDescent="0.25">
      <c r="A460" s="16"/>
      <c r="B460" s="45"/>
      <c r="C460" s="16"/>
      <c r="D460" s="15"/>
      <c r="E460" s="15"/>
      <c r="F460" s="15"/>
      <c r="G460" s="15"/>
      <c r="H460" s="18"/>
      <c r="I460" s="15"/>
      <c r="J460" s="15"/>
      <c r="K460" s="19"/>
      <c r="L460" s="16"/>
      <c r="N460" s="45"/>
      <c r="O460" s="45"/>
      <c r="P460" s="45"/>
      <c r="Q460" s="45"/>
      <c r="R460" s="45"/>
      <c r="S460" s="45"/>
      <c r="T460" s="45"/>
      <c r="U460" s="45"/>
      <c r="V460" s="16"/>
      <c r="W460" s="16"/>
      <c r="X460" s="45"/>
      <c r="Y460" s="45"/>
      <c r="Z460" s="45"/>
      <c r="AA460" s="45"/>
      <c r="AB460" s="45"/>
      <c r="AC460" s="45"/>
    </row>
    <row r="461" spans="1:29" s="17" customFormat="1" x14ac:dyDescent="0.25">
      <c r="A461" s="16"/>
      <c r="B461" s="45"/>
      <c r="C461" s="16"/>
      <c r="D461" s="15"/>
      <c r="E461" s="15"/>
      <c r="F461" s="15"/>
      <c r="G461" s="15"/>
      <c r="H461" s="18"/>
      <c r="I461" s="15"/>
      <c r="J461" s="15"/>
      <c r="K461" s="19"/>
      <c r="L461" s="16"/>
      <c r="N461" s="45"/>
      <c r="O461" s="45"/>
      <c r="P461" s="45"/>
      <c r="Q461" s="45"/>
      <c r="R461" s="45"/>
      <c r="S461" s="45"/>
      <c r="T461" s="45"/>
      <c r="U461" s="45"/>
      <c r="V461" s="16"/>
      <c r="W461" s="16"/>
      <c r="X461" s="45"/>
      <c r="Y461" s="45"/>
      <c r="Z461" s="45"/>
      <c r="AA461" s="45"/>
      <c r="AB461" s="45"/>
      <c r="AC461" s="45"/>
    </row>
    <row r="462" spans="1:29" s="17" customFormat="1" x14ac:dyDescent="0.25">
      <c r="A462" s="16"/>
      <c r="B462" s="45"/>
      <c r="C462" s="16"/>
      <c r="D462" s="15"/>
      <c r="E462" s="15"/>
      <c r="F462" s="15"/>
      <c r="G462" s="15"/>
      <c r="H462" s="18"/>
      <c r="I462" s="15"/>
      <c r="J462" s="15"/>
      <c r="K462" s="19"/>
      <c r="L462" s="16"/>
      <c r="N462" s="45"/>
      <c r="O462" s="45"/>
      <c r="P462" s="45"/>
      <c r="Q462" s="45"/>
      <c r="R462" s="45"/>
      <c r="S462" s="45"/>
      <c r="T462" s="45"/>
      <c r="U462" s="45"/>
      <c r="V462" s="16"/>
      <c r="W462" s="16"/>
      <c r="X462" s="45"/>
      <c r="Y462" s="45"/>
      <c r="Z462" s="45"/>
      <c r="AA462" s="45"/>
      <c r="AB462" s="45"/>
      <c r="AC462" s="45"/>
    </row>
    <row r="463" spans="1:29" s="17" customFormat="1" x14ac:dyDescent="0.25">
      <c r="A463" s="16"/>
      <c r="B463" s="45"/>
      <c r="C463" s="16"/>
      <c r="D463" s="15"/>
      <c r="E463" s="15"/>
      <c r="F463" s="15"/>
      <c r="G463" s="15"/>
      <c r="H463" s="18"/>
      <c r="I463" s="15"/>
      <c r="J463" s="15"/>
      <c r="K463" s="19"/>
      <c r="L463" s="16"/>
      <c r="N463" s="45"/>
      <c r="O463" s="45"/>
      <c r="P463" s="45"/>
      <c r="Q463" s="45"/>
      <c r="R463" s="45"/>
      <c r="S463" s="45"/>
      <c r="T463" s="45"/>
      <c r="U463" s="45"/>
      <c r="V463" s="16"/>
      <c r="W463" s="16"/>
      <c r="X463" s="45"/>
      <c r="Y463" s="45"/>
      <c r="Z463" s="45"/>
      <c r="AA463" s="45"/>
      <c r="AB463" s="45"/>
      <c r="AC463" s="45"/>
    </row>
    <row r="464" spans="1:29" s="17" customFormat="1" x14ac:dyDescent="0.25">
      <c r="A464" s="16"/>
      <c r="B464" s="45"/>
      <c r="C464" s="16"/>
      <c r="D464" s="15"/>
      <c r="E464" s="15"/>
      <c r="F464" s="15"/>
      <c r="G464" s="15"/>
      <c r="H464" s="18"/>
      <c r="I464" s="15"/>
      <c r="J464" s="15"/>
      <c r="K464" s="19"/>
      <c r="L464" s="16"/>
      <c r="N464" s="45"/>
      <c r="O464" s="45"/>
      <c r="P464" s="45"/>
      <c r="Q464" s="45"/>
      <c r="R464" s="45"/>
      <c r="S464" s="45"/>
      <c r="T464" s="45"/>
      <c r="U464" s="45"/>
      <c r="V464" s="16"/>
      <c r="W464" s="16"/>
      <c r="X464" s="45"/>
      <c r="Y464" s="45"/>
      <c r="Z464" s="45"/>
      <c r="AA464" s="45"/>
      <c r="AB464" s="45"/>
      <c r="AC464" s="45"/>
    </row>
    <row r="465" spans="1:29" s="17" customFormat="1" x14ac:dyDescent="0.25">
      <c r="A465" s="16"/>
      <c r="B465" s="45"/>
      <c r="C465" s="16"/>
      <c r="D465" s="15"/>
      <c r="E465" s="15"/>
      <c r="F465" s="15"/>
      <c r="G465" s="15"/>
      <c r="H465" s="18"/>
      <c r="I465" s="15"/>
      <c r="J465" s="15"/>
      <c r="K465" s="19"/>
      <c r="L465" s="16"/>
      <c r="N465" s="45"/>
      <c r="O465" s="45"/>
      <c r="P465" s="45"/>
      <c r="Q465" s="45"/>
      <c r="R465" s="45"/>
      <c r="S465" s="45"/>
      <c r="T465" s="45"/>
      <c r="U465" s="45"/>
      <c r="V465" s="16"/>
      <c r="W465" s="16"/>
      <c r="X465" s="45"/>
      <c r="Y465" s="45"/>
      <c r="Z465" s="45"/>
      <c r="AA465" s="45"/>
      <c r="AB465" s="45"/>
      <c r="AC465" s="45"/>
    </row>
    <row r="466" spans="1:29" s="17" customFormat="1" x14ac:dyDescent="0.25">
      <c r="A466" s="16"/>
      <c r="B466" s="45"/>
      <c r="C466" s="16"/>
      <c r="D466" s="15"/>
      <c r="E466" s="15"/>
      <c r="F466" s="15"/>
      <c r="G466" s="15"/>
      <c r="H466" s="18"/>
      <c r="I466" s="15"/>
      <c r="J466" s="15"/>
      <c r="K466" s="19"/>
      <c r="L466" s="16"/>
      <c r="N466" s="45"/>
      <c r="O466" s="45"/>
      <c r="P466" s="45"/>
      <c r="Q466" s="45"/>
      <c r="R466" s="45"/>
      <c r="S466" s="45"/>
      <c r="T466" s="45"/>
      <c r="U466" s="45"/>
      <c r="V466" s="16"/>
      <c r="W466" s="16"/>
      <c r="X466" s="45"/>
      <c r="Y466" s="45"/>
      <c r="Z466" s="45"/>
      <c r="AA466" s="45"/>
      <c r="AB466" s="45"/>
      <c r="AC466" s="45"/>
    </row>
    <row r="467" spans="1:29" s="17" customFormat="1" x14ac:dyDescent="0.25">
      <c r="A467" s="16"/>
      <c r="B467" s="45"/>
      <c r="C467" s="16"/>
      <c r="D467" s="15"/>
      <c r="E467" s="15"/>
      <c r="F467" s="15"/>
      <c r="G467" s="15"/>
      <c r="H467" s="18"/>
      <c r="I467" s="15"/>
      <c r="J467" s="15"/>
      <c r="K467" s="19"/>
      <c r="L467" s="16"/>
      <c r="N467" s="45"/>
      <c r="O467" s="45"/>
      <c r="P467" s="45"/>
      <c r="Q467" s="45"/>
      <c r="R467" s="45"/>
      <c r="S467" s="45"/>
      <c r="T467" s="45"/>
      <c r="U467" s="45"/>
      <c r="V467" s="16"/>
      <c r="W467" s="16"/>
      <c r="X467" s="45"/>
      <c r="Y467" s="45"/>
      <c r="Z467" s="45"/>
      <c r="AA467" s="45"/>
      <c r="AB467" s="45"/>
      <c r="AC467" s="45"/>
    </row>
    <row r="468" spans="1:29" s="17" customFormat="1" x14ac:dyDescent="0.25">
      <c r="A468" s="16"/>
      <c r="B468" s="45"/>
      <c r="C468" s="16"/>
      <c r="D468" s="15"/>
      <c r="E468" s="15"/>
      <c r="F468" s="15"/>
      <c r="G468" s="15"/>
      <c r="H468" s="18"/>
      <c r="I468" s="15"/>
      <c r="J468" s="15"/>
      <c r="K468" s="19"/>
      <c r="L468" s="16"/>
      <c r="N468" s="45"/>
      <c r="O468" s="45"/>
      <c r="P468" s="45"/>
      <c r="Q468" s="45"/>
      <c r="R468" s="45"/>
      <c r="S468" s="45"/>
      <c r="T468" s="45"/>
      <c r="U468" s="45"/>
      <c r="V468" s="16"/>
      <c r="W468" s="16"/>
      <c r="X468" s="45"/>
      <c r="Y468" s="45"/>
      <c r="Z468" s="45"/>
      <c r="AA468" s="45"/>
      <c r="AB468" s="45"/>
      <c r="AC468" s="45"/>
    </row>
    <row r="469" spans="1:29" s="17" customFormat="1" x14ac:dyDescent="0.25">
      <c r="A469" s="16"/>
      <c r="B469" s="45"/>
      <c r="C469" s="16"/>
      <c r="D469" s="15"/>
      <c r="E469" s="15"/>
      <c r="F469" s="15"/>
      <c r="G469" s="15"/>
      <c r="H469" s="18"/>
      <c r="I469" s="15"/>
      <c r="J469" s="15"/>
      <c r="K469" s="19"/>
      <c r="L469" s="16"/>
      <c r="N469" s="45"/>
      <c r="O469" s="45"/>
      <c r="P469" s="45"/>
      <c r="Q469" s="45"/>
      <c r="R469" s="45"/>
      <c r="S469" s="45"/>
      <c r="T469" s="45"/>
      <c r="U469" s="45"/>
      <c r="V469" s="16"/>
      <c r="W469" s="16"/>
      <c r="X469" s="45"/>
      <c r="Y469" s="45"/>
      <c r="Z469" s="45"/>
      <c r="AA469" s="45"/>
      <c r="AB469" s="45"/>
      <c r="AC469" s="45"/>
    </row>
    <row r="470" spans="1:29" s="17" customFormat="1" x14ac:dyDescent="0.25">
      <c r="A470" s="16"/>
      <c r="B470" s="45"/>
      <c r="C470" s="16"/>
      <c r="D470" s="15"/>
      <c r="E470" s="15"/>
      <c r="F470" s="15"/>
      <c r="G470" s="15"/>
      <c r="H470" s="18"/>
      <c r="I470" s="15"/>
      <c r="J470" s="15"/>
      <c r="K470" s="19"/>
      <c r="L470" s="16"/>
      <c r="N470" s="45"/>
      <c r="O470" s="45"/>
      <c r="P470" s="45"/>
      <c r="Q470" s="45"/>
      <c r="R470" s="45"/>
      <c r="S470" s="45"/>
      <c r="T470" s="45"/>
      <c r="U470" s="45"/>
      <c r="V470" s="16"/>
      <c r="W470" s="16"/>
      <c r="X470" s="45"/>
      <c r="Y470" s="45"/>
      <c r="Z470" s="45"/>
      <c r="AA470" s="45"/>
      <c r="AB470" s="45"/>
      <c r="AC470" s="45"/>
    </row>
    <row r="471" spans="1:29" s="17" customFormat="1" x14ac:dyDescent="0.25">
      <c r="A471" s="16"/>
      <c r="B471" s="45"/>
      <c r="C471" s="16"/>
      <c r="D471" s="15"/>
      <c r="E471" s="15"/>
      <c r="F471" s="15"/>
      <c r="G471" s="15"/>
      <c r="H471" s="18"/>
      <c r="I471" s="15"/>
      <c r="J471" s="15"/>
      <c r="K471" s="19"/>
      <c r="L471" s="16"/>
      <c r="N471" s="45"/>
      <c r="O471" s="45"/>
      <c r="P471" s="45"/>
      <c r="Q471" s="45"/>
      <c r="R471" s="45"/>
      <c r="S471" s="45"/>
      <c r="T471" s="45"/>
      <c r="U471" s="45"/>
      <c r="V471" s="16"/>
      <c r="W471" s="16"/>
      <c r="X471" s="45"/>
      <c r="Y471" s="45"/>
      <c r="Z471" s="45"/>
      <c r="AA471" s="45"/>
      <c r="AB471" s="45"/>
      <c r="AC471" s="45"/>
    </row>
    <row r="472" spans="1:29" s="17" customFormat="1" x14ac:dyDescent="0.25">
      <c r="A472" s="16"/>
      <c r="B472" s="45"/>
      <c r="C472" s="16"/>
      <c r="D472" s="15"/>
      <c r="E472" s="15"/>
      <c r="F472" s="15"/>
      <c r="G472" s="15"/>
      <c r="H472" s="18"/>
      <c r="I472" s="15"/>
      <c r="J472" s="15"/>
      <c r="K472" s="19"/>
      <c r="L472" s="16"/>
      <c r="N472" s="45"/>
      <c r="O472" s="45"/>
      <c r="P472" s="45"/>
      <c r="Q472" s="45"/>
      <c r="R472" s="45"/>
      <c r="S472" s="45"/>
      <c r="T472" s="45"/>
      <c r="U472" s="45"/>
      <c r="V472" s="16"/>
      <c r="W472" s="16"/>
      <c r="X472" s="45"/>
      <c r="Y472" s="45"/>
      <c r="Z472" s="45"/>
      <c r="AA472" s="45"/>
      <c r="AB472" s="45"/>
      <c r="AC472" s="45"/>
    </row>
    <row r="473" spans="1:29" s="17" customFormat="1" x14ac:dyDescent="0.25">
      <c r="A473" s="16"/>
      <c r="B473" s="45"/>
      <c r="C473" s="16"/>
      <c r="D473" s="15"/>
      <c r="E473" s="15"/>
      <c r="F473" s="15"/>
      <c r="G473" s="15"/>
      <c r="H473" s="18"/>
      <c r="I473" s="15"/>
      <c r="J473" s="15"/>
      <c r="K473" s="19"/>
      <c r="L473" s="16"/>
      <c r="N473" s="45"/>
      <c r="O473" s="45"/>
      <c r="P473" s="45"/>
      <c r="Q473" s="45"/>
      <c r="R473" s="45"/>
      <c r="S473" s="45"/>
      <c r="T473" s="45"/>
      <c r="U473" s="45"/>
      <c r="V473" s="16"/>
      <c r="W473" s="16"/>
      <c r="X473" s="45"/>
      <c r="Y473" s="45"/>
      <c r="Z473" s="45"/>
      <c r="AA473" s="45"/>
      <c r="AB473" s="45"/>
      <c r="AC473" s="45"/>
    </row>
    <row r="474" spans="1:29" s="17" customFormat="1" x14ac:dyDescent="0.25">
      <c r="A474" s="16"/>
      <c r="B474" s="45"/>
      <c r="C474" s="16"/>
      <c r="D474" s="15"/>
      <c r="E474" s="15"/>
      <c r="F474" s="15"/>
      <c r="G474" s="15"/>
      <c r="H474" s="18"/>
      <c r="I474" s="15"/>
      <c r="J474" s="15"/>
      <c r="K474" s="19"/>
      <c r="L474" s="16"/>
      <c r="N474" s="45"/>
      <c r="O474" s="45"/>
      <c r="P474" s="45"/>
      <c r="Q474" s="45"/>
      <c r="R474" s="45"/>
      <c r="S474" s="45"/>
      <c r="T474" s="45"/>
      <c r="U474" s="45"/>
      <c r="V474" s="16"/>
      <c r="W474" s="16"/>
      <c r="X474" s="45"/>
      <c r="Y474" s="45"/>
      <c r="Z474" s="45"/>
      <c r="AA474" s="45"/>
      <c r="AB474" s="45"/>
      <c r="AC474" s="45"/>
    </row>
    <row r="475" spans="1:29" s="17" customFormat="1" x14ac:dyDescent="0.25">
      <c r="A475" s="16"/>
      <c r="B475" s="45"/>
      <c r="C475" s="16"/>
      <c r="D475" s="15"/>
      <c r="E475" s="15"/>
      <c r="F475" s="15"/>
      <c r="G475" s="15"/>
      <c r="H475" s="18"/>
      <c r="I475" s="15"/>
      <c r="J475" s="15"/>
      <c r="K475" s="19"/>
      <c r="L475" s="16"/>
      <c r="N475" s="45"/>
      <c r="O475" s="45"/>
      <c r="P475" s="45"/>
      <c r="Q475" s="45"/>
      <c r="R475" s="45"/>
      <c r="S475" s="45"/>
      <c r="T475" s="45"/>
      <c r="U475" s="45"/>
      <c r="V475" s="16"/>
      <c r="W475" s="16"/>
      <c r="X475" s="45"/>
      <c r="Y475" s="45"/>
      <c r="Z475" s="45"/>
      <c r="AA475" s="45"/>
      <c r="AB475" s="45"/>
      <c r="AC475" s="45"/>
    </row>
    <row r="476" spans="1:29" s="17" customFormat="1" x14ac:dyDescent="0.25">
      <c r="A476" s="16"/>
      <c r="B476" s="45"/>
      <c r="C476" s="16"/>
      <c r="D476" s="15"/>
      <c r="E476" s="15"/>
      <c r="F476" s="15"/>
      <c r="G476" s="15"/>
      <c r="H476" s="18"/>
      <c r="I476" s="15"/>
      <c r="J476" s="15"/>
      <c r="K476" s="19"/>
      <c r="L476" s="16"/>
      <c r="N476" s="45"/>
      <c r="O476" s="45"/>
      <c r="P476" s="45"/>
      <c r="Q476" s="45"/>
      <c r="R476" s="45"/>
      <c r="S476" s="45"/>
      <c r="T476" s="45"/>
      <c r="U476" s="45"/>
      <c r="V476" s="16"/>
      <c r="W476" s="16"/>
      <c r="X476" s="45"/>
      <c r="Y476" s="45"/>
      <c r="Z476" s="45"/>
      <c r="AA476" s="45"/>
      <c r="AB476" s="45"/>
      <c r="AC476" s="45"/>
    </row>
    <row r="477" spans="1:29" s="17" customFormat="1" x14ac:dyDescent="0.25">
      <c r="A477" s="16"/>
      <c r="B477" s="45"/>
      <c r="C477" s="16"/>
      <c r="D477" s="15"/>
      <c r="E477" s="15"/>
      <c r="F477" s="15"/>
      <c r="G477" s="15"/>
      <c r="H477" s="18"/>
      <c r="I477" s="15"/>
      <c r="J477" s="15"/>
      <c r="K477" s="19"/>
      <c r="L477" s="16"/>
      <c r="N477" s="45"/>
      <c r="O477" s="45"/>
      <c r="P477" s="45"/>
      <c r="Q477" s="45"/>
      <c r="R477" s="45"/>
      <c r="S477" s="45"/>
      <c r="T477" s="45"/>
      <c r="U477" s="45"/>
      <c r="V477" s="16"/>
      <c r="W477" s="16"/>
      <c r="X477" s="45"/>
      <c r="Y477" s="45"/>
      <c r="Z477" s="45"/>
      <c r="AA477" s="45"/>
      <c r="AB477" s="45"/>
      <c r="AC477" s="45"/>
    </row>
    <row r="478" spans="1:29" s="17" customFormat="1" x14ac:dyDescent="0.25">
      <c r="A478" s="16"/>
      <c r="B478" s="45"/>
      <c r="C478" s="16"/>
      <c r="D478" s="15"/>
      <c r="E478" s="15"/>
      <c r="F478" s="15"/>
      <c r="G478" s="15"/>
      <c r="H478" s="18"/>
      <c r="I478" s="15"/>
      <c r="J478" s="15"/>
      <c r="K478" s="19"/>
      <c r="L478" s="16"/>
      <c r="N478" s="45"/>
      <c r="O478" s="45"/>
      <c r="P478" s="45"/>
      <c r="Q478" s="45"/>
      <c r="R478" s="45"/>
      <c r="S478" s="45"/>
      <c r="T478" s="45"/>
      <c r="U478" s="45"/>
      <c r="V478" s="16"/>
      <c r="W478" s="16"/>
      <c r="X478" s="45"/>
      <c r="Y478" s="45"/>
      <c r="Z478" s="45"/>
      <c r="AA478" s="45"/>
      <c r="AB478" s="45"/>
      <c r="AC478" s="45"/>
    </row>
    <row r="479" spans="1:29" s="17" customFormat="1" x14ac:dyDescent="0.25">
      <c r="A479" s="16"/>
      <c r="B479" s="45"/>
      <c r="C479" s="16"/>
      <c r="D479" s="15"/>
      <c r="E479" s="15"/>
      <c r="F479" s="15"/>
      <c r="G479" s="15"/>
      <c r="H479" s="18"/>
      <c r="I479" s="15"/>
      <c r="J479" s="15"/>
      <c r="K479" s="19"/>
      <c r="L479" s="16"/>
      <c r="N479" s="45"/>
      <c r="O479" s="45"/>
      <c r="P479" s="45"/>
      <c r="Q479" s="45"/>
      <c r="R479" s="45"/>
      <c r="S479" s="45"/>
      <c r="T479" s="45"/>
      <c r="U479" s="45"/>
      <c r="V479" s="16"/>
      <c r="W479" s="16"/>
      <c r="X479" s="45"/>
      <c r="Y479" s="45"/>
      <c r="Z479" s="45"/>
      <c r="AA479" s="45"/>
      <c r="AB479" s="45"/>
      <c r="AC479" s="45"/>
    </row>
    <row r="480" spans="1:29" s="17" customFormat="1" x14ac:dyDescent="0.25">
      <c r="A480" s="16"/>
      <c r="B480" s="45"/>
      <c r="C480" s="16"/>
      <c r="D480" s="15"/>
      <c r="E480" s="15"/>
      <c r="F480" s="15"/>
      <c r="G480" s="15"/>
      <c r="H480" s="18"/>
      <c r="I480" s="15"/>
      <c r="J480" s="15"/>
      <c r="K480" s="19"/>
      <c r="L480" s="16"/>
      <c r="N480" s="45"/>
      <c r="O480" s="45"/>
      <c r="P480" s="45"/>
      <c r="Q480" s="45"/>
      <c r="R480" s="45"/>
      <c r="S480" s="45"/>
      <c r="T480" s="45"/>
      <c r="U480" s="45"/>
      <c r="V480" s="16"/>
      <c r="W480" s="16"/>
      <c r="X480" s="45"/>
      <c r="Y480" s="45"/>
      <c r="Z480" s="45"/>
      <c r="AA480" s="45"/>
      <c r="AB480" s="45"/>
      <c r="AC480" s="45"/>
    </row>
    <row r="481" spans="1:29" s="17" customFormat="1" x14ac:dyDescent="0.25">
      <c r="A481" s="16"/>
      <c r="B481" s="45"/>
      <c r="C481" s="16"/>
      <c r="D481" s="15"/>
      <c r="E481" s="15"/>
      <c r="F481" s="15"/>
      <c r="G481" s="15"/>
      <c r="H481" s="18"/>
      <c r="I481" s="15"/>
      <c r="J481" s="15"/>
      <c r="K481" s="19"/>
      <c r="L481" s="16"/>
      <c r="N481" s="45"/>
      <c r="O481" s="45"/>
      <c r="P481" s="45"/>
      <c r="Q481" s="45"/>
      <c r="R481" s="45"/>
      <c r="S481" s="45"/>
      <c r="T481" s="45"/>
      <c r="U481" s="45"/>
      <c r="V481" s="16"/>
      <c r="W481" s="16"/>
      <c r="X481" s="45"/>
      <c r="Y481" s="45"/>
      <c r="Z481" s="45"/>
      <c r="AA481" s="45"/>
      <c r="AB481" s="45"/>
      <c r="AC481" s="45"/>
    </row>
    <row r="482" spans="1:29" s="17" customFormat="1" x14ac:dyDescent="0.25">
      <c r="A482" s="16"/>
      <c r="B482" s="45"/>
      <c r="C482" s="16"/>
      <c r="D482" s="15"/>
      <c r="E482" s="15"/>
      <c r="F482" s="15"/>
      <c r="G482" s="15"/>
      <c r="H482" s="18"/>
      <c r="I482" s="15"/>
      <c r="J482" s="15"/>
      <c r="K482" s="19"/>
      <c r="L482" s="16"/>
      <c r="N482" s="45"/>
      <c r="O482" s="45"/>
      <c r="P482" s="45"/>
      <c r="Q482" s="45"/>
      <c r="R482" s="45"/>
      <c r="S482" s="45"/>
      <c r="T482" s="45"/>
      <c r="U482" s="45"/>
      <c r="V482" s="16"/>
      <c r="W482" s="16"/>
      <c r="X482" s="45"/>
      <c r="Y482" s="45"/>
      <c r="Z482" s="45"/>
      <c r="AA482" s="45"/>
      <c r="AB482" s="45"/>
      <c r="AC482" s="45"/>
    </row>
    <row r="483" spans="1:29" s="17" customFormat="1" x14ac:dyDescent="0.25">
      <c r="A483" s="16"/>
      <c r="B483" s="45"/>
      <c r="C483" s="16"/>
      <c r="D483" s="15"/>
      <c r="E483" s="15"/>
      <c r="F483" s="15"/>
      <c r="G483" s="15"/>
      <c r="H483" s="18"/>
      <c r="I483" s="15"/>
      <c r="J483" s="15"/>
      <c r="K483" s="19"/>
      <c r="L483" s="16"/>
      <c r="N483" s="45"/>
      <c r="O483" s="45"/>
      <c r="P483" s="45"/>
      <c r="Q483" s="45"/>
      <c r="R483" s="45"/>
      <c r="S483" s="45"/>
      <c r="T483" s="45"/>
      <c r="U483" s="45"/>
      <c r="V483" s="16"/>
      <c r="W483" s="16"/>
      <c r="X483" s="45"/>
      <c r="Y483" s="45"/>
      <c r="Z483" s="45"/>
      <c r="AA483" s="45"/>
      <c r="AB483" s="45"/>
      <c r="AC483" s="45"/>
    </row>
    <row r="484" spans="1:29" s="17" customFormat="1" x14ac:dyDescent="0.25">
      <c r="A484" s="16"/>
      <c r="B484" s="45"/>
      <c r="C484" s="16"/>
      <c r="D484" s="15"/>
      <c r="E484" s="15"/>
      <c r="F484" s="15"/>
      <c r="G484" s="15"/>
      <c r="H484" s="18"/>
      <c r="I484" s="15"/>
      <c r="J484" s="15"/>
      <c r="K484" s="19"/>
      <c r="L484" s="16"/>
      <c r="N484" s="45"/>
      <c r="O484" s="45"/>
      <c r="P484" s="45"/>
      <c r="Q484" s="45"/>
      <c r="R484" s="45"/>
      <c r="S484" s="45"/>
      <c r="T484" s="45"/>
      <c r="U484" s="45"/>
      <c r="V484" s="16"/>
      <c r="W484" s="16"/>
      <c r="X484" s="45"/>
      <c r="Y484" s="45"/>
      <c r="Z484" s="45"/>
      <c r="AA484" s="45"/>
      <c r="AB484" s="45"/>
      <c r="AC484" s="45"/>
    </row>
    <row r="485" spans="1:29" s="17" customFormat="1" x14ac:dyDescent="0.25">
      <c r="A485" s="16"/>
      <c r="B485" s="45"/>
      <c r="C485" s="16"/>
      <c r="D485" s="15"/>
      <c r="E485" s="15"/>
      <c r="F485" s="15"/>
      <c r="G485" s="15"/>
      <c r="H485" s="18"/>
      <c r="I485" s="15"/>
      <c r="J485" s="15"/>
      <c r="K485" s="19"/>
      <c r="L485" s="16"/>
      <c r="N485" s="45"/>
      <c r="O485" s="45"/>
      <c r="P485" s="45"/>
      <c r="Q485" s="45"/>
      <c r="R485" s="45"/>
      <c r="S485" s="45"/>
      <c r="T485" s="45"/>
      <c r="U485" s="45"/>
      <c r="V485" s="16"/>
      <c r="W485" s="16"/>
      <c r="X485" s="45"/>
      <c r="Y485" s="45"/>
      <c r="Z485" s="45"/>
      <c r="AA485" s="45"/>
      <c r="AB485" s="45"/>
      <c r="AC485" s="45"/>
    </row>
    <row r="486" spans="1:29" s="17" customFormat="1" x14ac:dyDescent="0.25">
      <c r="A486" s="16"/>
      <c r="B486" s="45"/>
      <c r="C486" s="16"/>
      <c r="D486" s="15"/>
      <c r="E486" s="15"/>
      <c r="F486" s="15"/>
      <c r="G486" s="15"/>
      <c r="H486" s="18"/>
      <c r="I486" s="15"/>
      <c r="J486" s="15"/>
      <c r="K486" s="19"/>
      <c r="L486" s="16"/>
      <c r="N486" s="45"/>
      <c r="O486" s="45"/>
      <c r="P486" s="45"/>
      <c r="Q486" s="45"/>
      <c r="R486" s="45"/>
      <c r="S486" s="45"/>
      <c r="T486" s="45"/>
      <c r="U486" s="45"/>
      <c r="V486" s="16"/>
      <c r="W486" s="16"/>
      <c r="X486" s="45"/>
      <c r="Y486" s="45"/>
      <c r="Z486" s="45"/>
      <c r="AA486" s="45"/>
      <c r="AB486" s="45"/>
      <c r="AC486" s="45"/>
    </row>
    <row r="487" spans="1:29" s="17" customFormat="1" x14ac:dyDescent="0.25">
      <c r="A487" s="16"/>
      <c r="B487" s="45"/>
      <c r="C487" s="16"/>
      <c r="D487" s="15"/>
      <c r="E487" s="15"/>
      <c r="F487" s="15"/>
      <c r="G487" s="15"/>
      <c r="H487" s="18"/>
      <c r="I487" s="15"/>
      <c r="J487" s="15"/>
      <c r="K487" s="19"/>
      <c r="L487" s="16"/>
      <c r="N487" s="45"/>
      <c r="O487" s="45"/>
      <c r="P487" s="45"/>
      <c r="Q487" s="45"/>
      <c r="R487" s="45"/>
      <c r="S487" s="45"/>
      <c r="T487" s="45"/>
      <c r="U487" s="45"/>
      <c r="V487" s="16"/>
      <c r="W487" s="16"/>
      <c r="X487" s="45"/>
      <c r="Y487" s="45"/>
      <c r="Z487" s="45"/>
      <c r="AA487" s="45"/>
      <c r="AB487" s="45"/>
      <c r="AC487" s="45"/>
    </row>
    <row r="488" spans="1:29" s="17" customFormat="1" x14ac:dyDescent="0.25">
      <c r="A488" s="16"/>
      <c r="B488" s="45"/>
      <c r="C488" s="16"/>
      <c r="D488" s="15"/>
      <c r="E488" s="15"/>
      <c r="F488" s="15"/>
      <c r="G488" s="15"/>
      <c r="H488" s="18"/>
      <c r="I488" s="15"/>
      <c r="J488" s="15"/>
      <c r="K488" s="19"/>
      <c r="L488" s="16"/>
      <c r="N488" s="45"/>
      <c r="O488" s="45"/>
      <c r="P488" s="45"/>
      <c r="Q488" s="45"/>
      <c r="R488" s="45"/>
      <c r="S488" s="45"/>
      <c r="T488" s="45"/>
      <c r="U488" s="45"/>
      <c r="V488" s="16"/>
      <c r="W488" s="16"/>
      <c r="X488" s="45"/>
      <c r="Y488" s="45"/>
      <c r="Z488" s="45"/>
      <c r="AA488" s="45"/>
      <c r="AB488" s="45"/>
      <c r="AC488" s="45"/>
    </row>
    <row r="489" spans="1:29" s="17" customFormat="1" x14ac:dyDescent="0.25">
      <c r="A489" s="16"/>
      <c r="B489" s="45"/>
      <c r="C489" s="16"/>
      <c r="D489" s="15"/>
      <c r="E489" s="15"/>
      <c r="F489" s="15"/>
      <c r="G489" s="15"/>
      <c r="H489" s="18"/>
      <c r="I489" s="15"/>
      <c r="J489" s="15"/>
      <c r="K489" s="19"/>
      <c r="L489" s="16"/>
      <c r="N489" s="45"/>
      <c r="O489" s="45"/>
      <c r="P489" s="45"/>
      <c r="Q489" s="45"/>
      <c r="R489" s="45"/>
      <c r="S489" s="45"/>
      <c r="T489" s="45"/>
      <c r="U489" s="45"/>
      <c r="V489" s="16"/>
      <c r="W489" s="16"/>
      <c r="X489" s="45"/>
      <c r="Y489" s="45"/>
      <c r="Z489" s="45"/>
      <c r="AA489" s="45"/>
      <c r="AB489" s="45"/>
      <c r="AC489" s="45"/>
    </row>
    <row r="490" spans="1:29" s="17" customFormat="1" x14ac:dyDescent="0.25">
      <c r="A490" s="16"/>
      <c r="B490" s="45"/>
      <c r="C490" s="16"/>
      <c r="D490" s="15"/>
      <c r="E490" s="15"/>
      <c r="F490" s="15"/>
      <c r="G490" s="15"/>
      <c r="H490" s="18"/>
      <c r="I490" s="15"/>
      <c r="J490" s="15"/>
      <c r="K490" s="19"/>
      <c r="L490" s="16"/>
      <c r="N490" s="45"/>
      <c r="O490" s="45"/>
      <c r="P490" s="45"/>
      <c r="Q490" s="45"/>
      <c r="R490" s="45"/>
      <c r="S490" s="45"/>
      <c r="T490" s="45"/>
      <c r="U490" s="45"/>
      <c r="V490" s="16"/>
      <c r="W490" s="16"/>
      <c r="X490" s="45"/>
      <c r="Y490" s="45"/>
      <c r="Z490" s="45"/>
      <c r="AA490" s="45"/>
      <c r="AB490" s="45"/>
      <c r="AC490" s="45"/>
    </row>
    <row r="491" spans="1:29" s="17" customFormat="1" x14ac:dyDescent="0.25">
      <c r="A491" s="16"/>
      <c r="B491" s="45"/>
      <c r="C491" s="16"/>
      <c r="D491" s="15"/>
      <c r="E491" s="15"/>
      <c r="F491" s="15"/>
      <c r="G491" s="15"/>
      <c r="H491" s="18"/>
      <c r="I491" s="15"/>
      <c r="J491" s="15"/>
      <c r="K491" s="19"/>
      <c r="L491" s="16"/>
      <c r="N491" s="45"/>
      <c r="O491" s="45"/>
      <c r="P491" s="45"/>
      <c r="Q491" s="45"/>
      <c r="R491" s="45"/>
      <c r="S491" s="45"/>
      <c r="T491" s="45"/>
      <c r="U491" s="45"/>
      <c r="V491" s="16"/>
      <c r="W491" s="16"/>
      <c r="X491" s="45"/>
      <c r="Y491" s="45"/>
      <c r="Z491" s="45"/>
      <c r="AA491" s="45"/>
      <c r="AB491" s="45"/>
      <c r="AC491" s="45"/>
    </row>
    <row r="492" spans="1:29" s="17" customFormat="1" x14ac:dyDescent="0.25">
      <c r="A492" s="16"/>
      <c r="B492" s="45"/>
      <c r="C492" s="16"/>
      <c r="D492" s="15"/>
      <c r="E492" s="15"/>
      <c r="F492" s="15"/>
      <c r="G492" s="15"/>
      <c r="H492" s="18"/>
      <c r="I492" s="15"/>
      <c r="J492" s="15"/>
      <c r="K492" s="19"/>
      <c r="L492" s="16"/>
      <c r="N492" s="45"/>
      <c r="O492" s="45"/>
      <c r="P492" s="45"/>
      <c r="Q492" s="45"/>
      <c r="R492" s="45"/>
      <c r="S492" s="45"/>
      <c r="T492" s="45"/>
      <c r="U492" s="45"/>
      <c r="V492" s="16"/>
      <c r="W492" s="16"/>
      <c r="X492" s="45"/>
      <c r="Y492" s="45"/>
      <c r="Z492" s="45"/>
      <c r="AA492" s="45"/>
      <c r="AB492" s="45"/>
      <c r="AC492" s="45"/>
    </row>
    <row r="493" spans="1:29" s="17" customFormat="1" x14ac:dyDescent="0.25">
      <c r="A493" s="16"/>
      <c r="B493" s="45"/>
      <c r="C493" s="16"/>
      <c r="D493" s="15"/>
      <c r="E493" s="15"/>
      <c r="F493" s="15"/>
      <c r="G493" s="15"/>
      <c r="H493" s="18"/>
      <c r="I493" s="15"/>
      <c r="J493" s="15"/>
      <c r="K493" s="19"/>
      <c r="L493" s="16"/>
      <c r="N493" s="45"/>
      <c r="O493" s="45"/>
      <c r="P493" s="45"/>
      <c r="Q493" s="45"/>
      <c r="R493" s="45"/>
      <c r="S493" s="45"/>
      <c r="T493" s="45"/>
      <c r="U493" s="45"/>
      <c r="V493" s="16"/>
      <c r="W493" s="16"/>
      <c r="X493" s="45"/>
      <c r="Y493" s="45"/>
      <c r="Z493" s="45"/>
      <c r="AA493" s="45"/>
      <c r="AB493" s="45"/>
      <c r="AC493" s="45"/>
    </row>
    <row r="494" spans="1:29" s="17" customFormat="1" x14ac:dyDescent="0.25">
      <c r="A494" s="16"/>
      <c r="B494" s="45"/>
      <c r="C494" s="16"/>
      <c r="D494" s="15"/>
      <c r="E494" s="15"/>
      <c r="F494" s="15"/>
      <c r="G494" s="15"/>
      <c r="H494" s="18"/>
      <c r="I494" s="15"/>
      <c r="J494" s="15"/>
      <c r="K494" s="19"/>
      <c r="L494" s="16"/>
      <c r="N494" s="45"/>
      <c r="O494" s="45"/>
      <c r="P494" s="45"/>
      <c r="Q494" s="45"/>
      <c r="R494" s="45"/>
      <c r="S494" s="45"/>
      <c r="T494" s="45"/>
      <c r="U494" s="45"/>
      <c r="V494" s="16"/>
      <c r="W494" s="16"/>
      <c r="X494" s="45"/>
      <c r="Y494" s="45"/>
      <c r="Z494" s="45"/>
      <c r="AA494" s="45"/>
      <c r="AB494" s="45"/>
      <c r="AC494" s="45"/>
    </row>
    <row r="495" spans="1:29" s="17" customFormat="1" x14ac:dyDescent="0.25">
      <c r="A495" s="16"/>
      <c r="B495" s="45"/>
      <c r="C495" s="16"/>
      <c r="D495" s="15"/>
      <c r="E495" s="15"/>
      <c r="F495" s="15"/>
      <c r="G495" s="15"/>
      <c r="H495" s="18"/>
      <c r="I495" s="15"/>
      <c r="J495" s="15"/>
      <c r="K495" s="19"/>
      <c r="L495" s="16"/>
      <c r="N495" s="45"/>
      <c r="O495" s="45"/>
      <c r="P495" s="45"/>
      <c r="Q495" s="45"/>
      <c r="R495" s="45"/>
      <c r="S495" s="45"/>
      <c r="T495" s="45"/>
      <c r="U495" s="45"/>
      <c r="V495" s="16"/>
      <c r="W495" s="16"/>
      <c r="X495" s="45"/>
      <c r="Y495" s="45"/>
      <c r="Z495" s="45"/>
      <c r="AA495" s="45"/>
      <c r="AB495" s="45"/>
      <c r="AC495" s="45"/>
    </row>
    <row r="496" spans="1:29" s="17" customFormat="1" x14ac:dyDescent="0.25">
      <c r="A496" s="16"/>
      <c r="B496" s="45"/>
      <c r="C496" s="16"/>
      <c r="D496" s="15"/>
      <c r="E496" s="15"/>
      <c r="F496" s="15"/>
      <c r="G496" s="15"/>
      <c r="H496" s="18"/>
      <c r="I496" s="15"/>
      <c r="J496" s="15"/>
      <c r="K496" s="19"/>
      <c r="L496" s="16"/>
      <c r="N496" s="45"/>
      <c r="O496" s="45"/>
      <c r="P496" s="45"/>
      <c r="Q496" s="45"/>
      <c r="R496" s="45"/>
      <c r="S496" s="45"/>
      <c r="T496" s="45"/>
      <c r="U496" s="45"/>
      <c r="V496" s="16"/>
      <c r="W496" s="16"/>
      <c r="X496" s="45"/>
      <c r="Y496" s="45"/>
      <c r="Z496" s="45"/>
      <c r="AA496" s="45"/>
      <c r="AB496" s="45"/>
      <c r="AC496" s="45"/>
    </row>
    <row r="497" spans="1:29" s="17" customFormat="1" x14ac:dyDescent="0.25">
      <c r="A497" s="16"/>
      <c r="B497" s="45"/>
      <c r="C497" s="16"/>
      <c r="D497" s="15"/>
      <c r="E497" s="15"/>
      <c r="F497" s="15"/>
      <c r="G497" s="15"/>
      <c r="H497" s="18"/>
      <c r="I497" s="15"/>
      <c r="J497" s="15"/>
      <c r="K497" s="19"/>
      <c r="L497" s="16"/>
      <c r="N497" s="45"/>
      <c r="O497" s="45"/>
      <c r="P497" s="45"/>
      <c r="Q497" s="45"/>
      <c r="R497" s="45"/>
      <c r="S497" s="45"/>
      <c r="T497" s="45"/>
      <c r="U497" s="45"/>
      <c r="V497" s="16"/>
      <c r="W497" s="16"/>
      <c r="X497" s="45"/>
      <c r="Y497" s="45"/>
      <c r="Z497" s="45"/>
      <c r="AA497" s="45"/>
      <c r="AB497" s="45"/>
      <c r="AC497" s="45"/>
    </row>
    <row r="498" spans="1:29" s="17" customFormat="1" x14ac:dyDescent="0.25">
      <c r="A498" s="16"/>
      <c r="B498" s="45"/>
      <c r="C498" s="16"/>
      <c r="D498" s="15"/>
      <c r="E498" s="15"/>
      <c r="F498" s="15"/>
      <c r="G498" s="15"/>
      <c r="H498" s="18"/>
      <c r="I498" s="15"/>
      <c r="J498" s="15"/>
      <c r="K498" s="19"/>
      <c r="L498" s="16"/>
      <c r="N498" s="45"/>
      <c r="O498" s="45"/>
      <c r="P498" s="45"/>
      <c r="Q498" s="45"/>
      <c r="R498" s="45"/>
      <c r="S498" s="45"/>
      <c r="T498" s="45"/>
      <c r="U498" s="45"/>
      <c r="V498" s="16"/>
      <c r="W498" s="16"/>
      <c r="X498" s="45"/>
      <c r="Y498" s="45"/>
      <c r="Z498" s="45"/>
      <c r="AA498" s="45"/>
      <c r="AB498" s="45"/>
      <c r="AC498" s="45"/>
    </row>
    <row r="499" spans="1:29" s="17" customFormat="1" x14ac:dyDescent="0.25">
      <c r="A499" s="16"/>
      <c r="B499" s="45"/>
      <c r="C499" s="16"/>
      <c r="D499" s="15"/>
      <c r="E499" s="15"/>
      <c r="F499" s="15"/>
      <c r="G499" s="15"/>
      <c r="H499" s="18"/>
      <c r="I499" s="15"/>
      <c r="J499" s="15"/>
      <c r="K499" s="19"/>
      <c r="L499" s="16"/>
      <c r="N499" s="45"/>
      <c r="O499" s="45"/>
      <c r="P499" s="45"/>
      <c r="Q499" s="45"/>
      <c r="R499" s="45"/>
      <c r="S499" s="45"/>
      <c r="T499" s="45"/>
      <c r="U499" s="45"/>
      <c r="V499" s="16"/>
      <c r="W499" s="16"/>
      <c r="X499" s="45"/>
      <c r="Y499" s="45"/>
      <c r="Z499" s="45"/>
      <c r="AA499" s="45"/>
      <c r="AB499" s="45"/>
      <c r="AC499" s="45"/>
    </row>
    <row r="500" spans="1:29" s="17" customFormat="1" x14ac:dyDescent="0.25">
      <c r="A500" s="16"/>
      <c r="B500" s="45"/>
      <c r="C500" s="16"/>
      <c r="D500" s="15"/>
      <c r="E500" s="15"/>
      <c r="F500" s="15"/>
      <c r="G500" s="15"/>
      <c r="H500" s="18"/>
      <c r="I500" s="15"/>
      <c r="J500" s="15"/>
      <c r="K500" s="19"/>
      <c r="L500" s="16"/>
      <c r="N500" s="45"/>
      <c r="O500" s="45"/>
      <c r="P500" s="45"/>
      <c r="Q500" s="45"/>
      <c r="R500" s="45"/>
      <c r="S500" s="45"/>
      <c r="T500" s="45"/>
      <c r="U500" s="45"/>
      <c r="V500" s="16"/>
      <c r="W500" s="16"/>
      <c r="X500" s="45"/>
      <c r="Y500" s="45"/>
      <c r="Z500" s="45"/>
      <c r="AA500" s="45"/>
      <c r="AB500" s="45"/>
      <c r="AC500" s="45"/>
    </row>
    <row r="501" spans="1:29" s="17" customFormat="1" x14ac:dyDescent="0.25">
      <c r="A501" s="16"/>
      <c r="B501" s="45"/>
      <c r="C501" s="16"/>
      <c r="D501" s="15"/>
      <c r="E501" s="15"/>
      <c r="F501" s="15"/>
      <c r="G501" s="15"/>
      <c r="H501" s="18"/>
      <c r="I501" s="15"/>
      <c r="J501" s="15"/>
      <c r="K501" s="19"/>
      <c r="L501" s="16"/>
      <c r="N501" s="45"/>
      <c r="O501" s="45"/>
      <c r="P501" s="45"/>
      <c r="Q501" s="45"/>
      <c r="R501" s="45"/>
      <c r="S501" s="45"/>
      <c r="T501" s="45"/>
      <c r="U501" s="45"/>
      <c r="V501" s="16"/>
      <c r="W501" s="16"/>
      <c r="X501" s="45"/>
      <c r="Y501" s="45"/>
      <c r="Z501" s="45"/>
      <c r="AA501" s="45"/>
      <c r="AB501" s="45"/>
      <c r="AC501" s="45"/>
    </row>
    <row r="502" spans="1:29" s="17" customFormat="1" x14ac:dyDescent="0.25">
      <c r="A502" s="16"/>
      <c r="B502" s="45"/>
      <c r="C502" s="16"/>
      <c r="D502" s="15"/>
      <c r="E502" s="15"/>
      <c r="F502" s="15"/>
      <c r="G502" s="15"/>
      <c r="H502" s="18"/>
      <c r="I502" s="15"/>
      <c r="J502" s="15"/>
      <c r="K502" s="19"/>
      <c r="L502" s="16"/>
      <c r="N502" s="45"/>
      <c r="O502" s="45"/>
      <c r="P502" s="45"/>
      <c r="Q502" s="45"/>
      <c r="R502" s="45"/>
      <c r="S502" s="45"/>
      <c r="T502" s="45"/>
      <c r="U502" s="45"/>
      <c r="V502" s="16"/>
      <c r="W502" s="16"/>
      <c r="X502" s="45"/>
      <c r="Y502" s="45"/>
      <c r="Z502" s="45"/>
      <c r="AA502" s="45"/>
      <c r="AB502" s="45"/>
      <c r="AC502" s="45"/>
    </row>
    <row r="503" spans="1:29" s="17" customFormat="1" x14ac:dyDescent="0.25">
      <c r="A503" s="16"/>
      <c r="B503" s="45"/>
      <c r="C503" s="16"/>
      <c r="D503" s="15"/>
      <c r="E503" s="15"/>
      <c r="F503" s="15"/>
      <c r="G503" s="15"/>
      <c r="H503" s="18"/>
      <c r="I503" s="15"/>
      <c r="J503" s="15"/>
      <c r="K503" s="19"/>
      <c r="L503" s="16"/>
      <c r="N503" s="45"/>
      <c r="O503" s="45"/>
      <c r="P503" s="45"/>
      <c r="Q503" s="45"/>
      <c r="R503" s="45"/>
      <c r="S503" s="45"/>
      <c r="T503" s="45"/>
      <c r="U503" s="45"/>
      <c r="V503" s="16"/>
      <c r="W503" s="16"/>
      <c r="X503" s="45"/>
      <c r="Y503" s="45"/>
      <c r="Z503" s="45"/>
      <c r="AA503" s="45"/>
      <c r="AB503" s="45"/>
      <c r="AC503" s="45"/>
    </row>
    <row r="504" spans="1:29" s="17" customFormat="1" x14ac:dyDescent="0.25">
      <c r="A504" s="16"/>
      <c r="B504" s="45"/>
      <c r="C504" s="16"/>
      <c r="D504" s="15"/>
      <c r="E504" s="15"/>
      <c r="F504" s="15"/>
      <c r="G504" s="15"/>
      <c r="H504" s="18"/>
      <c r="I504" s="15"/>
      <c r="J504" s="15"/>
      <c r="K504" s="19"/>
      <c r="L504" s="16"/>
      <c r="N504" s="45"/>
      <c r="O504" s="45"/>
      <c r="P504" s="45"/>
      <c r="Q504" s="45"/>
      <c r="R504" s="45"/>
      <c r="S504" s="45"/>
      <c r="T504" s="45"/>
      <c r="U504" s="45"/>
      <c r="V504" s="16"/>
      <c r="W504" s="16"/>
      <c r="X504" s="45"/>
      <c r="Y504" s="45"/>
      <c r="Z504" s="45"/>
      <c r="AA504" s="45"/>
      <c r="AB504" s="45"/>
      <c r="AC504" s="45"/>
    </row>
    <row r="505" spans="1:29" s="17" customFormat="1" x14ac:dyDescent="0.25">
      <c r="A505" s="16"/>
      <c r="B505" s="45"/>
      <c r="C505" s="16"/>
      <c r="D505" s="15"/>
      <c r="E505" s="15"/>
      <c r="F505" s="15"/>
      <c r="G505" s="15"/>
      <c r="H505" s="18"/>
      <c r="I505" s="15"/>
      <c r="J505" s="15"/>
      <c r="K505" s="19"/>
      <c r="L505" s="16"/>
      <c r="N505" s="45"/>
      <c r="O505" s="45"/>
      <c r="P505" s="45"/>
      <c r="Q505" s="45"/>
      <c r="R505" s="45"/>
      <c r="S505" s="45"/>
      <c r="T505" s="45"/>
      <c r="U505" s="45"/>
      <c r="V505" s="16"/>
      <c r="W505" s="16"/>
      <c r="X505" s="45"/>
      <c r="Y505" s="45"/>
      <c r="Z505" s="45"/>
      <c r="AA505" s="45"/>
      <c r="AB505" s="45"/>
      <c r="AC505" s="45"/>
    </row>
    <row r="506" spans="1:29" s="17" customFormat="1" x14ac:dyDescent="0.25">
      <c r="A506" s="16"/>
      <c r="B506" s="45"/>
      <c r="C506" s="16"/>
      <c r="D506" s="15"/>
      <c r="E506" s="15"/>
      <c r="F506" s="15"/>
      <c r="G506" s="15"/>
      <c r="H506" s="18"/>
      <c r="I506" s="15"/>
      <c r="J506" s="15"/>
      <c r="K506" s="19"/>
      <c r="L506" s="16"/>
      <c r="N506" s="45"/>
      <c r="O506" s="45"/>
      <c r="P506" s="45"/>
      <c r="Q506" s="45"/>
      <c r="R506" s="45"/>
      <c r="S506" s="45"/>
      <c r="T506" s="45"/>
      <c r="U506" s="45"/>
      <c r="V506" s="16"/>
      <c r="W506" s="16"/>
      <c r="X506" s="45"/>
      <c r="Y506" s="45"/>
      <c r="Z506" s="45"/>
      <c r="AA506" s="45"/>
      <c r="AB506" s="45"/>
      <c r="AC506" s="45"/>
    </row>
    <row r="507" spans="1:29" s="17" customFormat="1" x14ac:dyDescent="0.25">
      <c r="A507" s="16"/>
      <c r="B507" s="45"/>
      <c r="C507" s="16"/>
      <c r="D507" s="15"/>
      <c r="E507" s="15"/>
      <c r="F507" s="15"/>
      <c r="G507" s="15"/>
      <c r="H507" s="18"/>
      <c r="I507" s="15"/>
      <c r="J507" s="15"/>
      <c r="K507" s="19"/>
      <c r="L507" s="16"/>
      <c r="N507" s="45"/>
      <c r="O507" s="45"/>
      <c r="P507" s="45"/>
      <c r="Q507" s="45"/>
      <c r="R507" s="45"/>
      <c r="S507" s="45"/>
      <c r="T507" s="45"/>
      <c r="U507" s="45"/>
      <c r="V507" s="16"/>
      <c r="W507" s="16"/>
      <c r="X507" s="45"/>
      <c r="Y507" s="45"/>
      <c r="Z507" s="45"/>
      <c r="AA507" s="45"/>
      <c r="AB507" s="45"/>
      <c r="AC507" s="45"/>
    </row>
    <row r="508" spans="1:29" s="17" customFormat="1" x14ac:dyDescent="0.25">
      <c r="A508" s="16"/>
      <c r="B508" s="45"/>
      <c r="C508" s="16"/>
      <c r="D508" s="15"/>
      <c r="E508" s="15"/>
      <c r="F508" s="15"/>
      <c r="G508" s="15"/>
      <c r="H508" s="18"/>
      <c r="I508" s="15"/>
      <c r="J508" s="15"/>
      <c r="K508" s="19"/>
      <c r="L508" s="16"/>
      <c r="N508" s="45"/>
      <c r="O508" s="45"/>
      <c r="P508" s="45"/>
      <c r="Q508" s="45"/>
      <c r="R508" s="45"/>
      <c r="S508" s="45"/>
      <c r="T508" s="45"/>
      <c r="U508" s="45"/>
      <c r="V508" s="16"/>
      <c r="W508" s="16"/>
      <c r="X508" s="45"/>
      <c r="Y508" s="45"/>
      <c r="Z508" s="45"/>
      <c r="AA508" s="45"/>
      <c r="AB508" s="45"/>
      <c r="AC508" s="45"/>
    </row>
    <row r="509" spans="1:29" s="17" customFormat="1" x14ac:dyDescent="0.25">
      <c r="A509" s="16"/>
      <c r="B509" s="45"/>
      <c r="C509" s="16"/>
      <c r="D509" s="15"/>
      <c r="E509" s="15"/>
      <c r="F509" s="15"/>
      <c r="G509" s="15"/>
      <c r="H509" s="18"/>
      <c r="I509" s="15"/>
      <c r="J509" s="15"/>
      <c r="K509" s="19"/>
      <c r="L509" s="16"/>
      <c r="N509" s="45"/>
      <c r="O509" s="45"/>
      <c r="P509" s="45"/>
      <c r="Q509" s="45"/>
      <c r="R509" s="45"/>
      <c r="S509" s="45"/>
      <c r="T509" s="45"/>
      <c r="U509" s="45"/>
      <c r="V509" s="16"/>
      <c r="W509" s="16"/>
      <c r="X509" s="45"/>
      <c r="Y509" s="45"/>
      <c r="Z509" s="45"/>
      <c r="AA509" s="45"/>
      <c r="AB509" s="45"/>
      <c r="AC509" s="45"/>
    </row>
    <row r="510" spans="1:29" s="17" customFormat="1" x14ac:dyDescent="0.25">
      <c r="A510" s="16"/>
      <c r="B510" s="45"/>
      <c r="C510" s="16"/>
      <c r="D510" s="15"/>
      <c r="E510" s="15"/>
      <c r="F510" s="15"/>
      <c r="G510" s="15"/>
      <c r="H510" s="18"/>
      <c r="I510" s="15"/>
      <c r="J510" s="15"/>
      <c r="K510" s="19"/>
      <c r="L510" s="16"/>
      <c r="N510" s="45"/>
      <c r="O510" s="45"/>
      <c r="P510" s="45"/>
      <c r="Q510" s="45"/>
      <c r="R510" s="45"/>
      <c r="S510" s="45"/>
      <c r="T510" s="45"/>
      <c r="U510" s="45"/>
      <c r="V510" s="16"/>
      <c r="W510" s="16"/>
      <c r="X510" s="45"/>
      <c r="Y510" s="45"/>
      <c r="Z510" s="45"/>
      <c r="AA510" s="45"/>
      <c r="AB510" s="45"/>
      <c r="AC510" s="45"/>
    </row>
    <row r="511" spans="1:29" s="17" customFormat="1" x14ac:dyDescent="0.25">
      <c r="A511" s="16"/>
      <c r="B511" s="45"/>
      <c r="C511" s="16"/>
      <c r="D511" s="15"/>
      <c r="E511" s="15"/>
      <c r="F511" s="15"/>
      <c r="G511" s="15"/>
      <c r="H511" s="18"/>
      <c r="I511" s="15"/>
      <c r="J511" s="15"/>
      <c r="K511" s="19"/>
      <c r="L511" s="16"/>
      <c r="N511" s="45"/>
      <c r="O511" s="45"/>
      <c r="P511" s="45"/>
      <c r="Q511" s="45"/>
      <c r="R511" s="45"/>
      <c r="S511" s="45"/>
      <c r="T511" s="45"/>
      <c r="U511" s="45"/>
      <c r="V511" s="16"/>
      <c r="W511" s="16"/>
      <c r="X511" s="45"/>
      <c r="Y511" s="45"/>
      <c r="Z511" s="45"/>
      <c r="AA511" s="45"/>
      <c r="AB511" s="45"/>
      <c r="AC511" s="45"/>
    </row>
    <row r="512" spans="1:29" s="17" customFormat="1" x14ac:dyDescent="0.25">
      <c r="A512" s="16"/>
      <c r="B512" s="45"/>
      <c r="C512" s="16"/>
      <c r="D512" s="15"/>
      <c r="E512" s="15"/>
      <c r="F512" s="15"/>
      <c r="G512" s="15"/>
      <c r="H512" s="18"/>
      <c r="I512" s="15"/>
      <c r="J512" s="15"/>
      <c r="K512" s="19"/>
      <c r="L512" s="16"/>
      <c r="N512" s="45"/>
      <c r="O512" s="45"/>
      <c r="P512" s="45"/>
      <c r="Q512" s="45"/>
      <c r="R512" s="45"/>
      <c r="S512" s="45"/>
      <c r="T512" s="45"/>
      <c r="U512" s="45"/>
      <c r="V512" s="16"/>
      <c r="W512" s="16"/>
      <c r="X512" s="45"/>
      <c r="Y512" s="45"/>
      <c r="Z512" s="45"/>
      <c r="AA512" s="45"/>
      <c r="AB512" s="45"/>
      <c r="AC512" s="45"/>
    </row>
    <row r="513" spans="1:29" s="17" customFormat="1" x14ac:dyDescent="0.25">
      <c r="A513" s="16"/>
      <c r="B513" s="45"/>
      <c r="C513" s="16"/>
      <c r="D513" s="15"/>
      <c r="E513" s="15"/>
      <c r="F513" s="15"/>
      <c r="G513" s="15"/>
      <c r="H513" s="18"/>
      <c r="I513" s="15"/>
      <c r="J513" s="15"/>
      <c r="K513" s="19"/>
      <c r="L513" s="16"/>
      <c r="N513" s="45"/>
      <c r="O513" s="45"/>
      <c r="P513" s="45"/>
      <c r="Q513" s="45"/>
      <c r="R513" s="45"/>
      <c r="S513" s="45"/>
      <c r="T513" s="45"/>
      <c r="U513" s="45"/>
      <c r="V513" s="16"/>
      <c r="W513" s="16"/>
      <c r="X513" s="45"/>
      <c r="Y513" s="45"/>
      <c r="Z513" s="45"/>
      <c r="AA513" s="45"/>
      <c r="AB513" s="45"/>
      <c r="AC513" s="45"/>
    </row>
    <row r="514" spans="1:29" s="17" customFormat="1" x14ac:dyDescent="0.25">
      <c r="A514" s="16"/>
      <c r="B514" s="45"/>
      <c r="C514" s="16"/>
      <c r="D514" s="15"/>
      <c r="E514" s="15"/>
      <c r="F514" s="15"/>
      <c r="G514" s="15"/>
      <c r="H514" s="18"/>
      <c r="I514" s="15"/>
      <c r="J514" s="15"/>
      <c r="K514" s="19"/>
      <c r="L514" s="16"/>
      <c r="N514" s="45"/>
      <c r="O514" s="45"/>
      <c r="P514" s="45"/>
      <c r="Q514" s="45"/>
      <c r="R514" s="45"/>
      <c r="S514" s="45"/>
      <c r="T514" s="45"/>
      <c r="U514" s="45"/>
      <c r="V514" s="16"/>
      <c r="W514" s="16"/>
      <c r="X514" s="45"/>
      <c r="Y514" s="45"/>
      <c r="Z514" s="45"/>
      <c r="AA514" s="45"/>
      <c r="AB514" s="45"/>
      <c r="AC514" s="45"/>
    </row>
    <row r="515" spans="1:29" s="17" customFormat="1" x14ac:dyDescent="0.25">
      <c r="A515" s="16"/>
      <c r="B515" s="45"/>
      <c r="C515" s="16"/>
      <c r="D515" s="15"/>
      <c r="E515" s="15"/>
      <c r="F515" s="15"/>
      <c r="G515" s="15"/>
      <c r="H515" s="18"/>
      <c r="I515" s="15"/>
      <c r="J515" s="15"/>
      <c r="K515" s="19"/>
      <c r="L515" s="16"/>
      <c r="N515" s="45"/>
      <c r="O515" s="45"/>
      <c r="P515" s="45"/>
      <c r="Q515" s="45"/>
      <c r="R515" s="45"/>
      <c r="S515" s="45"/>
      <c r="T515" s="45"/>
      <c r="U515" s="45"/>
      <c r="V515" s="16"/>
      <c r="W515" s="16"/>
      <c r="X515" s="45"/>
      <c r="Y515" s="45"/>
      <c r="Z515" s="45"/>
      <c r="AA515" s="45"/>
      <c r="AB515" s="45"/>
      <c r="AC515" s="45"/>
    </row>
    <row r="516" spans="1:29" s="17" customFormat="1" x14ac:dyDescent="0.25">
      <c r="A516" s="16"/>
      <c r="B516" s="45"/>
      <c r="C516" s="16"/>
      <c r="D516" s="15"/>
      <c r="E516" s="15"/>
      <c r="F516" s="15"/>
      <c r="G516" s="15"/>
      <c r="H516" s="18"/>
      <c r="I516" s="15"/>
      <c r="J516" s="15"/>
      <c r="K516" s="19"/>
      <c r="L516" s="16"/>
      <c r="N516" s="45"/>
      <c r="O516" s="45"/>
      <c r="P516" s="45"/>
      <c r="Q516" s="45"/>
      <c r="R516" s="45"/>
      <c r="S516" s="45"/>
      <c r="T516" s="45"/>
      <c r="U516" s="45"/>
      <c r="V516" s="16"/>
      <c r="W516" s="16"/>
      <c r="X516" s="45"/>
      <c r="Y516" s="45"/>
      <c r="Z516" s="45"/>
      <c r="AA516" s="45"/>
      <c r="AB516" s="45"/>
      <c r="AC516" s="45"/>
    </row>
    <row r="517" spans="1:29" s="17" customFormat="1" x14ac:dyDescent="0.25">
      <c r="A517" s="16"/>
      <c r="B517" s="45"/>
      <c r="C517" s="16"/>
      <c r="D517" s="15"/>
      <c r="E517" s="15"/>
      <c r="F517" s="15"/>
      <c r="G517" s="15"/>
      <c r="H517" s="18"/>
      <c r="I517" s="15"/>
      <c r="J517" s="15"/>
      <c r="K517" s="19"/>
      <c r="L517" s="16"/>
      <c r="N517" s="45"/>
      <c r="O517" s="45"/>
      <c r="P517" s="45"/>
      <c r="Q517" s="45"/>
      <c r="R517" s="45"/>
      <c r="S517" s="45"/>
      <c r="T517" s="45"/>
      <c r="U517" s="45"/>
      <c r="V517" s="16"/>
      <c r="W517" s="16"/>
      <c r="X517" s="45"/>
      <c r="Y517" s="45"/>
      <c r="Z517" s="45"/>
      <c r="AA517" s="45"/>
      <c r="AB517" s="45"/>
      <c r="AC517" s="45"/>
    </row>
    <row r="518" spans="1:29" s="17" customFormat="1" x14ac:dyDescent="0.25">
      <c r="A518" s="16"/>
      <c r="B518" s="45"/>
      <c r="C518" s="16"/>
      <c r="D518" s="15"/>
      <c r="E518" s="15"/>
      <c r="F518" s="15"/>
      <c r="G518" s="15"/>
      <c r="H518" s="18"/>
      <c r="I518" s="15"/>
      <c r="J518" s="15"/>
      <c r="K518" s="19"/>
      <c r="L518" s="16"/>
      <c r="N518" s="45"/>
      <c r="O518" s="45"/>
      <c r="P518" s="45"/>
      <c r="Q518" s="45"/>
      <c r="R518" s="45"/>
      <c r="S518" s="45"/>
      <c r="T518" s="45"/>
      <c r="U518" s="45"/>
      <c r="V518" s="16"/>
      <c r="W518" s="16"/>
      <c r="X518" s="45"/>
      <c r="Y518" s="45"/>
      <c r="Z518" s="45"/>
      <c r="AA518" s="45"/>
      <c r="AB518" s="45"/>
      <c r="AC518" s="45"/>
    </row>
    <row r="519" spans="1:29" s="17" customFormat="1" x14ac:dyDescent="0.25">
      <c r="A519" s="16"/>
      <c r="B519" s="45"/>
      <c r="C519" s="16"/>
      <c r="D519" s="15"/>
      <c r="E519" s="15"/>
      <c r="F519" s="15"/>
      <c r="G519" s="15"/>
      <c r="H519" s="18"/>
      <c r="I519" s="15"/>
      <c r="J519" s="15"/>
      <c r="K519" s="19"/>
      <c r="L519" s="16"/>
      <c r="N519" s="45"/>
      <c r="O519" s="45"/>
      <c r="P519" s="45"/>
      <c r="Q519" s="45"/>
      <c r="R519" s="45"/>
      <c r="S519" s="45"/>
      <c r="T519" s="45"/>
      <c r="U519" s="45"/>
      <c r="V519" s="16"/>
      <c r="W519" s="16"/>
      <c r="X519" s="45"/>
      <c r="Y519" s="45"/>
      <c r="Z519" s="45"/>
      <c r="AA519" s="45"/>
      <c r="AB519" s="45"/>
      <c r="AC519" s="45"/>
    </row>
    <row r="520" spans="1:29" s="17" customFormat="1" x14ac:dyDescent="0.25">
      <c r="A520" s="16"/>
      <c r="B520" s="45"/>
      <c r="C520" s="16"/>
      <c r="D520" s="15"/>
      <c r="E520" s="15"/>
      <c r="F520" s="15"/>
      <c r="G520" s="15"/>
      <c r="H520" s="18"/>
      <c r="I520" s="15"/>
      <c r="J520" s="15"/>
      <c r="K520" s="19"/>
      <c r="L520" s="16"/>
      <c r="N520" s="45"/>
      <c r="O520" s="45"/>
      <c r="P520" s="45"/>
      <c r="Q520" s="45"/>
      <c r="R520" s="45"/>
      <c r="S520" s="45"/>
      <c r="T520" s="45"/>
      <c r="U520" s="45"/>
      <c r="V520" s="16"/>
      <c r="W520" s="16"/>
      <c r="X520" s="45"/>
      <c r="Y520" s="45"/>
      <c r="Z520" s="45"/>
      <c r="AA520" s="45"/>
      <c r="AB520" s="45"/>
      <c r="AC520" s="45"/>
    </row>
    <row r="521" spans="1:29" s="17" customFormat="1" x14ac:dyDescent="0.25">
      <c r="A521" s="16"/>
      <c r="B521" s="45"/>
      <c r="C521" s="16"/>
      <c r="D521" s="15"/>
      <c r="E521" s="15"/>
      <c r="F521" s="15"/>
      <c r="G521" s="15"/>
      <c r="H521" s="18"/>
      <c r="I521" s="15"/>
      <c r="J521" s="15"/>
      <c r="K521" s="19"/>
      <c r="L521" s="16"/>
      <c r="N521" s="45"/>
      <c r="O521" s="45"/>
      <c r="P521" s="45"/>
      <c r="Q521" s="45"/>
      <c r="R521" s="45"/>
      <c r="S521" s="45"/>
      <c r="T521" s="45"/>
      <c r="U521" s="45"/>
      <c r="V521" s="16"/>
      <c r="W521" s="16"/>
      <c r="X521" s="45"/>
      <c r="Y521" s="45"/>
      <c r="Z521" s="45"/>
      <c r="AA521" s="45"/>
      <c r="AB521" s="45"/>
      <c r="AC521" s="45"/>
    </row>
    <row r="522" spans="1:29" s="17" customFormat="1" x14ac:dyDescent="0.25">
      <c r="A522" s="16"/>
      <c r="B522" s="45"/>
      <c r="C522" s="16"/>
      <c r="D522" s="15"/>
      <c r="E522" s="15"/>
      <c r="F522" s="15"/>
      <c r="G522" s="15"/>
      <c r="H522" s="18"/>
      <c r="I522" s="15"/>
      <c r="J522" s="15"/>
      <c r="K522" s="19"/>
      <c r="L522" s="16"/>
      <c r="N522" s="45"/>
      <c r="O522" s="45"/>
      <c r="P522" s="45"/>
      <c r="Q522" s="45"/>
      <c r="R522" s="45"/>
      <c r="S522" s="45"/>
      <c r="T522" s="45"/>
      <c r="U522" s="45"/>
      <c r="V522" s="16"/>
      <c r="W522" s="16"/>
      <c r="X522" s="45"/>
      <c r="Y522" s="45"/>
      <c r="Z522" s="45"/>
      <c r="AA522" s="45"/>
      <c r="AB522" s="45"/>
      <c r="AC522" s="45"/>
    </row>
    <row r="523" spans="1:29" s="17" customFormat="1" x14ac:dyDescent="0.25">
      <c r="A523" s="16"/>
      <c r="B523" s="45"/>
      <c r="C523" s="16"/>
      <c r="D523" s="15"/>
      <c r="E523" s="15"/>
      <c r="F523" s="15"/>
      <c r="G523" s="15"/>
      <c r="H523" s="18"/>
      <c r="I523" s="15"/>
      <c r="J523" s="15"/>
      <c r="K523" s="19"/>
      <c r="L523" s="16"/>
      <c r="N523" s="45"/>
      <c r="O523" s="45"/>
      <c r="P523" s="45"/>
      <c r="Q523" s="45"/>
      <c r="R523" s="45"/>
      <c r="S523" s="45"/>
      <c r="T523" s="45"/>
      <c r="U523" s="45"/>
      <c r="V523" s="16"/>
      <c r="W523" s="16"/>
      <c r="X523" s="45"/>
      <c r="Y523" s="45"/>
      <c r="Z523" s="45"/>
      <c r="AA523" s="45"/>
      <c r="AB523" s="45"/>
      <c r="AC523" s="45"/>
    </row>
    <row r="524" spans="1:29" s="17" customFormat="1" x14ac:dyDescent="0.25">
      <c r="A524" s="16"/>
      <c r="B524" s="45"/>
      <c r="C524" s="16"/>
      <c r="D524" s="15"/>
      <c r="E524" s="15"/>
      <c r="F524" s="15"/>
      <c r="G524" s="15"/>
      <c r="H524" s="18"/>
      <c r="I524" s="15"/>
      <c r="J524" s="15"/>
      <c r="K524" s="19"/>
      <c r="L524" s="16"/>
      <c r="N524" s="45"/>
      <c r="O524" s="45"/>
      <c r="P524" s="45"/>
      <c r="Q524" s="45"/>
      <c r="R524" s="45"/>
      <c r="S524" s="45"/>
      <c r="T524" s="45"/>
      <c r="U524" s="45"/>
      <c r="V524" s="16"/>
      <c r="W524" s="16"/>
      <c r="X524" s="45"/>
      <c r="Y524" s="45"/>
      <c r="Z524" s="45"/>
      <c r="AA524" s="45"/>
      <c r="AB524" s="45"/>
      <c r="AC524" s="45"/>
    </row>
    <row r="525" spans="1:29" s="17" customFormat="1" x14ac:dyDescent="0.25">
      <c r="A525" s="16"/>
      <c r="B525" s="45"/>
      <c r="C525" s="16"/>
      <c r="D525" s="15"/>
      <c r="E525" s="15"/>
      <c r="F525" s="15"/>
      <c r="G525" s="15"/>
      <c r="H525" s="18"/>
      <c r="I525" s="15"/>
      <c r="J525" s="15"/>
      <c r="K525" s="19"/>
      <c r="L525" s="16"/>
      <c r="N525" s="45"/>
      <c r="O525" s="45"/>
      <c r="P525" s="45"/>
      <c r="Q525" s="45"/>
      <c r="R525" s="45"/>
      <c r="S525" s="45"/>
      <c r="T525" s="45"/>
      <c r="U525" s="45"/>
      <c r="V525" s="16"/>
      <c r="W525" s="16"/>
      <c r="X525" s="45"/>
      <c r="Y525" s="45"/>
      <c r="Z525" s="45"/>
      <c r="AA525" s="45"/>
      <c r="AB525" s="45"/>
      <c r="AC525" s="45"/>
    </row>
    <row r="526" spans="1:29" s="17" customFormat="1" x14ac:dyDescent="0.25">
      <c r="A526" s="16"/>
      <c r="B526" s="45"/>
      <c r="C526" s="16"/>
      <c r="D526" s="15"/>
      <c r="E526" s="15"/>
      <c r="F526" s="15"/>
      <c r="G526" s="15"/>
      <c r="H526" s="18"/>
      <c r="I526" s="15"/>
      <c r="J526" s="15"/>
      <c r="K526" s="19"/>
      <c r="L526" s="16"/>
      <c r="N526" s="45"/>
      <c r="O526" s="45"/>
      <c r="P526" s="45"/>
      <c r="Q526" s="45"/>
      <c r="R526" s="45"/>
      <c r="S526" s="45"/>
      <c r="T526" s="45"/>
      <c r="U526" s="45"/>
      <c r="V526" s="16"/>
      <c r="W526" s="16"/>
      <c r="X526" s="45"/>
      <c r="Y526" s="45"/>
      <c r="Z526" s="45"/>
      <c r="AA526" s="45"/>
      <c r="AB526" s="45"/>
      <c r="AC526" s="45"/>
    </row>
    <row r="527" spans="1:29" s="17" customFormat="1" x14ac:dyDescent="0.25">
      <c r="A527" s="16"/>
      <c r="B527" s="45"/>
      <c r="C527" s="16"/>
      <c r="D527" s="15"/>
      <c r="E527" s="15"/>
      <c r="F527" s="15"/>
      <c r="G527" s="15"/>
      <c r="H527" s="18"/>
      <c r="I527" s="15"/>
      <c r="J527" s="15"/>
      <c r="K527" s="19"/>
      <c r="L527" s="16"/>
      <c r="N527" s="45"/>
      <c r="O527" s="45"/>
      <c r="P527" s="45"/>
      <c r="Q527" s="45"/>
      <c r="R527" s="45"/>
      <c r="S527" s="45"/>
      <c r="T527" s="45"/>
      <c r="U527" s="45"/>
      <c r="V527" s="16"/>
      <c r="W527" s="16"/>
      <c r="X527" s="45"/>
      <c r="Y527" s="45"/>
      <c r="Z527" s="45"/>
      <c r="AA527" s="45"/>
      <c r="AB527" s="45"/>
      <c r="AC527" s="45"/>
    </row>
    <row r="528" spans="1:29" s="17" customFormat="1" x14ac:dyDescent="0.25">
      <c r="A528" s="16"/>
      <c r="B528" s="45"/>
      <c r="C528" s="16"/>
      <c r="D528" s="15"/>
      <c r="E528" s="15"/>
      <c r="F528" s="15"/>
      <c r="G528" s="15"/>
      <c r="H528" s="18"/>
      <c r="I528" s="15"/>
      <c r="J528" s="15"/>
      <c r="K528" s="19"/>
      <c r="L528" s="16"/>
      <c r="N528" s="45"/>
      <c r="O528" s="45"/>
      <c r="P528" s="45"/>
      <c r="Q528" s="45"/>
      <c r="R528" s="45"/>
      <c r="S528" s="45"/>
      <c r="T528" s="45"/>
      <c r="U528" s="45"/>
      <c r="V528" s="16"/>
      <c r="W528" s="16"/>
      <c r="X528" s="45"/>
      <c r="Y528" s="45"/>
      <c r="Z528" s="45"/>
      <c r="AA528" s="45"/>
      <c r="AB528" s="45"/>
      <c r="AC528" s="45"/>
    </row>
    <row r="529" spans="1:29" s="17" customFormat="1" x14ac:dyDescent="0.25">
      <c r="A529" s="16"/>
      <c r="B529" s="45"/>
      <c r="C529" s="16"/>
      <c r="D529" s="15"/>
      <c r="E529" s="15"/>
      <c r="F529" s="15"/>
      <c r="G529" s="15"/>
      <c r="H529" s="18"/>
      <c r="I529" s="15"/>
      <c r="J529" s="15"/>
      <c r="K529" s="19"/>
      <c r="L529" s="16"/>
      <c r="N529" s="45"/>
      <c r="O529" s="45"/>
      <c r="P529" s="45"/>
      <c r="Q529" s="45"/>
      <c r="R529" s="45"/>
      <c r="S529" s="45"/>
      <c r="T529" s="45"/>
      <c r="U529" s="45"/>
      <c r="V529" s="16"/>
      <c r="W529" s="16"/>
      <c r="X529" s="45"/>
      <c r="Y529" s="45"/>
      <c r="Z529" s="45"/>
      <c r="AA529" s="45"/>
      <c r="AB529" s="45"/>
      <c r="AC529" s="45"/>
    </row>
    <row r="530" spans="1:29" s="17" customFormat="1" x14ac:dyDescent="0.25">
      <c r="A530" s="16"/>
      <c r="B530" s="45"/>
      <c r="C530" s="16"/>
      <c r="D530" s="15"/>
      <c r="E530" s="15"/>
      <c r="F530" s="15"/>
      <c r="G530" s="15"/>
      <c r="H530" s="18"/>
      <c r="I530" s="15"/>
      <c r="J530" s="15"/>
      <c r="K530" s="19"/>
      <c r="L530" s="16"/>
      <c r="N530" s="45"/>
      <c r="O530" s="45"/>
      <c r="P530" s="45"/>
      <c r="Q530" s="45"/>
      <c r="R530" s="45"/>
      <c r="S530" s="45"/>
      <c r="T530" s="45"/>
      <c r="U530" s="45"/>
      <c r="V530" s="16"/>
      <c r="W530" s="16"/>
      <c r="X530" s="45"/>
      <c r="Y530" s="45"/>
      <c r="Z530" s="45"/>
      <c r="AA530" s="45"/>
      <c r="AB530" s="45"/>
      <c r="AC530" s="45"/>
    </row>
    <row r="531" spans="1:29" s="17" customFormat="1" x14ac:dyDescent="0.25">
      <c r="A531" s="16"/>
      <c r="B531" s="45"/>
      <c r="C531" s="16"/>
      <c r="D531" s="15"/>
      <c r="E531" s="15"/>
      <c r="F531" s="15"/>
      <c r="G531" s="15"/>
      <c r="H531" s="18"/>
      <c r="I531" s="15"/>
      <c r="J531" s="15"/>
      <c r="K531" s="19"/>
      <c r="L531" s="16"/>
      <c r="N531" s="45"/>
      <c r="O531" s="45"/>
      <c r="P531" s="45"/>
      <c r="Q531" s="45"/>
      <c r="R531" s="45"/>
      <c r="S531" s="45"/>
      <c r="T531" s="45"/>
      <c r="U531" s="45"/>
      <c r="V531" s="16"/>
      <c r="W531" s="16"/>
      <c r="X531" s="45"/>
      <c r="Y531" s="45"/>
      <c r="Z531" s="45"/>
      <c r="AA531" s="45"/>
      <c r="AB531" s="45"/>
      <c r="AC531" s="45"/>
    </row>
    <row r="532" spans="1:29" s="17" customFormat="1" x14ac:dyDescent="0.25">
      <c r="A532" s="16"/>
      <c r="B532" s="45"/>
      <c r="C532" s="16"/>
      <c r="D532" s="15"/>
      <c r="E532" s="15"/>
      <c r="F532" s="15"/>
      <c r="G532" s="15"/>
      <c r="H532" s="18"/>
      <c r="I532" s="15"/>
      <c r="J532" s="15"/>
      <c r="K532" s="19"/>
      <c r="L532" s="16"/>
      <c r="N532" s="45"/>
      <c r="O532" s="45"/>
      <c r="P532" s="45"/>
      <c r="Q532" s="45"/>
      <c r="R532" s="45"/>
      <c r="S532" s="45"/>
      <c r="T532" s="45"/>
      <c r="U532" s="45"/>
      <c r="V532" s="16"/>
      <c r="W532" s="16"/>
      <c r="X532" s="45"/>
      <c r="Y532" s="45"/>
      <c r="Z532" s="45"/>
      <c r="AA532" s="45"/>
      <c r="AB532" s="45"/>
      <c r="AC532" s="45"/>
    </row>
    <row r="533" spans="1:29" s="17" customFormat="1" x14ac:dyDescent="0.25">
      <c r="A533" s="16"/>
      <c r="B533" s="45"/>
      <c r="C533" s="16"/>
      <c r="D533" s="15"/>
      <c r="E533" s="15"/>
      <c r="F533" s="15"/>
      <c r="G533" s="15"/>
      <c r="H533" s="18"/>
      <c r="I533" s="15"/>
      <c r="J533" s="15"/>
      <c r="K533" s="19"/>
      <c r="L533" s="16"/>
      <c r="N533" s="45"/>
      <c r="O533" s="45"/>
      <c r="P533" s="45"/>
      <c r="Q533" s="45"/>
      <c r="R533" s="45"/>
      <c r="S533" s="45"/>
      <c r="T533" s="45"/>
      <c r="U533" s="45"/>
      <c r="V533" s="16"/>
      <c r="W533" s="16"/>
      <c r="X533" s="45"/>
      <c r="Y533" s="45"/>
      <c r="Z533" s="45"/>
      <c r="AA533" s="45"/>
      <c r="AB533" s="45"/>
      <c r="AC533" s="45"/>
    </row>
    <row r="534" spans="1:29" s="17" customFormat="1" x14ac:dyDescent="0.25">
      <c r="A534" s="16"/>
      <c r="B534" s="45"/>
      <c r="C534" s="16"/>
      <c r="D534" s="15"/>
      <c r="E534" s="15"/>
      <c r="F534" s="15"/>
      <c r="G534" s="15"/>
      <c r="H534" s="18"/>
      <c r="I534" s="15"/>
      <c r="J534" s="15"/>
      <c r="K534" s="19"/>
      <c r="L534" s="16"/>
      <c r="N534" s="45"/>
      <c r="O534" s="45"/>
      <c r="P534" s="45"/>
      <c r="Q534" s="45"/>
      <c r="R534" s="45"/>
      <c r="S534" s="45"/>
      <c r="T534" s="45"/>
      <c r="U534" s="45"/>
      <c r="V534" s="16"/>
      <c r="W534" s="16"/>
      <c r="X534" s="45"/>
      <c r="Y534" s="45"/>
      <c r="Z534" s="45"/>
      <c r="AA534" s="45"/>
      <c r="AB534" s="45"/>
      <c r="AC534" s="45"/>
    </row>
    <row r="535" spans="1:29" s="17" customFormat="1" x14ac:dyDescent="0.25">
      <c r="A535" s="16"/>
      <c r="B535" s="45"/>
      <c r="C535" s="16"/>
      <c r="D535" s="15"/>
      <c r="E535" s="15"/>
      <c r="F535" s="15"/>
      <c r="G535" s="15"/>
      <c r="H535" s="18"/>
      <c r="I535" s="15"/>
      <c r="J535" s="15"/>
      <c r="K535" s="19"/>
      <c r="L535" s="16"/>
      <c r="N535" s="45"/>
      <c r="O535" s="45"/>
      <c r="P535" s="45"/>
      <c r="Q535" s="45"/>
      <c r="R535" s="45"/>
      <c r="S535" s="45"/>
      <c r="T535" s="45"/>
      <c r="U535" s="45"/>
      <c r="V535" s="16"/>
      <c r="W535" s="16"/>
      <c r="X535" s="45"/>
      <c r="Y535" s="45"/>
      <c r="Z535" s="45"/>
      <c r="AA535" s="45"/>
      <c r="AB535" s="45"/>
      <c r="AC535" s="45"/>
    </row>
    <row r="536" spans="1:29" s="17" customFormat="1" x14ac:dyDescent="0.25">
      <c r="A536" s="16"/>
      <c r="B536" s="45"/>
      <c r="C536" s="16"/>
      <c r="D536" s="15"/>
      <c r="E536" s="15"/>
      <c r="F536" s="15"/>
      <c r="G536" s="15"/>
      <c r="H536" s="18"/>
      <c r="I536" s="15"/>
      <c r="J536" s="15"/>
      <c r="K536" s="19"/>
      <c r="L536" s="16"/>
      <c r="N536" s="45"/>
      <c r="O536" s="45"/>
      <c r="P536" s="45"/>
      <c r="Q536" s="45"/>
      <c r="R536" s="45"/>
      <c r="S536" s="45"/>
      <c r="T536" s="45"/>
      <c r="U536" s="45"/>
      <c r="V536" s="16"/>
      <c r="W536" s="16"/>
      <c r="X536" s="45"/>
      <c r="Y536" s="45"/>
      <c r="Z536" s="45"/>
      <c r="AA536" s="45"/>
      <c r="AB536" s="45"/>
      <c r="AC536" s="45"/>
    </row>
    <row r="537" spans="1:29" s="17" customFormat="1" x14ac:dyDescent="0.25">
      <c r="A537" s="16"/>
      <c r="B537" s="45"/>
      <c r="C537" s="16"/>
      <c r="D537" s="15"/>
      <c r="E537" s="15"/>
      <c r="F537" s="15"/>
      <c r="G537" s="15"/>
      <c r="H537" s="18"/>
      <c r="I537" s="15"/>
      <c r="J537" s="15"/>
      <c r="K537" s="19"/>
      <c r="L537" s="16"/>
      <c r="N537" s="45"/>
      <c r="O537" s="45"/>
      <c r="P537" s="45"/>
      <c r="Q537" s="45"/>
      <c r="R537" s="45"/>
      <c r="S537" s="45"/>
      <c r="T537" s="45"/>
      <c r="U537" s="45"/>
      <c r="V537" s="16"/>
      <c r="W537" s="16"/>
      <c r="X537" s="45"/>
      <c r="Y537" s="45"/>
      <c r="Z537" s="45"/>
      <c r="AA537" s="45"/>
      <c r="AB537" s="45"/>
      <c r="AC537" s="45"/>
    </row>
    <row r="538" spans="1:29" s="17" customFormat="1" x14ac:dyDescent="0.25">
      <c r="A538" s="16"/>
      <c r="B538" s="45"/>
      <c r="C538" s="16"/>
      <c r="D538" s="15"/>
      <c r="E538" s="15"/>
      <c r="F538" s="15"/>
      <c r="G538" s="15"/>
      <c r="H538" s="18"/>
      <c r="I538" s="15"/>
      <c r="J538" s="15"/>
      <c r="K538" s="19"/>
      <c r="L538" s="16"/>
      <c r="N538" s="45"/>
      <c r="O538" s="45"/>
      <c r="P538" s="45"/>
      <c r="Q538" s="45"/>
      <c r="R538" s="45"/>
      <c r="S538" s="45"/>
      <c r="T538" s="45"/>
      <c r="U538" s="45"/>
      <c r="V538" s="16"/>
      <c r="W538" s="16"/>
      <c r="X538" s="45"/>
      <c r="Y538" s="45"/>
      <c r="Z538" s="45"/>
      <c r="AA538" s="45"/>
      <c r="AB538" s="45"/>
      <c r="AC538" s="45"/>
    </row>
    <row r="539" spans="1:29" x14ac:dyDescent="0.25">
      <c r="L539" s="16"/>
    </row>
    <row r="540" spans="1:29" x14ac:dyDescent="0.25">
      <c r="L540" s="16"/>
      <c r="N540" s="17"/>
      <c r="O540" s="38"/>
    </row>
    <row r="541" spans="1:29" x14ac:dyDescent="0.25">
      <c r="L541" s="16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9"/>
  <dimension ref="A1:L127"/>
  <sheetViews>
    <sheetView workbookViewId="0"/>
  </sheetViews>
  <sheetFormatPr defaultRowHeight="15" x14ac:dyDescent="0.25"/>
  <cols>
    <col min="1" max="1" width="12.7109375" style="16" customWidth="1"/>
  </cols>
  <sheetData>
    <row r="1" spans="1:11" s="3" customFormat="1" ht="45" x14ac:dyDescent="0.25">
      <c r="A1" s="7" t="s">
        <v>24</v>
      </c>
      <c r="E1" s="3" t="s">
        <v>26</v>
      </c>
      <c r="F1" s="3" t="s">
        <v>25</v>
      </c>
      <c r="G1" s="3" t="s">
        <v>32</v>
      </c>
    </row>
    <row r="2" spans="1:11" s="3" customFormat="1" x14ac:dyDescent="0.25">
      <c r="A2" s="16">
        <v>9.9999999999999995E-7</v>
      </c>
      <c r="B2" s="15">
        <v>74.135000000000005</v>
      </c>
      <c r="C2" s="15">
        <v>2.3935000000000001E-10</v>
      </c>
      <c r="D2" s="15">
        <v>24.052</v>
      </c>
      <c r="E2" s="15">
        <v>9.9999999999999997E+98</v>
      </c>
      <c r="F2" s="15">
        <v>0</v>
      </c>
      <c r="G2" s="15">
        <v>3513500</v>
      </c>
      <c r="H2" s="15">
        <v>5.6135999999999999</v>
      </c>
      <c r="I2" s="15">
        <v>1</v>
      </c>
      <c r="J2" s="15">
        <v>1.4141999999999999</v>
      </c>
      <c r="K2" s="15">
        <v>7.3587000000000001E-12</v>
      </c>
    </row>
    <row r="3" spans="1:11" x14ac:dyDescent="0.25">
      <c r="A3" s="16">
        <v>9.9999999999999995E-7</v>
      </c>
      <c r="B3" s="15">
        <v>74.135000000000005</v>
      </c>
      <c r="C3" s="15">
        <v>2.3935000000000001E-10</v>
      </c>
      <c r="D3" s="15">
        <v>24.052</v>
      </c>
      <c r="E3" s="15">
        <v>2553500</v>
      </c>
      <c r="F3" s="15">
        <v>1.4716999999999999E-11</v>
      </c>
      <c r="G3" s="15">
        <v>3513500</v>
      </c>
      <c r="H3" s="15">
        <v>5.6135999999999999</v>
      </c>
      <c r="I3" s="15">
        <v>1</v>
      </c>
      <c r="J3" s="15">
        <v>1.4141999999999999</v>
      </c>
      <c r="K3" s="15">
        <v>7.3587000000000001E-12</v>
      </c>
    </row>
    <row r="4" spans="1:11" x14ac:dyDescent="0.25">
      <c r="A4" s="16">
        <v>1.9999999999999999E-6</v>
      </c>
      <c r="B4" s="15">
        <v>70.81</v>
      </c>
      <c r="C4" s="15">
        <v>9.1920999999999997E-10</v>
      </c>
      <c r="D4" s="15">
        <v>22.591000000000001</v>
      </c>
      <c r="E4" s="15">
        <v>1432100</v>
      </c>
      <c r="F4" s="15">
        <v>6.6420000000000002E-11</v>
      </c>
      <c r="G4" s="15">
        <v>1982100</v>
      </c>
      <c r="H4" s="15">
        <v>6.3334999999999999</v>
      </c>
      <c r="I4" s="15">
        <v>0.99999000000000005</v>
      </c>
      <c r="J4" s="15">
        <v>1.4141999999999999</v>
      </c>
      <c r="K4" s="15">
        <v>3.3210000000000001E-11</v>
      </c>
    </row>
    <row r="5" spans="1:11" x14ac:dyDescent="0.25">
      <c r="A5" s="16">
        <v>3.0000000000000001E-6</v>
      </c>
      <c r="B5" s="15">
        <v>68.665000000000006</v>
      </c>
      <c r="C5" s="15">
        <v>2.0125999999999999E-9</v>
      </c>
      <c r="D5" s="15">
        <v>21.741</v>
      </c>
      <c r="E5" s="15">
        <v>1016200</v>
      </c>
      <c r="F5" s="15">
        <v>1.5968000000000001E-10</v>
      </c>
      <c r="G5" s="15">
        <v>1411900</v>
      </c>
      <c r="H5" s="15">
        <v>6.7675000000000001</v>
      </c>
      <c r="I5" s="15">
        <v>0.99997999999999998</v>
      </c>
      <c r="J5" s="15">
        <v>1.4141999999999999</v>
      </c>
      <c r="K5" s="15">
        <v>7.9841000000000001E-11</v>
      </c>
    </row>
    <row r="6" spans="1:11" x14ac:dyDescent="0.25">
      <c r="A6" s="16">
        <v>3.9999999999999998E-6</v>
      </c>
      <c r="B6" s="15">
        <v>67.05</v>
      </c>
      <c r="C6" s="15">
        <v>3.5033000000000001E-9</v>
      </c>
      <c r="D6" s="15">
        <v>21.138999999999999</v>
      </c>
      <c r="E6" s="15">
        <v>794730</v>
      </c>
      <c r="F6" s="15">
        <v>2.9691000000000001E-10</v>
      </c>
      <c r="G6" s="15">
        <v>1107500</v>
      </c>
      <c r="H6" s="15">
        <v>7.0781000000000001</v>
      </c>
      <c r="I6" s="15">
        <v>0.99997999999999998</v>
      </c>
      <c r="J6" s="15">
        <v>1.4141999999999999</v>
      </c>
      <c r="K6" s="15">
        <v>1.4844999999999999E-10</v>
      </c>
    </row>
    <row r="7" spans="1:11" x14ac:dyDescent="0.25">
      <c r="A7" s="16">
        <v>5.0000000000000004E-6</v>
      </c>
      <c r="B7" s="15">
        <v>65.744</v>
      </c>
      <c r="C7" s="15">
        <v>5.3793999999999998E-9</v>
      </c>
      <c r="D7" s="15">
        <v>20.672999999999998</v>
      </c>
      <c r="E7" s="15">
        <v>655820</v>
      </c>
      <c r="F7" s="15">
        <v>4.7971999999999997E-10</v>
      </c>
      <c r="G7" s="15">
        <v>916200</v>
      </c>
      <c r="H7" s="15">
        <v>7.3190999999999997</v>
      </c>
      <c r="I7" s="15">
        <v>0.99997000000000003</v>
      </c>
      <c r="J7" s="15">
        <v>1.4141999999999999</v>
      </c>
      <c r="K7" s="15">
        <v>2.3985999999999999E-10</v>
      </c>
    </row>
    <row r="8" spans="1:11" x14ac:dyDescent="0.25">
      <c r="A8" s="16">
        <v>6.0000000000000002E-6</v>
      </c>
      <c r="B8" s="15">
        <v>64.641000000000005</v>
      </c>
      <c r="C8" s="15">
        <v>7.6311999999999999E-9</v>
      </c>
      <c r="D8" s="15">
        <v>20.294</v>
      </c>
      <c r="E8" s="15">
        <v>559980</v>
      </c>
      <c r="F8" s="15">
        <v>7.0931999999999999E-10</v>
      </c>
      <c r="G8" s="15">
        <v>783980</v>
      </c>
      <c r="H8" s="15">
        <v>7.5153999999999996</v>
      </c>
      <c r="I8" s="15">
        <v>0.99995999999999996</v>
      </c>
      <c r="J8" s="15">
        <v>1.4141999999999999</v>
      </c>
      <c r="K8" s="15">
        <v>3.5465000000000001E-10</v>
      </c>
    </row>
    <row r="9" spans="1:11" x14ac:dyDescent="0.25">
      <c r="A9" s="16">
        <v>6.9999999999999999E-6</v>
      </c>
      <c r="B9" s="15">
        <v>63.683999999999997</v>
      </c>
      <c r="C9" s="15">
        <v>1.0251E-8</v>
      </c>
      <c r="D9" s="15">
        <v>19.972999999999999</v>
      </c>
      <c r="E9" s="15">
        <v>489610</v>
      </c>
      <c r="F9" s="15">
        <v>9.8665999999999998E-10</v>
      </c>
      <c r="G9" s="15">
        <v>686730</v>
      </c>
      <c r="H9" s="15">
        <v>7.6803999999999997</v>
      </c>
      <c r="I9" s="15">
        <v>0.99995000000000001</v>
      </c>
      <c r="J9" s="15">
        <v>1.4141999999999999</v>
      </c>
      <c r="K9" s="15">
        <v>4.9332000000000001E-10</v>
      </c>
    </row>
    <row r="10" spans="1:11" x14ac:dyDescent="0.25">
      <c r="A10" s="16">
        <v>7.9999999999999996E-6</v>
      </c>
      <c r="B10" s="15">
        <v>62.837000000000003</v>
      </c>
      <c r="C10" s="15">
        <v>1.3230999999999999E-8</v>
      </c>
      <c r="D10" s="15">
        <v>19.696000000000002</v>
      </c>
      <c r="E10" s="15">
        <v>435590</v>
      </c>
      <c r="F10" s="15">
        <v>1.3125E-9</v>
      </c>
      <c r="G10" s="15">
        <v>611990</v>
      </c>
      <c r="H10" s="15">
        <v>7.8221999999999996</v>
      </c>
      <c r="I10" s="15">
        <v>0.99995000000000001</v>
      </c>
      <c r="J10" s="15">
        <v>1.4141999999999999</v>
      </c>
      <c r="K10" s="15">
        <v>6.5623000000000002E-10</v>
      </c>
    </row>
    <row r="11" spans="1:11" x14ac:dyDescent="0.25">
      <c r="A11" s="16">
        <v>9.0000000000000002E-6</v>
      </c>
      <c r="B11" s="15">
        <v>62.076000000000001</v>
      </c>
      <c r="C11" s="15">
        <v>1.6566000000000001E-8</v>
      </c>
      <c r="D11" s="15">
        <v>19.452000000000002</v>
      </c>
      <c r="E11" s="15">
        <v>392740</v>
      </c>
      <c r="F11" s="15">
        <v>1.6875E-9</v>
      </c>
      <c r="G11" s="15">
        <v>552620</v>
      </c>
      <c r="H11" s="15">
        <v>7.9462999999999999</v>
      </c>
      <c r="I11" s="15">
        <v>0.99994000000000005</v>
      </c>
      <c r="J11" s="15">
        <v>1.4141999999999999</v>
      </c>
      <c r="K11" s="15">
        <v>8.4371999999999996E-10</v>
      </c>
    </row>
    <row r="12" spans="1:11" x14ac:dyDescent="0.25">
      <c r="A12" s="16">
        <v>1.0000000000000001E-5</v>
      </c>
      <c r="B12" s="15">
        <v>61.384</v>
      </c>
      <c r="C12" s="15">
        <v>2.0249999999999999E-8</v>
      </c>
      <c r="D12" s="15">
        <v>19.234000000000002</v>
      </c>
      <c r="E12" s="15">
        <v>357860</v>
      </c>
      <c r="F12" s="15">
        <v>2.1121999999999998E-9</v>
      </c>
      <c r="G12" s="15">
        <v>504250</v>
      </c>
      <c r="H12" s="15">
        <v>8.0564</v>
      </c>
      <c r="I12" s="15">
        <v>0.99992999999999999</v>
      </c>
      <c r="J12" s="15">
        <v>1.4141999999999999</v>
      </c>
      <c r="K12" s="15">
        <v>1.0560000000000001E-9</v>
      </c>
    </row>
    <row r="13" spans="1:11" x14ac:dyDescent="0.25">
      <c r="A13" s="16">
        <v>2.0000000000000002E-5</v>
      </c>
      <c r="B13" s="15">
        <v>56.573999999999998</v>
      </c>
      <c r="C13" s="15">
        <v>7.5361999999999997E-8</v>
      </c>
      <c r="D13" s="15">
        <v>17.806999999999999</v>
      </c>
      <c r="E13" s="15">
        <v>192290</v>
      </c>
      <c r="F13" s="15">
        <v>9.1724999999999999E-9</v>
      </c>
      <c r="G13" s="15">
        <v>273720</v>
      </c>
      <c r="H13" s="15">
        <v>8.7466000000000008</v>
      </c>
      <c r="I13" s="15">
        <v>0.99985000000000002</v>
      </c>
      <c r="J13" s="15">
        <v>1.4140999999999999</v>
      </c>
      <c r="K13" s="15">
        <v>4.5857999999999996E-9</v>
      </c>
    </row>
    <row r="14" spans="1:11" x14ac:dyDescent="0.25">
      <c r="A14" s="16">
        <v>3.0000000000000001E-5</v>
      </c>
      <c r="B14" s="15">
        <v>53.561</v>
      </c>
      <c r="C14" s="15">
        <v>1.6156E-7</v>
      </c>
      <c r="D14" s="15">
        <v>16.978999999999999</v>
      </c>
      <c r="E14" s="15">
        <v>132630</v>
      </c>
      <c r="F14" s="15">
        <v>2.1497000000000001E-8</v>
      </c>
      <c r="G14" s="15">
        <v>190070</v>
      </c>
      <c r="H14" s="15">
        <v>9.1105</v>
      </c>
      <c r="I14" s="15">
        <v>0.99975999999999998</v>
      </c>
      <c r="J14" s="15">
        <v>1.4139999999999999</v>
      </c>
      <c r="K14" s="15">
        <v>1.0747E-8</v>
      </c>
    </row>
    <row r="15" spans="1:11" x14ac:dyDescent="0.25">
      <c r="A15" s="16">
        <v>4.0000000000000003E-5</v>
      </c>
      <c r="B15" s="15">
        <v>51.341999999999999</v>
      </c>
      <c r="C15" s="15">
        <v>2.7669000000000002E-7</v>
      </c>
      <c r="D15" s="15">
        <v>16.395</v>
      </c>
      <c r="E15" s="15">
        <v>101490</v>
      </c>
      <c r="F15" s="15">
        <v>3.9195000000000001E-8</v>
      </c>
      <c r="G15" s="15">
        <v>146210</v>
      </c>
      <c r="H15" s="15">
        <v>9.3437999999999999</v>
      </c>
      <c r="I15" s="15">
        <v>0.99965999999999999</v>
      </c>
      <c r="J15" s="15">
        <v>1.4139999999999999</v>
      </c>
      <c r="K15" s="15">
        <v>1.9593E-9</v>
      </c>
    </row>
    <row r="16" spans="1:11" x14ac:dyDescent="0.25">
      <c r="A16" s="16">
        <v>5.0000000000000002E-5</v>
      </c>
      <c r="B16" s="15">
        <v>49.576000000000001</v>
      </c>
      <c r="C16" s="15">
        <v>4.1918000000000003E-7</v>
      </c>
      <c r="D16" s="15">
        <v>15.944000000000001</v>
      </c>
      <c r="E16" s="15">
        <v>82256</v>
      </c>
      <c r="F16" s="15">
        <v>6.2317000000000001E-8</v>
      </c>
      <c r="G16" s="15">
        <v>119020</v>
      </c>
      <c r="H16" s="15">
        <v>9.5076999999999998</v>
      </c>
      <c r="I16" s="15">
        <v>0.99956999999999996</v>
      </c>
      <c r="J16" s="15">
        <v>1.4138999999999999</v>
      </c>
      <c r="K16" s="15">
        <v>3.1149999999999998E-8</v>
      </c>
    </row>
    <row r="17" spans="1:11" x14ac:dyDescent="0.25">
      <c r="A17" s="16">
        <v>6.0000000000000002E-5</v>
      </c>
      <c r="B17" s="15">
        <v>48.106999999999999</v>
      </c>
      <c r="C17" s="15">
        <v>5.8782000000000003E-7</v>
      </c>
      <c r="D17" s="15">
        <v>15.577</v>
      </c>
      <c r="E17" s="15">
        <v>69164</v>
      </c>
      <c r="F17" s="15">
        <v>9.0882000000000006E-8</v>
      </c>
      <c r="G17" s="15">
        <v>100450</v>
      </c>
      <c r="H17" s="15">
        <v>9.6289999999999996</v>
      </c>
      <c r="I17" s="15">
        <v>0.99946999999999997</v>
      </c>
      <c r="J17" s="15">
        <v>1.4137999999999999</v>
      </c>
      <c r="K17" s="15">
        <v>4.5424999999999998E-8</v>
      </c>
    </row>
    <row r="18" spans="1:11" x14ac:dyDescent="0.25">
      <c r="A18" s="16">
        <v>6.9999999999999994E-5</v>
      </c>
      <c r="B18" s="15">
        <v>46.847999999999999</v>
      </c>
      <c r="C18" s="15">
        <v>7.8159999999999996E-7</v>
      </c>
      <c r="D18" s="15">
        <v>15.268000000000001</v>
      </c>
      <c r="E18" s="15">
        <v>59660</v>
      </c>
      <c r="F18" s="15">
        <v>1.2489E-7</v>
      </c>
      <c r="G18" s="15">
        <v>86928</v>
      </c>
      <c r="H18" s="15">
        <v>9.7219999999999995</v>
      </c>
      <c r="I18" s="15">
        <v>0.99938000000000005</v>
      </c>
      <c r="J18" s="15">
        <v>1.4137999999999999</v>
      </c>
      <c r="K18" s="15">
        <v>6.2422000000000001E-8</v>
      </c>
    </row>
    <row r="19" spans="1:11" x14ac:dyDescent="0.25">
      <c r="A19" s="16">
        <v>8.0000000000000007E-5</v>
      </c>
      <c r="B19" s="15">
        <v>45.746000000000002</v>
      </c>
      <c r="C19" s="15">
        <v>9.996600000000001E-7</v>
      </c>
      <c r="D19" s="15">
        <v>15</v>
      </c>
      <c r="E19" s="15">
        <v>52440</v>
      </c>
      <c r="F19" s="15">
        <v>1.6435000000000001E-7</v>
      </c>
      <c r="G19" s="15">
        <v>76632</v>
      </c>
      <c r="H19" s="15">
        <v>9.7949000000000002</v>
      </c>
      <c r="I19" s="15">
        <v>0.99927999999999995</v>
      </c>
      <c r="J19" s="15">
        <v>1.4137</v>
      </c>
      <c r="K19" s="15">
        <v>8.2137000000000003E-8</v>
      </c>
    </row>
    <row r="20" spans="1:11" x14ac:dyDescent="0.25">
      <c r="A20" s="16">
        <v>9.0000000000000006E-5</v>
      </c>
      <c r="B20" s="15">
        <v>44.765000000000001</v>
      </c>
      <c r="C20" s="15">
        <v>1.2413000000000001E-6</v>
      </c>
      <c r="D20" s="15">
        <v>14.765000000000001</v>
      </c>
      <c r="E20" s="15">
        <v>46764</v>
      </c>
      <c r="F20" s="15">
        <v>2.0924000000000001E-7</v>
      </c>
      <c r="G20" s="15">
        <v>68521</v>
      </c>
      <c r="H20" s="15">
        <v>9.8529</v>
      </c>
      <c r="I20" s="15">
        <v>0.99917999999999996</v>
      </c>
      <c r="J20" s="15">
        <v>1.4136</v>
      </c>
      <c r="K20" s="15">
        <v>1.0456E-7</v>
      </c>
    </row>
    <row r="21" spans="1:11" x14ac:dyDescent="0.25">
      <c r="A21" s="16">
        <v>1E-4</v>
      </c>
      <c r="B21" s="15">
        <v>43.881</v>
      </c>
      <c r="C21" s="15">
        <v>1.5057E-6</v>
      </c>
      <c r="D21" s="15">
        <v>14.555999999999999</v>
      </c>
      <c r="E21" s="15">
        <v>42183</v>
      </c>
      <c r="F21" s="15">
        <v>2.5954000000000001E-7</v>
      </c>
      <c r="G21" s="15">
        <v>61962</v>
      </c>
      <c r="H21" s="15">
        <v>9.8996999999999993</v>
      </c>
      <c r="I21" s="15">
        <v>0.99907999999999997</v>
      </c>
      <c r="J21" s="15">
        <v>1.4136</v>
      </c>
      <c r="K21" s="15">
        <v>1.2968999999999999E-7</v>
      </c>
    </row>
    <row r="22" spans="1:11" x14ac:dyDescent="0.25">
      <c r="A22" s="16">
        <v>2.0000000000000001E-4</v>
      </c>
      <c r="B22" s="15">
        <v>37.954000000000001</v>
      </c>
      <c r="C22" s="15">
        <v>5.3008000000000001E-6</v>
      </c>
      <c r="D22" s="15">
        <v>13.189</v>
      </c>
      <c r="E22" s="15">
        <v>21075</v>
      </c>
      <c r="F22" s="15">
        <v>1.0560999999999999E-6</v>
      </c>
      <c r="G22" s="15">
        <v>31516</v>
      </c>
      <c r="H22" s="15">
        <v>10.071</v>
      </c>
      <c r="I22" s="15">
        <v>0.99807999999999997</v>
      </c>
      <c r="J22" s="15">
        <v>1.4129</v>
      </c>
      <c r="K22" s="15">
        <v>5.2740000000000002E-7</v>
      </c>
    </row>
    <row r="23" spans="1:11" x14ac:dyDescent="0.25">
      <c r="A23" s="16">
        <v>2.9999999999999997E-4</v>
      </c>
      <c r="B23" s="15">
        <v>34.435000000000002</v>
      </c>
      <c r="C23" s="15">
        <v>1.095E-5</v>
      </c>
      <c r="D23" s="15">
        <v>12.401999999999999</v>
      </c>
      <c r="E23" s="15">
        <v>13850</v>
      </c>
      <c r="F23" s="15">
        <v>2.3707999999999998E-6</v>
      </c>
      <c r="G23" s="15">
        <v>20953</v>
      </c>
      <c r="H23" s="15">
        <v>10.048</v>
      </c>
      <c r="I23" s="15">
        <v>0.99707000000000001</v>
      </c>
      <c r="J23" s="15">
        <v>1.4120999999999999</v>
      </c>
      <c r="K23" s="15">
        <v>1.1830999999999999E-6</v>
      </c>
    </row>
    <row r="24" spans="1:11" x14ac:dyDescent="0.25">
      <c r="A24" s="16">
        <v>4.0000000000000002E-4</v>
      </c>
      <c r="B24" s="15">
        <v>31.939</v>
      </c>
      <c r="C24" s="15">
        <v>1.8221000000000001E-5</v>
      </c>
      <c r="D24" s="15">
        <v>11.849</v>
      </c>
      <c r="E24" s="15">
        <v>10212</v>
      </c>
      <c r="F24" s="15">
        <v>4.1822000000000004E-6</v>
      </c>
      <c r="G24" s="15">
        <v>15600</v>
      </c>
      <c r="H24" s="15">
        <v>9.9699000000000009</v>
      </c>
      <c r="I24" s="15">
        <v>0.99607000000000001</v>
      </c>
      <c r="J24" s="15">
        <v>1.4114</v>
      </c>
      <c r="K24" s="15">
        <v>2.0857000000000002E-6</v>
      </c>
    </row>
    <row r="25" spans="1:11" x14ac:dyDescent="0.25">
      <c r="A25" s="16">
        <v>5.0000000000000001E-4</v>
      </c>
      <c r="B25" s="15">
        <v>30.012</v>
      </c>
      <c r="C25" s="15">
        <v>2.6959000000000001E-5</v>
      </c>
      <c r="D25" s="15">
        <v>11.423</v>
      </c>
      <c r="E25" s="15">
        <v>8027.6</v>
      </c>
      <c r="F25" s="15">
        <v>6.4712E-6</v>
      </c>
      <c r="G25" s="15">
        <v>12359</v>
      </c>
      <c r="H25" s="15">
        <v>9.8729999999999993</v>
      </c>
      <c r="I25" s="15">
        <v>0.99507999999999996</v>
      </c>
      <c r="J25" s="15">
        <v>1.4107000000000001</v>
      </c>
      <c r="K25" s="15">
        <v>3.2250999999999998E-6</v>
      </c>
    </row>
    <row r="26" spans="1:11" x14ac:dyDescent="0.25">
      <c r="A26" s="16">
        <v>5.9999999999999995E-4</v>
      </c>
      <c r="B26" s="15">
        <v>28.449000000000002</v>
      </c>
      <c r="C26" s="15">
        <v>3.7044E-5</v>
      </c>
      <c r="D26" s="15">
        <v>11.077999999999999</v>
      </c>
      <c r="E26" s="15">
        <v>6575.7</v>
      </c>
      <c r="F26" s="15">
        <v>9.2207999999999999E-6</v>
      </c>
      <c r="G26" s="15">
        <v>10191</v>
      </c>
      <c r="H26" s="15">
        <v>9.7695000000000007</v>
      </c>
      <c r="I26" s="15">
        <v>0.99409999999999998</v>
      </c>
      <c r="J26" s="15">
        <v>1.41</v>
      </c>
      <c r="K26" s="15">
        <v>4.5924000000000003E-6</v>
      </c>
    </row>
    <row r="27" spans="1:11" x14ac:dyDescent="0.25">
      <c r="A27" s="16">
        <v>6.9999999999999999E-4</v>
      </c>
      <c r="B27" s="15">
        <v>27.138999999999999</v>
      </c>
      <c r="C27" s="15">
        <v>4.8381000000000003E-5</v>
      </c>
      <c r="D27" s="15">
        <v>10.788</v>
      </c>
      <c r="E27" s="15">
        <v>5543.1</v>
      </c>
      <c r="F27" s="15">
        <v>1.2415999999999999E-5</v>
      </c>
      <c r="G27" s="15">
        <v>8641.6</v>
      </c>
      <c r="H27" s="15">
        <v>9.6646999999999998</v>
      </c>
      <c r="I27" s="15">
        <v>0.99312999999999996</v>
      </c>
      <c r="J27" s="15">
        <v>1.4093</v>
      </c>
      <c r="K27" s="15">
        <v>6.1797999999999997E-6</v>
      </c>
    </row>
    <row r="28" spans="1:11" x14ac:dyDescent="0.25">
      <c r="A28" s="16">
        <v>8.0000000000000004E-4</v>
      </c>
      <c r="B28" s="15">
        <v>26.013000000000002</v>
      </c>
      <c r="C28" s="15">
        <v>6.0891999999999999E-5</v>
      </c>
      <c r="D28" s="15">
        <v>10.539</v>
      </c>
      <c r="E28" s="15">
        <v>4773</v>
      </c>
      <c r="F28" s="15">
        <v>1.6042999999999999E-5</v>
      </c>
      <c r="G28" s="15">
        <v>7480.4</v>
      </c>
      <c r="H28" s="15">
        <v>9.5610999999999997</v>
      </c>
      <c r="I28" s="15">
        <v>0.99217</v>
      </c>
      <c r="J28" s="15">
        <v>1.4097</v>
      </c>
      <c r="K28" s="15">
        <v>7.9798999999999996E-6</v>
      </c>
    </row>
    <row r="29" spans="1:11" x14ac:dyDescent="0.25">
      <c r="A29" s="16">
        <v>8.9999999999999998E-4</v>
      </c>
      <c r="B29" s="15">
        <v>25.03</v>
      </c>
      <c r="C29" s="15">
        <v>7.4511999999999994E-5</v>
      </c>
      <c r="D29" s="15">
        <v>10.319000000000001</v>
      </c>
      <c r="E29" s="15">
        <v>4177.5</v>
      </c>
      <c r="F29" s="15">
        <v>2.0089E-5</v>
      </c>
      <c r="G29" s="15">
        <v>6579.8</v>
      </c>
      <c r="H29" s="15">
        <v>9.4598999999999993</v>
      </c>
      <c r="I29" s="15">
        <v>0.99121000000000004</v>
      </c>
      <c r="J29" s="15">
        <v>1.4079999999999999</v>
      </c>
      <c r="K29" s="15">
        <v>9.8619999999999998E-7</v>
      </c>
    </row>
    <row r="30" spans="1:11" x14ac:dyDescent="0.25">
      <c r="A30" s="16">
        <v>1E-3</v>
      </c>
      <c r="B30" s="15">
        <v>24.158000000000001</v>
      </c>
      <c r="C30" s="15">
        <v>8.9182000000000001E-5</v>
      </c>
      <c r="D30" s="15">
        <v>10.124000000000001</v>
      </c>
      <c r="E30" s="15">
        <v>3704.2</v>
      </c>
      <c r="F30" s="15">
        <v>2.4544000000000001E-5</v>
      </c>
      <c r="G30" s="15">
        <v>5859.3</v>
      </c>
      <c r="H30" s="15">
        <v>9.3614999999999995</v>
      </c>
      <c r="I30" s="15">
        <v>0.99026999999999998</v>
      </c>
      <c r="J30" s="15">
        <v>1.4073</v>
      </c>
      <c r="K30" s="15">
        <v>1.2193E-5</v>
      </c>
    </row>
    <row r="31" spans="1:11" x14ac:dyDescent="0.25">
      <c r="A31" s="16">
        <v>2E-3</v>
      </c>
      <c r="B31" s="15">
        <v>18.663</v>
      </c>
      <c r="C31" s="15">
        <v>2.8481999999999997E-4</v>
      </c>
      <c r="D31" s="15">
        <v>8.8635999999999999</v>
      </c>
      <c r="E31" s="15">
        <v>1634.8</v>
      </c>
      <c r="F31" s="15">
        <v>8.9524000000000005E-5</v>
      </c>
      <c r="G31" s="15">
        <v>2671.5</v>
      </c>
      <c r="H31" s="15">
        <v>9.5366</v>
      </c>
      <c r="I31" s="15">
        <v>0.98134999999999994</v>
      </c>
      <c r="J31" s="15">
        <v>1.401</v>
      </c>
      <c r="K31" s="15">
        <v>4.4206000000000003E-5</v>
      </c>
    </row>
    <row r="32" spans="1:11" x14ac:dyDescent="0.25">
      <c r="A32" s="16">
        <v>3.0000000000000001E-3</v>
      </c>
      <c r="B32" s="15">
        <v>15.698</v>
      </c>
      <c r="C32" s="15">
        <v>5.5130000000000001E-4</v>
      </c>
      <c r="D32" s="15">
        <v>8.1464999999999996</v>
      </c>
      <c r="E32" s="15">
        <v>989.36</v>
      </c>
      <c r="F32" s="15">
        <v>1.8694999999999999E-4</v>
      </c>
      <c r="G32" s="15">
        <v>1653</v>
      </c>
      <c r="H32" s="15">
        <v>7.9229000000000003</v>
      </c>
      <c r="I32" s="15">
        <v>0.97313000000000005</v>
      </c>
      <c r="J32" s="15">
        <v>1.3951</v>
      </c>
      <c r="K32" s="15">
        <v>9.1796E-5</v>
      </c>
    </row>
    <row r="33" spans="1:11" x14ac:dyDescent="0.25">
      <c r="A33" s="16">
        <v>4.0000000000000001E-3</v>
      </c>
      <c r="B33" s="15">
        <v>13.731999999999999</v>
      </c>
      <c r="C33" s="15">
        <v>8.7261999999999995E-4</v>
      </c>
      <c r="D33" s="15">
        <v>7.6478999999999999</v>
      </c>
      <c r="E33" s="15">
        <v>684.66</v>
      </c>
      <c r="F33" s="15">
        <v>3.1199999999999999E-4</v>
      </c>
      <c r="G33" s="15">
        <v>1163.8</v>
      </c>
      <c r="H33" s="15">
        <v>7.4378000000000002</v>
      </c>
      <c r="I33" s="15">
        <v>0.96545999999999998</v>
      </c>
      <c r="J33" s="15">
        <v>1.3895999999999999</v>
      </c>
      <c r="K33" s="15">
        <v>1.5239E-4</v>
      </c>
    </row>
    <row r="34" spans="1:11" x14ac:dyDescent="0.25">
      <c r="A34" s="16">
        <v>5.0000000000000001E-3</v>
      </c>
      <c r="B34" s="15">
        <v>12.292999999999999</v>
      </c>
      <c r="C34" s="15">
        <v>1.2388E-3</v>
      </c>
      <c r="D34" s="15">
        <v>7.2675000000000001</v>
      </c>
      <c r="E34" s="15">
        <v>510.87</v>
      </c>
      <c r="F34" s="15">
        <v>4.6129E-4</v>
      </c>
      <c r="G34" s="15">
        <v>881</v>
      </c>
      <c r="H34" s="15">
        <v>7.0378999999999996</v>
      </c>
      <c r="I34" s="15">
        <v>0.95823000000000003</v>
      </c>
      <c r="J34" s="15">
        <v>1.3844000000000001</v>
      </c>
      <c r="K34" s="15">
        <v>2.2418000000000001E-4</v>
      </c>
    </row>
    <row r="35" spans="1:11" x14ac:dyDescent="0.25">
      <c r="A35" s="16">
        <v>6.0000000000000001E-3</v>
      </c>
      <c r="B35" s="15">
        <v>11.178000000000001</v>
      </c>
      <c r="C35" s="15">
        <v>1.6431E-3</v>
      </c>
      <c r="D35" s="15">
        <v>6.9608999999999996</v>
      </c>
      <c r="E35" s="15">
        <v>400.18</v>
      </c>
      <c r="F35" s="15">
        <v>6.3223000000000001E-4</v>
      </c>
      <c r="G35" s="15">
        <v>698.77</v>
      </c>
      <c r="H35" s="15">
        <v>6.6985999999999999</v>
      </c>
      <c r="I35" s="15">
        <v>0.95135999999999998</v>
      </c>
      <c r="J35" s="15">
        <v>1.3794</v>
      </c>
      <c r="K35" s="15">
        <v>3.0578000000000002E-4</v>
      </c>
    </row>
    <row r="36" spans="1:11" x14ac:dyDescent="0.25">
      <c r="A36" s="16">
        <v>7.0000000000000001E-3</v>
      </c>
      <c r="B36" s="15">
        <v>10.279</v>
      </c>
      <c r="C36" s="15">
        <v>2.0801000000000001E-3</v>
      </c>
      <c r="D36" s="15">
        <v>6.7047999999999996</v>
      </c>
      <c r="E36" s="15">
        <v>324.33999999999997</v>
      </c>
      <c r="F36" s="15">
        <v>8.2275000000000002E-4</v>
      </c>
      <c r="G36" s="15">
        <v>572.64</v>
      </c>
      <c r="H36" s="15">
        <v>6.4043999999999999</v>
      </c>
      <c r="I36" s="15">
        <v>0.94481000000000004</v>
      </c>
      <c r="J36" s="15">
        <v>1.3746</v>
      </c>
      <c r="K36" s="15">
        <v>3.9607999999999999E-4</v>
      </c>
    </row>
    <row r="37" spans="1:11" x14ac:dyDescent="0.25">
      <c r="A37" s="16">
        <v>8.0000000000000002E-3</v>
      </c>
      <c r="B37" s="15">
        <v>9.5332000000000008</v>
      </c>
      <c r="C37" s="15">
        <v>2.5460000000000001E-3</v>
      </c>
      <c r="D37" s="15">
        <v>6.4852999999999996</v>
      </c>
      <c r="E37" s="15">
        <v>269.61</v>
      </c>
      <c r="F37" s="15">
        <v>1.0311000000000001E-3</v>
      </c>
      <c r="G37" s="15">
        <v>480.8</v>
      </c>
      <c r="H37" s="15">
        <v>6.1454000000000004</v>
      </c>
      <c r="I37" s="15">
        <v>0.93854000000000004</v>
      </c>
      <c r="J37" s="15">
        <v>1.3701000000000001</v>
      </c>
      <c r="K37" s="15">
        <v>4.9419999999999998E-4</v>
      </c>
    </row>
    <row r="38" spans="1:11" x14ac:dyDescent="0.25">
      <c r="A38" s="16">
        <v>8.9999999999999993E-3</v>
      </c>
      <c r="B38" s="15">
        <v>8.9016000000000002</v>
      </c>
      <c r="C38" s="15">
        <v>3.0376000000000001E-3</v>
      </c>
      <c r="D38" s="15">
        <v>6.2937000000000003</v>
      </c>
      <c r="E38" s="15">
        <v>228.55</v>
      </c>
      <c r="F38" s="15">
        <v>1.256E-3</v>
      </c>
      <c r="G38" s="15">
        <v>411.31</v>
      </c>
      <c r="H38" s="15">
        <v>5.9142999999999999</v>
      </c>
      <c r="I38" s="15">
        <v>0.93250999999999995</v>
      </c>
      <c r="J38" s="15">
        <v>1.3656999999999999</v>
      </c>
      <c r="K38" s="15">
        <v>5.9935999999999995E-4</v>
      </c>
    </row>
    <row r="39" spans="1:11" x14ac:dyDescent="0.25">
      <c r="A39" s="16">
        <v>0.01</v>
      </c>
      <c r="B39" s="15">
        <v>8.3576999999999995</v>
      </c>
      <c r="C39" s="15">
        <v>3.552E-3</v>
      </c>
      <c r="D39" s="15">
        <v>6.1238000000000001</v>
      </c>
      <c r="E39" s="15">
        <v>196.79</v>
      </c>
      <c r="F39" s="15">
        <v>1.4959999999999999E-3</v>
      </c>
      <c r="G39" s="15">
        <v>357.15</v>
      </c>
      <c r="H39" s="15">
        <v>5.7061999999999999</v>
      </c>
      <c r="I39" s="15">
        <v>0.92671000000000003</v>
      </c>
      <c r="J39" s="15">
        <v>1.3613999999999999</v>
      </c>
      <c r="K39" s="15">
        <v>7.1093000000000003E-4</v>
      </c>
    </row>
    <row r="40" spans="1:11" x14ac:dyDescent="0.25">
      <c r="A40" s="16">
        <v>0.02</v>
      </c>
      <c r="B40" s="15">
        <v>5.2820999999999998</v>
      </c>
      <c r="C40" s="15">
        <v>9.5884000000000004E-3</v>
      </c>
      <c r="D40" s="15">
        <v>5.0456000000000003</v>
      </c>
      <c r="E40" s="15">
        <v>70.210999999999999</v>
      </c>
      <c r="F40" s="15">
        <v>4.5472999999999998E-3</v>
      </c>
      <c r="G40" s="15">
        <v>135.69999999999999</v>
      </c>
      <c r="H40" s="15">
        <v>4.3361999999999998</v>
      </c>
      <c r="I40" s="15">
        <v>0.87729999999999997</v>
      </c>
      <c r="J40" s="15">
        <v>1.3246</v>
      </c>
      <c r="K40" s="15">
        <v>2.0831999999999999E-3</v>
      </c>
    </row>
    <row r="41" spans="1:11" x14ac:dyDescent="0.25">
      <c r="A41" s="16">
        <v>0.03</v>
      </c>
      <c r="B41" s="15">
        <v>3.8831000000000002</v>
      </c>
      <c r="C41" s="15">
        <v>1.6603E-2</v>
      </c>
      <c r="D41" s="15">
        <v>4.4496000000000002</v>
      </c>
      <c r="E41" s="15">
        <v>36.889000000000003</v>
      </c>
      <c r="F41" s="15">
        <v>8.4212000000000002E-3</v>
      </c>
      <c r="G41" s="15">
        <v>74.459999999999994</v>
      </c>
      <c r="H41" s="15">
        <v>3.569</v>
      </c>
      <c r="I41" s="15">
        <v>0.83806999999999998</v>
      </c>
      <c r="J41" s="15">
        <v>1.2947</v>
      </c>
      <c r="K41" s="15">
        <v>3.7422000000000002E-3</v>
      </c>
    </row>
    <row r="42" spans="1:11" x14ac:dyDescent="0.25">
      <c r="A42" s="16">
        <v>0.04</v>
      </c>
      <c r="B42" s="15">
        <v>3.0606</v>
      </c>
      <c r="C42" s="15">
        <v>2.4126999999999999E-2</v>
      </c>
      <c r="D42" s="15">
        <v>4.0438000000000001</v>
      </c>
      <c r="E42" s="15">
        <v>22.893000000000001</v>
      </c>
      <c r="F42" s="15">
        <v>1.2822E-2</v>
      </c>
      <c r="G42" s="15">
        <v>47.829000000000001</v>
      </c>
      <c r="H42" s="15">
        <v>3.0566</v>
      </c>
      <c r="I42" s="15">
        <v>0.80508999999999997</v>
      </c>
      <c r="J42" s="15">
        <v>1.2688999999999999</v>
      </c>
      <c r="K42" s="15">
        <v>5.5484999999999996E-3</v>
      </c>
    </row>
    <row r="43" spans="1:11" x14ac:dyDescent="0.25">
      <c r="A43" s="16">
        <v>0.05</v>
      </c>
      <c r="B43" s="15">
        <v>2.5139</v>
      </c>
      <c r="C43" s="15">
        <v>3.1932000000000002E-2</v>
      </c>
      <c r="D43" s="15">
        <v>3.7393999999999998</v>
      </c>
      <c r="E43" s="15">
        <v>15.615</v>
      </c>
      <c r="F43" s="15">
        <v>1.7585E-2</v>
      </c>
      <c r="G43" s="15">
        <v>33.584000000000003</v>
      </c>
      <c r="H43" s="15">
        <v>2.6829000000000001</v>
      </c>
      <c r="I43" s="15">
        <v>0.77647999999999995</v>
      </c>
      <c r="J43" s="15">
        <v>1.2462</v>
      </c>
      <c r="K43" s="15">
        <v>7.4305999999999999E-3</v>
      </c>
    </row>
    <row r="44" spans="1:11" x14ac:dyDescent="0.25">
      <c r="A44" s="16">
        <v>0.06</v>
      </c>
      <c r="B44" s="15">
        <v>2.1227999999999998</v>
      </c>
      <c r="C44" s="15">
        <v>3.9889000000000001E-2</v>
      </c>
      <c r="D44" s="15">
        <v>3.4979</v>
      </c>
      <c r="E44" s="15">
        <v>11.324999999999999</v>
      </c>
      <c r="F44" s="15">
        <v>2.2605E-2</v>
      </c>
      <c r="G44" s="15">
        <v>24.984000000000002</v>
      </c>
      <c r="H44" s="15">
        <v>2.395</v>
      </c>
      <c r="I44" s="15">
        <v>0.75114999999999998</v>
      </c>
      <c r="J44" s="15">
        <v>1.2257</v>
      </c>
      <c r="K44" s="15">
        <v>9.3469999999999994E-3</v>
      </c>
    </row>
    <row r="45" spans="1:11" x14ac:dyDescent="0.25">
      <c r="A45" s="16">
        <v>7.0000000000000007E-2</v>
      </c>
      <c r="B45" s="15">
        <v>1.8287</v>
      </c>
      <c r="C45" s="15">
        <v>4.7916E-2</v>
      </c>
      <c r="D45" s="15">
        <v>3.2988</v>
      </c>
      <c r="E45" s="15">
        <v>8.5772999999999993</v>
      </c>
      <c r="F45" s="15">
        <v>2.7812E-2</v>
      </c>
      <c r="G45" s="15">
        <v>19.356999999999999</v>
      </c>
      <c r="H45" s="15">
        <v>2.1648999999999998</v>
      </c>
      <c r="I45" s="15">
        <v>0.72838999999999998</v>
      </c>
      <c r="J45" s="15">
        <v>1.2070000000000001</v>
      </c>
      <c r="K45" s="15">
        <v>1.1272000000000001E-2</v>
      </c>
    </row>
    <row r="46" spans="1:11" x14ac:dyDescent="0.25">
      <c r="A46" s="16">
        <v>0.08</v>
      </c>
      <c r="B46" s="15">
        <v>1.5994999999999999</v>
      </c>
      <c r="C46" s="15">
        <v>5.5960000000000003E-2</v>
      </c>
      <c r="D46" s="15">
        <v>3.1303000000000001</v>
      </c>
      <c r="E46" s="15">
        <v>6.7096</v>
      </c>
      <c r="F46" s="15">
        <v>3.3154000000000003E-2</v>
      </c>
      <c r="G46" s="15">
        <v>15.459</v>
      </c>
      <c r="H46" s="15">
        <v>1.9759</v>
      </c>
      <c r="I46" s="15">
        <v>0.70772000000000002</v>
      </c>
      <c r="J46" s="15">
        <v>1.1897</v>
      </c>
      <c r="K46" s="15">
        <v>1.319E-2</v>
      </c>
    </row>
    <row r="47" spans="1:11" x14ac:dyDescent="0.25">
      <c r="A47" s="16">
        <v>0.09</v>
      </c>
      <c r="B47" s="15">
        <v>1.4158999999999999</v>
      </c>
      <c r="C47" s="15">
        <v>6.3986000000000001E-2</v>
      </c>
      <c r="D47" s="15">
        <v>2.9847999999999999</v>
      </c>
      <c r="E47" s="15">
        <v>5.3819999999999997</v>
      </c>
      <c r="F47" s="15">
        <v>3.8593000000000002E-2</v>
      </c>
      <c r="G47" s="15">
        <v>12.638</v>
      </c>
      <c r="H47" s="15">
        <v>1.8172999999999999</v>
      </c>
      <c r="I47" s="15">
        <v>0.68876999999999999</v>
      </c>
      <c r="J47" s="15">
        <v>1.1737</v>
      </c>
      <c r="K47" s="15">
        <v>1.5088000000000001E-2</v>
      </c>
    </row>
    <row r="48" spans="1:11" x14ac:dyDescent="0.25">
      <c r="A48" s="16">
        <v>0.1</v>
      </c>
      <c r="B48" s="15">
        <v>1.2658</v>
      </c>
      <c r="C48" s="15">
        <v>7.1967000000000003E-2</v>
      </c>
      <c r="D48" s="15">
        <v>2.8572000000000002</v>
      </c>
      <c r="E48" s="15">
        <v>4.4047000000000001</v>
      </c>
      <c r="F48" s="15">
        <v>4.4102000000000002E-2</v>
      </c>
      <c r="G48" s="15">
        <v>10.528</v>
      </c>
      <c r="H48" s="15">
        <v>1.6820999999999999</v>
      </c>
      <c r="I48" s="15">
        <v>0.67129000000000005</v>
      </c>
      <c r="J48" s="15">
        <v>1.1587000000000001</v>
      </c>
      <c r="K48" s="15">
        <v>1.6961E-2</v>
      </c>
    </row>
    <row r="49" spans="1:11" x14ac:dyDescent="0.25">
      <c r="A49" s="16">
        <v>0.2</v>
      </c>
      <c r="B49" s="15">
        <v>0.55972</v>
      </c>
      <c r="C49" s="15">
        <v>0.14716000000000001</v>
      </c>
      <c r="D49" s="15">
        <v>2.0804999999999998</v>
      </c>
      <c r="E49" s="15">
        <v>1.0879000000000001</v>
      </c>
      <c r="F49" s="15">
        <v>9.9741999999999997E-2</v>
      </c>
      <c r="G49" s="15">
        <v>2.9763999999999999</v>
      </c>
      <c r="H49" s="15">
        <v>0.95109999999999995</v>
      </c>
      <c r="I49" s="15">
        <v>0.54608000000000001</v>
      </c>
      <c r="J49" s="15">
        <v>1.0450999999999999</v>
      </c>
      <c r="K49" s="15">
        <v>3.3734E-2</v>
      </c>
    </row>
    <row r="50" spans="1:11" x14ac:dyDescent="0.25">
      <c r="A50" s="16">
        <v>0.3</v>
      </c>
      <c r="B50" s="15">
        <v>0.32385000000000003</v>
      </c>
      <c r="C50" s="15">
        <v>0.21273</v>
      </c>
      <c r="D50" s="15">
        <v>1.6803999999999999</v>
      </c>
      <c r="E50" s="15">
        <v>0.44711000000000001</v>
      </c>
      <c r="F50" s="15">
        <v>0.15245</v>
      </c>
      <c r="G50" s="15">
        <v>1.3479000000000001</v>
      </c>
      <c r="H50" s="15">
        <v>0.64607999999999999</v>
      </c>
      <c r="I50" s="15">
        <v>0.46795999999999999</v>
      </c>
      <c r="J50" s="15">
        <v>0.96743000000000001</v>
      </c>
      <c r="K50" s="15">
        <v>4.7043000000000001E-2</v>
      </c>
    </row>
    <row r="51" spans="1:11" x14ac:dyDescent="0.25">
      <c r="A51" s="16">
        <v>0.4</v>
      </c>
      <c r="B51" s="15">
        <v>0.21210000000000001</v>
      </c>
      <c r="C51" s="15">
        <v>0.26917999999999997</v>
      </c>
      <c r="D51" s="15">
        <v>1.4225000000000001</v>
      </c>
      <c r="E51" s="15">
        <v>0.22958999999999999</v>
      </c>
      <c r="F51" s="15">
        <v>0.20080000000000001</v>
      </c>
      <c r="G51" s="15">
        <v>0.74900999999999995</v>
      </c>
      <c r="H51" s="15">
        <v>0.47867999999999999</v>
      </c>
      <c r="I51" s="15">
        <v>0.41243999999999997</v>
      </c>
      <c r="J51" s="15">
        <v>0.90822999999999998</v>
      </c>
      <c r="K51" s="15">
        <v>5.7661999999999998E-2</v>
      </c>
    </row>
    <row r="52" spans="1:11" x14ac:dyDescent="0.25">
      <c r="A52" s="16">
        <v>0.5</v>
      </c>
      <c r="B52" s="15">
        <v>0.14946999999999999</v>
      </c>
      <c r="C52" s="15">
        <v>0.31980999999999998</v>
      </c>
      <c r="D52" s="15">
        <v>1.2378</v>
      </c>
      <c r="E52" s="15">
        <v>0.13394</v>
      </c>
      <c r="F52" s="15">
        <v>0.24487999999999999</v>
      </c>
      <c r="G52" s="15">
        <v>0.46768999999999999</v>
      </c>
      <c r="H52" s="15">
        <v>0.37362000000000001</v>
      </c>
      <c r="I52" s="15">
        <v>0.37019000000000002</v>
      </c>
      <c r="J52" s="15">
        <v>0.86045000000000005</v>
      </c>
      <c r="K52" s="15">
        <v>6.6275000000000001E-2</v>
      </c>
    </row>
    <row r="53" spans="1:11" x14ac:dyDescent="0.25">
      <c r="A53" s="16">
        <v>0.6</v>
      </c>
      <c r="B53" s="15">
        <v>0.11065</v>
      </c>
      <c r="C53" s="15">
        <v>0.36405999999999999</v>
      </c>
      <c r="D53" s="15">
        <v>1.0971</v>
      </c>
      <c r="E53" s="15">
        <v>8.4945000000000007E-2</v>
      </c>
      <c r="F53" s="15">
        <v>0.28510000000000002</v>
      </c>
      <c r="G53" s="15">
        <v>0.31509999999999999</v>
      </c>
      <c r="H53" s="15">
        <v>0.30207000000000001</v>
      </c>
      <c r="I53" s="15">
        <v>0.33661000000000002</v>
      </c>
      <c r="J53" s="15">
        <v>0.82050000000000001</v>
      </c>
      <c r="K53" s="15">
        <v>7.3373999999999995E-2</v>
      </c>
    </row>
    <row r="54" spans="1:11" x14ac:dyDescent="0.25">
      <c r="A54" s="16">
        <v>0.7</v>
      </c>
      <c r="B54" s="15">
        <v>8.4875000000000006E-2</v>
      </c>
      <c r="C54" s="15">
        <v>0.40351999999999999</v>
      </c>
      <c r="D54" s="15">
        <v>0.98533999999999999</v>
      </c>
      <c r="E54" s="15">
        <v>5.7165000000000001E-2</v>
      </c>
      <c r="F54" s="15">
        <v>0.32188</v>
      </c>
      <c r="G54" s="15">
        <v>0.22403000000000001</v>
      </c>
      <c r="H54" s="15">
        <v>0.25056</v>
      </c>
      <c r="I54" s="15">
        <v>0.30911</v>
      </c>
      <c r="J54" s="15">
        <v>0.78627000000000002</v>
      </c>
      <c r="K54" s="15">
        <v>7.9308000000000003E-2</v>
      </c>
    </row>
    <row r="55" spans="1:11" x14ac:dyDescent="0.25">
      <c r="A55" s="16">
        <v>0.8</v>
      </c>
      <c r="B55" s="15">
        <v>6.6890000000000005E-2</v>
      </c>
      <c r="C55" s="15">
        <v>0.43895000000000001</v>
      </c>
      <c r="D55" s="15">
        <v>0.89397000000000004</v>
      </c>
      <c r="E55" s="15">
        <v>4.0219999999999999E-2</v>
      </c>
      <c r="F55" s="15">
        <v>0.35561999999999999</v>
      </c>
      <c r="G55" s="15">
        <v>0.16582</v>
      </c>
      <c r="H55" s="15">
        <v>0.21193999999999999</v>
      </c>
      <c r="I55" s="15">
        <v>0.28606999999999999</v>
      </c>
      <c r="J55" s="15">
        <v>0.75641000000000003</v>
      </c>
      <c r="K55" s="15">
        <v>8.4325999999999998E-2</v>
      </c>
    </row>
    <row r="56" spans="1:11" x14ac:dyDescent="0.25">
      <c r="A56" s="16">
        <v>0.9</v>
      </c>
      <c r="B56" s="15">
        <v>5.3855E-2</v>
      </c>
      <c r="C56" s="15">
        <v>0.47094000000000003</v>
      </c>
      <c r="D56" s="15">
        <v>0.81757999999999997</v>
      </c>
      <c r="E56" s="15">
        <v>2.9295999999999999E-2</v>
      </c>
      <c r="F56" s="15">
        <v>0.38668000000000002</v>
      </c>
      <c r="G56" s="15">
        <v>0.12662999999999999</v>
      </c>
      <c r="H56" s="15">
        <v>0.18209</v>
      </c>
      <c r="I56" s="15">
        <v>0.26643</v>
      </c>
      <c r="J56" s="15">
        <v>0.72997999999999996</v>
      </c>
      <c r="K56" s="15">
        <v>8.8613999999999998E-2</v>
      </c>
    </row>
    <row r="57" spans="1:11" x14ac:dyDescent="0.25">
      <c r="A57" s="16">
        <v>1</v>
      </c>
      <c r="B57" s="15">
        <v>4.4119999999999999E-2</v>
      </c>
      <c r="C57" s="15">
        <v>0.5</v>
      </c>
      <c r="D57" s="15">
        <v>0.75256999999999996</v>
      </c>
      <c r="E57" s="15">
        <v>2.1943000000000001E-2</v>
      </c>
      <c r="F57" s="15">
        <v>0.41536000000000001</v>
      </c>
      <c r="G57" s="15">
        <v>9.9158999999999997E-2</v>
      </c>
      <c r="H57" s="15">
        <v>0.15842999999999999</v>
      </c>
      <c r="I57" s="15">
        <v>0.24945000000000001</v>
      </c>
      <c r="J57" s="15">
        <v>0.70633000000000001</v>
      </c>
      <c r="K57" s="15">
        <v>9.2311000000000004E-2</v>
      </c>
    </row>
    <row r="58" spans="1:11" x14ac:dyDescent="0.25">
      <c r="A58" s="16">
        <v>1.1000000000000001</v>
      </c>
      <c r="B58" s="15">
        <v>3.6671000000000002E-2</v>
      </c>
      <c r="C58" s="15">
        <v>0.52651000000000003</v>
      </c>
      <c r="D58" s="15">
        <v>0.69649000000000005</v>
      </c>
      <c r="E58" s="15">
        <v>1.6816999999999999E-2</v>
      </c>
      <c r="F58" s="15">
        <v>0.44191000000000003</v>
      </c>
      <c r="G58" s="15">
        <v>7.9261999999999999E-2</v>
      </c>
      <c r="H58" s="15">
        <v>0.13930000000000001</v>
      </c>
      <c r="I58" s="15">
        <v>0.2346</v>
      </c>
      <c r="J58" s="15">
        <v>0.68498000000000003</v>
      </c>
      <c r="K58" s="15">
        <v>9.5523999999999998E-2</v>
      </c>
    </row>
    <row r="59" spans="1:11" x14ac:dyDescent="0.25">
      <c r="A59" s="16">
        <v>1.2</v>
      </c>
      <c r="B59" s="15">
        <v>3.0853999999999999E-2</v>
      </c>
      <c r="C59" s="15">
        <v>0.55079</v>
      </c>
      <c r="D59" s="15">
        <v>0.64754</v>
      </c>
      <c r="E59" s="15">
        <v>1.3138E-2</v>
      </c>
      <c r="F59" s="15">
        <v>0.46656999999999998</v>
      </c>
      <c r="G59" s="15">
        <v>6.4459000000000002E-2</v>
      </c>
      <c r="H59" s="15">
        <v>0.12358</v>
      </c>
      <c r="I59" s="15">
        <v>0.22148000000000001</v>
      </c>
      <c r="J59" s="15">
        <v>0.66554999999999997</v>
      </c>
      <c r="K59" s="15">
        <v>9.8334000000000005E-2</v>
      </c>
    </row>
    <row r="60" spans="1:11" x14ac:dyDescent="0.25">
      <c r="A60" s="16">
        <v>1.3</v>
      </c>
      <c r="B60" s="15">
        <v>2.6232999999999999E-2</v>
      </c>
      <c r="C60" s="15">
        <v>0.57311999999999996</v>
      </c>
      <c r="D60" s="15">
        <v>0.60440000000000005</v>
      </c>
      <c r="E60" s="15">
        <v>1.0434000000000001E-2</v>
      </c>
      <c r="F60" s="15">
        <v>0.48952000000000001</v>
      </c>
      <c r="G60" s="15">
        <v>5.3192999999999997E-2</v>
      </c>
      <c r="H60" s="15">
        <v>0.11047999999999999</v>
      </c>
      <c r="I60" s="15">
        <v>0.20979</v>
      </c>
      <c r="J60" s="15">
        <v>0.64776</v>
      </c>
      <c r="K60" s="15">
        <v>0.10081</v>
      </c>
    </row>
    <row r="61" spans="1:11" x14ac:dyDescent="0.25">
      <c r="A61" s="16">
        <v>1.4</v>
      </c>
      <c r="B61" s="15">
        <v>2.2508E-2</v>
      </c>
      <c r="C61" s="15">
        <v>0.59370999999999996</v>
      </c>
      <c r="D61" s="15">
        <v>0.56606000000000001</v>
      </c>
      <c r="E61" s="15">
        <v>8.4043999999999994E-3</v>
      </c>
      <c r="F61" s="15">
        <v>0.51093999999999995</v>
      </c>
      <c r="G61" s="15">
        <v>4.4451999999999998E-2</v>
      </c>
      <c r="H61" s="15">
        <v>9.9430000000000004E-2</v>
      </c>
      <c r="I61" s="15">
        <v>0.19930999999999999</v>
      </c>
      <c r="J61" s="15">
        <v>0.63136999999999999</v>
      </c>
      <c r="K61" s="15">
        <v>0.10299999999999999</v>
      </c>
    </row>
    <row r="62" spans="1:11" x14ac:dyDescent="0.25">
      <c r="A62" s="16">
        <v>1.5</v>
      </c>
      <c r="B62" s="15">
        <v>1.9467999999999999E-2</v>
      </c>
      <c r="C62" s="15">
        <v>0.61277000000000004</v>
      </c>
      <c r="D62" s="15">
        <v>0.53174999999999994</v>
      </c>
      <c r="E62" s="15">
        <v>6.8536999999999999E-3</v>
      </c>
      <c r="F62" s="15">
        <v>0.53095999999999999</v>
      </c>
      <c r="G62" s="15">
        <v>3.7558000000000001E-2</v>
      </c>
      <c r="H62" s="15">
        <v>9.0010000000000007E-2</v>
      </c>
      <c r="I62" s="15">
        <v>0.18984999999999999</v>
      </c>
      <c r="J62" s="15">
        <v>0.61619999999999997</v>
      </c>
      <c r="K62" s="15">
        <v>0.10495</v>
      </c>
    </row>
    <row r="63" spans="1:11" x14ac:dyDescent="0.25">
      <c r="A63" s="16">
        <v>1.6</v>
      </c>
      <c r="B63" s="15">
        <v>1.6957E-2</v>
      </c>
      <c r="C63" s="15">
        <v>0.63046000000000002</v>
      </c>
      <c r="D63" s="15">
        <v>0.50085999999999997</v>
      </c>
      <c r="E63" s="15">
        <v>5.6500999999999999E-3</v>
      </c>
      <c r="F63" s="15">
        <v>0.54973000000000005</v>
      </c>
      <c r="G63" s="15">
        <v>3.2041E-2</v>
      </c>
      <c r="H63" s="15">
        <v>8.1906999999999994E-2</v>
      </c>
      <c r="I63" s="15">
        <v>0.18126999999999999</v>
      </c>
      <c r="J63" s="15">
        <v>0.60211000000000003</v>
      </c>
      <c r="K63" s="15">
        <v>0.10668999999999999</v>
      </c>
    </row>
    <row r="64" spans="1:11" x14ac:dyDescent="0.25">
      <c r="A64" s="16">
        <v>1.7</v>
      </c>
      <c r="B64" s="15">
        <v>1.4865E-2</v>
      </c>
      <c r="C64" s="15">
        <v>0.64690999999999999</v>
      </c>
      <c r="D64" s="15">
        <v>0.47288999999999998</v>
      </c>
      <c r="E64" s="15">
        <v>4.7029999999999997E-3</v>
      </c>
      <c r="F64" s="15">
        <v>0.56735000000000002</v>
      </c>
      <c r="G64" s="15">
        <v>2.7569E-2</v>
      </c>
      <c r="H64" s="15">
        <v>7.4880000000000002E-2</v>
      </c>
      <c r="I64" s="15">
        <v>0.17344000000000001</v>
      </c>
      <c r="J64" s="15">
        <v>0.58896000000000004</v>
      </c>
      <c r="K64" s="15">
        <v>0.10825</v>
      </c>
    </row>
    <row r="65" spans="1:11" x14ac:dyDescent="0.25">
      <c r="A65" s="16">
        <v>1.8</v>
      </c>
      <c r="B65" s="15">
        <v>1.3103999999999999E-2</v>
      </c>
      <c r="C65" s="15">
        <v>0.66225000000000001</v>
      </c>
      <c r="D65" s="15">
        <v>0.44744</v>
      </c>
      <c r="E65" s="15">
        <v>3.9487000000000003E-3</v>
      </c>
      <c r="F65" s="15">
        <v>0.58391999999999999</v>
      </c>
      <c r="G65" s="15">
        <v>2.3903000000000001E-2</v>
      </c>
      <c r="H65" s="15">
        <v>6.8741999999999998E-2</v>
      </c>
      <c r="I65" s="15">
        <v>0.16625999999999999</v>
      </c>
      <c r="J65" s="15">
        <v>0.57665</v>
      </c>
      <c r="K65" s="15">
        <v>0.10965999999999999</v>
      </c>
    </row>
    <row r="66" spans="1:11" x14ac:dyDescent="0.25">
      <c r="A66" s="16">
        <v>1.9</v>
      </c>
      <c r="B66" s="15">
        <v>1.1612000000000001E-2</v>
      </c>
      <c r="C66" s="15">
        <v>0.67659000000000002</v>
      </c>
      <c r="D66" s="15">
        <v>0.42419000000000001</v>
      </c>
      <c r="E66" s="15">
        <v>3.3411999999999999E-3</v>
      </c>
      <c r="F66" s="15">
        <v>0.59953000000000001</v>
      </c>
      <c r="G66" s="15">
        <v>2.0857000000000001E-2</v>
      </c>
      <c r="H66" s="15">
        <v>6.3344999999999999E-2</v>
      </c>
      <c r="I66" s="15">
        <v>0.15966</v>
      </c>
      <c r="J66" s="15">
        <v>0.56508999999999998</v>
      </c>
      <c r="K66" s="15">
        <v>0.11093</v>
      </c>
    </row>
    <row r="67" spans="1:11" x14ac:dyDescent="0.25">
      <c r="A67" s="16">
        <v>2</v>
      </c>
      <c r="B67" s="15">
        <v>1.0338E-2</v>
      </c>
      <c r="C67" s="15">
        <v>0.69001000000000001</v>
      </c>
      <c r="D67" s="15">
        <v>0.40287000000000001</v>
      </c>
      <c r="E67" s="15">
        <v>2.8471E-3</v>
      </c>
      <c r="F67" s="15">
        <v>0.61426000000000003</v>
      </c>
      <c r="G67" s="15">
        <v>1.8331E-2</v>
      </c>
      <c r="H67" s="15">
        <v>5.8574000000000001E-2</v>
      </c>
      <c r="I67" s="15">
        <v>0.15357000000000001</v>
      </c>
      <c r="J67" s="15">
        <v>0.55420999999999998</v>
      </c>
      <c r="K67" s="15">
        <v>0.11208</v>
      </c>
    </row>
    <row r="68" spans="1:11" x14ac:dyDescent="0.25">
      <c r="A68" s="16">
        <v>2.1</v>
      </c>
      <c r="B68" s="15">
        <v>9.2435E-3</v>
      </c>
      <c r="C68" s="15">
        <v>0.70259000000000005</v>
      </c>
      <c r="D68" s="15">
        <v>0.38324000000000003</v>
      </c>
      <c r="E68" s="15">
        <v>2.4417000000000002E-3</v>
      </c>
      <c r="F68" s="15">
        <v>0.62817999999999996</v>
      </c>
      <c r="G68" s="15">
        <v>1.6192999999999999E-2</v>
      </c>
      <c r="H68" s="15">
        <v>5.4331999999999998E-2</v>
      </c>
      <c r="I68" s="15">
        <v>0.14793000000000001</v>
      </c>
      <c r="J68" s="15">
        <v>0.54393000000000002</v>
      </c>
      <c r="K68" s="15">
        <v>0.11312999999999999</v>
      </c>
    </row>
    <row r="69" spans="1:11" x14ac:dyDescent="0.25">
      <c r="A69" s="16">
        <v>2.2000000000000002</v>
      </c>
      <c r="B69" s="15">
        <v>8.2971999999999994E-3</v>
      </c>
      <c r="C69" s="15">
        <v>0.71442000000000005</v>
      </c>
      <c r="D69" s="15">
        <v>0.36510999999999999</v>
      </c>
      <c r="E69" s="15">
        <v>2.1063000000000002E-3</v>
      </c>
      <c r="F69" s="15">
        <v>0.64134000000000002</v>
      </c>
      <c r="G69" s="15">
        <v>1.4378999999999999E-2</v>
      </c>
      <c r="H69" s="15">
        <v>5.0541999999999997E-2</v>
      </c>
      <c r="I69" s="15">
        <v>0.14269000000000001</v>
      </c>
      <c r="J69" s="15">
        <v>0.53420999999999996</v>
      </c>
      <c r="K69" s="15">
        <v>0.11409</v>
      </c>
    </row>
    <row r="70" spans="1:11" x14ac:dyDescent="0.25">
      <c r="A70" s="16">
        <v>2.2999999999999998</v>
      </c>
      <c r="B70" s="15">
        <v>7.4748999999999996E-3</v>
      </c>
      <c r="C70" s="15">
        <v>0.72555000000000003</v>
      </c>
      <c r="D70" s="15">
        <v>0.34832999999999997</v>
      </c>
      <c r="E70" s="15">
        <v>1.8268E-3</v>
      </c>
      <c r="F70" s="15">
        <v>0.65381999999999996</v>
      </c>
      <c r="G70" s="15">
        <v>1.2829E-2</v>
      </c>
      <c r="H70" s="15">
        <v>4.7142000000000003E-2</v>
      </c>
      <c r="I70" s="15">
        <v>0.13780999999999999</v>
      </c>
      <c r="J70" s="15">
        <v>0.52498999999999996</v>
      </c>
      <c r="K70" s="15">
        <v>0.11496000000000001</v>
      </c>
    </row>
    <row r="71" spans="1:11" x14ac:dyDescent="0.25">
      <c r="A71" s="16">
        <v>2.4</v>
      </c>
      <c r="B71" s="15">
        <v>6.7565999999999998E-3</v>
      </c>
      <c r="C71" s="15">
        <v>0.73604000000000003</v>
      </c>
      <c r="D71" s="15">
        <v>0.33273999999999998</v>
      </c>
      <c r="E71" s="15">
        <v>1.5922E-3</v>
      </c>
      <c r="F71" s="15">
        <v>0.66564999999999996</v>
      </c>
      <c r="G71" s="15">
        <v>1.1495E-2</v>
      </c>
      <c r="H71" s="15">
        <v>4.4079E-2</v>
      </c>
      <c r="I71" s="15">
        <v>0.13325000000000001</v>
      </c>
      <c r="J71" s="15">
        <v>0.51624000000000003</v>
      </c>
      <c r="K71" s="15">
        <v>0.11576</v>
      </c>
    </row>
    <row r="72" spans="1:11" x14ac:dyDescent="0.25">
      <c r="A72" s="16">
        <v>2.5</v>
      </c>
      <c r="B72" s="15">
        <v>6.1263999999999997E-3</v>
      </c>
      <c r="C72" s="15">
        <v>0.74595</v>
      </c>
      <c r="D72" s="15">
        <v>0.31823000000000001</v>
      </c>
      <c r="E72" s="15">
        <v>1.3942E-3</v>
      </c>
      <c r="F72" s="15">
        <v>0.67688000000000004</v>
      </c>
      <c r="G72" s="15">
        <v>1.0342E-2</v>
      </c>
      <c r="H72" s="15">
        <v>4.1308999999999998E-2</v>
      </c>
      <c r="I72" s="15">
        <v>0.12898000000000001</v>
      </c>
      <c r="J72" s="15">
        <v>0.50790999999999997</v>
      </c>
      <c r="K72" s="15">
        <v>0.11650000000000001</v>
      </c>
    </row>
    <row r="73" spans="1:11" x14ac:dyDescent="0.25">
      <c r="A73" s="16">
        <v>2.6</v>
      </c>
      <c r="B73" s="15">
        <v>5.5710000000000004E-3</v>
      </c>
      <c r="C73" s="15">
        <v>0.75529999999999997</v>
      </c>
      <c r="D73" s="15">
        <v>0.30470000000000003</v>
      </c>
      <c r="E73" s="15">
        <v>1.2260000000000001E-3</v>
      </c>
      <c r="F73" s="15">
        <v>0.68755999999999995</v>
      </c>
      <c r="G73" s="15">
        <v>9.3390999999999995E-3</v>
      </c>
      <c r="H73" s="15">
        <v>3.8795000000000003E-2</v>
      </c>
      <c r="I73" s="15">
        <v>0.12497999999999999</v>
      </c>
      <c r="J73" s="15">
        <v>0.49996000000000002</v>
      </c>
      <c r="K73" s="15">
        <v>0.11718000000000001</v>
      </c>
    </row>
    <row r="74" spans="1:11" x14ac:dyDescent="0.25">
      <c r="A74" s="16">
        <v>2.7</v>
      </c>
      <c r="B74" s="15">
        <v>5.0797000000000004E-3</v>
      </c>
      <c r="C74" s="15">
        <v>0.76415999999999995</v>
      </c>
      <c r="D74" s="15">
        <v>0.29204000000000002</v>
      </c>
      <c r="E74" s="15">
        <v>1.0824000000000001E-3</v>
      </c>
      <c r="F74" s="15">
        <v>0.69772000000000001</v>
      </c>
      <c r="G74" s="15">
        <v>8.4626000000000007E-3</v>
      </c>
      <c r="H74" s="15">
        <v>3.6505999999999997E-2</v>
      </c>
      <c r="I74" s="15">
        <v>0.12121999999999999</v>
      </c>
      <c r="J74" s="15">
        <v>0.49237999999999998</v>
      </c>
      <c r="K74" s="15">
        <v>0.1178</v>
      </c>
    </row>
    <row r="75" spans="1:11" x14ac:dyDescent="0.25">
      <c r="A75" s="16">
        <v>2.8</v>
      </c>
      <c r="B75" s="15">
        <v>4.6435000000000001E-3</v>
      </c>
      <c r="C75" s="15">
        <v>0.77254999999999996</v>
      </c>
      <c r="D75" s="15">
        <v>0.28017999999999998</v>
      </c>
      <c r="E75" s="15">
        <v>9.5909000000000001E-4</v>
      </c>
      <c r="F75" s="15">
        <v>0.70740000000000003</v>
      </c>
      <c r="G75" s="15">
        <v>7.6930999999999996E-3</v>
      </c>
      <c r="H75" s="15">
        <v>3.4416000000000002E-2</v>
      </c>
      <c r="I75" s="15">
        <v>0.11767</v>
      </c>
      <c r="J75" s="15">
        <v>0.48513000000000001</v>
      </c>
      <c r="K75" s="15">
        <v>0.11838</v>
      </c>
    </row>
    <row r="76" spans="1:11" x14ac:dyDescent="0.25">
      <c r="A76" s="16">
        <v>2.9</v>
      </c>
      <c r="B76" s="15">
        <v>4.2548000000000004E-3</v>
      </c>
      <c r="C76" s="15">
        <v>0.78051000000000004</v>
      </c>
      <c r="D76" s="15">
        <v>0.26905000000000001</v>
      </c>
      <c r="E76" s="15">
        <v>8.5282000000000001E-4</v>
      </c>
      <c r="F76" s="15">
        <v>0.71662999999999999</v>
      </c>
      <c r="G76" s="15">
        <v>7.0147999999999999E-3</v>
      </c>
      <c r="H76" s="15">
        <v>3.2502000000000003E-2</v>
      </c>
      <c r="I76" s="15">
        <v>0.11433</v>
      </c>
      <c r="J76" s="15">
        <v>0.47817999999999999</v>
      </c>
      <c r="K76" s="15">
        <v>0.11892</v>
      </c>
    </row>
    <row r="77" spans="1:11" x14ac:dyDescent="0.25">
      <c r="A77" s="16">
        <v>3</v>
      </c>
      <c r="B77" s="15">
        <v>3.9074000000000001E-3</v>
      </c>
      <c r="C77" s="15">
        <v>0.78807000000000005</v>
      </c>
      <c r="D77" s="15">
        <v>0.25858999999999999</v>
      </c>
      <c r="E77" s="15">
        <v>7.6077999999999996E-4</v>
      </c>
      <c r="F77" s="15">
        <v>0.72543999999999997</v>
      </c>
      <c r="G77" s="15">
        <v>6.4143000000000004E-3</v>
      </c>
      <c r="H77" s="15">
        <v>3.0744E-2</v>
      </c>
      <c r="I77" s="15">
        <v>0.11117</v>
      </c>
      <c r="J77" s="15">
        <v>0.47151999999999999</v>
      </c>
      <c r="K77" s="15">
        <v>0.11941</v>
      </c>
    </row>
    <row r="78" spans="1:11" x14ac:dyDescent="0.25">
      <c r="A78" s="16">
        <v>3.1</v>
      </c>
      <c r="B78" s="15">
        <v>3.5959E-3</v>
      </c>
      <c r="C78" s="15">
        <v>0.79525000000000001</v>
      </c>
      <c r="D78" s="15">
        <v>0.24873999999999999</v>
      </c>
      <c r="E78" s="15">
        <v>6.8075000000000004E-4</v>
      </c>
      <c r="F78" s="15">
        <v>0.73385</v>
      </c>
      <c r="G78" s="15">
        <v>5.8807E-3</v>
      </c>
      <c r="H78" s="15">
        <v>2.9127E-2</v>
      </c>
      <c r="I78" s="15">
        <v>0.10818</v>
      </c>
      <c r="J78" s="15">
        <v>0.46512999999999999</v>
      </c>
      <c r="K78" s="15">
        <v>0.11988</v>
      </c>
    </row>
    <row r="79" spans="1:11" x14ac:dyDescent="0.25">
      <c r="A79" s="16">
        <v>3.2</v>
      </c>
      <c r="B79" s="15">
        <v>3.3157999999999998E-3</v>
      </c>
      <c r="C79" s="15">
        <v>0.80208000000000002</v>
      </c>
      <c r="D79" s="15">
        <v>0.23945</v>
      </c>
      <c r="E79" s="15">
        <v>6.1089E-4</v>
      </c>
      <c r="F79" s="15">
        <v>0.74189000000000005</v>
      </c>
      <c r="G79" s="15">
        <v>5.4050000000000001E-3</v>
      </c>
      <c r="H79" s="15">
        <v>2.7633999999999999E-2</v>
      </c>
      <c r="I79" s="15">
        <v>0.10534</v>
      </c>
      <c r="J79" s="15">
        <v>0.45899000000000001</v>
      </c>
      <c r="K79" s="15">
        <v>0.1203</v>
      </c>
    </row>
    <row r="80" spans="1:11" x14ac:dyDescent="0.25">
      <c r="A80" s="16">
        <v>3.3</v>
      </c>
      <c r="B80" s="15">
        <v>3.0633000000000001E-3</v>
      </c>
      <c r="C80" s="15">
        <v>0.80859000000000003</v>
      </c>
      <c r="D80" s="15">
        <v>0.23068</v>
      </c>
      <c r="E80" s="15">
        <v>5.4969000000000003E-4</v>
      </c>
      <c r="F80" s="15">
        <v>0.74958000000000002</v>
      </c>
      <c r="G80" s="15">
        <v>4.9795000000000004E-3</v>
      </c>
      <c r="H80" s="15">
        <v>2.6254E-2</v>
      </c>
      <c r="I80" s="15">
        <v>0.10264</v>
      </c>
      <c r="J80" s="15">
        <v>0.45308999999999999</v>
      </c>
      <c r="K80" s="15">
        <v>0.1207</v>
      </c>
    </row>
    <row r="81" spans="1:11" x14ac:dyDescent="0.25">
      <c r="A81" s="16">
        <v>3.4</v>
      </c>
      <c r="B81" s="15">
        <v>2.8349999999999998E-3</v>
      </c>
      <c r="C81" s="15">
        <v>0.81479000000000001</v>
      </c>
      <c r="D81" s="15">
        <v>0.22237999999999999</v>
      </c>
      <c r="E81" s="15">
        <v>4.9589000000000002E-4</v>
      </c>
      <c r="F81" s="15">
        <v>0.75693999999999995</v>
      </c>
      <c r="G81" s="15">
        <v>4.5976000000000003E-3</v>
      </c>
      <c r="H81" s="15">
        <v>2.4975000000000001E-2</v>
      </c>
      <c r="I81" s="15">
        <v>0.10008</v>
      </c>
      <c r="J81" s="15">
        <v>0.44740000000000002</v>
      </c>
      <c r="K81" s="15">
        <v>0.12107999999999999</v>
      </c>
    </row>
    <row r="82" spans="1:11" x14ac:dyDescent="0.25">
      <c r="A82" s="16">
        <v>3.5</v>
      </c>
      <c r="B82" s="15">
        <v>2.6281999999999998E-3</v>
      </c>
      <c r="C82" s="15">
        <v>0.82071000000000005</v>
      </c>
      <c r="D82" s="15">
        <v>0.21453</v>
      </c>
      <c r="E82" s="15">
        <v>4.4843999999999998E-4</v>
      </c>
      <c r="F82" s="15">
        <v>0.76398999999999995</v>
      </c>
      <c r="G82" s="15">
        <v>4.254E-3</v>
      </c>
      <c r="H82" s="15">
        <v>2.3788E-2</v>
      </c>
      <c r="I82" s="15">
        <v>9.7645999999999997E-2</v>
      </c>
      <c r="J82" s="15">
        <v>0.44191999999999998</v>
      </c>
      <c r="K82" s="15">
        <v>0.12143</v>
      </c>
    </row>
    <row r="83" spans="1:11" x14ac:dyDescent="0.25">
      <c r="A83" s="16">
        <v>3.6</v>
      </c>
      <c r="B83" s="15">
        <v>2.4404000000000001E-3</v>
      </c>
      <c r="C83" s="15">
        <v>0.82635999999999998</v>
      </c>
      <c r="D83" s="15">
        <v>0.20707999999999999</v>
      </c>
      <c r="E83" s="15">
        <v>4.0646999999999998E-4</v>
      </c>
      <c r="F83" s="15">
        <v>0.77075000000000005</v>
      </c>
      <c r="G83" s="15">
        <v>3.9437999999999999E-3</v>
      </c>
      <c r="H83" s="15">
        <v>2.2683999999999999E-2</v>
      </c>
      <c r="I83" s="15">
        <v>9.5324000000000006E-2</v>
      </c>
      <c r="J83" s="15">
        <v>0.43663000000000002</v>
      </c>
      <c r="K83" s="15">
        <v>0.12175</v>
      </c>
    </row>
    <row r="84" spans="1:11" x14ac:dyDescent="0.25">
      <c r="A84" s="16">
        <v>3.7</v>
      </c>
      <c r="B84" s="15">
        <v>2.2694999999999998E-3</v>
      </c>
      <c r="C84" s="15">
        <v>0.83174999999999999</v>
      </c>
      <c r="D84" s="15">
        <v>0.20000999999999999</v>
      </c>
      <c r="E84" s="15">
        <v>3.6923000000000001E-4</v>
      </c>
      <c r="F84" s="15">
        <v>0.77724000000000004</v>
      </c>
      <c r="G84" s="15">
        <v>3.6632000000000001E-3</v>
      </c>
      <c r="H84" s="15">
        <v>2.1655000000000001E-2</v>
      </c>
      <c r="I84" s="15">
        <v>9.3106999999999995E-2</v>
      </c>
      <c r="J84" s="15">
        <v>0.43153000000000002</v>
      </c>
      <c r="K84" s="15">
        <v>0.12206</v>
      </c>
    </row>
    <row r="85" spans="1:11" x14ac:dyDescent="0.25">
      <c r="A85" s="16">
        <v>3.8</v>
      </c>
      <c r="B85" s="15">
        <v>2.1136000000000002E-3</v>
      </c>
      <c r="C85" s="15">
        <v>0.83691000000000004</v>
      </c>
      <c r="D85" s="15">
        <v>0.1933</v>
      </c>
      <c r="E85" s="15">
        <v>3.3609999999999998E-4</v>
      </c>
      <c r="F85" s="15">
        <v>0.78346000000000005</v>
      </c>
      <c r="G85" s="15">
        <v>3.4085999999999999E-3</v>
      </c>
      <c r="H85" s="15">
        <v>2.0695000000000002E-2</v>
      </c>
      <c r="I85" s="15">
        <v>9.0990000000000001E-2</v>
      </c>
      <c r="J85" s="15">
        <v>0.42659000000000002</v>
      </c>
      <c r="K85" s="15">
        <v>0.12234</v>
      </c>
    </row>
    <row r="86" spans="1:11" x14ac:dyDescent="0.25">
      <c r="A86" s="16">
        <v>3.9</v>
      </c>
      <c r="B86" s="15">
        <v>1.9712000000000002E-3</v>
      </c>
      <c r="C86" s="15">
        <v>0.84184999999999999</v>
      </c>
      <c r="D86" s="15">
        <v>0.18690999999999999</v>
      </c>
      <c r="E86" s="15">
        <v>3.0655999999999999E-4</v>
      </c>
      <c r="F86" s="15">
        <v>0.78944000000000003</v>
      </c>
      <c r="G86" s="15">
        <v>3.1771E-3</v>
      </c>
      <c r="H86" s="15">
        <v>1.9796999999999999E-2</v>
      </c>
      <c r="I86" s="15">
        <v>8.8966000000000003E-2</v>
      </c>
      <c r="J86" s="15">
        <v>0.42181999999999997</v>
      </c>
      <c r="K86" s="15">
        <v>0.12261</v>
      </c>
    </row>
    <row r="87" spans="1:11" x14ac:dyDescent="0.25">
      <c r="A87" s="16">
        <v>4</v>
      </c>
      <c r="B87" s="15">
        <v>1.8408000000000001E-3</v>
      </c>
      <c r="C87" s="15">
        <v>0.84658</v>
      </c>
      <c r="D87" s="15">
        <v>0.18082999999999999</v>
      </c>
      <c r="E87" s="15">
        <v>2.8013000000000002E-4</v>
      </c>
      <c r="F87" s="15">
        <v>0.79518</v>
      </c>
      <c r="G87" s="15">
        <v>2.9662E-3</v>
      </c>
      <c r="H87" s="15">
        <v>1.8956000000000001E-2</v>
      </c>
      <c r="I87" s="15">
        <v>8.7028999999999995E-2</v>
      </c>
      <c r="J87" s="15">
        <v>0.41720000000000002</v>
      </c>
      <c r="K87" s="15">
        <v>0.12286999999999999</v>
      </c>
    </row>
    <row r="88" spans="1:11" x14ac:dyDescent="0.25">
      <c r="A88" s="16">
        <v>4.0999999999999996</v>
      </c>
      <c r="B88" s="15">
        <v>1.7213E-3</v>
      </c>
      <c r="C88" s="15">
        <v>0.85111000000000003</v>
      </c>
      <c r="D88" s="15">
        <v>0.17504</v>
      </c>
      <c r="E88" s="15">
        <v>2.5645000000000003E-4</v>
      </c>
      <c r="F88" s="15">
        <v>0.80071000000000003</v>
      </c>
      <c r="G88" s="15">
        <v>2.7734999999999999E-3</v>
      </c>
      <c r="H88" s="15">
        <v>1.8168E-2</v>
      </c>
      <c r="I88" s="15">
        <v>8.5172999999999999E-2</v>
      </c>
      <c r="J88" s="15">
        <v>0.41272999999999999</v>
      </c>
      <c r="K88" s="15">
        <v>0.1231</v>
      </c>
    </row>
    <row r="89" spans="1:11" x14ac:dyDescent="0.25">
      <c r="A89" s="16">
        <v>4.2</v>
      </c>
      <c r="B89" s="15">
        <v>1.6114E-3</v>
      </c>
      <c r="C89" s="15">
        <v>0.85545000000000004</v>
      </c>
      <c r="D89" s="15">
        <v>0.16950999999999999</v>
      </c>
      <c r="E89" s="15">
        <v>2.3518000000000001E-4</v>
      </c>
      <c r="F89" s="15">
        <v>0.80601999999999996</v>
      </c>
      <c r="G89" s="15">
        <v>2.5972E-3</v>
      </c>
      <c r="H89" s="15">
        <v>1.7427999999999999E-2</v>
      </c>
      <c r="I89" s="15">
        <v>8.3393999999999996E-2</v>
      </c>
      <c r="J89" s="15">
        <v>0.40839999999999999</v>
      </c>
      <c r="K89" s="15">
        <v>0.12333</v>
      </c>
    </row>
    <row r="90" spans="1:11" x14ac:dyDescent="0.25">
      <c r="A90" s="16">
        <v>4.3</v>
      </c>
      <c r="B90" s="15">
        <v>1.5103E-3</v>
      </c>
      <c r="C90" s="15">
        <v>0.85962000000000005</v>
      </c>
      <c r="D90" s="15">
        <v>0.16424</v>
      </c>
      <c r="E90" s="15">
        <v>2.1602000000000001E-4</v>
      </c>
      <c r="F90" s="15">
        <v>0.81113999999999997</v>
      </c>
      <c r="G90" s="15">
        <v>2.4356E-3</v>
      </c>
      <c r="H90" s="15">
        <v>1.6733000000000001E-2</v>
      </c>
      <c r="I90" s="15">
        <v>8.1685999999999995E-2</v>
      </c>
      <c r="J90" s="15">
        <v>0.40418999999999999</v>
      </c>
      <c r="K90" s="15">
        <v>0.12354</v>
      </c>
    </row>
    <row r="91" spans="1:11" x14ac:dyDescent="0.25">
      <c r="A91" s="16">
        <v>4.4000000000000004</v>
      </c>
      <c r="B91" s="15">
        <v>1.4172E-3</v>
      </c>
      <c r="C91" s="15">
        <v>0.86362000000000005</v>
      </c>
      <c r="D91" s="15">
        <v>0.15920000000000001</v>
      </c>
      <c r="E91" s="15">
        <v>1.9874000000000001E-4</v>
      </c>
      <c r="F91" s="15">
        <v>0.81606000000000001</v>
      </c>
      <c r="G91" s="15">
        <v>2.2870999999999998E-3</v>
      </c>
      <c r="H91" s="15">
        <v>1.6077999999999999E-2</v>
      </c>
      <c r="I91" s="15">
        <v>8.0046000000000006E-2</v>
      </c>
      <c r="J91" s="15">
        <v>0.40011000000000002</v>
      </c>
      <c r="K91" s="15">
        <v>0.12374</v>
      </c>
    </row>
    <row r="92" spans="1:11" x14ac:dyDescent="0.25">
      <c r="A92" s="16">
        <v>4.5</v>
      </c>
      <c r="B92" s="15">
        <v>1.3312E-3</v>
      </c>
      <c r="C92" s="15">
        <v>0.86746000000000001</v>
      </c>
      <c r="D92" s="15">
        <v>0.15437999999999999</v>
      </c>
      <c r="E92" s="15">
        <v>1.8312E-4</v>
      </c>
      <c r="F92" s="15">
        <v>0.82081000000000004</v>
      </c>
      <c r="G92" s="15">
        <v>2.1503999999999998E-3</v>
      </c>
      <c r="H92" s="15">
        <v>1.5461000000000001E-2</v>
      </c>
      <c r="I92" s="15">
        <v>7.8468999999999997E-2</v>
      </c>
      <c r="J92" s="15">
        <v>0.39615</v>
      </c>
      <c r="K92" s="15">
        <v>0.12393</v>
      </c>
    </row>
    <row r="93" spans="1:11" x14ac:dyDescent="0.25">
      <c r="A93" s="16">
        <v>4.5999999999999996</v>
      </c>
      <c r="B93" s="15">
        <v>1.2518E-3</v>
      </c>
      <c r="C93" s="15">
        <v>0.87114999999999998</v>
      </c>
      <c r="D93" s="15">
        <v>0.14976999999999999</v>
      </c>
      <c r="E93" s="15">
        <v>1.6898E-4</v>
      </c>
      <c r="F93" s="15">
        <v>0.82538999999999996</v>
      </c>
      <c r="G93" s="15">
        <v>2.0244E-3</v>
      </c>
      <c r="H93" s="15">
        <v>1.4878000000000001E-2</v>
      </c>
      <c r="I93" s="15">
        <v>7.6952999999999994E-2</v>
      </c>
      <c r="J93" s="15">
        <v>0.39230999999999999</v>
      </c>
      <c r="K93" s="15">
        <v>0.1241</v>
      </c>
    </row>
    <row r="94" spans="1:11" x14ac:dyDescent="0.25">
      <c r="A94" s="16">
        <v>4.7</v>
      </c>
      <c r="B94" s="15">
        <v>1.1781999999999999E-3</v>
      </c>
      <c r="C94" s="15">
        <v>0.87468999999999997</v>
      </c>
      <c r="D94" s="15">
        <v>0.14535999999999999</v>
      </c>
      <c r="E94" s="15">
        <v>1.5614000000000001E-4</v>
      </c>
      <c r="F94" s="15">
        <v>0.82979999999999998</v>
      </c>
      <c r="G94" s="15">
        <v>1.9081E-3</v>
      </c>
      <c r="H94" s="15">
        <v>1.4328E-2</v>
      </c>
      <c r="I94" s="15">
        <v>7.5492000000000004E-2</v>
      </c>
      <c r="J94" s="15">
        <v>0.38857000000000003</v>
      </c>
      <c r="K94" s="15">
        <v>0.12427000000000001</v>
      </c>
    </row>
    <row r="95" spans="1:11" x14ac:dyDescent="0.25">
      <c r="A95" s="16">
        <v>4.8</v>
      </c>
      <c r="B95" s="15">
        <v>1.1100999999999999E-3</v>
      </c>
      <c r="C95" s="15">
        <v>0.87810999999999995</v>
      </c>
      <c r="D95" s="15">
        <v>0.14113000000000001</v>
      </c>
      <c r="E95" s="15">
        <v>1.4448E-4</v>
      </c>
      <c r="F95" s="15">
        <v>0.83406000000000002</v>
      </c>
      <c r="G95" s="15">
        <v>1.8005E-3</v>
      </c>
      <c r="H95" s="15">
        <v>1.3808000000000001E-2</v>
      </c>
      <c r="I95" s="15">
        <v>7.4085999999999999E-2</v>
      </c>
      <c r="J95" s="15">
        <v>0.38492999999999999</v>
      </c>
      <c r="K95" s="15">
        <v>0.12443</v>
      </c>
    </row>
    <row r="96" spans="1:11" x14ac:dyDescent="0.25">
      <c r="A96" s="16">
        <v>4.9000000000000004</v>
      </c>
      <c r="B96" s="15">
        <v>1.0468000000000001E-3</v>
      </c>
      <c r="C96" s="15">
        <v>0.88139000000000001</v>
      </c>
      <c r="D96" s="15">
        <v>0.13708000000000001</v>
      </c>
      <c r="E96" s="15">
        <v>1.3386E-4</v>
      </c>
      <c r="F96" s="15">
        <v>0.83816999999999997</v>
      </c>
      <c r="G96" s="15">
        <v>1.7007999999999999E-3</v>
      </c>
      <c r="H96" s="15">
        <v>1.3315E-2</v>
      </c>
      <c r="I96" s="15">
        <v>7.2730000000000003E-2</v>
      </c>
      <c r="J96" s="15">
        <v>0.38139000000000001</v>
      </c>
      <c r="K96" s="15">
        <v>0.12458</v>
      </c>
    </row>
    <row r="97" spans="1:11" x14ac:dyDescent="0.25">
      <c r="A97" s="16">
        <v>5</v>
      </c>
      <c r="B97" s="15">
        <v>9.8803999999999993E-4</v>
      </c>
      <c r="C97" s="15">
        <v>0.88454999999999995</v>
      </c>
      <c r="D97" s="15">
        <v>0.13319</v>
      </c>
      <c r="E97" s="15">
        <v>1.2417E-4</v>
      </c>
      <c r="F97" s="15">
        <v>0.84214</v>
      </c>
      <c r="G97" s="15">
        <v>1.6084000000000001E-3</v>
      </c>
      <c r="H97" s="15">
        <v>1.2848E-2</v>
      </c>
      <c r="I97" s="15">
        <v>7.1421999999999999E-2</v>
      </c>
      <c r="J97" s="15">
        <v>0.37795000000000001</v>
      </c>
      <c r="K97" s="15">
        <v>0.12472999999999999</v>
      </c>
    </row>
    <row r="98" spans="1:11" x14ac:dyDescent="0.25">
      <c r="A98" s="16">
        <v>6</v>
      </c>
      <c r="B98" s="15">
        <v>5.7877000000000004E-4</v>
      </c>
      <c r="C98" s="15">
        <v>0.91063000000000005</v>
      </c>
      <c r="D98" s="15">
        <v>0.10165</v>
      </c>
      <c r="E98" s="15">
        <v>6.2199999999999994E-5</v>
      </c>
      <c r="F98" s="15">
        <v>0.87531999999999999</v>
      </c>
      <c r="G98" s="15">
        <v>9.6743999999999997E-4</v>
      </c>
      <c r="H98" s="15">
        <v>9.2741000000000004E-3</v>
      </c>
      <c r="I98" s="15">
        <v>6.0505000000000003E-2</v>
      </c>
      <c r="J98" s="15">
        <v>0.34787000000000001</v>
      </c>
      <c r="K98" s="15">
        <v>0.12581999999999999</v>
      </c>
    </row>
    <row r="99" spans="1:11" x14ac:dyDescent="0.25">
      <c r="A99" s="16">
        <v>7</v>
      </c>
      <c r="B99" s="15">
        <v>3.6115000000000002E-4</v>
      </c>
      <c r="C99" s="15">
        <v>0.92927000000000004</v>
      </c>
      <c r="D99" s="15">
        <v>7.9640000000000002E-2</v>
      </c>
      <c r="E99" s="15">
        <v>3.4E-5</v>
      </c>
      <c r="F99" s="15">
        <v>0.89961999999999998</v>
      </c>
      <c r="G99" s="15">
        <v>6.2615000000000001E-4</v>
      </c>
      <c r="H99" s="15">
        <v>7.0028E-3</v>
      </c>
      <c r="I99" s="15">
        <v>5.2446E-2</v>
      </c>
      <c r="J99" s="15">
        <v>0.32386999999999999</v>
      </c>
      <c r="K99" s="15">
        <v>0.12651000000000001</v>
      </c>
    </row>
    <row r="100" spans="1:11" x14ac:dyDescent="0.25">
      <c r="A100" s="16">
        <v>8</v>
      </c>
      <c r="B100" s="15">
        <v>2.3646999999999999E-4</v>
      </c>
      <c r="C100" s="15">
        <v>0.94303999999999999</v>
      </c>
      <c r="D100" s="15">
        <v>6.368E-2</v>
      </c>
      <c r="E100" s="15">
        <v>1.9848E-5</v>
      </c>
      <c r="F100" s="15">
        <v>0.91793000000000002</v>
      </c>
      <c r="G100" s="15">
        <v>4.2800999999999999E-4</v>
      </c>
      <c r="H100" s="15">
        <v>5.4705999999999999E-3</v>
      </c>
      <c r="I100" s="15">
        <v>4.6255999999999999E-2</v>
      </c>
      <c r="J100" s="15">
        <v>0.30415999999999999</v>
      </c>
      <c r="K100" s="15">
        <v>0.12695999999999999</v>
      </c>
    </row>
    <row r="101" spans="1:11" x14ac:dyDescent="0.25">
      <c r="A101" s="16">
        <v>9</v>
      </c>
      <c r="B101" s="15">
        <v>1.6084000000000001E-4</v>
      </c>
      <c r="C101" s="15">
        <v>0.95345000000000002</v>
      </c>
      <c r="D101" s="15">
        <v>5.1758999999999999E-2</v>
      </c>
      <c r="E101" s="15">
        <v>1.22E-5</v>
      </c>
      <c r="F101" s="15">
        <v>0.93201999999999996</v>
      </c>
      <c r="G101" s="15">
        <v>3.0521999999999998E-4</v>
      </c>
      <c r="H101" s="15">
        <v>4.3888E-3</v>
      </c>
      <c r="I101" s="15">
        <v>4.1355999999999997E-2</v>
      </c>
      <c r="J101" s="15">
        <v>0.28760000000000002</v>
      </c>
      <c r="K101" s="15">
        <v>0.12726999999999999</v>
      </c>
    </row>
    <row r="102" spans="1:11" x14ac:dyDescent="0.25">
      <c r="A102" s="16">
        <v>10</v>
      </c>
      <c r="B102" s="15">
        <v>1.1283E-4</v>
      </c>
      <c r="C102" s="15">
        <v>0.96148999999999996</v>
      </c>
      <c r="D102" s="15">
        <v>4.2643E-2</v>
      </c>
      <c r="E102" s="15">
        <v>7.8165000000000005E-6</v>
      </c>
      <c r="F102" s="15">
        <v>0.94308000000000003</v>
      </c>
      <c r="G102" s="15">
        <v>2.2514E-4</v>
      </c>
      <c r="H102" s="15">
        <v>3.5971000000000002E-3</v>
      </c>
      <c r="I102" s="15">
        <v>3.7383E-2</v>
      </c>
      <c r="J102" s="15">
        <v>0.27343000000000001</v>
      </c>
      <c r="K102" s="15">
        <v>0.12748000000000001</v>
      </c>
    </row>
    <row r="103" spans="1:11" x14ac:dyDescent="0.25">
      <c r="A103" s="16">
        <v>11</v>
      </c>
      <c r="B103" s="15">
        <v>8.1205999999999995E-5</v>
      </c>
      <c r="C103" s="15">
        <v>0.96779999999999999</v>
      </c>
      <c r="D103" s="15">
        <v>3.5534999999999997E-2</v>
      </c>
      <c r="E103" s="15">
        <v>5.1827999999999997E-6</v>
      </c>
      <c r="F103" s="15">
        <v>0.95187999999999995</v>
      </c>
      <c r="G103" s="15">
        <v>1.7072999999999999E-4</v>
      </c>
      <c r="H103" s="15">
        <v>3.0006E-3</v>
      </c>
      <c r="I103" s="15">
        <v>3.4097000000000002E-2</v>
      </c>
      <c r="J103" s="15">
        <v>0.26113999999999998</v>
      </c>
      <c r="K103" s="15">
        <v>0.12764</v>
      </c>
    </row>
    <row r="104" spans="1:11" x14ac:dyDescent="0.25">
      <c r="A104" s="16">
        <v>12</v>
      </c>
      <c r="B104" s="15">
        <v>5.9731000000000001E-5</v>
      </c>
      <c r="C104" s="15">
        <v>0.97282999999999997</v>
      </c>
      <c r="D104" s="15">
        <v>2.9904E-2</v>
      </c>
      <c r="E104" s="15">
        <v>3.5371E-6</v>
      </c>
      <c r="F104" s="15">
        <v>0.95899000000000001</v>
      </c>
      <c r="G104" s="15">
        <v>1.3249E-4</v>
      </c>
      <c r="H104" s="15">
        <v>2.5401999999999998E-3</v>
      </c>
      <c r="I104" s="15">
        <v>3.1336000000000003E-2</v>
      </c>
      <c r="J104" s="15">
        <v>0.25034000000000001</v>
      </c>
      <c r="K104" s="15">
        <v>0.12776000000000001</v>
      </c>
    </row>
    <row r="105" spans="1:11" x14ac:dyDescent="0.25">
      <c r="A105" s="16">
        <v>13</v>
      </c>
      <c r="B105" s="15">
        <v>4.4761000000000001E-5</v>
      </c>
      <c r="C105" s="15">
        <v>0.97689000000000004</v>
      </c>
      <c r="D105" s="15">
        <v>2.5381000000000001E-2</v>
      </c>
      <c r="E105" s="15">
        <v>2.4741000000000002E-6</v>
      </c>
      <c r="F105" s="15">
        <v>0.96479000000000004</v>
      </c>
      <c r="G105" s="15">
        <v>1.0484000000000001E-4</v>
      </c>
      <c r="H105" s="15">
        <v>2.1775000000000002E-3</v>
      </c>
      <c r="I105" s="15">
        <v>2.8983999999999999E-2</v>
      </c>
      <c r="J105" s="15">
        <v>0.24077000000000001</v>
      </c>
      <c r="K105" s="15">
        <v>0.12784999999999999</v>
      </c>
    </row>
    <row r="106" spans="1:11" x14ac:dyDescent="0.25">
      <c r="A106" s="16">
        <v>14</v>
      </c>
      <c r="B106" s="15">
        <v>3.4091000000000003E-5</v>
      </c>
      <c r="C106" s="15">
        <v>0.98021000000000003</v>
      </c>
      <c r="D106" s="15">
        <v>2.1704000000000001E-2</v>
      </c>
      <c r="E106" s="15">
        <v>1.7678E-6</v>
      </c>
      <c r="F106" s="15">
        <v>0.96958</v>
      </c>
      <c r="G106" s="15">
        <v>8.4355000000000001E-5</v>
      </c>
      <c r="H106" s="15">
        <v>1.8867999999999999E-3</v>
      </c>
      <c r="I106" s="15">
        <v>2.6956999999999998E-2</v>
      </c>
      <c r="J106" s="15">
        <v>0.23219999999999999</v>
      </c>
      <c r="K106" s="15">
        <v>0.12791</v>
      </c>
    </row>
    <row r="107" spans="1:11" x14ac:dyDescent="0.25">
      <c r="A107" s="16">
        <v>15</v>
      </c>
      <c r="B107" s="15">
        <v>2.6336E-5</v>
      </c>
      <c r="C107" s="15">
        <v>0.98294000000000004</v>
      </c>
      <c r="D107" s="15">
        <v>1.8683999999999999E-2</v>
      </c>
      <c r="E107" s="15">
        <v>1.2867999999999999E-6</v>
      </c>
      <c r="F107" s="15">
        <v>0.97355999999999998</v>
      </c>
      <c r="G107" s="15">
        <v>6.8866000000000001E-5</v>
      </c>
      <c r="H107" s="15">
        <v>1.6504E-3</v>
      </c>
      <c r="I107" s="15">
        <v>2.5193E-2</v>
      </c>
      <c r="J107" s="15">
        <v>0.22447</v>
      </c>
      <c r="K107" s="15">
        <v>0.12795999999999999</v>
      </c>
    </row>
    <row r="108" spans="1:11" x14ac:dyDescent="0.25">
      <c r="A108" s="16">
        <v>20</v>
      </c>
      <c r="B108" s="15">
        <v>8.5458000000000004E-6</v>
      </c>
      <c r="C108" s="15">
        <v>0.99123000000000006</v>
      </c>
      <c r="D108" s="15">
        <v>9.5613999999999994E-3</v>
      </c>
      <c r="E108" s="15">
        <v>3.2585000000000002E-7</v>
      </c>
      <c r="F108" s="15">
        <v>0.98594000000000004</v>
      </c>
      <c r="G108" s="15">
        <v>2.9422000000000001E-5</v>
      </c>
      <c r="H108" s="15">
        <v>9.4016E-4</v>
      </c>
      <c r="I108" s="15">
        <v>1.9963000000000002E-2</v>
      </c>
      <c r="J108" s="15">
        <v>0.19475000000000001</v>
      </c>
      <c r="K108" s="15">
        <v>0.12809999999999999</v>
      </c>
    </row>
    <row r="109" spans="1:11" x14ac:dyDescent="0.25">
      <c r="A109" s="16">
        <v>25</v>
      </c>
      <c r="B109" s="15">
        <v>3.3701999999999999E-6</v>
      </c>
      <c r="C109" s="15">
        <v>0.99504999999999999</v>
      </c>
      <c r="D109" s="15">
        <v>5.3902999999999998E-3</v>
      </c>
      <c r="E109" s="15">
        <v>1.06E-7</v>
      </c>
      <c r="F109" s="15">
        <v>0.99153999999999998</v>
      </c>
      <c r="G109" s="15">
        <v>1.5153999999999999E-5</v>
      </c>
      <c r="H109" s="15">
        <v>6.0530000000000002E-4</v>
      </c>
      <c r="I109" s="15">
        <v>1.5191E-2</v>
      </c>
      <c r="J109" s="15">
        <v>0.17430000000000001</v>
      </c>
      <c r="K109" s="15">
        <v>0.12814999999999999</v>
      </c>
    </row>
    <row r="110" spans="1:11" x14ac:dyDescent="0.25">
      <c r="A110" s="16">
        <v>30</v>
      </c>
      <c r="B110" s="15">
        <v>1.5147000000000001E-6</v>
      </c>
      <c r="C110" s="15">
        <v>0.99700999999999995</v>
      </c>
      <c r="D110" s="15">
        <v>3.2510999999999998E-3</v>
      </c>
      <c r="E110" s="15">
        <v>4.0702000000000003E-8</v>
      </c>
      <c r="F110" s="15">
        <v>0.99497000000000002</v>
      </c>
      <c r="G110" s="15">
        <v>8.7973999999999998E-6</v>
      </c>
      <c r="H110" s="15">
        <v>4.2167000000000002E-4</v>
      </c>
      <c r="I110" s="15">
        <v>1.2664E-2</v>
      </c>
      <c r="J110" s="15">
        <v>0.15915000000000001</v>
      </c>
      <c r="K110" s="15">
        <v>0.12817000000000001</v>
      </c>
    </row>
    <row r="111" spans="1:11" x14ac:dyDescent="0.25">
      <c r="A111" s="16">
        <v>35</v>
      </c>
      <c r="B111" s="15">
        <v>7.4827999999999997E-7</v>
      </c>
      <c r="C111" s="15">
        <v>0.99809999999999999</v>
      </c>
      <c r="D111" s="15">
        <v>2.0622000000000001E-3</v>
      </c>
      <c r="E111" s="15">
        <v>1.7599999999999999E-8</v>
      </c>
      <c r="F111" s="15">
        <v>0.99675000000000002</v>
      </c>
      <c r="G111" s="15">
        <v>5.5500000000000002E-6</v>
      </c>
      <c r="H111" s="15">
        <v>3.1034999999999998E-4</v>
      </c>
      <c r="I111" s="15">
        <v>1.0855E-2</v>
      </c>
      <c r="J111" s="15">
        <v>0.14735000000000001</v>
      </c>
      <c r="K111" s="15">
        <v>0.12817999999999999</v>
      </c>
    </row>
    <row r="112" spans="1:11" x14ac:dyDescent="0.25">
      <c r="A112" s="16">
        <v>40</v>
      </c>
      <c r="B112" s="15">
        <v>3.9723999999999998E-7</v>
      </c>
      <c r="C112" s="15">
        <v>0.99875000000000003</v>
      </c>
      <c r="D112" s="15">
        <v>1.3607000000000001E-3</v>
      </c>
      <c r="E112" s="15">
        <v>8.3251000000000005E-9</v>
      </c>
      <c r="F112" s="15">
        <v>0.99782000000000004</v>
      </c>
      <c r="G112" s="15">
        <v>3.7220000000000001E-6</v>
      </c>
      <c r="H112" s="15">
        <v>2.3787E-4</v>
      </c>
      <c r="I112" s="15">
        <v>9.4969000000000008E-3</v>
      </c>
      <c r="J112" s="15">
        <v>0.13782</v>
      </c>
      <c r="K112" s="15">
        <v>0.12819</v>
      </c>
    </row>
    <row r="113" spans="1:12" x14ac:dyDescent="0.25">
      <c r="A113" s="16">
        <v>45</v>
      </c>
      <c r="B113" s="15">
        <v>2.2322000000000001E-7</v>
      </c>
      <c r="C113" s="15">
        <v>0.99914999999999998</v>
      </c>
      <c r="D113" s="15">
        <v>9.2685E-4</v>
      </c>
      <c r="E113" s="15">
        <v>4.2253000000000003E-9</v>
      </c>
      <c r="F113" s="15">
        <v>0.99848999999999999</v>
      </c>
      <c r="G113" s="15">
        <v>2.6158999999999998E-6</v>
      </c>
      <c r="H113" s="15">
        <v>1.8807000000000001E-4</v>
      </c>
      <c r="I113" s="15">
        <v>8.4393999999999997E-3</v>
      </c>
      <c r="J113" s="15">
        <v>0.12992000000000001</v>
      </c>
      <c r="K113" s="15">
        <v>0.12819</v>
      </c>
    </row>
    <row r="114" spans="1:12" x14ac:dyDescent="0.25">
      <c r="A114" s="16">
        <v>50</v>
      </c>
      <c r="B114" s="15">
        <v>1.3136999999999999E-7</v>
      </c>
      <c r="C114" s="15">
        <v>0.99939999999999996</v>
      </c>
      <c r="D114" s="15">
        <v>6.4820999999999998E-4</v>
      </c>
      <c r="E114" s="15">
        <v>2.2700999999999998E-9</v>
      </c>
      <c r="F114" s="15">
        <v>0.99892999999999998</v>
      </c>
      <c r="G114" s="15">
        <v>1.9078000000000002E-6</v>
      </c>
      <c r="H114" s="15">
        <v>1.5241000000000001E-4</v>
      </c>
      <c r="I114" s="15">
        <v>7.5928000000000002E-3</v>
      </c>
      <c r="J114" s="15">
        <v>0.12323000000000001</v>
      </c>
      <c r="K114" s="15">
        <v>0.12819</v>
      </c>
    </row>
    <row r="115" spans="1:12" x14ac:dyDescent="0.25">
      <c r="A115" s="16">
        <v>55</v>
      </c>
      <c r="B115" s="15">
        <v>8.0338000000000001E-8</v>
      </c>
      <c r="C115" s="15">
        <v>0.99956999999999996</v>
      </c>
      <c r="D115" s="15">
        <v>4.6355000000000002E-4</v>
      </c>
      <c r="E115" s="15">
        <v>1.2784000000000001E-9</v>
      </c>
      <c r="F115" s="15">
        <v>0.99922999999999995</v>
      </c>
      <c r="G115" s="15">
        <v>1.4337999999999999E-6</v>
      </c>
      <c r="H115" s="15">
        <v>1.2599E-4</v>
      </c>
      <c r="I115" s="15">
        <v>6.8999999999999999E-3</v>
      </c>
      <c r="J115" s="15">
        <v>0.11747</v>
      </c>
      <c r="K115" s="15">
        <v>0.12820000000000001</v>
      </c>
      <c r="L115" s="15"/>
    </row>
    <row r="116" spans="1:12" x14ac:dyDescent="0.25">
      <c r="A116" s="16">
        <v>60</v>
      </c>
      <c r="B116" s="15">
        <v>5.0751999999999997E-8</v>
      </c>
      <c r="C116" s="15">
        <v>0.99968999999999997</v>
      </c>
      <c r="D116" s="15">
        <v>3.3789999999999997E-4</v>
      </c>
      <c r="E116" s="15">
        <v>7.4903000000000005E-10</v>
      </c>
      <c r="F116" s="15">
        <v>0.99943000000000004</v>
      </c>
      <c r="G116" s="15">
        <v>1.1046E-6</v>
      </c>
      <c r="H116" s="15">
        <v>1.0589E-4</v>
      </c>
      <c r="I116" s="15">
        <v>6.3223999999999997E-3</v>
      </c>
      <c r="J116" s="15">
        <v>0.11244999999999999</v>
      </c>
      <c r="K116" s="15">
        <v>0.12820000000000001</v>
      </c>
    </row>
    <row r="117" spans="1:12" x14ac:dyDescent="0.25">
      <c r="A117" s="16">
        <v>80</v>
      </c>
      <c r="B117" s="15">
        <v>1.0331999999999999E-8</v>
      </c>
      <c r="C117" s="15">
        <v>0.99990000000000001</v>
      </c>
      <c r="D117" s="15">
        <v>1.1061E-4</v>
      </c>
      <c r="E117" s="15">
        <v>1.1888000000000001E-10</v>
      </c>
      <c r="F117" s="15">
        <v>0.99980999999999998</v>
      </c>
      <c r="G117" s="15">
        <v>4.6618000000000001E-7</v>
      </c>
      <c r="H117" s="15">
        <v>5.9586000000000002E-5</v>
      </c>
      <c r="I117" s="15">
        <v>4.7337999999999998E-3</v>
      </c>
      <c r="J117" s="15">
        <v>9.7300999999999999E-2</v>
      </c>
      <c r="K117" s="15">
        <v>0.12820000000000001</v>
      </c>
    </row>
    <row r="118" spans="1:12" x14ac:dyDescent="0.25">
      <c r="A118" s="16">
        <v>100</v>
      </c>
      <c r="B118" s="15">
        <v>2.7715000000000002E-9</v>
      </c>
      <c r="C118" s="15">
        <v>0.99995999999999996</v>
      </c>
      <c r="D118" s="15">
        <v>4.2957000000000002E-5</v>
      </c>
      <c r="E118" s="15">
        <v>2.6282E-11</v>
      </c>
      <c r="F118" s="15">
        <v>0.99992000000000003</v>
      </c>
      <c r="G118" s="15">
        <v>2.3871E-7</v>
      </c>
      <c r="H118" s="15">
        <v>3.8139000000000002E-5</v>
      </c>
      <c r="I118" s="15">
        <v>3.7802999999999999E-3</v>
      </c>
      <c r="J118" s="15">
        <v>8.6952000000000002E-2</v>
      </c>
      <c r="K118" s="15">
        <v>0.12820000000000001</v>
      </c>
    </row>
    <row r="119" spans="1:12" x14ac:dyDescent="0.25">
      <c r="A119" s="16">
        <v>120</v>
      </c>
      <c r="B119" s="15">
        <v>8.9437999999999997E-10</v>
      </c>
      <c r="C119" s="15">
        <v>0.99997999999999998</v>
      </c>
      <c r="D119" s="15">
        <v>1.8774999999999999E-5</v>
      </c>
      <c r="E119" s="15">
        <v>7.242E-12</v>
      </c>
      <c r="F119" s="15">
        <v>0.99997000000000003</v>
      </c>
      <c r="G119" s="15">
        <v>1.3815E-7</v>
      </c>
      <c r="H119" s="15">
        <v>2.6486999999999999E-5</v>
      </c>
      <c r="I119" s="15">
        <v>3.1446E-3</v>
      </c>
      <c r="J119" s="15">
        <v>7.9305E-2</v>
      </c>
      <c r="K119" s="15">
        <v>0.12820000000000001</v>
      </c>
    </row>
    <row r="120" spans="1:12" x14ac:dyDescent="0.25">
      <c r="A120" s="16">
        <v>140</v>
      </c>
      <c r="B120" s="15">
        <v>3.2991E-10</v>
      </c>
      <c r="C120" s="15">
        <v>0.99999000000000005</v>
      </c>
      <c r="D120" s="15">
        <v>8.9565999999999999E-6</v>
      </c>
      <c r="E120" s="15">
        <v>2.3372000000000002E-12</v>
      </c>
      <c r="F120" s="15">
        <v>0.99997999999999998</v>
      </c>
      <c r="G120" s="15">
        <v>8.6999999999999998E-8</v>
      </c>
      <c r="H120" s="15">
        <v>1.946E-5</v>
      </c>
      <c r="I120" s="15">
        <v>2.6906E-3</v>
      </c>
      <c r="J120" s="15">
        <v>7.3356000000000005E-2</v>
      </c>
      <c r="K120" s="15">
        <v>0.12820000000000001</v>
      </c>
    </row>
    <row r="121" spans="1:12" x14ac:dyDescent="0.25">
      <c r="A121" s="16">
        <v>160</v>
      </c>
      <c r="B121" s="15">
        <v>1.3473000000000001E-10</v>
      </c>
      <c r="C121" s="15">
        <v>1</v>
      </c>
      <c r="D121" s="15">
        <v>4.5724999999999998E-6</v>
      </c>
      <c r="E121" s="15">
        <v>8.5012000000000002E-13</v>
      </c>
      <c r="F121" s="15">
        <v>0.99999000000000005</v>
      </c>
      <c r="G121" s="15">
        <v>5.8284000000000001E-8</v>
      </c>
      <c r="H121" s="15">
        <v>1.4899000000000001E-5</v>
      </c>
      <c r="I121" s="15">
        <v>2.3500000000000001E-3</v>
      </c>
      <c r="J121" s="15">
        <v>6.8557000000000007E-2</v>
      </c>
      <c r="K121" s="15">
        <v>0.12820000000000001</v>
      </c>
    </row>
    <row r="122" spans="1:12" x14ac:dyDescent="0.25">
      <c r="A122" s="16">
        <v>180</v>
      </c>
      <c r="B122" s="15">
        <v>5.9631999999999996E-11</v>
      </c>
      <c r="C122" s="15">
        <v>1</v>
      </c>
      <c r="D122" s="15">
        <v>2.4650000000000001E-6</v>
      </c>
      <c r="E122" s="15">
        <v>3.3971000000000002E-13</v>
      </c>
      <c r="F122" s="15">
        <v>1</v>
      </c>
      <c r="G122" s="15">
        <v>4.0935000000000002E-8</v>
      </c>
      <c r="H122" s="15">
        <v>1.1772E-5</v>
      </c>
      <c r="I122" s="15">
        <v>2.0850999999999999E-3</v>
      </c>
      <c r="J122" s="15">
        <v>6.4577999999999997E-2</v>
      </c>
      <c r="K122" s="15">
        <v>0.12820000000000001</v>
      </c>
    </row>
    <row r="123" spans="1:12" x14ac:dyDescent="0.25">
      <c r="A123" s="16">
        <v>200</v>
      </c>
      <c r="B123" s="15">
        <v>2.8174999999999999E-11</v>
      </c>
      <c r="C123" s="15">
        <v>1</v>
      </c>
      <c r="D123" s="15">
        <v>1.3897E-6</v>
      </c>
      <c r="E123" s="15">
        <v>1.4648999999999999E-13</v>
      </c>
      <c r="F123" s="15">
        <v>1</v>
      </c>
      <c r="G123" s="15">
        <v>2.9841000000000002E-8</v>
      </c>
      <c r="H123" s="15">
        <v>9.5356000000000007E-6</v>
      </c>
      <c r="I123" s="15">
        <v>1.8732E-3</v>
      </c>
      <c r="J123" s="15">
        <v>6.1209E-2</v>
      </c>
      <c r="K123" s="15">
        <v>0.12820000000000001</v>
      </c>
    </row>
    <row r="124" spans="1:12" x14ac:dyDescent="0.25">
      <c r="A124" s="16">
        <v>220</v>
      </c>
      <c r="B124" s="15">
        <v>1.4055E-11</v>
      </c>
      <c r="C124" s="15">
        <v>1</v>
      </c>
      <c r="D124" s="15">
        <v>8.1355000000000003E-7</v>
      </c>
      <c r="E124" s="15">
        <v>6.7273000000000003E-14</v>
      </c>
      <c r="F124" s="15">
        <v>1</v>
      </c>
      <c r="G124" s="15">
        <v>2.2420000000000002E-8</v>
      </c>
      <c r="H124" s="15">
        <v>7.8807000000000006E-6</v>
      </c>
      <c r="I124" s="15">
        <v>1.6999000000000001E-3</v>
      </c>
      <c r="J124" s="15">
        <v>5.8306999999999998E-2</v>
      </c>
      <c r="K124" s="15">
        <v>0.12820000000000001</v>
      </c>
    </row>
    <row r="125" spans="1:12" x14ac:dyDescent="0.25">
      <c r="A125" s="16">
        <v>240</v>
      </c>
      <c r="B125" s="15">
        <v>7.3406999999999992E-12</v>
      </c>
      <c r="C125" s="15">
        <v>1</v>
      </c>
      <c r="D125" s="15">
        <v>4.9182000000000002E-7</v>
      </c>
      <c r="E125" s="15">
        <v>3.2579999999999999E-14</v>
      </c>
      <c r="F125" s="15">
        <v>1</v>
      </c>
      <c r="G125" s="15">
        <v>1.7269000000000001E-8</v>
      </c>
      <c r="H125" s="15">
        <v>6.6219000000000001E-6</v>
      </c>
      <c r="I125" s="15">
        <v>1.5554E-3</v>
      </c>
      <c r="J125" s="15">
        <v>5.5773999999999997E-2</v>
      </c>
      <c r="K125" s="15">
        <v>0.12820000000000001</v>
      </c>
    </row>
    <row r="126" spans="1:12" x14ac:dyDescent="0.25">
      <c r="A126" s="16">
        <v>260</v>
      </c>
      <c r="B126" s="15">
        <v>3.9880999999999999E-12</v>
      </c>
      <c r="C126" s="15">
        <v>1</v>
      </c>
      <c r="D126" s="15">
        <v>3.0572000000000001E-7</v>
      </c>
      <c r="E126" s="15">
        <v>1.6512E-14</v>
      </c>
      <c r="F126" s="15">
        <v>1</v>
      </c>
      <c r="G126" s="15">
        <v>1.3583E-8</v>
      </c>
      <c r="H126" s="15">
        <v>5.6424000000000004E-6</v>
      </c>
      <c r="I126" s="15">
        <v>1.4331000000000001E-3</v>
      </c>
      <c r="J126" s="15">
        <v>5.3538000000000002E-2</v>
      </c>
      <c r="K126" s="15">
        <v>0.12820000000000001</v>
      </c>
    </row>
    <row r="127" spans="1:12" x14ac:dyDescent="0.25">
      <c r="A127" s="15">
        <v>9.9999999999999997E+98</v>
      </c>
      <c r="B127" s="15">
        <v>3.9880999999999999E-12</v>
      </c>
      <c r="C127" s="15">
        <v>1</v>
      </c>
      <c r="D127" s="15">
        <v>3.0572000000000001E-7</v>
      </c>
      <c r="E127" s="15">
        <v>0</v>
      </c>
      <c r="F127" s="15">
        <v>1</v>
      </c>
      <c r="G127" s="15">
        <v>1.3583E-8</v>
      </c>
      <c r="H127" s="15">
        <v>5.6424000000000004E-6</v>
      </c>
      <c r="I127" s="15">
        <v>1.4331000000000001E-3</v>
      </c>
      <c r="J127" s="15">
        <v>5.3538000000000002E-2</v>
      </c>
      <c r="K127" s="15">
        <v>0.12820000000000001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00108154DBF84A9957198D40B40155" ma:contentTypeVersion="13" ma:contentTypeDescription="Create a new document." ma:contentTypeScope="" ma:versionID="4ba335fbef822dadca206cd1b92086de">
  <xsd:schema xmlns:xsd="http://www.w3.org/2001/XMLSchema" xmlns:xs="http://www.w3.org/2001/XMLSchema" xmlns:p="http://schemas.microsoft.com/office/2006/metadata/properties" xmlns:ns3="88f8ed94-7fb0-4b4c-b18c-6b35aef8c71e" xmlns:ns4="5affea6d-392a-4ef4-ac0b-e5e9669ff228" targetNamespace="http://schemas.microsoft.com/office/2006/metadata/properties" ma:root="true" ma:fieldsID="0cd7294525b2789f7824071f0f49b1a4" ns3:_="" ns4:_="">
    <xsd:import namespace="88f8ed94-7fb0-4b4c-b18c-6b35aef8c71e"/>
    <xsd:import namespace="5affea6d-392a-4ef4-ac0b-e5e9669ff22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8ed94-7fb0-4b4c-b18c-6b35aef8c7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ffea6d-392a-4ef4-ac0b-e5e9669ff22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2A5CD0B-ECC6-49BB-9DCC-1D9CA05E75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f8ed94-7fb0-4b4c-b18c-6b35aef8c71e"/>
    <ds:schemaRef ds:uri="5affea6d-392a-4ef4-ac0b-e5e9669ff2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5622C8-AC5E-48B4-99BA-46BD9ED38445}">
  <ds:schemaRefs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www.w3.org/XML/1998/namespace"/>
    <ds:schemaRef ds:uri="http://purl.org/dc/dcmitype/"/>
    <ds:schemaRef ds:uri="5affea6d-392a-4ef4-ac0b-e5e9669ff228"/>
    <ds:schemaRef ds:uri="http://schemas.microsoft.com/office/infopath/2007/PartnerControls"/>
    <ds:schemaRef ds:uri="88f8ed94-7fb0-4b4c-b18c-6b35aef8c71e"/>
  </ds:schemaRefs>
</ds:datastoreItem>
</file>

<file path=customXml/itemProps3.xml><?xml version="1.0" encoding="utf-8"?>
<ds:datastoreItem xmlns:ds="http://schemas.openxmlformats.org/officeDocument/2006/customXml" ds:itemID="{4338CBE2-BAB7-4297-A6E5-6FE63A01E25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1253</vt:i4>
      </vt:variant>
    </vt:vector>
  </HeadingPairs>
  <TitlesOfParts>
    <vt:vector size="1300" baseType="lpstr">
      <vt:lpstr>Constants</vt:lpstr>
      <vt:lpstr>SNe Ia Data</vt:lpstr>
      <vt:lpstr>SNe Ia Model</vt:lpstr>
      <vt:lpstr>Tau</vt:lpstr>
      <vt:lpstr>Recombination</vt:lpstr>
      <vt:lpstr>Geometry</vt:lpstr>
      <vt:lpstr>BTFR Data</vt:lpstr>
      <vt:lpstr>NGC 0224</vt:lpstr>
      <vt:lpstr>NGC 0253</vt:lpstr>
      <vt:lpstr>NGC 0266</vt:lpstr>
      <vt:lpstr>NGC 0342</vt:lpstr>
      <vt:lpstr>NGC 0598</vt:lpstr>
      <vt:lpstr>NGC 0660</vt:lpstr>
      <vt:lpstr>NGC 0891</vt:lpstr>
      <vt:lpstr>NGC 1365</vt:lpstr>
      <vt:lpstr>NGC 1642</vt:lpstr>
      <vt:lpstr>NGC 1808</vt:lpstr>
      <vt:lpstr>NGC 2403</vt:lpstr>
      <vt:lpstr>NGC 2543</vt:lpstr>
      <vt:lpstr>NGC 2599</vt:lpstr>
      <vt:lpstr>NGC 2649</vt:lpstr>
      <vt:lpstr>NGC 2654</vt:lpstr>
      <vt:lpstr>NGC 2903</vt:lpstr>
      <vt:lpstr>NGC 2985</vt:lpstr>
      <vt:lpstr>NGC 3079</vt:lpstr>
      <vt:lpstr>NGC 3198</vt:lpstr>
      <vt:lpstr>NGC 3521</vt:lpstr>
      <vt:lpstr>NGC 3628</vt:lpstr>
      <vt:lpstr>NGC 3900</vt:lpstr>
      <vt:lpstr>NGC 3982</vt:lpstr>
      <vt:lpstr>NGC 4258</vt:lpstr>
      <vt:lpstr>NGC 4303</vt:lpstr>
      <vt:lpstr>NGC 4321</vt:lpstr>
      <vt:lpstr>NGC 4527</vt:lpstr>
      <vt:lpstr>NGC 4565</vt:lpstr>
      <vt:lpstr>NGC 4569</vt:lpstr>
      <vt:lpstr>NGC 4736</vt:lpstr>
      <vt:lpstr>NGC 4945</vt:lpstr>
      <vt:lpstr>NGC 5033</vt:lpstr>
      <vt:lpstr>NGC 5055</vt:lpstr>
      <vt:lpstr>NGC 5236</vt:lpstr>
      <vt:lpstr>NGC 5457</vt:lpstr>
      <vt:lpstr>NGC 5907</vt:lpstr>
      <vt:lpstr>NGC 6946</vt:lpstr>
      <vt:lpstr>NGC 7013</vt:lpstr>
      <vt:lpstr>UGC 03993</vt:lpstr>
      <vt:lpstr>De Vaucouleurs Deprojection</vt:lpstr>
      <vt:lpstr>accel</vt:lpstr>
      <vt:lpstr>Age</vt:lpstr>
      <vt:lpstr>Geometry!AgeOfCMB</vt:lpstr>
      <vt:lpstr>Geometry!AngularScale</vt:lpstr>
      <vt:lpstr>BaryonDensity</vt:lpstr>
      <vt:lpstr>BoltzmannConstant</vt:lpstr>
      <vt:lpstr>'NGC 0224'!BulgeMass</vt:lpstr>
      <vt:lpstr>'NGC 0253'!BulgeMass</vt:lpstr>
      <vt:lpstr>'NGC 0266'!BulgeMass</vt:lpstr>
      <vt:lpstr>'NGC 0342'!BulgeMass</vt:lpstr>
      <vt:lpstr>'NGC 0598'!BulgeMass</vt:lpstr>
      <vt:lpstr>'NGC 0660'!BulgeMass</vt:lpstr>
      <vt:lpstr>'NGC 0891'!BulgeMass</vt:lpstr>
      <vt:lpstr>'NGC 1365'!BulgeMass</vt:lpstr>
      <vt:lpstr>'NGC 1642'!BulgeMass</vt:lpstr>
      <vt:lpstr>'NGC 1808'!BulgeMass</vt:lpstr>
      <vt:lpstr>'NGC 2403'!BulgeMass</vt:lpstr>
      <vt:lpstr>'NGC 2543'!BulgeMass</vt:lpstr>
      <vt:lpstr>'NGC 2599'!BulgeMass</vt:lpstr>
      <vt:lpstr>'NGC 2649'!BulgeMass</vt:lpstr>
      <vt:lpstr>'NGC 2654'!BulgeMass</vt:lpstr>
      <vt:lpstr>'NGC 2903'!BulgeMass</vt:lpstr>
      <vt:lpstr>'NGC 2985'!BulgeMass</vt:lpstr>
      <vt:lpstr>'NGC 3079'!BulgeMass</vt:lpstr>
      <vt:lpstr>'NGC 3198'!BulgeMass</vt:lpstr>
      <vt:lpstr>'NGC 3521'!BulgeMass</vt:lpstr>
      <vt:lpstr>'NGC 3628'!BulgeMass</vt:lpstr>
      <vt:lpstr>'NGC 3900'!BulgeMass</vt:lpstr>
      <vt:lpstr>'NGC 3982'!BulgeMass</vt:lpstr>
      <vt:lpstr>'NGC 4258'!BulgeMass</vt:lpstr>
      <vt:lpstr>'NGC 4303'!BulgeMass</vt:lpstr>
      <vt:lpstr>'NGC 4321'!BulgeMass</vt:lpstr>
      <vt:lpstr>'NGC 4527'!BulgeMass</vt:lpstr>
      <vt:lpstr>'NGC 4565'!BulgeMass</vt:lpstr>
      <vt:lpstr>'NGC 4569'!BulgeMass</vt:lpstr>
      <vt:lpstr>'NGC 4736'!BulgeMass</vt:lpstr>
      <vt:lpstr>'NGC 4945'!BulgeMass</vt:lpstr>
      <vt:lpstr>'NGC 5033'!BulgeMass</vt:lpstr>
      <vt:lpstr>'NGC 5055'!BulgeMass</vt:lpstr>
      <vt:lpstr>'NGC 5236'!BulgeMass</vt:lpstr>
      <vt:lpstr>'NGC 5457'!BulgeMass</vt:lpstr>
      <vt:lpstr>'NGC 5907'!BulgeMass</vt:lpstr>
      <vt:lpstr>'NGC 6946'!BulgeMass</vt:lpstr>
      <vt:lpstr>'NGC 7013'!BulgeMass</vt:lpstr>
      <vt:lpstr>'UGC 03993'!BulgeMass</vt:lpstr>
      <vt:lpstr>CMBTemperature</vt:lpstr>
      <vt:lpstr>'SNe Ia Data'!Color</vt:lpstr>
      <vt:lpstr>'SNe Ia Data'!ColorError</vt:lpstr>
      <vt:lpstr>ConversionFactor</vt:lpstr>
      <vt:lpstr>CriticalDensity</vt:lpstr>
      <vt:lpstr>Geometry!Curvature</vt:lpstr>
      <vt:lpstr>Deprojection</vt:lpstr>
      <vt:lpstr>'NGC 0224'!DiskMass</vt:lpstr>
      <vt:lpstr>'NGC 0253'!DiskMass</vt:lpstr>
      <vt:lpstr>'NGC 0266'!DiskMass</vt:lpstr>
      <vt:lpstr>'NGC 0342'!DiskMass</vt:lpstr>
      <vt:lpstr>'NGC 0598'!DiskMass</vt:lpstr>
      <vt:lpstr>'NGC 0660'!DiskMass</vt:lpstr>
      <vt:lpstr>'NGC 0891'!DiskMass</vt:lpstr>
      <vt:lpstr>'NGC 1365'!DiskMass</vt:lpstr>
      <vt:lpstr>'NGC 1642'!DiskMass</vt:lpstr>
      <vt:lpstr>'NGC 1808'!DiskMass</vt:lpstr>
      <vt:lpstr>'NGC 2403'!DiskMass</vt:lpstr>
      <vt:lpstr>'NGC 2543'!DiskMass</vt:lpstr>
      <vt:lpstr>'NGC 2599'!DiskMass</vt:lpstr>
      <vt:lpstr>'NGC 2649'!DiskMass</vt:lpstr>
      <vt:lpstr>'NGC 2654'!DiskMass</vt:lpstr>
      <vt:lpstr>'NGC 2903'!DiskMass</vt:lpstr>
      <vt:lpstr>'NGC 2985'!DiskMass</vt:lpstr>
      <vt:lpstr>'NGC 3079'!DiskMass</vt:lpstr>
      <vt:lpstr>'NGC 3198'!DiskMass</vt:lpstr>
      <vt:lpstr>'NGC 3521'!DiskMass</vt:lpstr>
      <vt:lpstr>'NGC 3628'!DiskMass</vt:lpstr>
      <vt:lpstr>'NGC 3900'!DiskMass</vt:lpstr>
      <vt:lpstr>'NGC 3982'!DiskMass</vt:lpstr>
      <vt:lpstr>'NGC 4258'!DiskMass</vt:lpstr>
      <vt:lpstr>'NGC 4303'!DiskMass</vt:lpstr>
      <vt:lpstr>'NGC 4321'!DiskMass</vt:lpstr>
      <vt:lpstr>'NGC 4527'!DiskMass</vt:lpstr>
      <vt:lpstr>'NGC 4565'!DiskMass</vt:lpstr>
      <vt:lpstr>'NGC 4569'!DiskMass</vt:lpstr>
      <vt:lpstr>'NGC 4736'!DiskMass</vt:lpstr>
      <vt:lpstr>'NGC 4945'!DiskMass</vt:lpstr>
      <vt:lpstr>'NGC 5033'!DiskMass</vt:lpstr>
      <vt:lpstr>'NGC 5055'!DiskMass</vt:lpstr>
      <vt:lpstr>'NGC 5236'!DiskMass</vt:lpstr>
      <vt:lpstr>'NGC 5457'!DiskMass</vt:lpstr>
      <vt:lpstr>'NGC 5907'!DiskMass</vt:lpstr>
      <vt:lpstr>'NGC 6946'!DiskMass</vt:lpstr>
      <vt:lpstr>'NGC 7013'!DiskMass</vt:lpstr>
      <vt:lpstr>'UGC 03993'!DiskMass</vt:lpstr>
      <vt:lpstr>'NGC 0224'!DiskScaleLengthPc</vt:lpstr>
      <vt:lpstr>'NGC 0253'!DiskScaleLengthPc</vt:lpstr>
      <vt:lpstr>'NGC 0266'!DiskScaleLengthPc</vt:lpstr>
      <vt:lpstr>'NGC 0342'!DiskScaleLengthPc</vt:lpstr>
      <vt:lpstr>'NGC 0598'!DiskScaleLengthPc</vt:lpstr>
      <vt:lpstr>'NGC 0660'!DiskScaleLengthPc</vt:lpstr>
      <vt:lpstr>'NGC 0891'!DiskScaleLengthPc</vt:lpstr>
      <vt:lpstr>'NGC 1365'!DiskScaleLengthPc</vt:lpstr>
      <vt:lpstr>'NGC 1642'!DiskScaleLengthPc</vt:lpstr>
      <vt:lpstr>'NGC 1808'!DiskScaleLengthPc</vt:lpstr>
      <vt:lpstr>'NGC 2403'!DiskScaleLengthPc</vt:lpstr>
      <vt:lpstr>'NGC 2543'!DiskScaleLengthPc</vt:lpstr>
      <vt:lpstr>'NGC 2599'!DiskScaleLengthPc</vt:lpstr>
      <vt:lpstr>'NGC 2649'!DiskScaleLengthPc</vt:lpstr>
      <vt:lpstr>'NGC 2654'!DiskScaleLengthPc</vt:lpstr>
      <vt:lpstr>'NGC 2903'!DiskScaleLengthPc</vt:lpstr>
      <vt:lpstr>'NGC 2985'!DiskScaleLengthPc</vt:lpstr>
      <vt:lpstr>'NGC 3079'!DiskScaleLengthPc</vt:lpstr>
      <vt:lpstr>'NGC 3198'!DiskScaleLengthPc</vt:lpstr>
      <vt:lpstr>'NGC 3521'!DiskScaleLengthPc</vt:lpstr>
      <vt:lpstr>'NGC 3628'!DiskScaleLengthPc</vt:lpstr>
      <vt:lpstr>'NGC 3900'!DiskScaleLengthPc</vt:lpstr>
      <vt:lpstr>'NGC 3982'!DiskScaleLengthPc</vt:lpstr>
      <vt:lpstr>'NGC 4258'!DiskScaleLengthPc</vt:lpstr>
      <vt:lpstr>'NGC 4303'!DiskScaleLengthPc</vt:lpstr>
      <vt:lpstr>'NGC 4321'!DiskScaleLengthPc</vt:lpstr>
      <vt:lpstr>'NGC 4527'!DiskScaleLengthPc</vt:lpstr>
      <vt:lpstr>'NGC 4565'!DiskScaleLengthPc</vt:lpstr>
      <vt:lpstr>'NGC 4569'!DiskScaleLengthPc</vt:lpstr>
      <vt:lpstr>'NGC 4736'!DiskScaleLengthPc</vt:lpstr>
      <vt:lpstr>'NGC 4945'!DiskScaleLengthPc</vt:lpstr>
      <vt:lpstr>'NGC 5033'!DiskScaleLengthPc</vt:lpstr>
      <vt:lpstr>'NGC 5055'!DiskScaleLengthPc</vt:lpstr>
      <vt:lpstr>'NGC 5236'!DiskScaleLengthPc</vt:lpstr>
      <vt:lpstr>'NGC 5457'!DiskScaleLengthPc</vt:lpstr>
      <vt:lpstr>'NGC 5907'!DiskScaleLengthPc</vt:lpstr>
      <vt:lpstr>'NGC 6946'!DiskScaleLengthPc</vt:lpstr>
      <vt:lpstr>'NGC 7013'!DiskScaleLengthPc</vt:lpstr>
      <vt:lpstr>'UGC 03993'!DiskScaleLengthPc</vt:lpstr>
      <vt:lpstr>Geometry!DistanceSurfaceLastScattering</vt:lpstr>
      <vt:lpstr>ElectronMass</vt:lpstr>
      <vt:lpstr>errorMass</vt:lpstr>
      <vt:lpstr>Gpc</vt:lpstr>
      <vt:lpstr>GravitationalConstant</vt:lpstr>
      <vt:lpstr>Gyr</vt:lpstr>
      <vt:lpstr>'NGC 0224'!HaloMass</vt:lpstr>
      <vt:lpstr>'NGC 0253'!HaloMass</vt:lpstr>
      <vt:lpstr>'NGC 0266'!HaloMass</vt:lpstr>
      <vt:lpstr>'NGC 0342'!HaloMass</vt:lpstr>
      <vt:lpstr>'NGC 0598'!HaloMass</vt:lpstr>
      <vt:lpstr>'NGC 0660'!HaloMass</vt:lpstr>
      <vt:lpstr>'NGC 0891'!HaloMass</vt:lpstr>
      <vt:lpstr>'NGC 1365'!HaloMass</vt:lpstr>
      <vt:lpstr>'NGC 1642'!HaloMass</vt:lpstr>
      <vt:lpstr>'NGC 1808'!HaloMass</vt:lpstr>
      <vt:lpstr>'NGC 2403'!HaloMass</vt:lpstr>
      <vt:lpstr>'NGC 2543'!HaloMass</vt:lpstr>
      <vt:lpstr>'NGC 2599'!HaloMass</vt:lpstr>
      <vt:lpstr>'NGC 2649'!HaloMass</vt:lpstr>
      <vt:lpstr>'NGC 2654'!HaloMass</vt:lpstr>
      <vt:lpstr>'NGC 2903'!HaloMass</vt:lpstr>
      <vt:lpstr>'NGC 2985'!HaloMass</vt:lpstr>
      <vt:lpstr>'NGC 3079'!HaloMass</vt:lpstr>
      <vt:lpstr>'NGC 3198'!HaloMass</vt:lpstr>
      <vt:lpstr>'NGC 3521'!HaloMass</vt:lpstr>
      <vt:lpstr>'NGC 3628'!HaloMass</vt:lpstr>
      <vt:lpstr>'NGC 3900'!HaloMass</vt:lpstr>
      <vt:lpstr>'NGC 3982'!HaloMass</vt:lpstr>
      <vt:lpstr>'NGC 4258'!HaloMass</vt:lpstr>
      <vt:lpstr>'NGC 4303'!HaloMass</vt:lpstr>
      <vt:lpstr>'NGC 4321'!HaloMass</vt:lpstr>
      <vt:lpstr>'NGC 4527'!HaloMass</vt:lpstr>
      <vt:lpstr>'NGC 4565'!HaloMass</vt:lpstr>
      <vt:lpstr>'NGC 4569'!HaloMass</vt:lpstr>
      <vt:lpstr>'NGC 4736'!HaloMass</vt:lpstr>
      <vt:lpstr>'NGC 4945'!HaloMass</vt:lpstr>
      <vt:lpstr>'NGC 5033'!HaloMass</vt:lpstr>
      <vt:lpstr>'NGC 5055'!HaloMass</vt:lpstr>
      <vt:lpstr>'NGC 5236'!HaloMass</vt:lpstr>
      <vt:lpstr>'NGC 5457'!HaloMass</vt:lpstr>
      <vt:lpstr>'NGC 5907'!HaloMass</vt:lpstr>
      <vt:lpstr>'NGC 6946'!HaloMass</vt:lpstr>
      <vt:lpstr>'NGC 7013'!HaloMass</vt:lpstr>
      <vt:lpstr>'UGC 03993'!HaloMass</vt:lpstr>
      <vt:lpstr>HeliumAbundance</vt:lpstr>
      <vt:lpstr>HeliumMass</vt:lpstr>
      <vt:lpstr>HubbleConstant</vt:lpstr>
      <vt:lpstr>HubbleConstantCMB</vt:lpstr>
      <vt:lpstr>HubbleConstantSNe</vt:lpstr>
      <vt:lpstr>HydrogenAbundance</vt:lpstr>
      <vt:lpstr>HydrogenMass</vt:lpstr>
      <vt:lpstr>InitialTangentVelocity</vt:lpstr>
      <vt:lpstr>km</vt:lpstr>
      <vt:lpstr>kpc</vt:lpstr>
      <vt:lpstr>kyr</vt:lpstr>
      <vt:lpstr>LCDMAge</vt:lpstr>
      <vt:lpstr>'NGC 0224'!LCDMBulgeEffectiveRadius</vt:lpstr>
      <vt:lpstr>'NGC 0253'!LCDMBulgeEffectiveRadius</vt:lpstr>
      <vt:lpstr>'NGC 0266'!LCDMBulgeEffectiveRadius</vt:lpstr>
      <vt:lpstr>'NGC 0342'!LCDMBulgeEffectiveRadius</vt:lpstr>
      <vt:lpstr>'NGC 0598'!LCDMBulgeEffectiveRadius</vt:lpstr>
      <vt:lpstr>'NGC 0660'!LCDMBulgeEffectiveRadius</vt:lpstr>
      <vt:lpstr>'NGC 0891'!LCDMBulgeEffectiveRadius</vt:lpstr>
      <vt:lpstr>'NGC 1365'!LCDMBulgeEffectiveRadius</vt:lpstr>
      <vt:lpstr>'NGC 1642'!LCDMBulgeEffectiveRadius</vt:lpstr>
      <vt:lpstr>'NGC 1808'!LCDMBulgeEffectiveRadius</vt:lpstr>
      <vt:lpstr>'NGC 2403'!LCDMBulgeEffectiveRadius</vt:lpstr>
      <vt:lpstr>'NGC 2543'!LCDMBulgeEffectiveRadius</vt:lpstr>
      <vt:lpstr>'NGC 2599'!LCDMBulgeEffectiveRadius</vt:lpstr>
      <vt:lpstr>'NGC 2649'!LCDMBulgeEffectiveRadius</vt:lpstr>
      <vt:lpstr>'NGC 2654'!LCDMBulgeEffectiveRadius</vt:lpstr>
      <vt:lpstr>'NGC 2903'!LCDMBulgeEffectiveRadius</vt:lpstr>
      <vt:lpstr>'NGC 2985'!LCDMBulgeEffectiveRadius</vt:lpstr>
      <vt:lpstr>'NGC 3079'!LCDMBulgeEffectiveRadius</vt:lpstr>
      <vt:lpstr>'NGC 3198'!LCDMBulgeEffectiveRadius</vt:lpstr>
      <vt:lpstr>'NGC 3521'!LCDMBulgeEffectiveRadius</vt:lpstr>
      <vt:lpstr>'NGC 3628'!LCDMBulgeEffectiveRadius</vt:lpstr>
      <vt:lpstr>'NGC 3900'!LCDMBulgeEffectiveRadius</vt:lpstr>
      <vt:lpstr>'NGC 3982'!LCDMBulgeEffectiveRadius</vt:lpstr>
      <vt:lpstr>'NGC 4258'!LCDMBulgeEffectiveRadius</vt:lpstr>
      <vt:lpstr>'NGC 4303'!LCDMBulgeEffectiveRadius</vt:lpstr>
      <vt:lpstr>'NGC 4321'!LCDMBulgeEffectiveRadius</vt:lpstr>
      <vt:lpstr>'NGC 4527'!LCDMBulgeEffectiveRadius</vt:lpstr>
      <vt:lpstr>'NGC 4565'!LCDMBulgeEffectiveRadius</vt:lpstr>
      <vt:lpstr>'NGC 4569'!LCDMBulgeEffectiveRadius</vt:lpstr>
      <vt:lpstr>'NGC 4736'!LCDMBulgeEffectiveRadius</vt:lpstr>
      <vt:lpstr>'NGC 4945'!LCDMBulgeEffectiveRadius</vt:lpstr>
      <vt:lpstr>'NGC 5033'!LCDMBulgeEffectiveRadius</vt:lpstr>
      <vt:lpstr>'NGC 5055'!LCDMBulgeEffectiveRadius</vt:lpstr>
      <vt:lpstr>'NGC 5236'!LCDMBulgeEffectiveRadius</vt:lpstr>
      <vt:lpstr>'NGC 5457'!LCDMBulgeEffectiveRadius</vt:lpstr>
      <vt:lpstr>'NGC 5907'!LCDMBulgeEffectiveRadius</vt:lpstr>
      <vt:lpstr>'NGC 6946'!LCDMBulgeEffectiveRadius</vt:lpstr>
      <vt:lpstr>'NGC 7013'!LCDMBulgeEffectiveRadius</vt:lpstr>
      <vt:lpstr>'UGC 03993'!LCDMBulgeEffectiveRadius</vt:lpstr>
      <vt:lpstr>'NGC 0224'!LCDMDiskSurfaceDensity</vt:lpstr>
      <vt:lpstr>'NGC 0253'!LCDMDiskSurfaceDensity</vt:lpstr>
      <vt:lpstr>'NGC 0266'!LCDMDiskSurfaceDensity</vt:lpstr>
      <vt:lpstr>'NGC 0342'!LCDMDiskSurfaceDensity</vt:lpstr>
      <vt:lpstr>'NGC 0598'!LCDMDiskSurfaceDensity</vt:lpstr>
      <vt:lpstr>'NGC 0660'!LCDMDiskSurfaceDensity</vt:lpstr>
      <vt:lpstr>'NGC 0891'!LCDMDiskSurfaceDensity</vt:lpstr>
      <vt:lpstr>'NGC 1365'!LCDMDiskSurfaceDensity</vt:lpstr>
      <vt:lpstr>'NGC 1642'!LCDMDiskSurfaceDensity</vt:lpstr>
      <vt:lpstr>'NGC 1808'!LCDMDiskSurfaceDensity</vt:lpstr>
      <vt:lpstr>'NGC 2403'!LCDMDiskSurfaceDensity</vt:lpstr>
      <vt:lpstr>'NGC 2543'!LCDMDiskSurfaceDensity</vt:lpstr>
      <vt:lpstr>'NGC 2599'!LCDMDiskSurfaceDensity</vt:lpstr>
      <vt:lpstr>'NGC 2649'!LCDMDiskSurfaceDensity</vt:lpstr>
      <vt:lpstr>'NGC 2654'!LCDMDiskSurfaceDensity</vt:lpstr>
      <vt:lpstr>'NGC 2903'!LCDMDiskSurfaceDensity</vt:lpstr>
      <vt:lpstr>'NGC 2985'!LCDMDiskSurfaceDensity</vt:lpstr>
      <vt:lpstr>'NGC 3079'!LCDMDiskSurfaceDensity</vt:lpstr>
      <vt:lpstr>'NGC 3198'!LCDMDiskSurfaceDensity</vt:lpstr>
      <vt:lpstr>'NGC 3521'!LCDMDiskSurfaceDensity</vt:lpstr>
      <vt:lpstr>'NGC 3628'!LCDMDiskSurfaceDensity</vt:lpstr>
      <vt:lpstr>'NGC 3900'!LCDMDiskSurfaceDensity</vt:lpstr>
      <vt:lpstr>'NGC 3982'!LCDMDiskSurfaceDensity</vt:lpstr>
      <vt:lpstr>'NGC 4258'!LCDMDiskSurfaceDensity</vt:lpstr>
      <vt:lpstr>'NGC 4303'!LCDMDiskSurfaceDensity</vt:lpstr>
      <vt:lpstr>'NGC 4321'!LCDMDiskSurfaceDensity</vt:lpstr>
      <vt:lpstr>'NGC 4527'!LCDMDiskSurfaceDensity</vt:lpstr>
      <vt:lpstr>'NGC 4565'!LCDMDiskSurfaceDensity</vt:lpstr>
      <vt:lpstr>'NGC 4569'!LCDMDiskSurfaceDensity</vt:lpstr>
      <vt:lpstr>'NGC 4736'!LCDMDiskSurfaceDensity</vt:lpstr>
      <vt:lpstr>'NGC 4945'!LCDMDiskSurfaceDensity</vt:lpstr>
      <vt:lpstr>'NGC 5033'!LCDMDiskSurfaceDensity</vt:lpstr>
      <vt:lpstr>'NGC 5055'!LCDMDiskSurfaceDensity</vt:lpstr>
      <vt:lpstr>'NGC 5236'!LCDMDiskSurfaceDensity</vt:lpstr>
      <vt:lpstr>'NGC 5457'!LCDMDiskSurfaceDensity</vt:lpstr>
      <vt:lpstr>'NGC 5907'!LCDMDiskSurfaceDensity</vt:lpstr>
      <vt:lpstr>'NGC 6946'!LCDMDiskSurfaceDensity</vt:lpstr>
      <vt:lpstr>'NGC 7013'!LCDMDiskSurfaceDensity</vt:lpstr>
      <vt:lpstr>'UGC 03993'!LCDMDiskSurfaceDensity</vt:lpstr>
      <vt:lpstr>'NGC 0224'!LCDMHaloRepresentativeDensity</vt:lpstr>
      <vt:lpstr>'NGC 0253'!LCDMHaloRepresentativeDensity</vt:lpstr>
      <vt:lpstr>'NGC 0266'!LCDMHaloRepresentativeDensity</vt:lpstr>
      <vt:lpstr>'NGC 0342'!LCDMHaloRepresentativeDensity</vt:lpstr>
      <vt:lpstr>'NGC 0598'!LCDMHaloRepresentativeDensity</vt:lpstr>
      <vt:lpstr>'NGC 0660'!LCDMHaloRepresentativeDensity</vt:lpstr>
      <vt:lpstr>'NGC 0891'!LCDMHaloRepresentativeDensity</vt:lpstr>
      <vt:lpstr>'NGC 1365'!LCDMHaloRepresentativeDensity</vt:lpstr>
      <vt:lpstr>'NGC 1642'!LCDMHaloRepresentativeDensity</vt:lpstr>
      <vt:lpstr>'NGC 1808'!LCDMHaloRepresentativeDensity</vt:lpstr>
      <vt:lpstr>'NGC 2403'!LCDMHaloRepresentativeDensity</vt:lpstr>
      <vt:lpstr>'NGC 2543'!LCDMHaloRepresentativeDensity</vt:lpstr>
      <vt:lpstr>'NGC 2599'!LCDMHaloRepresentativeDensity</vt:lpstr>
      <vt:lpstr>'NGC 2649'!LCDMHaloRepresentativeDensity</vt:lpstr>
      <vt:lpstr>'NGC 2654'!LCDMHaloRepresentativeDensity</vt:lpstr>
      <vt:lpstr>'NGC 2903'!LCDMHaloRepresentativeDensity</vt:lpstr>
      <vt:lpstr>'NGC 2985'!LCDMHaloRepresentativeDensity</vt:lpstr>
      <vt:lpstr>'NGC 3079'!LCDMHaloRepresentativeDensity</vt:lpstr>
      <vt:lpstr>'NGC 3198'!LCDMHaloRepresentativeDensity</vt:lpstr>
      <vt:lpstr>'NGC 3521'!LCDMHaloRepresentativeDensity</vt:lpstr>
      <vt:lpstr>'NGC 3628'!LCDMHaloRepresentativeDensity</vt:lpstr>
      <vt:lpstr>'NGC 3900'!LCDMHaloRepresentativeDensity</vt:lpstr>
      <vt:lpstr>'NGC 3982'!LCDMHaloRepresentativeDensity</vt:lpstr>
      <vt:lpstr>'NGC 4258'!LCDMHaloRepresentativeDensity</vt:lpstr>
      <vt:lpstr>'NGC 4303'!LCDMHaloRepresentativeDensity</vt:lpstr>
      <vt:lpstr>'NGC 4321'!LCDMHaloRepresentativeDensity</vt:lpstr>
      <vt:lpstr>'NGC 4527'!LCDMHaloRepresentativeDensity</vt:lpstr>
      <vt:lpstr>'NGC 4565'!LCDMHaloRepresentativeDensity</vt:lpstr>
      <vt:lpstr>'NGC 4569'!LCDMHaloRepresentativeDensity</vt:lpstr>
      <vt:lpstr>'NGC 4736'!LCDMHaloRepresentativeDensity</vt:lpstr>
      <vt:lpstr>'NGC 4945'!LCDMHaloRepresentativeDensity</vt:lpstr>
      <vt:lpstr>'NGC 5033'!LCDMHaloRepresentativeDensity</vt:lpstr>
      <vt:lpstr>'NGC 5055'!LCDMHaloRepresentativeDensity</vt:lpstr>
      <vt:lpstr>'NGC 5236'!LCDMHaloRepresentativeDensity</vt:lpstr>
      <vt:lpstr>'NGC 5457'!LCDMHaloRepresentativeDensity</vt:lpstr>
      <vt:lpstr>'NGC 5907'!LCDMHaloRepresentativeDensity</vt:lpstr>
      <vt:lpstr>'NGC 6946'!LCDMHaloRepresentativeDensity</vt:lpstr>
      <vt:lpstr>'NGC 7013'!LCDMHaloRepresentativeDensity</vt:lpstr>
      <vt:lpstr>'UGC 03993'!LCDMHaloRepresentativeDensity</vt:lpstr>
      <vt:lpstr>'NGC 0224'!LCDMHaloScaleLengthPc</vt:lpstr>
      <vt:lpstr>'NGC 0253'!LCDMHaloScaleLengthPc</vt:lpstr>
      <vt:lpstr>'NGC 0266'!LCDMHaloScaleLengthPc</vt:lpstr>
      <vt:lpstr>'NGC 0342'!LCDMHaloScaleLengthPc</vt:lpstr>
      <vt:lpstr>'NGC 0598'!LCDMHaloScaleLengthPc</vt:lpstr>
      <vt:lpstr>'NGC 0660'!LCDMHaloScaleLengthPc</vt:lpstr>
      <vt:lpstr>'NGC 0891'!LCDMHaloScaleLengthPc</vt:lpstr>
      <vt:lpstr>'NGC 1365'!LCDMHaloScaleLengthPc</vt:lpstr>
      <vt:lpstr>'NGC 1642'!LCDMHaloScaleLengthPc</vt:lpstr>
      <vt:lpstr>'NGC 1808'!LCDMHaloScaleLengthPc</vt:lpstr>
      <vt:lpstr>'NGC 2403'!LCDMHaloScaleLengthPc</vt:lpstr>
      <vt:lpstr>'NGC 2543'!LCDMHaloScaleLengthPc</vt:lpstr>
      <vt:lpstr>'NGC 2599'!LCDMHaloScaleLengthPc</vt:lpstr>
      <vt:lpstr>'NGC 2649'!LCDMHaloScaleLengthPc</vt:lpstr>
      <vt:lpstr>'NGC 2654'!LCDMHaloScaleLengthPc</vt:lpstr>
      <vt:lpstr>'NGC 2903'!LCDMHaloScaleLengthPc</vt:lpstr>
      <vt:lpstr>'NGC 2985'!LCDMHaloScaleLengthPc</vt:lpstr>
      <vt:lpstr>'NGC 3079'!LCDMHaloScaleLengthPc</vt:lpstr>
      <vt:lpstr>'NGC 3198'!LCDMHaloScaleLengthPc</vt:lpstr>
      <vt:lpstr>'NGC 3521'!LCDMHaloScaleLengthPc</vt:lpstr>
      <vt:lpstr>'NGC 3628'!LCDMHaloScaleLengthPc</vt:lpstr>
      <vt:lpstr>'NGC 3900'!LCDMHaloScaleLengthPc</vt:lpstr>
      <vt:lpstr>'NGC 3982'!LCDMHaloScaleLengthPc</vt:lpstr>
      <vt:lpstr>'NGC 4258'!LCDMHaloScaleLengthPc</vt:lpstr>
      <vt:lpstr>'NGC 4303'!LCDMHaloScaleLengthPc</vt:lpstr>
      <vt:lpstr>'NGC 4321'!LCDMHaloScaleLengthPc</vt:lpstr>
      <vt:lpstr>'NGC 4527'!LCDMHaloScaleLengthPc</vt:lpstr>
      <vt:lpstr>'NGC 4565'!LCDMHaloScaleLengthPc</vt:lpstr>
      <vt:lpstr>'NGC 4569'!LCDMHaloScaleLengthPc</vt:lpstr>
      <vt:lpstr>'NGC 4736'!LCDMHaloScaleLengthPc</vt:lpstr>
      <vt:lpstr>'NGC 4945'!LCDMHaloScaleLengthPc</vt:lpstr>
      <vt:lpstr>'NGC 5033'!LCDMHaloScaleLengthPc</vt:lpstr>
      <vt:lpstr>'NGC 5055'!LCDMHaloScaleLengthPc</vt:lpstr>
      <vt:lpstr>'NGC 5236'!LCDMHaloScaleLengthPc</vt:lpstr>
      <vt:lpstr>'NGC 5457'!LCDMHaloScaleLengthPc</vt:lpstr>
      <vt:lpstr>'NGC 5907'!LCDMHaloScaleLengthPc</vt:lpstr>
      <vt:lpstr>'NGC 6946'!LCDMHaloScaleLengthPc</vt:lpstr>
      <vt:lpstr>'NGC 7013'!LCDMHaloScaleLengthPc</vt:lpstr>
      <vt:lpstr>'UGC 03993'!LCDMHaloScaleLengthPc</vt:lpstr>
      <vt:lpstr>'NGC 0224'!LCDMModelBER</vt:lpstr>
      <vt:lpstr>'NGC 0253'!LCDMModelBER</vt:lpstr>
      <vt:lpstr>'NGC 0266'!LCDMModelBER</vt:lpstr>
      <vt:lpstr>'NGC 0342'!LCDMModelBER</vt:lpstr>
      <vt:lpstr>'NGC 0598'!LCDMModelBER</vt:lpstr>
      <vt:lpstr>'NGC 0660'!LCDMModelBER</vt:lpstr>
      <vt:lpstr>'NGC 0891'!LCDMModelBER</vt:lpstr>
      <vt:lpstr>'NGC 1365'!LCDMModelBER</vt:lpstr>
      <vt:lpstr>'NGC 1642'!LCDMModelBER</vt:lpstr>
      <vt:lpstr>'NGC 1808'!LCDMModelBER</vt:lpstr>
      <vt:lpstr>'NGC 2403'!LCDMModelBER</vt:lpstr>
      <vt:lpstr>'NGC 2543'!LCDMModelBER</vt:lpstr>
      <vt:lpstr>'NGC 2599'!LCDMModelBER</vt:lpstr>
      <vt:lpstr>'NGC 2649'!LCDMModelBER</vt:lpstr>
      <vt:lpstr>'NGC 2654'!LCDMModelBER</vt:lpstr>
      <vt:lpstr>'NGC 2903'!LCDMModelBER</vt:lpstr>
      <vt:lpstr>'NGC 2985'!LCDMModelBER</vt:lpstr>
      <vt:lpstr>'NGC 3079'!LCDMModelBER</vt:lpstr>
      <vt:lpstr>'NGC 3198'!LCDMModelBER</vt:lpstr>
      <vt:lpstr>'NGC 3521'!LCDMModelBER</vt:lpstr>
      <vt:lpstr>'NGC 3628'!LCDMModelBER</vt:lpstr>
      <vt:lpstr>'NGC 3900'!LCDMModelBER</vt:lpstr>
      <vt:lpstr>'NGC 3982'!LCDMModelBER</vt:lpstr>
      <vt:lpstr>'NGC 4258'!LCDMModelBER</vt:lpstr>
      <vt:lpstr>'NGC 4303'!LCDMModelBER</vt:lpstr>
      <vt:lpstr>'NGC 4321'!LCDMModelBER</vt:lpstr>
      <vt:lpstr>'NGC 4527'!LCDMModelBER</vt:lpstr>
      <vt:lpstr>'NGC 4565'!LCDMModelBER</vt:lpstr>
      <vt:lpstr>'NGC 4569'!LCDMModelBER</vt:lpstr>
      <vt:lpstr>'NGC 4736'!LCDMModelBER</vt:lpstr>
      <vt:lpstr>'NGC 4945'!LCDMModelBER</vt:lpstr>
      <vt:lpstr>'NGC 5033'!LCDMModelBER</vt:lpstr>
      <vt:lpstr>'NGC 5055'!LCDMModelBER</vt:lpstr>
      <vt:lpstr>'NGC 5236'!LCDMModelBER</vt:lpstr>
      <vt:lpstr>'NGC 5457'!LCDMModelBER</vt:lpstr>
      <vt:lpstr>'NGC 5907'!LCDMModelBER</vt:lpstr>
      <vt:lpstr>'NGC 6946'!LCDMModelBER</vt:lpstr>
      <vt:lpstr>'NGC 7013'!LCDMModelBER</vt:lpstr>
      <vt:lpstr>'UGC 03993'!LCDMModelBER</vt:lpstr>
      <vt:lpstr>'NGC 0224'!LCDMModelBTM</vt:lpstr>
      <vt:lpstr>'NGC 0253'!LCDMModelBTM</vt:lpstr>
      <vt:lpstr>'NGC 0266'!LCDMModelBTM</vt:lpstr>
      <vt:lpstr>'NGC 0342'!LCDMModelBTM</vt:lpstr>
      <vt:lpstr>'NGC 0598'!LCDMModelBTM</vt:lpstr>
      <vt:lpstr>'NGC 0660'!LCDMModelBTM</vt:lpstr>
      <vt:lpstr>'NGC 0891'!LCDMModelBTM</vt:lpstr>
      <vt:lpstr>'NGC 1365'!LCDMModelBTM</vt:lpstr>
      <vt:lpstr>'NGC 1642'!LCDMModelBTM</vt:lpstr>
      <vt:lpstr>'NGC 1808'!LCDMModelBTM</vt:lpstr>
      <vt:lpstr>'NGC 2403'!LCDMModelBTM</vt:lpstr>
      <vt:lpstr>'NGC 2543'!LCDMModelBTM</vt:lpstr>
      <vt:lpstr>'NGC 2599'!LCDMModelBTM</vt:lpstr>
      <vt:lpstr>'NGC 2649'!LCDMModelBTM</vt:lpstr>
      <vt:lpstr>'NGC 2654'!LCDMModelBTM</vt:lpstr>
      <vt:lpstr>'NGC 2903'!LCDMModelBTM</vt:lpstr>
      <vt:lpstr>'NGC 2985'!LCDMModelBTM</vt:lpstr>
      <vt:lpstr>'NGC 3079'!LCDMModelBTM</vt:lpstr>
      <vt:lpstr>'NGC 3198'!LCDMModelBTM</vt:lpstr>
      <vt:lpstr>'NGC 3521'!LCDMModelBTM</vt:lpstr>
      <vt:lpstr>'NGC 3628'!LCDMModelBTM</vt:lpstr>
      <vt:lpstr>'NGC 3900'!LCDMModelBTM</vt:lpstr>
      <vt:lpstr>'NGC 3982'!LCDMModelBTM</vt:lpstr>
      <vt:lpstr>'NGC 4258'!LCDMModelBTM</vt:lpstr>
      <vt:lpstr>'NGC 4303'!LCDMModelBTM</vt:lpstr>
      <vt:lpstr>'NGC 4321'!LCDMModelBTM</vt:lpstr>
      <vt:lpstr>'NGC 4527'!LCDMModelBTM</vt:lpstr>
      <vt:lpstr>'NGC 4565'!LCDMModelBTM</vt:lpstr>
      <vt:lpstr>'NGC 4569'!LCDMModelBTM</vt:lpstr>
      <vt:lpstr>'NGC 4736'!LCDMModelBTM</vt:lpstr>
      <vt:lpstr>'NGC 4945'!LCDMModelBTM</vt:lpstr>
      <vt:lpstr>'NGC 5033'!LCDMModelBTM</vt:lpstr>
      <vt:lpstr>'NGC 5055'!LCDMModelBTM</vt:lpstr>
      <vt:lpstr>'NGC 5236'!LCDMModelBTM</vt:lpstr>
      <vt:lpstr>'NGC 5457'!LCDMModelBTM</vt:lpstr>
      <vt:lpstr>'NGC 5907'!LCDMModelBTM</vt:lpstr>
      <vt:lpstr>'NGC 6946'!LCDMModelBTM</vt:lpstr>
      <vt:lpstr>'NGC 7013'!LCDMModelBTM</vt:lpstr>
      <vt:lpstr>'UGC 03993'!LCDMModelBTM</vt:lpstr>
      <vt:lpstr>'NGC 0224'!LCDMModelChiSquare</vt:lpstr>
      <vt:lpstr>'NGC 0253'!LCDMModelChiSquare</vt:lpstr>
      <vt:lpstr>'NGC 0266'!LCDMModelChiSquare</vt:lpstr>
      <vt:lpstr>'NGC 0342'!LCDMModelChiSquare</vt:lpstr>
      <vt:lpstr>'NGC 0598'!LCDMModelChiSquare</vt:lpstr>
      <vt:lpstr>'NGC 0660'!LCDMModelChiSquare</vt:lpstr>
      <vt:lpstr>'NGC 0891'!LCDMModelChiSquare</vt:lpstr>
      <vt:lpstr>'NGC 1365'!LCDMModelChiSquare</vt:lpstr>
      <vt:lpstr>'NGC 1642'!LCDMModelChiSquare</vt:lpstr>
      <vt:lpstr>'NGC 1808'!LCDMModelChiSquare</vt:lpstr>
      <vt:lpstr>'NGC 2403'!LCDMModelChiSquare</vt:lpstr>
      <vt:lpstr>'NGC 2543'!LCDMModelChiSquare</vt:lpstr>
      <vt:lpstr>'NGC 2599'!LCDMModelChiSquare</vt:lpstr>
      <vt:lpstr>'NGC 2649'!LCDMModelChiSquare</vt:lpstr>
      <vt:lpstr>'NGC 2654'!LCDMModelChiSquare</vt:lpstr>
      <vt:lpstr>'NGC 2903'!LCDMModelChiSquare</vt:lpstr>
      <vt:lpstr>'NGC 2985'!LCDMModelChiSquare</vt:lpstr>
      <vt:lpstr>'NGC 3079'!LCDMModelChiSquare</vt:lpstr>
      <vt:lpstr>'NGC 3198'!LCDMModelChiSquare</vt:lpstr>
      <vt:lpstr>'NGC 3521'!LCDMModelChiSquare</vt:lpstr>
      <vt:lpstr>'NGC 3628'!LCDMModelChiSquare</vt:lpstr>
      <vt:lpstr>'NGC 3900'!LCDMModelChiSquare</vt:lpstr>
      <vt:lpstr>'NGC 3982'!LCDMModelChiSquare</vt:lpstr>
      <vt:lpstr>'NGC 4258'!LCDMModelChiSquare</vt:lpstr>
      <vt:lpstr>'NGC 4303'!LCDMModelChiSquare</vt:lpstr>
      <vt:lpstr>'NGC 4321'!LCDMModelChiSquare</vt:lpstr>
      <vt:lpstr>'NGC 4527'!LCDMModelChiSquare</vt:lpstr>
      <vt:lpstr>'NGC 4565'!LCDMModelChiSquare</vt:lpstr>
      <vt:lpstr>'NGC 4569'!LCDMModelChiSquare</vt:lpstr>
      <vt:lpstr>'NGC 4736'!LCDMModelChiSquare</vt:lpstr>
      <vt:lpstr>'NGC 4945'!LCDMModelChiSquare</vt:lpstr>
      <vt:lpstr>'NGC 5033'!LCDMModelChiSquare</vt:lpstr>
      <vt:lpstr>'NGC 5055'!LCDMModelChiSquare</vt:lpstr>
      <vt:lpstr>'NGC 5236'!LCDMModelChiSquare</vt:lpstr>
      <vt:lpstr>'NGC 5457'!LCDMModelChiSquare</vt:lpstr>
      <vt:lpstr>'NGC 5907'!LCDMModelChiSquare</vt:lpstr>
      <vt:lpstr>'NGC 6946'!LCDMModelChiSquare</vt:lpstr>
      <vt:lpstr>'NGC 7013'!LCDMModelChiSquare</vt:lpstr>
      <vt:lpstr>'UGC 03993'!LCDMModelChiSquare</vt:lpstr>
      <vt:lpstr>'NGC 0224'!LCDMModelDSR</vt:lpstr>
      <vt:lpstr>'NGC 0253'!LCDMModelDSR</vt:lpstr>
      <vt:lpstr>'NGC 0266'!LCDMModelDSR</vt:lpstr>
      <vt:lpstr>'NGC 0342'!LCDMModelDSR</vt:lpstr>
      <vt:lpstr>'NGC 0598'!LCDMModelDSR</vt:lpstr>
      <vt:lpstr>'NGC 0660'!LCDMModelDSR</vt:lpstr>
      <vt:lpstr>'NGC 0891'!LCDMModelDSR</vt:lpstr>
      <vt:lpstr>'NGC 1365'!LCDMModelDSR</vt:lpstr>
      <vt:lpstr>'NGC 1642'!LCDMModelDSR</vt:lpstr>
      <vt:lpstr>'NGC 1808'!LCDMModelDSR</vt:lpstr>
      <vt:lpstr>'NGC 2403'!LCDMModelDSR</vt:lpstr>
      <vt:lpstr>'NGC 2543'!LCDMModelDSR</vt:lpstr>
      <vt:lpstr>'NGC 2599'!LCDMModelDSR</vt:lpstr>
      <vt:lpstr>'NGC 2649'!LCDMModelDSR</vt:lpstr>
      <vt:lpstr>'NGC 2654'!LCDMModelDSR</vt:lpstr>
      <vt:lpstr>'NGC 2903'!LCDMModelDSR</vt:lpstr>
      <vt:lpstr>'NGC 2985'!LCDMModelDSR</vt:lpstr>
      <vt:lpstr>'NGC 3079'!LCDMModelDSR</vt:lpstr>
      <vt:lpstr>'NGC 3198'!LCDMModelDSR</vt:lpstr>
      <vt:lpstr>'NGC 3521'!LCDMModelDSR</vt:lpstr>
      <vt:lpstr>'NGC 3628'!LCDMModelDSR</vt:lpstr>
      <vt:lpstr>'NGC 3900'!LCDMModelDSR</vt:lpstr>
      <vt:lpstr>'NGC 3982'!LCDMModelDSR</vt:lpstr>
      <vt:lpstr>'NGC 4258'!LCDMModelDSR</vt:lpstr>
      <vt:lpstr>'NGC 4303'!LCDMModelDSR</vt:lpstr>
      <vt:lpstr>'NGC 4321'!LCDMModelDSR</vt:lpstr>
      <vt:lpstr>'NGC 4527'!LCDMModelDSR</vt:lpstr>
      <vt:lpstr>'NGC 4565'!LCDMModelDSR</vt:lpstr>
      <vt:lpstr>'NGC 4569'!LCDMModelDSR</vt:lpstr>
      <vt:lpstr>'NGC 4736'!LCDMModelDSR</vt:lpstr>
      <vt:lpstr>'NGC 4945'!LCDMModelDSR</vt:lpstr>
      <vt:lpstr>'NGC 5033'!LCDMModelDSR</vt:lpstr>
      <vt:lpstr>'NGC 5055'!LCDMModelDSR</vt:lpstr>
      <vt:lpstr>'NGC 5236'!LCDMModelDSR</vt:lpstr>
      <vt:lpstr>'NGC 5457'!LCDMModelDSR</vt:lpstr>
      <vt:lpstr>'NGC 5907'!LCDMModelDSR</vt:lpstr>
      <vt:lpstr>'NGC 6946'!LCDMModelDSR</vt:lpstr>
      <vt:lpstr>'NGC 7013'!LCDMModelDSR</vt:lpstr>
      <vt:lpstr>'UGC 03993'!LCDMModelDSR</vt:lpstr>
      <vt:lpstr>'NGC 0224'!LCDMModelDTM</vt:lpstr>
      <vt:lpstr>'NGC 0253'!LCDMModelDTM</vt:lpstr>
      <vt:lpstr>'NGC 0266'!LCDMModelDTM</vt:lpstr>
      <vt:lpstr>'NGC 0342'!LCDMModelDTM</vt:lpstr>
      <vt:lpstr>'NGC 0598'!LCDMModelDTM</vt:lpstr>
      <vt:lpstr>'NGC 0660'!LCDMModelDTM</vt:lpstr>
      <vt:lpstr>'NGC 0891'!LCDMModelDTM</vt:lpstr>
      <vt:lpstr>'NGC 1365'!LCDMModelDTM</vt:lpstr>
      <vt:lpstr>'NGC 1642'!LCDMModelDTM</vt:lpstr>
      <vt:lpstr>'NGC 1808'!LCDMModelDTM</vt:lpstr>
      <vt:lpstr>'NGC 2403'!LCDMModelDTM</vt:lpstr>
      <vt:lpstr>'NGC 2543'!LCDMModelDTM</vt:lpstr>
      <vt:lpstr>'NGC 2599'!LCDMModelDTM</vt:lpstr>
      <vt:lpstr>'NGC 2649'!LCDMModelDTM</vt:lpstr>
      <vt:lpstr>'NGC 2654'!LCDMModelDTM</vt:lpstr>
      <vt:lpstr>'NGC 2903'!LCDMModelDTM</vt:lpstr>
      <vt:lpstr>'NGC 2985'!LCDMModelDTM</vt:lpstr>
      <vt:lpstr>'NGC 3079'!LCDMModelDTM</vt:lpstr>
      <vt:lpstr>'NGC 3198'!LCDMModelDTM</vt:lpstr>
      <vt:lpstr>'NGC 3521'!LCDMModelDTM</vt:lpstr>
      <vt:lpstr>'NGC 3628'!LCDMModelDTM</vt:lpstr>
      <vt:lpstr>'NGC 3900'!LCDMModelDTM</vt:lpstr>
      <vt:lpstr>'NGC 3982'!LCDMModelDTM</vt:lpstr>
      <vt:lpstr>'NGC 4258'!LCDMModelDTM</vt:lpstr>
      <vt:lpstr>'NGC 4303'!LCDMModelDTM</vt:lpstr>
      <vt:lpstr>'NGC 4321'!LCDMModelDTM</vt:lpstr>
      <vt:lpstr>'NGC 4527'!LCDMModelDTM</vt:lpstr>
      <vt:lpstr>'NGC 4565'!LCDMModelDTM</vt:lpstr>
      <vt:lpstr>'NGC 4569'!LCDMModelDTM</vt:lpstr>
      <vt:lpstr>'NGC 4736'!LCDMModelDTM</vt:lpstr>
      <vt:lpstr>'NGC 4945'!LCDMModelDTM</vt:lpstr>
      <vt:lpstr>'NGC 5033'!LCDMModelDTM</vt:lpstr>
      <vt:lpstr>'NGC 5055'!LCDMModelDTM</vt:lpstr>
      <vt:lpstr>'NGC 5236'!LCDMModelDTM</vt:lpstr>
      <vt:lpstr>'NGC 5457'!LCDMModelDTM</vt:lpstr>
      <vt:lpstr>'NGC 5907'!LCDMModelDTM</vt:lpstr>
      <vt:lpstr>'NGC 6946'!LCDMModelDTM</vt:lpstr>
      <vt:lpstr>'NGC 7013'!LCDMModelDTM</vt:lpstr>
      <vt:lpstr>'UGC 03993'!LCDMModelDTM</vt:lpstr>
      <vt:lpstr>'NGC 0224'!LCDMModelHSR</vt:lpstr>
      <vt:lpstr>'NGC 0253'!LCDMModelHSR</vt:lpstr>
      <vt:lpstr>'NGC 0266'!LCDMModelHSR</vt:lpstr>
      <vt:lpstr>'NGC 0342'!LCDMModelHSR</vt:lpstr>
      <vt:lpstr>'NGC 0598'!LCDMModelHSR</vt:lpstr>
      <vt:lpstr>'NGC 0660'!LCDMModelHSR</vt:lpstr>
      <vt:lpstr>'NGC 0891'!LCDMModelHSR</vt:lpstr>
      <vt:lpstr>'NGC 1365'!LCDMModelHSR</vt:lpstr>
      <vt:lpstr>'NGC 1642'!LCDMModelHSR</vt:lpstr>
      <vt:lpstr>'NGC 1808'!LCDMModelHSR</vt:lpstr>
      <vt:lpstr>'NGC 2403'!LCDMModelHSR</vt:lpstr>
      <vt:lpstr>'NGC 2543'!LCDMModelHSR</vt:lpstr>
      <vt:lpstr>'NGC 2599'!LCDMModelHSR</vt:lpstr>
      <vt:lpstr>'NGC 2649'!LCDMModelHSR</vt:lpstr>
      <vt:lpstr>'NGC 2654'!LCDMModelHSR</vt:lpstr>
      <vt:lpstr>'NGC 2903'!LCDMModelHSR</vt:lpstr>
      <vt:lpstr>'NGC 2985'!LCDMModelHSR</vt:lpstr>
      <vt:lpstr>'NGC 3079'!LCDMModelHSR</vt:lpstr>
      <vt:lpstr>'NGC 3198'!LCDMModelHSR</vt:lpstr>
      <vt:lpstr>'NGC 3521'!LCDMModelHSR</vt:lpstr>
      <vt:lpstr>'NGC 3628'!LCDMModelHSR</vt:lpstr>
      <vt:lpstr>'NGC 3900'!LCDMModelHSR</vt:lpstr>
      <vt:lpstr>'NGC 3982'!LCDMModelHSR</vt:lpstr>
      <vt:lpstr>'NGC 4258'!LCDMModelHSR</vt:lpstr>
      <vt:lpstr>'NGC 4303'!LCDMModelHSR</vt:lpstr>
      <vt:lpstr>'NGC 4321'!LCDMModelHSR</vt:lpstr>
      <vt:lpstr>'NGC 4527'!LCDMModelHSR</vt:lpstr>
      <vt:lpstr>'NGC 4565'!LCDMModelHSR</vt:lpstr>
      <vt:lpstr>'NGC 4569'!LCDMModelHSR</vt:lpstr>
      <vt:lpstr>'NGC 4736'!LCDMModelHSR</vt:lpstr>
      <vt:lpstr>'NGC 4945'!LCDMModelHSR</vt:lpstr>
      <vt:lpstr>'NGC 5033'!LCDMModelHSR</vt:lpstr>
      <vt:lpstr>'NGC 5055'!LCDMModelHSR</vt:lpstr>
      <vt:lpstr>'NGC 5236'!LCDMModelHSR</vt:lpstr>
      <vt:lpstr>'NGC 5457'!LCDMModelHSR</vt:lpstr>
      <vt:lpstr>'NGC 5907'!LCDMModelHSR</vt:lpstr>
      <vt:lpstr>'NGC 6946'!LCDMModelHSR</vt:lpstr>
      <vt:lpstr>'NGC 7013'!LCDMModelHSR</vt:lpstr>
      <vt:lpstr>'UGC 03993'!LCDMModelHSR</vt:lpstr>
      <vt:lpstr>'NGC 0224'!LCDMModelHTM</vt:lpstr>
      <vt:lpstr>'NGC 0253'!LCDMModelHTM</vt:lpstr>
      <vt:lpstr>'NGC 0266'!LCDMModelHTM</vt:lpstr>
      <vt:lpstr>'NGC 0342'!LCDMModelHTM</vt:lpstr>
      <vt:lpstr>'NGC 0598'!LCDMModelHTM</vt:lpstr>
      <vt:lpstr>'NGC 0660'!LCDMModelHTM</vt:lpstr>
      <vt:lpstr>'NGC 0891'!LCDMModelHTM</vt:lpstr>
      <vt:lpstr>'NGC 1365'!LCDMModelHTM</vt:lpstr>
      <vt:lpstr>'NGC 1642'!LCDMModelHTM</vt:lpstr>
      <vt:lpstr>'NGC 1808'!LCDMModelHTM</vt:lpstr>
      <vt:lpstr>'NGC 2403'!LCDMModelHTM</vt:lpstr>
      <vt:lpstr>'NGC 2543'!LCDMModelHTM</vt:lpstr>
      <vt:lpstr>'NGC 2599'!LCDMModelHTM</vt:lpstr>
      <vt:lpstr>'NGC 2649'!LCDMModelHTM</vt:lpstr>
      <vt:lpstr>'NGC 2654'!LCDMModelHTM</vt:lpstr>
      <vt:lpstr>'NGC 2903'!LCDMModelHTM</vt:lpstr>
      <vt:lpstr>'NGC 2985'!LCDMModelHTM</vt:lpstr>
      <vt:lpstr>'NGC 3079'!LCDMModelHTM</vt:lpstr>
      <vt:lpstr>'NGC 3198'!LCDMModelHTM</vt:lpstr>
      <vt:lpstr>'NGC 3521'!LCDMModelHTM</vt:lpstr>
      <vt:lpstr>'NGC 3628'!LCDMModelHTM</vt:lpstr>
      <vt:lpstr>'NGC 3900'!LCDMModelHTM</vt:lpstr>
      <vt:lpstr>'NGC 3982'!LCDMModelHTM</vt:lpstr>
      <vt:lpstr>'NGC 4258'!LCDMModelHTM</vt:lpstr>
      <vt:lpstr>'NGC 4303'!LCDMModelHTM</vt:lpstr>
      <vt:lpstr>'NGC 4321'!LCDMModelHTM</vt:lpstr>
      <vt:lpstr>'NGC 4527'!LCDMModelHTM</vt:lpstr>
      <vt:lpstr>'NGC 4565'!LCDMModelHTM</vt:lpstr>
      <vt:lpstr>'NGC 4569'!LCDMModelHTM</vt:lpstr>
      <vt:lpstr>'NGC 4736'!LCDMModelHTM</vt:lpstr>
      <vt:lpstr>'NGC 4945'!LCDMModelHTM</vt:lpstr>
      <vt:lpstr>'NGC 5033'!LCDMModelHTM</vt:lpstr>
      <vt:lpstr>'NGC 5055'!LCDMModelHTM</vt:lpstr>
      <vt:lpstr>'NGC 5236'!LCDMModelHTM</vt:lpstr>
      <vt:lpstr>'NGC 5457'!LCDMModelHTM</vt:lpstr>
      <vt:lpstr>'NGC 5907'!LCDMModelHTM</vt:lpstr>
      <vt:lpstr>'NGC 6946'!LCDMModelHTM</vt:lpstr>
      <vt:lpstr>'NGC 7013'!LCDMModelHTM</vt:lpstr>
      <vt:lpstr>'UGC 03993'!LCDMModelHTM</vt:lpstr>
      <vt:lpstr>LCDMRedshift</vt:lpstr>
      <vt:lpstr>'NGC 0224'!LCDMScaleLength</vt:lpstr>
      <vt:lpstr>'NGC 0253'!LCDMScaleLength</vt:lpstr>
      <vt:lpstr>'NGC 0266'!LCDMScaleLength</vt:lpstr>
      <vt:lpstr>'NGC 0342'!LCDMScaleLength</vt:lpstr>
      <vt:lpstr>'NGC 0598'!LCDMScaleLength</vt:lpstr>
      <vt:lpstr>'NGC 0660'!LCDMScaleLength</vt:lpstr>
      <vt:lpstr>'NGC 0891'!LCDMScaleLength</vt:lpstr>
      <vt:lpstr>'NGC 1365'!LCDMScaleLength</vt:lpstr>
      <vt:lpstr>'NGC 1642'!LCDMScaleLength</vt:lpstr>
      <vt:lpstr>'NGC 1808'!LCDMScaleLength</vt:lpstr>
      <vt:lpstr>'NGC 2403'!LCDMScaleLength</vt:lpstr>
      <vt:lpstr>'NGC 2543'!LCDMScaleLength</vt:lpstr>
      <vt:lpstr>'NGC 2599'!LCDMScaleLength</vt:lpstr>
      <vt:lpstr>'NGC 2649'!LCDMScaleLength</vt:lpstr>
      <vt:lpstr>'NGC 2654'!LCDMScaleLength</vt:lpstr>
      <vt:lpstr>'NGC 2903'!LCDMScaleLength</vt:lpstr>
      <vt:lpstr>'NGC 2985'!LCDMScaleLength</vt:lpstr>
      <vt:lpstr>'NGC 3079'!LCDMScaleLength</vt:lpstr>
      <vt:lpstr>'NGC 3198'!LCDMScaleLength</vt:lpstr>
      <vt:lpstr>'NGC 3521'!LCDMScaleLength</vt:lpstr>
      <vt:lpstr>'NGC 3628'!LCDMScaleLength</vt:lpstr>
      <vt:lpstr>'NGC 3900'!LCDMScaleLength</vt:lpstr>
      <vt:lpstr>'NGC 3982'!LCDMScaleLength</vt:lpstr>
      <vt:lpstr>'NGC 4258'!LCDMScaleLength</vt:lpstr>
      <vt:lpstr>'NGC 4303'!LCDMScaleLength</vt:lpstr>
      <vt:lpstr>'NGC 4321'!LCDMScaleLength</vt:lpstr>
      <vt:lpstr>'NGC 4527'!LCDMScaleLength</vt:lpstr>
      <vt:lpstr>'NGC 4565'!LCDMScaleLength</vt:lpstr>
      <vt:lpstr>'NGC 4569'!LCDMScaleLength</vt:lpstr>
      <vt:lpstr>'NGC 4736'!LCDMScaleLength</vt:lpstr>
      <vt:lpstr>'NGC 4945'!LCDMScaleLength</vt:lpstr>
      <vt:lpstr>'NGC 5033'!LCDMScaleLength</vt:lpstr>
      <vt:lpstr>'NGC 5055'!LCDMScaleLength</vt:lpstr>
      <vt:lpstr>'NGC 5236'!LCDMScaleLength</vt:lpstr>
      <vt:lpstr>'NGC 5457'!LCDMScaleLength</vt:lpstr>
      <vt:lpstr>'NGC 5907'!LCDMScaleLength</vt:lpstr>
      <vt:lpstr>'NGC 6946'!LCDMScaleLength</vt:lpstr>
      <vt:lpstr>'NGC 7013'!LCDMScaleLength</vt:lpstr>
      <vt:lpstr>'UGC 03993'!LCDMScaleLength</vt:lpstr>
      <vt:lpstr>'NGC 0224'!LCDMTotalBulgeMass</vt:lpstr>
      <vt:lpstr>'NGC 0253'!LCDMTotalBulgeMass</vt:lpstr>
      <vt:lpstr>'NGC 0266'!LCDMTotalBulgeMass</vt:lpstr>
      <vt:lpstr>'NGC 0342'!LCDMTotalBulgeMass</vt:lpstr>
      <vt:lpstr>'NGC 0598'!LCDMTotalBulgeMass</vt:lpstr>
      <vt:lpstr>'NGC 0660'!LCDMTotalBulgeMass</vt:lpstr>
      <vt:lpstr>'NGC 0891'!LCDMTotalBulgeMass</vt:lpstr>
      <vt:lpstr>'NGC 1365'!LCDMTotalBulgeMass</vt:lpstr>
      <vt:lpstr>'NGC 1642'!LCDMTotalBulgeMass</vt:lpstr>
      <vt:lpstr>'NGC 1808'!LCDMTotalBulgeMass</vt:lpstr>
      <vt:lpstr>'NGC 2403'!LCDMTotalBulgeMass</vt:lpstr>
      <vt:lpstr>'NGC 2543'!LCDMTotalBulgeMass</vt:lpstr>
      <vt:lpstr>'NGC 2599'!LCDMTotalBulgeMass</vt:lpstr>
      <vt:lpstr>'NGC 2649'!LCDMTotalBulgeMass</vt:lpstr>
      <vt:lpstr>'NGC 2654'!LCDMTotalBulgeMass</vt:lpstr>
      <vt:lpstr>'NGC 2903'!LCDMTotalBulgeMass</vt:lpstr>
      <vt:lpstr>'NGC 2985'!LCDMTotalBulgeMass</vt:lpstr>
      <vt:lpstr>'NGC 3079'!LCDMTotalBulgeMass</vt:lpstr>
      <vt:lpstr>'NGC 3198'!LCDMTotalBulgeMass</vt:lpstr>
      <vt:lpstr>'NGC 3521'!LCDMTotalBulgeMass</vt:lpstr>
      <vt:lpstr>'NGC 3628'!LCDMTotalBulgeMass</vt:lpstr>
      <vt:lpstr>'NGC 3900'!LCDMTotalBulgeMass</vt:lpstr>
      <vt:lpstr>'NGC 3982'!LCDMTotalBulgeMass</vt:lpstr>
      <vt:lpstr>'NGC 4258'!LCDMTotalBulgeMass</vt:lpstr>
      <vt:lpstr>'NGC 4303'!LCDMTotalBulgeMass</vt:lpstr>
      <vt:lpstr>'NGC 4321'!LCDMTotalBulgeMass</vt:lpstr>
      <vt:lpstr>'NGC 4527'!LCDMTotalBulgeMass</vt:lpstr>
      <vt:lpstr>'NGC 4565'!LCDMTotalBulgeMass</vt:lpstr>
      <vt:lpstr>'NGC 4569'!LCDMTotalBulgeMass</vt:lpstr>
      <vt:lpstr>'NGC 4736'!LCDMTotalBulgeMass</vt:lpstr>
      <vt:lpstr>'NGC 4945'!LCDMTotalBulgeMass</vt:lpstr>
      <vt:lpstr>'NGC 5033'!LCDMTotalBulgeMass</vt:lpstr>
      <vt:lpstr>'NGC 5055'!LCDMTotalBulgeMass</vt:lpstr>
      <vt:lpstr>'NGC 5236'!LCDMTotalBulgeMass</vt:lpstr>
      <vt:lpstr>'NGC 5457'!LCDMTotalBulgeMass</vt:lpstr>
      <vt:lpstr>'NGC 5907'!LCDMTotalBulgeMass</vt:lpstr>
      <vt:lpstr>'NGC 6946'!LCDMTotalBulgeMass</vt:lpstr>
      <vt:lpstr>'NGC 7013'!LCDMTotalBulgeMass</vt:lpstr>
      <vt:lpstr>'UGC 03993'!LCDMTotalBulgeMass</vt:lpstr>
      <vt:lpstr>Geometry!LightTravelDistance</vt:lpstr>
      <vt:lpstr>LightYear</vt:lpstr>
      <vt:lpstr>Mag</vt:lpstr>
      <vt:lpstr>'NGC 0224'!MassToLuminosity</vt:lpstr>
      <vt:lpstr>'NGC 0253'!MassToLuminosity</vt:lpstr>
      <vt:lpstr>'NGC 0266'!MassToLuminosity</vt:lpstr>
      <vt:lpstr>'NGC 0342'!MassToLuminosity</vt:lpstr>
      <vt:lpstr>'NGC 0598'!MassToLuminosity</vt:lpstr>
      <vt:lpstr>'NGC 0660'!MassToLuminosity</vt:lpstr>
      <vt:lpstr>'NGC 0891'!MassToLuminosity</vt:lpstr>
      <vt:lpstr>'NGC 1365'!MassToLuminosity</vt:lpstr>
      <vt:lpstr>'NGC 1642'!MassToLuminosity</vt:lpstr>
      <vt:lpstr>'NGC 1808'!MassToLuminosity</vt:lpstr>
      <vt:lpstr>'NGC 2403'!MassToLuminosity</vt:lpstr>
      <vt:lpstr>'NGC 2543'!MassToLuminosity</vt:lpstr>
      <vt:lpstr>'NGC 2599'!MassToLuminosity</vt:lpstr>
      <vt:lpstr>'NGC 2649'!MassToLuminosity</vt:lpstr>
      <vt:lpstr>'NGC 2654'!MassToLuminosity</vt:lpstr>
      <vt:lpstr>'NGC 2903'!MassToLuminosity</vt:lpstr>
      <vt:lpstr>'NGC 2985'!MassToLuminosity</vt:lpstr>
      <vt:lpstr>'NGC 3079'!MassToLuminosity</vt:lpstr>
      <vt:lpstr>'NGC 3198'!MassToLuminosity</vt:lpstr>
      <vt:lpstr>'NGC 3521'!MassToLuminosity</vt:lpstr>
      <vt:lpstr>'NGC 3628'!MassToLuminosity</vt:lpstr>
      <vt:lpstr>'NGC 3900'!MassToLuminosity</vt:lpstr>
      <vt:lpstr>'NGC 3982'!MassToLuminosity</vt:lpstr>
      <vt:lpstr>'NGC 4258'!MassToLuminosity</vt:lpstr>
      <vt:lpstr>'NGC 4303'!MassToLuminosity</vt:lpstr>
      <vt:lpstr>'NGC 4321'!MassToLuminosity</vt:lpstr>
      <vt:lpstr>'NGC 4527'!MassToLuminosity</vt:lpstr>
      <vt:lpstr>'NGC 4565'!MassToLuminosity</vt:lpstr>
      <vt:lpstr>'NGC 4569'!MassToLuminosity</vt:lpstr>
      <vt:lpstr>'NGC 4736'!MassToLuminosity</vt:lpstr>
      <vt:lpstr>'NGC 4945'!MassToLuminosity</vt:lpstr>
      <vt:lpstr>'NGC 5033'!MassToLuminosity</vt:lpstr>
      <vt:lpstr>'NGC 5055'!MassToLuminosity</vt:lpstr>
      <vt:lpstr>'NGC 5236'!MassToLuminosity</vt:lpstr>
      <vt:lpstr>'NGC 5457'!MassToLuminosity</vt:lpstr>
      <vt:lpstr>'NGC 5907'!MassToLuminosity</vt:lpstr>
      <vt:lpstr>'NGC 6946'!MassToLuminosity</vt:lpstr>
      <vt:lpstr>'NGC 7013'!MassToLuminosity</vt:lpstr>
      <vt:lpstr>'UGC 03993'!MassToLuminosity</vt:lpstr>
      <vt:lpstr>'SNe Ia Data'!Mb</vt:lpstr>
      <vt:lpstr>'SNe Ia Data'!MeanObservedDistanceModuli</vt:lpstr>
      <vt:lpstr>MeanObservedLuminousDistance</vt:lpstr>
      <vt:lpstr>'NGC 0224'!ModelVelocity</vt:lpstr>
      <vt:lpstr>'NGC 0253'!ModelVelocity</vt:lpstr>
      <vt:lpstr>'NGC 0266'!ModelVelocity</vt:lpstr>
      <vt:lpstr>'NGC 0342'!ModelVelocity</vt:lpstr>
      <vt:lpstr>'NGC 0598'!ModelVelocity</vt:lpstr>
      <vt:lpstr>'NGC 0660'!ModelVelocity</vt:lpstr>
      <vt:lpstr>'NGC 0891'!ModelVelocity</vt:lpstr>
      <vt:lpstr>'NGC 1365'!ModelVelocity</vt:lpstr>
      <vt:lpstr>'NGC 1642'!ModelVelocity</vt:lpstr>
      <vt:lpstr>'NGC 1808'!ModelVelocity</vt:lpstr>
      <vt:lpstr>'NGC 2403'!ModelVelocity</vt:lpstr>
      <vt:lpstr>'NGC 2543'!ModelVelocity</vt:lpstr>
      <vt:lpstr>'NGC 2599'!ModelVelocity</vt:lpstr>
      <vt:lpstr>'NGC 2649'!ModelVelocity</vt:lpstr>
      <vt:lpstr>'NGC 2654'!ModelVelocity</vt:lpstr>
      <vt:lpstr>'NGC 2903'!ModelVelocity</vt:lpstr>
      <vt:lpstr>'NGC 2985'!ModelVelocity</vt:lpstr>
      <vt:lpstr>'NGC 3079'!ModelVelocity</vt:lpstr>
      <vt:lpstr>'NGC 3198'!ModelVelocity</vt:lpstr>
      <vt:lpstr>'NGC 3521'!ModelVelocity</vt:lpstr>
      <vt:lpstr>'NGC 3628'!ModelVelocity</vt:lpstr>
      <vt:lpstr>'NGC 3900'!ModelVelocity</vt:lpstr>
      <vt:lpstr>'NGC 3982'!ModelVelocity</vt:lpstr>
      <vt:lpstr>'NGC 4258'!ModelVelocity</vt:lpstr>
      <vt:lpstr>'NGC 4303'!ModelVelocity</vt:lpstr>
      <vt:lpstr>'NGC 4321'!ModelVelocity</vt:lpstr>
      <vt:lpstr>'NGC 4527'!ModelVelocity</vt:lpstr>
      <vt:lpstr>'NGC 4565'!ModelVelocity</vt:lpstr>
      <vt:lpstr>'NGC 4569'!ModelVelocity</vt:lpstr>
      <vt:lpstr>'NGC 4736'!ModelVelocity</vt:lpstr>
      <vt:lpstr>'NGC 4945'!ModelVelocity</vt:lpstr>
      <vt:lpstr>'NGC 5033'!ModelVelocity</vt:lpstr>
      <vt:lpstr>'NGC 5055'!ModelVelocity</vt:lpstr>
      <vt:lpstr>'NGC 5236'!ModelVelocity</vt:lpstr>
      <vt:lpstr>'NGC 5457'!ModelVelocity</vt:lpstr>
      <vt:lpstr>'NGC 5907'!ModelVelocity</vt:lpstr>
      <vt:lpstr>'NGC 6946'!ModelVelocity</vt:lpstr>
      <vt:lpstr>'NGC 7013'!ModelVelocity</vt:lpstr>
      <vt:lpstr>'UGC 03993'!ModelVelocity</vt:lpstr>
      <vt:lpstr>Mpc</vt:lpstr>
      <vt:lpstr>Myr</vt:lpstr>
      <vt:lpstr>ObservedDistanceModuli</vt:lpstr>
      <vt:lpstr>ObservedLuminousDistance</vt:lpstr>
      <vt:lpstr>observedMass</vt:lpstr>
      <vt:lpstr>'NGC 0224'!ObservedVelocity</vt:lpstr>
      <vt:lpstr>'NGC 0266'!ObservedVelocity</vt:lpstr>
      <vt:lpstr>'NGC 0342'!ObservedVelocity</vt:lpstr>
      <vt:lpstr>'NGC 0598'!ObservedVelocity</vt:lpstr>
      <vt:lpstr>'NGC 0660'!ObservedVelocity</vt:lpstr>
      <vt:lpstr>'NGC 0891'!ObservedVelocity</vt:lpstr>
      <vt:lpstr>'NGC 1365'!ObservedVelocity</vt:lpstr>
      <vt:lpstr>'NGC 1642'!ObservedVelocity</vt:lpstr>
      <vt:lpstr>'NGC 1808'!ObservedVelocity</vt:lpstr>
      <vt:lpstr>'NGC 2403'!ObservedVelocity</vt:lpstr>
      <vt:lpstr>'NGC 2543'!ObservedVelocity</vt:lpstr>
      <vt:lpstr>'NGC 2599'!ObservedVelocity</vt:lpstr>
      <vt:lpstr>'NGC 2649'!ObservedVelocity</vt:lpstr>
      <vt:lpstr>'NGC 2654'!ObservedVelocity</vt:lpstr>
      <vt:lpstr>'NGC 2903'!ObservedVelocity</vt:lpstr>
      <vt:lpstr>'NGC 2985'!ObservedVelocity</vt:lpstr>
      <vt:lpstr>'NGC 3079'!ObservedVelocity</vt:lpstr>
      <vt:lpstr>'NGC 3198'!ObservedVelocity</vt:lpstr>
      <vt:lpstr>'NGC 3521'!ObservedVelocity</vt:lpstr>
      <vt:lpstr>'NGC 3628'!ObservedVelocity</vt:lpstr>
      <vt:lpstr>'NGC 3900'!ObservedVelocity</vt:lpstr>
      <vt:lpstr>'NGC 3982'!ObservedVelocity</vt:lpstr>
      <vt:lpstr>'NGC 4258'!ObservedVelocity</vt:lpstr>
      <vt:lpstr>'NGC 4303'!ObservedVelocity</vt:lpstr>
      <vt:lpstr>'NGC 4321'!ObservedVelocity</vt:lpstr>
      <vt:lpstr>'NGC 4527'!ObservedVelocity</vt:lpstr>
      <vt:lpstr>'NGC 4565'!ObservedVelocity</vt:lpstr>
      <vt:lpstr>'NGC 4569'!ObservedVelocity</vt:lpstr>
      <vt:lpstr>'NGC 4736'!ObservedVelocity</vt:lpstr>
      <vt:lpstr>'NGC 4945'!ObservedVelocity</vt:lpstr>
      <vt:lpstr>'NGC 5033'!ObservedVelocity</vt:lpstr>
      <vt:lpstr>'NGC 5055'!ObservedVelocity</vt:lpstr>
      <vt:lpstr>'NGC 5236'!ObservedVelocity</vt:lpstr>
      <vt:lpstr>'NGC 5457'!ObservedVelocity</vt:lpstr>
      <vt:lpstr>'NGC 5907'!ObservedVelocity</vt:lpstr>
      <vt:lpstr>'NGC 6946'!ObservedVelocity</vt:lpstr>
      <vt:lpstr>'NGC 7013'!ObservedVelocity</vt:lpstr>
      <vt:lpstr>'UGC 03993'!ObservedVelocity</vt:lpstr>
      <vt:lpstr>'NGC 0253'!ObservedVelocityKm</vt:lpstr>
      <vt:lpstr>ObservedVelocityM</vt:lpstr>
      <vt:lpstr>pc</vt:lpstr>
      <vt:lpstr>'SNe Ia Data'!PeakMagnitude</vt:lpstr>
      <vt:lpstr>'SNe Ia Data'!PeakMagnitudeError</vt:lpstr>
      <vt:lpstr>PlanckAngularScale</vt:lpstr>
      <vt:lpstr>PlanckConstant</vt:lpstr>
      <vt:lpstr>predictedMass</vt:lpstr>
      <vt:lpstr>ProtonMass</vt:lpstr>
      <vt:lpstr>'NGC 0224'!QEHModelChiSquare</vt:lpstr>
      <vt:lpstr>'NGC 0253'!QEHModelChiSquare</vt:lpstr>
      <vt:lpstr>'NGC 0266'!QEHModelChiSquare</vt:lpstr>
      <vt:lpstr>'NGC 0342'!QEHModelChiSquare</vt:lpstr>
      <vt:lpstr>'NGC 0598'!QEHModelChiSquare</vt:lpstr>
      <vt:lpstr>'NGC 0660'!QEHModelChiSquare</vt:lpstr>
      <vt:lpstr>'NGC 0891'!QEHModelChiSquare</vt:lpstr>
      <vt:lpstr>'NGC 1365'!QEHModelChiSquare</vt:lpstr>
      <vt:lpstr>'NGC 1642'!QEHModelChiSquare</vt:lpstr>
      <vt:lpstr>'NGC 1808'!QEHModelChiSquare</vt:lpstr>
      <vt:lpstr>'NGC 2403'!QEHModelChiSquare</vt:lpstr>
      <vt:lpstr>'NGC 2543'!QEHModelChiSquare</vt:lpstr>
      <vt:lpstr>'NGC 2599'!QEHModelChiSquare</vt:lpstr>
      <vt:lpstr>'NGC 2649'!QEHModelChiSquare</vt:lpstr>
      <vt:lpstr>'NGC 2654'!QEHModelChiSquare</vt:lpstr>
      <vt:lpstr>'NGC 2903'!QEHModelChiSquare</vt:lpstr>
      <vt:lpstr>'NGC 2985'!QEHModelChiSquare</vt:lpstr>
      <vt:lpstr>'NGC 3079'!QEHModelChiSquare</vt:lpstr>
      <vt:lpstr>'NGC 3198'!QEHModelChiSquare</vt:lpstr>
      <vt:lpstr>'NGC 3521'!QEHModelChiSquare</vt:lpstr>
      <vt:lpstr>'NGC 3628'!QEHModelChiSquare</vt:lpstr>
      <vt:lpstr>'NGC 3900'!QEHModelChiSquare</vt:lpstr>
      <vt:lpstr>'NGC 3982'!QEHModelChiSquare</vt:lpstr>
      <vt:lpstr>'NGC 4258'!QEHModelChiSquare</vt:lpstr>
      <vt:lpstr>'NGC 4303'!QEHModelChiSquare</vt:lpstr>
      <vt:lpstr>'NGC 4321'!QEHModelChiSquare</vt:lpstr>
      <vt:lpstr>'NGC 4527'!QEHModelChiSquare</vt:lpstr>
      <vt:lpstr>'NGC 4565'!QEHModelChiSquare</vt:lpstr>
      <vt:lpstr>'NGC 4569'!QEHModelChiSquare</vt:lpstr>
      <vt:lpstr>'NGC 4736'!QEHModelChiSquare</vt:lpstr>
      <vt:lpstr>'NGC 4945'!QEHModelChiSquare</vt:lpstr>
      <vt:lpstr>'NGC 5033'!QEHModelChiSquare</vt:lpstr>
      <vt:lpstr>'NGC 5055'!QEHModelChiSquare</vt:lpstr>
      <vt:lpstr>'NGC 5236'!QEHModelChiSquare</vt:lpstr>
      <vt:lpstr>'NGC 5457'!QEHModelChiSquare</vt:lpstr>
      <vt:lpstr>'NGC 5907'!QEHModelChiSquare</vt:lpstr>
      <vt:lpstr>'NGC 6946'!QEHModelChiSquare</vt:lpstr>
      <vt:lpstr>'NGC 7013'!QEHModelChiSquare</vt:lpstr>
      <vt:lpstr>'UGC 03993'!QEHModelChiSquare</vt:lpstr>
      <vt:lpstr>'NGC 0224'!QESBulgeEffectiveRadius</vt:lpstr>
      <vt:lpstr>'NGC 0253'!QESBulgeEffectiveRadius</vt:lpstr>
      <vt:lpstr>'NGC 0266'!QESBulgeEffectiveRadius</vt:lpstr>
      <vt:lpstr>'NGC 0342'!QESBulgeEffectiveRadius</vt:lpstr>
      <vt:lpstr>'NGC 0598'!QESBulgeEffectiveRadius</vt:lpstr>
      <vt:lpstr>'NGC 0660'!QESBulgeEffectiveRadius</vt:lpstr>
      <vt:lpstr>'NGC 0891'!QESBulgeEffectiveRadius</vt:lpstr>
      <vt:lpstr>'NGC 1365'!QESBulgeEffectiveRadius</vt:lpstr>
      <vt:lpstr>'NGC 1642'!QESBulgeEffectiveRadius</vt:lpstr>
      <vt:lpstr>'NGC 1808'!QESBulgeEffectiveRadius</vt:lpstr>
      <vt:lpstr>'NGC 2403'!QESBulgeEffectiveRadius</vt:lpstr>
      <vt:lpstr>'NGC 2543'!QESBulgeEffectiveRadius</vt:lpstr>
      <vt:lpstr>'NGC 2599'!QESBulgeEffectiveRadius</vt:lpstr>
      <vt:lpstr>'NGC 2649'!QESBulgeEffectiveRadius</vt:lpstr>
      <vt:lpstr>'NGC 2654'!QESBulgeEffectiveRadius</vt:lpstr>
      <vt:lpstr>'NGC 2903'!QESBulgeEffectiveRadius</vt:lpstr>
      <vt:lpstr>'NGC 2985'!QESBulgeEffectiveRadius</vt:lpstr>
      <vt:lpstr>'NGC 3079'!QESBulgeEffectiveRadius</vt:lpstr>
      <vt:lpstr>'NGC 3198'!QESBulgeEffectiveRadius</vt:lpstr>
      <vt:lpstr>'NGC 3521'!QESBulgeEffectiveRadius</vt:lpstr>
      <vt:lpstr>'NGC 3628'!QESBulgeEffectiveRadius</vt:lpstr>
      <vt:lpstr>'NGC 3900'!QESBulgeEffectiveRadius</vt:lpstr>
      <vt:lpstr>'NGC 3982'!QESBulgeEffectiveRadius</vt:lpstr>
      <vt:lpstr>'NGC 4258'!QESBulgeEffectiveRadius</vt:lpstr>
      <vt:lpstr>'NGC 4303'!QESBulgeEffectiveRadius</vt:lpstr>
      <vt:lpstr>'NGC 4321'!QESBulgeEffectiveRadius</vt:lpstr>
      <vt:lpstr>'NGC 4527'!QESBulgeEffectiveRadius</vt:lpstr>
      <vt:lpstr>'NGC 4565'!QESBulgeEffectiveRadius</vt:lpstr>
      <vt:lpstr>'NGC 4569'!QESBulgeEffectiveRadius</vt:lpstr>
      <vt:lpstr>'NGC 4736'!QESBulgeEffectiveRadius</vt:lpstr>
      <vt:lpstr>'NGC 4945'!QESBulgeEffectiveRadius</vt:lpstr>
      <vt:lpstr>'NGC 5033'!QESBulgeEffectiveRadius</vt:lpstr>
      <vt:lpstr>'NGC 5055'!QESBulgeEffectiveRadius</vt:lpstr>
      <vt:lpstr>'NGC 5236'!QESBulgeEffectiveRadius</vt:lpstr>
      <vt:lpstr>'NGC 5457'!QESBulgeEffectiveRadius</vt:lpstr>
      <vt:lpstr>'NGC 5907'!QESBulgeEffectiveRadius</vt:lpstr>
      <vt:lpstr>'NGC 6946'!QESBulgeEffectiveRadius</vt:lpstr>
      <vt:lpstr>'NGC 7013'!QESBulgeEffectiveRadius</vt:lpstr>
      <vt:lpstr>'UGC 03993'!QESBulgeEffectiveRadius</vt:lpstr>
      <vt:lpstr>'NGC 0224'!QESDiskScaleLength</vt:lpstr>
      <vt:lpstr>'NGC 0253'!QESDiskScaleLength</vt:lpstr>
      <vt:lpstr>'NGC 0266'!QESDiskScaleLength</vt:lpstr>
      <vt:lpstr>'NGC 0342'!QESDiskScaleLength</vt:lpstr>
      <vt:lpstr>'NGC 0598'!QESDiskScaleLength</vt:lpstr>
      <vt:lpstr>'NGC 0660'!QESDiskScaleLength</vt:lpstr>
      <vt:lpstr>'NGC 0891'!QESDiskScaleLength</vt:lpstr>
      <vt:lpstr>'NGC 1365'!QESDiskScaleLength</vt:lpstr>
      <vt:lpstr>'NGC 1642'!QESDiskScaleLength</vt:lpstr>
      <vt:lpstr>'NGC 1808'!QESDiskScaleLength</vt:lpstr>
      <vt:lpstr>'NGC 2403'!QESDiskScaleLength</vt:lpstr>
      <vt:lpstr>'NGC 2543'!QESDiskScaleLength</vt:lpstr>
      <vt:lpstr>'NGC 2599'!QESDiskScaleLength</vt:lpstr>
      <vt:lpstr>'NGC 2649'!QESDiskScaleLength</vt:lpstr>
      <vt:lpstr>'NGC 2654'!QESDiskScaleLength</vt:lpstr>
      <vt:lpstr>'NGC 2903'!QESDiskScaleLength</vt:lpstr>
      <vt:lpstr>'NGC 2985'!QESDiskScaleLength</vt:lpstr>
      <vt:lpstr>'NGC 3079'!QESDiskScaleLength</vt:lpstr>
      <vt:lpstr>'NGC 3198'!QESDiskScaleLength</vt:lpstr>
      <vt:lpstr>'NGC 3521'!QESDiskScaleLength</vt:lpstr>
      <vt:lpstr>'NGC 3628'!QESDiskScaleLength</vt:lpstr>
      <vt:lpstr>'NGC 3900'!QESDiskScaleLength</vt:lpstr>
      <vt:lpstr>'NGC 3982'!QESDiskScaleLength</vt:lpstr>
      <vt:lpstr>'NGC 4258'!QESDiskScaleLength</vt:lpstr>
      <vt:lpstr>'NGC 4303'!QESDiskScaleLength</vt:lpstr>
      <vt:lpstr>'NGC 4321'!QESDiskScaleLength</vt:lpstr>
      <vt:lpstr>'NGC 4527'!QESDiskScaleLength</vt:lpstr>
      <vt:lpstr>'NGC 4565'!QESDiskScaleLength</vt:lpstr>
      <vt:lpstr>'NGC 4569'!QESDiskScaleLength</vt:lpstr>
      <vt:lpstr>'NGC 4736'!QESDiskScaleLength</vt:lpstr>
      <vt:lpstr>'NGC 4945'!QESDiskScaleLength</vt:lpstr>
      <vt:lpstr>'NGC 5033'!QESDiskScaleLength</vt:lpstr>
      <vt:lpstr>'NGC 5055'!QESDiskScaleLength</vt:lpstr>
      <vt:lpstr>'NGC 5236'!QESDiskScaleLength</vt:lpstr>
      <vt:lpstr>'NGC 5457'!QESDiskScaleLength</vt:lpstr>
      <vt:lpstr>'NGC 5907'!QESDiskScaleLength</vt:lpstr>
      <vt:lpstr>'NGC 6946'!QESDiskScaleLength</vt:lpstr>
      <vt:lpstr>'NGC 7013'!QESDiskScaleLength</vt:lpstr>
      <vt:lpstr>'UGC 03993'!QESDiskScaleLength</vt:lpstr>
      <vt:lpstr>'NGC 0224'!QESDiskSurfaceDensity</vt:lpstr>
      <vt:lpstr>'NGC 0253'!QESDiskSurfaceDensity</vt:lpstr>
      <vt:lpstr>'NGC 0266'!QESDiskSurfaceDensity</vt:lpstr>
      <vt:lpstr>'NGC 0342'!QESDiskSurfaceDensity</vt:lpstr>
      <vt:lpstr>'NGC 0598'!QESDiskSurfaceDensity</vt:lpstr>
      <vt:lpstr>'NGC 0660'!QESDiskSurfaceDensity</vt:lpstr>
      <vt:lpstr>'NGC 0891'!QESDiskSurfaceDensity</vt:lpstr>
      <vt:lpstr>'NGC 1365'!QESDiskSurfaceDensity</vt:lpstr>
      <vt:lpstr>'NGC 1642'!QESDiskSurfaceDensity</vt:lpstr>
      <vt:lpstr>'NGC 1808'!QESDiskSurfaceDensity</vt:lpstr>
      <vt:lpstr>'NGC 2403'!QESDiskSurfaceDensity</vt:lpstr>
      <vt:lpstr>'NGC 2543'!QESDiskSurfaceDensity</vt:lpstr>
      <vt:lpstr>'NGC 2599'!QESDiskSurfaceDensity</vt:lpstr>
      <vt:lpstr>'NGC 2649'!QESDiskSurfaceDensity</vt:lpstr>
      <vt:lpstr>'NGC 2654'!QESDiskSurfaceDensity</vt:lpstr>
      <vt:lpstr>'NGC 2903'!QESDiskSurfaceDensity</vt:lpstr>
      <vt:lpstr>'NGC 2985'!QESDiskSurfaceDensity</vt:lpstr>
      <vt:lpstr>'NGC 3079'!QESDiskSurfaceDensity</vt:lpstr>
      <vt:lpstr>'NGC 3198'!QESDiskSurfaceDensity</vt:lpstr>
      <vt:lpstr>'NGC 3521'!QESDiskSurfaceDensity</vt:lpstr>
      <vt:lpstr>'NGC 3628'!QESDiskSurfaceDensity</vt:lpstr>
      <vt:lpstr>'NGC 3900'!QESDiskSurfaceDensity</vt:lpstr>
      <vt:lpstr>'NGC 3982'!QESDiskSurfaceDensity</vt:lpstr>
      <vt:lpstr>'NGC 4258'!QESDiskSurfaceDensity</vt:lpstr>
      <vt:lpstr>'NGC 4303'!QESDiskSurfaceDensity</vt:lpstr>
      <vt:lpstr>'NGC 4321'!QESDiskSurfaceDensity</vt:lpstr>
      <vt:lpstr>'NGC 4527'!QESDiskSurfaceDensity</vt:lpstr>
      <vt:lpstr>'NGC 4565'!QESDiskSurfaceDensity</vt:lpstr>
      <vt:lpstr>'NGC 4569'!QESDiskSurfaceDensity</vt:lpstr>
      <vt:lpstr>'NGC 4736'!QESDiskSurfaceDensity</vt:lpstr>
      <vt:lpstr>'NGC 4945'!QESDiskSurfaceDensity</vt:lpstr>
      <vt:lpstr>'NGC 5033'!QESDiskSurfaceDensity</vt:lpstr>
      <vt:lpstr>'NGC 5055'!QESDiskSurfaceDensity</vt:lpstr>
      <vt:lpstr>'NGC 5236'!QESDiskSurfaceDensity</vt:lpstr>
      <vt:lpstr>'NGC 5457'!QESDiskSurfaceDensity</vt:lpstr>
      <vt:lpstr>'NGC 5907'!QESDiskSurfaceDensity</vt:lpstr>
      <vt:lpstr>'NGC 6946'!QESDiskSurfaceDensity</vt:lpstr>
      <vt:lpstr>'NGC 7013'!QESDiskSurfaceDensity</vt:lpstr>
      <vt:lpstr>'UGC 03993'!QESDiskSurfaceDensity</vt:lpstr>
      <vt:lpstr>QESLuminousDistance</vt:lpstr>
      <vt:lpstr>Geometry!QESRedShift</vt:lpstr>
      <vt:lpstr>'NGC 0224'!QESTotalBulgeMass</vt:lpstr>
      <vt:lpstr>'NGC 0253'!QESTotalBulgeMass</vt:lpstr>
      <vt:lpstr>'NGC 0266'!QESTotalBulgeMass</vt:lpstr>
      <vt:lpstr>'NGC 0342'!QESTotalBulgeMass</vt:lpstr>
      <vt:lpstr>'NGC 0598'!QESTotalBulgeMass</vt:lpstr>
      <vt:lpstr>'NGC 0660'!QESTotalBulgeMass</vt:lpstr>
      <vt:lpstr>'NGC 0891'!QESTotalBulgeMass</vt:lpstr>
      <vt:lpstr>'NGC 1365'!QESTotalBulgeMass</vt:lpstr>
      <vt:lpstr>'NGC 1642'!QESTotalBulgeMass</vt:lpstr>
      <vt:lpstr>'NGC 1808'!QESTotalBulgeMass</vt:lpstr>
      <vt:lpstr>'NGC 2403'!QESTotalBulgeMass</vt:lpstr>
      <vt:lpstr>'NGC 2543'!QESTotalBulgeMass</vt:lpstr>
      <vt:lpstr>'NGC 2599'!QESTotalBulgeMass</vt:lpstr>
      <vt:lpstr>'NGC 2649'!QESTotalBulgeMass</vt:lpstr>
      <vt:lpstr>'NGC 2654'!QESTotalBulgeMass</vt:lpstr>
      <vt:lpstr>'NGC 2903'!QESTotalBulgeMass</vt:lpstr>
      <vt:lpstr>'NGC 2985'!QESTotalBulgeMass</vt:lpstr>
      <vt:lpstr>'NGC 3079'!QESTotalBulgeMass</vt:lpstr>
      <vt:lpstr>'NGC 3198'!QESTotalBulgeMass</vt:lpstr>
      <vt:lpstr>'NGC 3521'!QESTotalBulgeMass</vt:lpstr>
      <vt:lpstr>'NGC 3628'!QESTotalBulgeMass</vt:lpstr>
      <vt:lpstr>'NGC 3900'!QESTotalBulgeMass</vt:lpstr>
      <vt:lpstr>'NGC 3982'!QESTotalBulgeMass</vt:lpstr>
      <vt:lpstr>'NGC 4258'!QESTotalBulgeMass</vt:lpstr>
      <vt:lpstr>'NGC 4303'!QESTotalBulgeMass</vt:lpstr>
      <vt:lpstr>'NGC 4321'!QESTotalBulgeMass</vt:lpstr>
      <vt:lpstr>'NGC 4527'!QESTotalBulgeMass</vt:lpstr>
      <vt:lpstr>'NGC 4565'!QESTotalBulgeMass</vt:lpstr>
      <vt:lpstr>'NGC 4569'!QESTotalBulgeMass</vt:lpstr>
      <vt:lpstr>'NGC 4736'!QESTotalBulgeMass</vt:lpstr>
      <vt:lpstr>'NGC 4945'!QESTotalBulgeMass</vt:lpstr>
      <vt:lpstr>'NGC 5033'!QESTotalBulgeMass</vt:lpstr>
      <vt:lpstr>'NGC 5055'!QESTotalBulgeMass</vt:lpstr>
      <vt:lpstr>'NGC 5236'!QESTotalBulgeMass</vt:lpstr>
      <vt:lpstr>'NGC 5457'!QESTotalBulgeMass</vt:lpstr>
      <vt:lpstr>'NGC 5907'!QESTotalBulgeMass</vt:lpstr>
      <vt:lpstr>'NGC 6946'!QESTotalBulgeMass</vt:lpstr>
      <vt:lpstr>'NGC 7013'!QESTotalBulgeMass</vt:lpstr>
      <vt:lpstr>'UGC 03993'!QESTotalBulgeMass</vt:lpstr>
      <vt:lpstr>RadiationDensityConstant</vt:lpstr>
      <vt:lpstr>'NGC 0224'!RadiusKm</vt:lpstr>
      <vt:lpstr>'NGC 0266'!RadiusKm</vt:lpstr>
      <vt:lpstr>'NGC 0342'!RadiusKm</vt:lpstr>
      <vt:lpstr>'NGC 0598'!RadiusKm</vt:lpstr>
      <vt:lpstr>'NGC 0660'!RadiusKm</vt:lpstr>
      <vt:lpstr>'NGC 0891'!RadiusKm</vt:lpstr>
      <vt:lpstr>'NGC 1365'!RadiusKm</vt:lpstr>
      <vt:lpstr>'NGC 1642'!RadiusKm</vt:lpstr>
      <vt:lpstr>'NGC 1808'!RadiusKm</vt:lpstr>
      <vt:lpstr>'NGC 2403'!RadiusKm</vt:lpstr>
      <vt:lpstr>'NGC 2543'!RadiusKm</vt:lpstr>
      <vt:lpstr>'NGC 2599'!RadiusKm</vt:lpstr>
      <vt:lpstr>'NGC 2649'!RadiusKm</vt:lpstr>
      <vt:lpstr>'NGC 2654'!RadiusKm</vt:lpstr>
      <vt:lpstr>'NGC 2903'!RadiusKm</vt:lpstr>
      <vt:lpstr>'NGC 2985'!RadiusKm</vt:lpstr>
      <vt:lpstr>'NGC 3079'!RadiusKm</vt:lpstr>
      <vt:lpstr>'NGC 3198'!RadiusKm</vt:lpstr>
      <vt:lpstr>'NGC 3521'!RadiusKm</vt:lpstr>
      <vt:lpstr>'NGC 3628'!RadiusKm</vt:lpstr>
      <vt:lpstr>'NGC 3900'!RadiusKm</vt:lpstr>
      <vt:lpstr>'NGC 3982'!RadiusKm</vt:lpstr>
      <vt:lpstr>'NGC 4258'!RadiusKm</vt:lpstr>
      <vt:lpstr>'NGC 4303'!RadiusKm</vt:lpstr>
      <vt:lpstr>'NGC 4321'!RadiusKm</vt:lpstr>
      <vt:lpstr>'NGC 4527'!RadiusKm</vt:lpstr>
      <vt:lpstr>'NGC 4565'!RadiusKm</vt:lpstr>
      <vt:lpstr>'NGC 4569'!RadiusKm</vt:lpstr>
      <vt:lpstr>'NGC 4736'!RadiusKm</vt:lpstr>
      <vt:lpstr>'NGC 4945'!RadiusKm</vt:lpstr>
      <vt:lpstr>'NGC 5033'!RadiusKm</vt:lpstr>
      <vt:lpstr>'NGC 5055'!RadiusKm</vt:lpstr>
      <vt:lpstr>'NGC 5236'!RadiusKm</vt:lpstr>
      <vt:lpstr>'NGC 5457'!RadiusKm</vt:lpstr>
      <vt:lpstr>'NGC 5907'!RadiusKm</vt:lpstr>
      <vt:lpstr>'NGC 6946'!RadiusKm</vt:lpstr>
      <vt:lpstr>'NGC 7013'!RadiusKm</vt:lpstr>
      <vt:lpstr>'UGC 03993'!RadiusKm</vt:lpstr>
      <vt:lpstr>'NGC 0224'!RadiusKpc</vt:lpstr>
      <vt:lpstr>'NGC 0253'!RadiusKpc</vt:lpstr>
      <vt:lpstr>'NGC 0266'!RadiusKpc</vt:lpstr>
      <vt:lpstr>'NGC 0342'!RadiusKpc</vt:lpstr>
      <vt:lpstr>'NGC 0598'!RadiusKpc</vt:lpstr>
      <vt:lpstr>'NGC 0660'!RadiusKpc</vt:lpstr>
      <vt:lpstr>'NGC 0891'!RadiusKpc</vt:lpstr>
      <vt:lpstr>'NGC 1365'!RadiusKpc</vt:lpstr>
      <vt:lpstr>'NGC 1642'!RadiusKpc</vt:lpstr>
      <vt:lpstr>'NGC 1808'!RadiusKpc</vt:lpstr>
      <vt:lpstr>'NGC 2403'!RadiusKpc</vt:lpstr>
      <vt:lpstr>'NGC 2543'!RadiusKpc</vt:lpstr>
      <vt:lpstr>'NGC 2599'!RadiusKpc</vt:lpstr>
      <vt:lpstr>'NGC 2649'!RadiusKpc</vt:lpstr>
      <vt:lpstr>'NGC 2654'!RadiusKpc</vt:lpstr>
      <vt:lpstr>'NGC 2903'!RadiusKpc</vt:lpstr>
      <vt:lpstr>'NGC 2985'!RadiusKpc</vt:lpstr>
      <vt:lpstr>'NGC 3079'!RadiusKpc</vt:lpstr>
      <vt:lpstr>'NGC 3198'!RadiusKpc</vt:lpstr>
      <vt:lpstr>'NGC 3521'!RadiusKpc</vt:lpstr>
      <vt:lpstr>'NGC 3628'!RadiusKpc</vt:lpstr>
      <vt:lpstr>'NGC 3900'!RadiusKpc</vt:lpstr>
      <vt:lpstr>'NGC 3982'!RadiusKpc</vt:lpstr>
      <vt:lpstr>'NGC 4258'!RadiusKpc</vt:lpstr>
      <vt:lpstr>'NGC 4303'!RadiusKpc</vt:lpstr>
      <vt:lpstr>'NGC 4321'!RadiusKpc</vt:lpstr>
      <vt:lpstr>'NGC 4527'!RadiusKpc</vt:lpstr>
      <vt:lpstr>'NGC 4565'!RadiusKpc</vt:lpstr>
      <vt:lpstr>'NGC 4569'!RadiusKpc</vt:lpstr>
      <vt:lpstr>'NGC 4736'!RadiusKpc</vt:lpstr>
      <vt:lpstr>'NGC 4945'!RadiusKpc</vt:lpstr>
      <vt:lpstr>'NGC 5033'!RadiusKpc</vt:lpstr>
      <vt:lpstr>'NGC 5055'!RadiusKpc</vt:lpstr>
      <vt:lpstr>'NGC 5236'!RadiusKpc</vt:lpstr>
      <vt:lpstr>'NGC 5457'!RadiusKpc</vt:lpstr>
      <vt:lpstr>'NGC 5907'!RadiusKpc</vt:lpstr>
      <vt:lpstr>'NGC 6946'!RadiusKpc</vt:lpstr>
      <vt:lpstr>'NGC 7013'!RadiusKpc</vt:lpstr>
      <vt:lpstr>'UGC 03993'!RadiusKpc</vt:lpstr>
      <vt:lpstr>'NGC 0253'!RadiusM</vt:lpstr>
      <vt:lpstr>Geometry!RadiusOfCurvature</vt:lpstr>
      <vt:lpstr>'NGC 0224'!RadiusPc</vt:lpstr>
      <vt:lpstr>'NGC 0253'!RadiusPc</vt:lpstr>
      <vt:lpstr>'NGC 0266'!RadiusPc</vt:lpstr>
      <vt:lpstr>'NGC 0342'!RadiusPc</vt:lpstr>
      <vt:lpstr>'NGC 0598'!RadiusPc</vt:lpstr>
      <vt:lpstr>'NGC 0660'!RadiusPc</vt:lpstr>
      <vt:lpstr>'NGC 0891'!RadiusPc</vt:lpstr>
      <vt:lpstr>'NGC 1365'!RadiusPc</vt:lpstr>
      <vt:lpstr>'NGC 1642'!RadiusPc</vt:lpstr>
      <vt:lpstr>'NGC 1808'!RadiusPc</vt:lpstr>
      <vt:lpstr>'NGC 2403'!RadiusPc</vt:lpstr>
      <vt:lpstr>'NGC 2543'!RadiusPc</vt:lpstr>
      <vt:lpstr>'NGC 2599'!RadiusPc</vt:lpstr>
      <vt:lpstr>'NGC 2649'!RadiusPc</vt:lpstr>
      <vt:lpstr>'NGC 2654'!RadiusPc</vt:lpstr>
      <vt:lpstr>'NGC 2903'!RadiusPc</vt:lpstr>
      <vt:lpstr>'NGC 2985'!RadiusPc</vt:lpstr>
      <vt:lpstr>'NGC 3079'!RadiusPc</vt:lpstr>
      <vt:lpstr>'NGC 3198'!RadiusPc</vt:lpstr>
      <vt:lpstr>'NGC 3521'!RadiusPc</vt:lpstr>
      <vt:lpstr>'NGC 3628'!RadiusPc</vt:lpstr>
      <vt:lpstr>'NGC 3900'!RadiusPc</vt:lpstr>
      <vt:lpstr>'NGC 3982'!RadiusPc</vt:lpstr>
      <vt:lpstr>'NGC 4258'!RadiusPc</vt:lpstr>
      <vt:lpstr>'NGC 4303'!RadiusPc</vt:lpstr>
      <vt:lpstr>'NGC 4321'!RadiusPc</vt:lpstr>
      <vt:lpstr>'NGC 4527'!RadiusPc</vt:lpstr>
      <vt:lpstr>'NGC 4565'!RadiusPc</vt:lpstr>
      <vt:lpstr>'NGC 4569'!RadiusPc</vt:lpstr>
      <vt:lpstr>'NGC 4736'!RadiusPc</vt:lpstr>
      <vt:lpstr>'NGC 4945'!RadiusPc</vt:lpstr>
      <vt:lpstr>'NGC 5033'!RadiusPc</vt:lpstr>
      <vt:lpstr>'NGC 5055'!RadiusPc</vt:lpstr>
      <vt:lpstr>'NGC 5236'!RadiusPc</vt:lpstr>
      <vt:lpstr>'NGC 5457'!RadiusPc</vt:lpstr>
      <vt:lpstr>'NGC 5907'!RadiusPc</vt:lpstr>
      <vt:lpstr>'NGC 6946'!RadiusPc</vt:lpstr>
      <vt:lpstr>'NGC 7013'!RadiusPc</vt:lpstr>
      <vt:lpstr>'UGC 03993'!RadiusPc</vt:lpstr>
      <vt:lpstr>'SNe Ia Data'!RedShift</vt:lpstr>
      <vt:lpstr>ReducedPlanckConstant</vt:lpstr>
      <vt:lpstr>'SNe Ia Data'!ScatterError</vt:lpstr>
      <vt:lpstr>second</vt:lpstr>
      <vt:lpstr>SecondsPerYear</vt:lpstr>
      <vt:lpstr>SolarLuminosity</vt:lpstr>
      <vt:lpstr>SolarMass</vt:lpstr>
      <vt:lpstr>SoundHorizon</vt:lpstr>
      <vt:lpstr>StefanBoltzmannConstant</vt:lpstr>
      <vt:lpstr>'SNe Ia Data'!Stretch</vt:lpstr>
      <vt:lpstr>'SNe Ia Data'!StretchError</vt:lpstr>
      <vt:lpstr>StretchParameter</vt:lpstr>
      <vt:lpstr>'SNe Ia Data'!T2DistanceModuli</vt:lpstr>
      <vt:lpstr>T2LuminousDistance</vt:lpstr>
      <vt:lpstr>tau</vt:lpstr>
      <vt:lpstr>time</vt:lpstr>
      <vt:lpstr>'SNe Ia Data'!TotalError</vt:lpstr>
      <vt:lpstr>'NGC 0224'!TotalMass</vt:lpstr>
      <vt:lpstr>'NGC 0253'!TotalMass</vt:lpstr>
      <vt:lpstr>'NGC 0266'!TotalMass</vt:lpstr>
      <vt:lpstr>'NGC 0342'!TotalMass</vt:lpstr>
      <vt:lpstr>'NGC 0598'!TotalMass</vt:lpstr>
      <vt:lpstr>'NGC 0660'!TotalMass</vt:lpstr>
      <vt:lpstr>'NGC 0891'!TotalMass</vt:lpstr>
      <vt:lpstr>'NGC 1365'!TotalMass</vt:lpstr>
      <vt:lpstr>'NGC 1642'!TotalMass</vt:lpstr>
      <vt:lpstr>'NGC 1808'!TotalMass</vt:lpstr>
      <vt:lpstr>'NGC 2403'!TotalMass</vt:lpstr>
      <vt:lpstr>'NGC 2543'!TotalMass</vt:lpstr>
      <vt:lpstr>'NGC 2599'!TotalMass</vt:lpstr>
      <vt:lpstr>'NGC 2649'!TotalMass</vt:lpstr>
      <vt:lpstr>'NGC 2654'!TotalMass</vt:lpstr>
      <vt:lpstr>'NGC 2903'!TotalMass</vt:lpstr>
      <vt:lpstr>'NGC 2985'!TotalMass</vt:lpstr>
      <vt:lpstr>'NGC 3079'!TotalMass</vt:lpstr>
      <vt:lpstr>'NGC 3198'!TotalMass</vt:lpstr>
      <vt:lpstr>'NGC 3521'!TotalMass</vt:lpstr>
      <vt:lpstr>'NGC 3628'!TotalMass</vt:lpstr>
      <vt:lpstr>'NGC 3900'!TotalMass</vt:lpstr>
      <vt:lpstr>'NGC 3982'!TotalMass</vt:lpstr>
      <vt:lpstr>'NGC 4258'!TotalMass</vt:lpstr>
      <vt:lpstr>'NGC 4303'!TotalMass</vt:lpstr>
      <vt:lpstr>'NGC 4321'!TotalMass</vt:lpstr>
      <vt:lpstr>'NGC 4527'!TotalMass</vt:lpstr>
      <vt:lpstr>'NGC 4565'!TotalMass</vt:lpstr>
      <vt:lpstr>'NGC 4569'!TotalMass</vt:lpstr>
      <vt:lpstr>'NGC 4736'!TotalMass</vt:lpstr>
      <vt:lpstr>'NGC 4945'!TotalMass</vt:lpstr>
      <vt:lpstr>'NGC 5033'!TotalMass</vt:lpstr>
      <vt:lpstr>'NGC 5055'!TotalMass</vt:lpstr>
      <vt:lpstr>'NGC 5236'!TotalMass</vt:lpstr>
      <vt:lpstr>'NGC 5457'!TotalMass</vt:lpstr>
      <vt:lpstr>'NGC 5907'!TotalMass</vt:lpstr>
      <vt:lpstr>'NGC 6946'!TotalMass</vt:lpstr>
      <vt:lpstr>'NGC 7013'!TotalMass</vt:lpstr>
      <vt:lpstr>'UGC 03993'!TotalMass</vt:lpstr>
      <vt:lpstr>UniverseAcceleration</vt:lpstr>
      <vt:lpstr>UniverseSize</vt:lpstr>
      <vt:lpstr>veloc</vt:lpstr>
      <vt:lpstr>velocity</vt:lpstr>
      <vt:lpstr>'NGC 0224'!VelocityError</vt:lpstr>
      <vt:lpstr>'NGC 0253'!VelocityError</vt:lpstr>
      <vt:lpstr>'NGC 0266'!VelocityError</vt:lpstr>
      <vt:lpstr>'NGC 0342'!VelocityError</vt:lpstr>
      <vt:lpstr>'NGC 0598'!VelocityError</vt:lpstr>
      <vt:lpstr>'NGC 0660'!VelocityError</vt:lpstr>
      <vt:lpstr>'NGC 0891'!VelocityError</vt:lpstr>
      <vt:lpstr>'NGC 1365'!VelocityError</vt:lpstr>
      <vt:lpstr>'NGC 1642'!VelocityError</vt:lpstr>
      <vt:lpstr>'NGC 1808'!VelocityError</vt:lpstr>
      <vt:lpstr>'NGC 2403'!VelocityError</vt:lpstr>
      <vt:lpstr>'NGC 2543'!VelocityError</vt:lpstr>
      <vt:lpstr>'NGC 2599'!VelocityError</vt:lpstr>
      <vt:lpstr>'NGC 2649'!VelocityError</vt:lpstr>
      <vt:lpstr>'NGC 2654'!VelocityError</vt:lpstr>
      <vt:lpstr>'NGC 2903'!VelocityError</vt:lpstr>
      <vt:lpstr>'NGC 2985'!VelocityError</vt:lpstr>
      <vt:lpstr>'NGC 3079'!VelocityError</vt:lpstr>
      <vt:lpstr>'NGC 3198'!VelocityError</vt:lpstr>
      <vt:lpstr>'NGC 3521'!VelocityError</vt:lpstr>
      <vt:lpstr>'NGC 3628'!VelocityError</vt:lpstr>
      <vt:lpstr>'NGC 3900'!VelocityError</vt:lpstr>
      <vt:lpstr>'NGC 3982'!VelocityError</vt:lpstr>
      <vt:lpstr>'NGC 4258'!VelocityError</vt:lpstr>
      <vt:lpstr>'NGC 4303'!VelocityError</vt:lpstr>
      <vt:lpstr>'NGC 4321'!VelocityError</vt:lpstr>
      <vt:lpstr>'NGC 4527'!VelocityError</vt:lpstr>
      <vt:lpstr>'NGC 4565'!VelocityError</vt:lpstr>
      <vt:lpstr>'NGC 4569'!VelocityError</vt:lpstr>
      <vt:lpstr>'NGC 4736'!VelocityError</vt:lpstr>
      <vt:lpstr>'NGC 4945'!VelocityError</vt:lpstr>
      <vt:lpstr>'NGC 5033'!VelocityError</vt:lpstr>
      <vt:lpstr>'NGC 5055'!VelocityError</vt:lpstr>
      <vt:lpstr>'NGC 5236'!VelocityError</vt:lpstr>
      <vt:lpstr>'NGC 5457'!VelocityError</vt:lpstr>
      <vt:lpstr>'NGC 5907'!VelocityError</vt:lpstr>
      <vt:lpstr>'NGC 6946'!VelocityError</vt:lpstr>
      <vt:lpstr>'NGC 7013'!VelocityError</vt:lpstr>
      <vt:lpstr>'UGC 03993'!VelocityError</vt:lpstr>
      <vt:lpstr>VelocityOfLight</vt:lpstr>
      <vt:lpstr>ZError</vt:lpstr>
      <vt:lpstr>Zeta3</vt:lpstr>
      <vt:lpstr>'SNe Ia Data'!α</vt:lpstr>
      <vt:lpstr>'SNe Ia Data'!β</vt:lpstr>
      <vt:lpstr>'SNe Ia Data'!ΛCDMDistanceModuli</vt:lpstr>
      <vt:lpstr>'SNe Ia Data'!ΛCDMLuminousDistance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Roy Airey</dc:creator>
  <cp:lastModifiedBy>Donald Airey</cp:lastModifiedBy>
  <cp:lastPrinted>2015-12-21T16:04:41Z</cp:lastPrinted>
  <dcterms:created xsi:type="dcterms:W3CDTF">2013-09-02T02:29:31Z</dcterms:created>
  <dcterms:modified xsi:type="dcterms:W3CDTF">2022-08-01T22:18:55Z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0x0101009D00108154DBF84A9957198D40B40155</vt:lpwstr>
  </property>
</Properties>
</file>